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3560" windowHeight="8040" activeTab="0"/>
  </bookViews>
  <sheets>
    <sheet name="SEIT" sheetId="1" r:id="rId1"/>
    <sheet name="Emission Factor Documentation" sheetId="2" r:id="rId2"/>
    <sheet name="Sheet2" sheetId="3" state="hidden" r:id="rId3"/>
    <sheet name="Sheet1" sheetId="4" state="hidden" r:id="rId4"/>
  </sheets>
  <definedNames>
    <definedName name="AGRICULTURAL_EMISSIONS">'SEIT'!$B$365</definedName>
    <definedName name="DEFORESTATION_EMISSIONS__Benchmarks_for_Small_Emitters">'SEIT'!$B$396</definedName>
    <definedName name="DIRECT_EMISSIONS__Mobile_Fuel_Combustion">'SEIT'!$B$98</definedName>
    <definedName name="DIRECT_EMISSIONS__Stationary_Fuel_Combustion">'SEIT'!$B$50</definedName>
    <definedName name="INDIRECT_EMISSIONS__Purchased_Electricity">'SEIT'!$B$36</definedName>
    <definedName name="INDIRECT_EMISSIONS__Purchased_Heat__Steam__and_Chilled_Water">'SEIT'!$B$42</definedName>
    <definedName name="_xlnm.Print_Area" localSheetId="0">'SEIT'!$A$1:$T$422</definedName>
    <definedName name="PROCESS_EMISSIONS__Coal_Mine_Methane___General">'SEIT'!$B$243</definedName>
    <definedName name="PROCESS_EMISSIONS__Coal_Mine_Methane___Surface_Mines_and_Post_Mining_Operations">'SEIT'!$B$251</definedName>
    <definedName name="PROCESS_EMISSIONS__HCFC_22_Production">'SEIT'!$B$327</definedName>
    <definedName name="PROCESS_EMISSIONS__Industrial_Processes">'SEIT'!$B$201</definedName>
    <definedName name="PROCESS_EMISSIONS__Oil_and_Gas_Industries">'SEIT'!$B$264</definedName>
    <definedName name="PROCESS_EMISSIONS__Other_Industrial_Use_of_Hydrofluorocardbons__Perfluorocarbons__and_Sulfur_Hexafluoride">'SEIT'!$B$333</definedName>
    <definedName name="PROCESS_EMISSIONS__Waste_and_Wastewater">'SEIT'!$B$311</definedName>
  </definedNames>
  <calcPr fullCalcOnLoad="1"/>
</workbook>
</file>

<file path=xl/comments1.xml><?xml version="1.0" encoding="utf-8"?>
<comments xmlns="http://schemas.openxmlformats.org/spreadsheetml/2006/main">
  <authors>
    <author>System Administrator</author>
  </authors>
  <commentList>
    <comment ref="AI102" authorId="0">
      <text>
        <r>
          <rPr>
            <b/>
            <sz val="8"/>
            <rFont val="Tahoma"/>
            <family val="0"/>
          </rPr>
          <t>Miles per Gallon (MPG) values given here are from a the WRI ghg protocol which were based on EPA data</t>
        </r>
      </text>
    </comment>
  </commentList>
</comments>
</file>

<file path=xl/comments3.xml><?xml version="1.0" encoding="utf-8"?>
<comments xmlns="http://schemas.openxmlformats.org/spreadsheetml/2006/main">
  <authors>
    <author>System Administrator</author>
    <author>John Sottong</author>
  </authors>
  <commentList>
    <comment ref="A49" authorId="0">
      <text>
        <r>
          <rPr>
            <b/>
            <sz val="8"/>
            <rFont val="Tahoma"/>
            <family val="0"/>
          </rPr>
          <t>Miles per Gallon (MPG) values given here are from a the WRI ghg protocol which were based on EPA data</t>
        </r>
      </text>
    </comment>
    <comment ref="M4" authorId="1">
      <text>
        <r>
          <rPr>
            <sz val="10"/>
            <rFont val="Tahoma"/>
            <family val="2"/>
          </rPr>
          <t>Expressed in grams per mile, these emission factors cover gasoline passenger cars, vans, pickup trucks, sport utility vehicles and heavy-duty vehicles, the emission factors cover model years 1966-2001.</t>
        </r>
        <r>
          <rPr>
            <sz val="8"/>
            <rFont val="Tahoma"/>
            <family val="2"/>
          </rPr>
          <t xml:space="preserve">
</t>
        </r>
        <r>
          <rPr>
            <sz val="8"/>
            <rFont val="Tahoma"/>
            <family val="0"/>
          </rPr>
          <t xml:space="preserve">
</t>
        </r>
      </text>
    </comment>
    <comment ref="P4" authorId="1">
      <text>
        <r>
          <rPr>
            <sz val="8"/>
            <rFont val="Tahoma"/>
            <family val="2"/>
          </rPr>
          <t>Expressed in grams per mile, these emission factors cover gasoline passenger cars, vans, pickup trucks, sport utility vehicles and heavy-duty vehicles, the emission factors cover model years 1966-2001.</t>
        </r>
        <r>
          <rPr>
            <sz val="8"/>
            <rFont val="Tahoma"/>
            <family val="0"/>
          </rPr>
          <t xml:space="preserve">
</t>
        </r>
      </text>
    </comment>
  </commentList>
</comments>
</file>

<file path=xl/comments4.xml><?xml version="1.0" encoding="utf-8"?>
<comments xmlns="http://schemas.openxmlformats.org/spreadsheetml/2006/main">
  <authors>
    <author>System Administrator</author>
    <author>A satisfied Microsoft Office user</author>
  </authors>
  <commentList>
    <comment ref="K2" authorId="0">
      <text>
        <r>
          <rPr>
            <b/>
            <sz val="8"/>
            <rFont val="Tahoma"/>
            <family val="0"/>
          </rPr>
          <t>Miles per Gallon (MPG) values given here are from a the WRI ghg protocol which were based on EPA data</t>
        </r>
      </text>
    </comment>
    <comment ref="B59" authorId="0">
      <text>
        <r>
          <rPr>
            <b/>
            <sz val="8"/>
            <rFont val="Tahoma"/>
            <family val="0"/>
          </rPr>
          <t>Miles per Gallon (MPG) values given here are from a the WRI ghg protocol which were based on EPA data.
http://www.ghgprotocol.org/standard/Current_Tools/mobile.v1.2.xls</t>
        </r>
      </text>
    </comment>
    <comment ref="D74" authorId="1">
      <text>
        <r>
          <rPr>
            <sz val="8"/>
            <rFont val="Tahoma"/>
            <family val="0"/>
          </rPr>
          <t xml:space="preserve">See tables in Reference worksheet
</t>
        </r>
      </text>
    </comment>
    <comment ref="D76" authorId="1">
      <text>
        <r>
          <rPr>
            <sz val="8"/>
            <rFont val="Tahoma"/>
            <family val="0"/>
          </rPr>
          <t>RPM Systems, Inc.:
assume 20% more efficient.  Imported cars get on average 17% higher mpg 94-98, per EPA table</t>
        </r>
      </text>
    </comment>
    <comment ref="D79" authorId="1">
      <text>
        <r>
          <rPr>
            <sz val="8"/>
            <rFont val="Tahoma"/>
            <family val="0"/>
          </rPr>
          <t>RPM Systems, Inc.:
assume 20% more efficient.  Imported cars get on average 17% higher mpg 94-98, per EPA table</t>
        </r>
      </text>
    </comment>
  </commentList>
</comments>
</file>

<file path=xl/sharedStrings.xml><?xml version="1.0" encoding="utf-8"?>
<sst xmlns="http://schemas.openxmlformats.org/spreadsheetml/2006/main" count="1231" uniqueCount="586">
  <si>
    <t>Steam</t>
  </si>
  <si>
    <t>Hot water</t>
  </si>
  <si>
    <t>Chilled water</t>
  </si>
  <si>
    <t>Kerosene</t>
  </si>
  <si>
    <t>Wood</t>
  </si>
  <si>
    <t>HFCs</t>
  </si>
  <si>
    <t>Horses</t>
  </si>
  <si>
    <t>Poultry</t>
  </si>
  <si>
    <t>Swine</t>
  </si>
  <si>
    <t>Sheep</t>
  </si>
  <si>
    <t>Goats</t>
  </si>
  <si>
    <t>Livestock</t>
  </si>
  <si>
    <t>Dairy cattle</t>
  </si>
  <si>
    <t>Beef cattle</t>
  </si>
  <si>
    <t>Crop Production</t>
  </si>
  <si>
    <t>Corn</t>
  </si>
  <si>
    <t>Cotton</t>
  </si>
  <si>
    <t>Wheat</t>
  </si>
  <si>
    <t>Soybeans</t>
  </si>
  <si>
    <t>Potatoes</t>
  </si>
  <si>
    <t>Rice</t>
  </si>
  <si>
    <t>Soil Management</t>
  </si>
  <si>
    <t>Conventional tillage</t>
  </si>
  <si>
    <t>Voluntary Reporting of Greenhouse Gases Program</t>
  </si>
  <si>
    <t>Energy Information Administration</t>
  </si>
  <si>
    <t>U.S. Department of Energy</t>
  </si>
  <si>
    <t>LPG</t>
  </si>
  <si>
    <t>MSW</t>
  </si>
  <si>
    <t>Other (Insert Here)</t>
  </si>
  <si>
    <t>Propane</t>
  </si>
  <si>
    <t>Tires</t>
  </si>
  <si>
    <t>Emission factors</t>
  </si>
  <si>
    <t>Barrels</t>
  </si>
  <si>
    <t>MMBtu</t>
  </si>
  <si>
    <t>Mscf</t>
  </si>
  <si>
    <t>Therms</t>
  </si>
  <si>
    <t>Adipic Acid Production</t>
  </si>
  <si>
    <t>Aluminum Production</t>
  </si>
  <si>
    <t>Hydrogen Production</t>
  </si>
  <si>
    <t>Iron and Steel Production</t>
  </si>
  <si>
    <t>Nitric Acid Production</t>
  </si>
  <si>
    <t>Lime Production</t>
  </si>
  <si>
    <t>Methanol Production</t>
  </si>
  <si>
    <t>Magnesium Production</t>
  </si>
  <si>
    <t>Passenger Cars</t>
  </si>
  <si>
    <t>HFC-23 (trifluoromethane)</t>
  </si>
  <si>
    <t>HFC-125 (pentafluoroethane)</t>
  </si>
  <si>
    <t>HFC-134a (1,1,1,2-tetrafluoroethane)</t>
  </si>
  <si>
    <t>HFC-152a (1,1-difluoroethane)</t>
  </si>
  <si>
    <t>HFC-227ea (heptafluoropropane)</t>
  </si>
  <si>
    <t>HFC-143a (1,1,1-trifluoroethane)</t>
  </si>
  <si>
    <t>HFC-134 (1,1,2,2-tetrafluoroethane)</t>
  </si>
  <si>
    <t>HFC-143 (1,1,2-trifluorethane)</t>
  </si>
  <si>
    <t>HFC-152 (1,2-difluorethane)</t>
  </si>
  <si>
    <t>HFC-161 (ethyl fluoride)</t>
  </si>
  <si>
    <t>HFC-236cb (1,1,1,2,2,3-hexafluoropropane)</t>
  </si>
  <si>
    <t>HFC-236ea (1,1,1,2,3,3-hexafluoropropane)</t>
  </si>
  <si>
    <t>HFC-245fa (1,1,1,3,3-pentafluoropropane)</t>
  </si>
  <si>
    <t>HFC-365mfc (pentafluorobutane)</t>
  </si>
  <si>
    <t>HFC-45-10mee (decafluoropentane)</t>
  </si>
  <si>
    <t>Perfluoromethane</t>
  </si>
  <si>
    <t>Perfluoroethane</t>
  </si>
  <si>
    <t>Perfluorocyclobutane</t>
  </si>
  <si>
    <t>Perfluoropentane</t>
  </si>
  <si>
    <t>SF6 (Sulfur hexafluoride)</t>
  </si>
  <si>
    <t>Cement Production</t>
  </si>
  <si>
    <t>High Calcium Lime</t>
  </si>
  <si>
    <t>Dolomitic Lime</t>
  </si>
  <si>
    <t>Hydraulic Lime</t>
  </si>
  <si>
    <t>MT CO2e per MT product</t>
  </si>
  <si>
    <t>Soda Ash Production</t>
  </si>
  <si>
    <t>Soda Ash Use</t>
  </si>
  <si>
    <t>Limestone Use</t>
  </si>
  <si>
    <t>Limestone</t>
  </si>
  <si>
    <t>Dolomite</t>
  </si>
  <si>
    <t>MT CO2e per MT product consumed</t>
  </si>
  <si>
    <t>Degasification Emissions</t>
  </si>
  <si>
    <t>MT product</t>
  </si>
  <si>
    <t>MT CO2e per MT SF6</t>
  </si>
  <si>
    <t>kg SF6 purchased</t>
  </si>
  <si>
    <t>Emission Factors</t>
  </si>
  <si>
    <t>CF4 Use</t>
  </si>
  <si>
    <t>C2F6 Use</t>
  </si>
  <si>
    <t>HFC-23 (CHF3) Use</t>
  </si>
  <si>
    <t>C3F8 Use</t>
  </si>
  <si>
    <t>c-C4F8 Use</t>
  </si>
  <si>
    <t>SF6 Use</t>
  </si>
  <si>
    <t>Underground Mines without Detectable Emissions</t>
  </si>
  <si>
    <t>MT CO2e per MT CH4</t>
  </si>
  <si>
    <t>MT CH4 emitted</t>
  </si>
  <si>
    <t>MT CO2e emitted per MT CH4 ventilated from degasification</t>
  </si>
  <si>
    <t>Drilling</t>
  </si>
  <si>
    <t>Testing</t>
  </si>
  <si>
    <t>Servicing</t>
  </si>
  <si>
    <t>Fugitives</t>
  </si>
  <si>
    <t>Flaring</t>
  </si>
  <si>
    <t>Sweet Gas Plants</t>
  </si>
  <si>
    <t>Sour Gas Plants</t>
  </si>
  <si>
    <t>Deep-Cut Extraction Plants</t>
  </si>
  <si>
    <t>Transmission</t>
  </si>
  <si>
    <t>Venting</t>
  </si>
  <si>
    <t>Storage</t>
  </si>
  <si>
    <t>Liquefied Petroleum Gas</t>
  </si>
  <si>
    <t>Conventional Oil</t>
  </si>
  <si>
    <t>Heavy Oil</t>
  </si>
  <si>
    <t>Crude Bitumen</t>
  </si>
  <si>
    <t>Synthetic Crude (from Oilsands)</t>
  </si>
  <si>
    <t>Pipelines</t>
  </si>
  <si>
    <t>Tanker Trucks and Rail Cars</t>
  </si>
  <si>
    <t>MT CO2e per no. of wells drilled</t>
  </si>
  <si>
    <t>MT CO2e per no. producing and capable wells</t>
  </si>
  <si>
    <t>MT CO2e per million m3 gas production</t>
  </si>
  <si>
    <t>MT CO2e per million m3 gas receipts</t>
  </si>
  <si>
    <t>MT CO2e per km of transmission pipeline</t>
  </si>
  <si>
    <t>MT CO2e per million m3 gas withdrawals</t>
  </si>
  <si>
    <t>MT CO2e per km of distribution mains</t>
  </si>
  <si>
    <t>MT CO2e per thousand m3 condensate and pentanes plus</t>
  </si>
  <si>
    <t>MT CO2e per thousand m3 lpg</t>
  </si>
  <si>
    <t>MT CO2e per thousand m3 oil transported by pipeline</t>
  </si>
  <si>
    <t>MT CO2e per thousand m3 oil transported by tanker truck</t>
  </si>
  <si>
    <t>Ammonia Production</t>
  </si>
  <si>
    <t>Surface Mine</t>
  </si>
  <si>
    <t>Northern Appalachia</t>
  </si>
  <si>
    <t>Central Appalachia (WV)</t>
  </si>
  <si>
    <t>Central Appalachia (VA)</t>
  </si>
  <si>
    <t>Central Appalachia (E KY)</t>
  </si>
  <si>
    <t>Warrior</t>
  </si>
  <si>
    <t>Illinois</t>
  </si>
  <si>
    <t>Rockies (Piceance Basin)</t>
  </si>
  <si>
    <t>Rockies (Unita Basin)</t>
  </si>
  <si>
    <t>Rockies (San Juan Basin)</t>
  </si>
  <si>
    <t>Rockies (Raton Basin)</t>
  </si>
  <si>
    <t>N. Great Plains</t>
  </si>
  <si>
    <t>Northwest (AK)</t>
  </si>
  <si>
    <t>Northwest (WA)</t>
  </si>
  <si>
    <t>Rockies (Green River Basin)</t>
  </si>
  <si>
    <t>West Interior (Forest City, Cherokee Basins)</t>
  </si>
  <si>
    <t>West Interior (Arkoma Basin)</t>
  </si>
  <si>
    <t>West Interior (Gulf Coast Basin)</t>
  </si>
  <si>
    <t>Post-Mining - Surface</t>
  </si>
  <si>
    <t>Surface in situ</t>
  </si>
  <si>
    <t>Underground in situ</t>
  </si>
  <si>
    <t>Post Mining - Underground</t>
  </si>
  <si>
    <t>MT coal produced</t>
  </si>
  <si>
    <t>MT CH4 ventilated from degasification</t>
  </si>
  <si>
    <t>Select Region</t>
  </si>
  <si>
    <t>MT CO2e per MT coal produced</t>
  </si>
  <si>
    <t>Domestic Wastewater</t>
  </si>
  <si>
    <t>MT CO2e per person in population area</t>
  </si>
  <si>
    <t>Industrial Wastewater</t>
  </si>
  <si>
    <t>Pulp and Paper</t>
  </si>
  <si>
    <t>Meat and Poultry</t>
  </si>
  <si>
    <t>Fruits and Juices</t>
  </si>
  <si>
    <t>Vegetable Oil</t>
  </si>
  <si>
    <t>Other</t>
  </si>
  <si>
    <t>Landfill Methane</t>
  </si>
  <si>
    <t>CO2 and PFC Emissions</t>
  </si>
  <si>
    <t>SF6 Emissions</t>
  </si>
  <si>
    <t>Wells</t>
  </si>
  <si>
    <t>Gas Production</t>
  </si>
  <si>
    <t>Gas Processing</t>
  </si>
  <si>
    <t>Gas Transmission and Storage</t>
  </si>
  <si>
    <t>Gas Distribution</t>
  </si>
  <si>
    <t>Oil Production</t>
  </si>
  <si>
    <t>No. of wells drilled</t>
  </si>
  <si>
    <t>No. producing and capable wells</t>
  </si>
  <si>
    <t>km of transmission pipeline</t>
  </si>
  <si>
    <t>km of distribution mains</t>
  </si>
  <si>
    <t>Thousand cubic meters</t>
  </si>
  <si>
    <t>Million cubic meters gas produced</t>
  </si>
  <si>
    <t>Million cubic meters gas receipts</t>
  </si>
  <si>
    <t>Million cubic meters gas withdrawals</t>
  </si>
  <si>
    <t>No. of people generating waste (population)</t>
  </si>
  <si>
    <t>MT HCFC-22 produced</t>
  </si>
  <si>
    <t>MT CO2e per MT HCFC-22 produced</t>
  </si>
  <si>
    <t>PFCs</t>
  </si>
  <si>
    <t>Direct Measurement - Mines with Detectable Emissions</t>
  </si>
  <si>
    <t>Instructions</t>
  </si>
  <si>
    <t>No. of head</t>
  </si>
  <si>
    <t>Cultivated organic soils (1)</t>
  </si>
  <si>
    <t>Conservation tillage (2)</t>
  </si>
  <si>
    <t>No. of tons</t>
  </si>
  <si>
    <t>MWh</t>
  </si>
  <si>
    <t>MT CO2e per MWh</t>
  </si>
  <si>
    <t>Electricity (Total Purchases)</t>
  </si>
  <si>
    <t>(Select Unit)</t>
  </si>
  <si>
    <t>Petroleum Fuels</t>
  </si>
  <si>
    <t>Coal</t>
  </si>
  <si>
    <t>Petr.</t>
  </si>
  <si>
    <t>Gas</t>
  </si>
  <si>
    <t>Emissions (MT CO2e)</t>
  </si>
  <si>
    <t>Selected values - Stationary Combustion</t>
  </si>
  <si>
    <t>Sour Gas Plants - Raw CO2 Venting</t>
  </si>
  <si>
    <t>annual MT CO2e per cubic feet CH4 ventilated per minute (average)</t>
  </si>
  <si>
    <t>Region selected</t>
  </si>
  <si>
    <t>Source 1</t>
  </si>
  <si>
    <t>(Select Region)</t>
  </si>
  <si>
    <t>cubic feet CH4 ventilated per minute</t>
  </si>
  <si>
    <t>Surface in Situ (2)</t>
  </si>
  <si>
    <t>Underground in situ (3)</t>
  </si>
  <si>
    <t>Surface Mine (4)</t>
  </si>
  <si>
    <t>Post-Mining - Surface (5)</t>
  </si>
  <si>
    <t>Post Mining - Underground (6)</t>
  </si>
  <si>
    <t>MT CO2e per head</t>
  </si>
  <si>
    <t>Condensate and Pentanes Plus</t>
  </si>
  <si>
    <t>MT CO2e per thousand cubic meters produced</t>
  </si>
  <si>
    <t>Enter Activity Data</t>
  </si>
  <si>
    <t>INDIRECT EMISSIONS: Purchased Heat, Steam, and Chilled Water</t>
  </si>
  <si>
    <t>INDIRECT EMISSIONS: Purchased Electricity</t>
  </si>
  <si>
    <t>Other Processes</t>
  </si>
  <si>
    <t>DIRECT EMISSIONS: Stationary Fuel Combustion:</t>
  </si>
  <si>
    <t>Other Fuels</t>
  </si>
  <si>
    <t>Natural Gas</t>
  </si>
  <si>
    <t>Petroleum Products</t>
  </si>
  <si>
    <t>Total Metric Tons CO2 Equivalent</t>
  </si>
  <si>
    <t>Calculation Workbook</t>
  </si>
  <si>
    <t>Ranges for Fuel Combustion</t>
  </si>
  <si>
    <t>PROCESS EMISSIONS: Waste and Wastewater</t>
  </si>
  <si>
    <t>PROCESS EMISSIONS: Oil and Gas Industries</t>
  </si>
  <si>
    <t>PROCESS EMISSIONS: Coal Mine Methane - Surface Mines and Post-Mining Operations</t>
  </si>
  <si>
    <t>PROCESS EMISSIONS: Industrial Processes</t>
  </si>
  <si>
    <t>PROCESS EMISSIONS: HCFC-22 Production</t>
  </si>
  <si>
    <t>AGRICULTURAL EMISSIONS</t>
  </si>
  <si>
    <t>Combined Selection</t>
  </si>
  <si>
    <t>TBD</t>
  </si>
  <si>
    <t>Indirect Purchased Heat</t>
  </si>
  <si>
    <t>Indirect Purchased Electricity</t>
  </si>
  <si>
    <t>Stationary Fuel Combustion</t>
  </si>
  <si>
    <t>Industrial Processes</t>
  </si>
  <si>
    <t>Process Emissions (Oil and Gas)</t>
  </si>
  <si>
    <t>Process Emissions (High GWP Gases)</t>
  </si>
  <si>
    <t>Agriculture</t>
  </si>
  <si>
    <t>Ranges for Purchased Heat</t>
  </si>
  <si>
    <t>• Single Activity Farms:</t>
  </si>
  <si>
    <t>Dairy operations (&lt; 2,500 head)</t>
  </si>
  <si>
    <t>Beef operations (&lt; 5,000 head)</t>
  </si>
  <si>
    <t>Rice production (&lt; 3,300 acres)</t>
  </si>
  <si>
    <r>
      <t>Crop Production</t>
    </r>
    <r>
      <rPr>
        <sz val="10"/>
        <color indexed="10"/>
        <rFont val="Arial"/>
        <family val="2"/>
      </rPr>
      <t xml:space="preserve"> [TBD]</t>
    </r>
  </si>
  <si>
    <r>
      <t>Forest activities</t>
    </r>
    <r>
      <rPr>
        <sz val="10"/>
        <color indexed="10"/>
        <rFont val="Arial"/>
        <family val="2"/>
      </rPr>
      <t xml:space="preserve"> [TBD]</t>
    </r>
  </si>
  <si>
    <t>Process Emissions (Waste &amp; Wastewater)</t>
  </si>
  <si>
    <t>Click to jump to a specific section in this workbook:</t>
  </si>
  <si>
    <t>Data Inputs, Subtotals, and Totals</t>
  </si>
  <si>
    <t>Seeking more detailed method</t>
  </si>
  <si>
    <t>U.S. Gallons</t>
  </si>
  <si>
    <t>Selected value</t>
  </si>
  <si>
    <t xml:space="preserve">• Commercial Office Space - less than 100,000 square feet of total space, with no manufacturing, energy distribution, or materials </t>
  </si>
  <si>
    <t xml:space="preserve">   processing and less than 1,000 acres of land</t>
  </si>
  <si>
    <t>Liters</t>
  </si>
  <si>
    <t>Cubic Meters</t>
  </si>
  <si>
    <t>MT CO2e per Unit</t>
  </si>
  <si>
    <t>Deforestation</t>
  </si>
  <si>
    <t>Acres</t>
  </si>
  <si>
    <t>Crops</t>
  </si>
  <si>
    <t>Soil</t>
  </si>
  <si>
    <t>Selected values - Agriculture</t>
  </si>
  <si>
    <t>Hectares</t>
  </si>
  <si>
    <t>EF- Acres</t>
  </si>
  <si>
    <t>EF - Hectares</t>
  </si>
  <si>
    <t>MT CO2e per unit</t>
  </si>
  <si>
    <t>Semiconductor Manufacture</t>
  </si>
  <si>
    <t>PROCESS EMISSIONS: Other Industrial Use of Hydrofluorocardbons, Perfluorocarbons, and Sulfur Hexafluoride</t>
  </si>
  <si>
    <t>Forest Type</t>
  </si>
  <si>
    <t>Minimum Age of Forest at Time of Harvest (yrs)</t>
  </si>
  <si>
    <t>Southeast</t>
  </si>
  <si>
    <t>South Central</t>
  </si>
  <si>
    <t>Northeast</t>
  </si>
  <si>
    <t>Northern Lake States</t>
  </si>
  <si>
    <t>Northern Prairie States</t>
  </si>
  <si>
    <t>Pacific Southwest</t>
  </si>
  <si>
    <t>Rocky Mountain, North</t>
  </si>
  <si>
    <t>Rocky Mountain, South</t>
  </si>
  <si>
    <t>Pacific Nortwest, Eastside</t>
  </si>
  <si>
    <t>Pacific Northwest, Westside</t>
  </si>
  <si>
    <t>Planted Pine, medium site, higher management</t>
  </si>
  <si>
    <t>Upland Hardwoods</t>
  </si>
  <si>
    <t>Lowland Hardwoods</t>
  </si>
  <si>
    <t>Maple, Beech, Birch</t>
  </si>
  <si>
    <t>Oak and Hickory</t>
  </si>
  <si>
    <t>Aspen and Birch</t>
  </si>
  <si>
    <t>Red Pine</t>
  </si>
  <si>
    <t>Lowland Hardwood</t>
  </si>
  <si>
    <t>Mixed Conifer</t>
  </si>
  <si>
    <t>North, Douglas Fir</t>
  </si>
  <si>
    <t>North, Ponderosa Pine</t>
  </si>
  <si>
    <t>South, Fir and Spruce</t>
  </si>
  <si>
    <t>South, Ponderosa Pine</t>
  </si>
  <si>
    <t>Eastside, Ponderosa Pine</t>
  </si>
  <si>
    <t>Westside, Douglas-fir, Medium sites, higher management</t>
  </si>
  <si>
    <t>Westside, Red Alder, Medium sites</t>
  </si>
  <si>
    <t>Westside,Western Hemlock, Medium sites</t>
  </si>
  <si>
    <t>Maximum Area Harvested</t>
  </si>
  <si>
    <t>Region</t>
  </si>
  <si>
    <t>acres</t>
  </si>
  <si>
    <t>ha.</t>
  </si>
  <si>
    <t>DEFORESTATION EMISSIONS: Benchmarks for Small Emitters</t>
  </si>
  <si>
    <t>MT product consumed (and not recovered)</t>
  </si>
  <si>
    <t>MT municipal solid waste (MSW) in landfill</t>
  </si>
  <si>
    <t>MT CO2e per total MT MSW in landfill</t>
  </si>
  <si>
    <t>If your entity harvests forest land and converts it to a non-forest use, your entity qualifies as a Small Emitter only if it meets the following requirements:</t>
  </si>
  <si>
    <t>Ethane</t>
  </si>
  <si>
    <t>Isobutane</t>
  </si>
  <si>
    <t>n-Butane</t>
  </si>
  <si>
    <t>Units</t>
  </si>
  <si>
    <t>Unit of Measure</t>
  </si>
  <si>
    <t>Sector</t>
  </si>
  <si>
    <t>Units:</t>
  </si>
  <si>
    <t>BASE EMISSION COEFFICIENTS</t>
  </si>
  <si>
    <t>Residential</t>
  </si>
  <si>
    <t>Commercial</t>
  </si>
  <si>
    <t>Industrial</t>
  </si>
  <si>
    <t>Utilities</t>
  </si>
  <si>
    <t>kg CO2e/MMBtu</t>
  </si>
  <si>
    <t>Anthracite</t>
  </si>
  <si>
    <t>Bituminous</t>
  </si>
  <si>
    <t>Sub-Bituminous</t>
  </si>
  <si>
    <t>Lignite</t>
  </si>
  <si>
    <t xml:space="preserve">CONVERSION FACTORS </t>
  </si>
  <si>
    <t>MMBtu per unit</t>
  </si>
  <si>
    <t>per bbl</t>
  </si>
  <si>
    <t>per gal</t>
  </si>
  <si>
    <t>per liter</t>
  </si>
  <si>
    <t>per st</t>
  </si>
  <si>
    <t>per MT</t>
  </si>
  <si>
    <t>per Mcf</t>
  </si>
  <si>
    <t>per cubic m</t>
  </si>
  <si>
    <t>per Therm</t>
  </si>
  <si>
    <t>-</t>
  </si>
  <si>
    <t>Sectors</t>
  </si>
  <si>
    <t>(Select Sector)</t>
  </si>
  <si>
    <t>MMBtu selected</t>
  </si>
  <si>
    <t>Metric Tons</t>
  </si>
  <si>
    <t>kg CO2 per Unit</t>
  </si>
  <si>
    <t>CO2e Emission Factors</t>
  </si>
  <si>
    <t>kg/km</t>
  </si>
  <si>
    <t>kg/mile</t>
  </si>
  <si>
    <t>kg/gal</t>
  </si>
  <si>
    <t>kg/l</t>
  </si>
  <si>
    <t>kg/bbl</t>
  </si>
  <si>
    <t>kg/MMBtu</t>
  </si>
  <si>
    <t>Gasoline Vehicles</t>
  </si>
  <si>
    <t>Select Unit of Measure</t>
  </si>
  <si>
    <t>U.S. Gasoline Passenger Cars</t>
  </si>
  <si>
    <t>kg CO2e per Unit</t>
  </si>
  <si>
    <t>selection</t>
  </si>
  <si>
    <t>Light-Duty Trucks</t>
  </si>
  <si>
    <t>U.S. Light-Duty Gasoline Trucks</t>
  </si>
  <si>
    <t>Distance Traveled</t>
  </si>
  <si>
    <t>Heavy-Duty Vehicles</t>
  </si>
  <si>
    <t>U.S. Heavy-Duty Gasoline Vehicles</t>
  </si>
  <si>
    <t>Diesel Vehicles</t>
  </si>
  <si>
    <t>U.S. Diesel Passenger Cars</t>
  </si>
  <si>
    <t>U.S. Light-Duty Diesel Trucks</t>
  </si>
  <si>
    <t>U.S. Heavy-Duty Diesel Vehicles</t>
  </si>
  <si>
    <t>U.S. Motorcycles</t>
  </si>
  <si>
    <t>Methanol Vehicles</t>
  </si>
  <si>
    <t>Light Duty</t>
  </si>
  <si>
    <t>Heavy Duty</t>
  </si>
  <si>
    <t>Buses</t>
  </si>
  <si>
    <t>Ethanol Vehicles</t>
  </si>
  <si>
    <t>CNG Vehicles</t>
  </si>
  <si>
    <t>NGV/LPG</t>
  </si>
  <si>
    <t>LNG Vehicles</t>
  </si>
  <si>
    <t>LPG Vehicles</t>
  </si>
  <si>
    <t>Non-Highway Vehicles</t>
  </si>
  <si>
    <t>U.S. Ocean-Going Ships</t>
  </si>
  <si>
    <t>U.S. Boats</t>
  </si>
  <si>
    <t>U.S. Locomotives</t>
  </si>
  <si>
    <t>U.S. Farm Equipment</t>
  </si>
  <si>
    <t>U.S. Construction and Industrial Equipment</t>
  </si>
  <si>
    <t>U.S. Jet and Turboprop Aircraft</t>
  </si>
  <si>
    <t>U.S. Gasoline Aircraft</t>
  </si>
  <si>
    <t>Mobile Fuel Combustion</t>
  </si>
  <si>
    <t>Short tons</t>
  </si>
  <si>
    <t>For all crops except rice, crop production emission factors include N2O from commercial fertilizer use and, for soybeans, N2O from N-fixation. For rice, emission factors include CH4 from rice paddies.</t>
  </si>
  <si>
    <t>Livestock emission factors include CH4 and N2O from waste and CH4 from enteric fermentation</t>
  </si>
  <si>
    <t>Soil Management: Emission factors for cultivated organic soils include CO2 and N2O emissions. Application of limestone and dolomite emission factors include CO2 emissions from limestone and dolomite.</t>
  </si>
  <si>
    <t>Cultivated organic soils</t>
  </si>
  <si>
    <t>Application of limestone and dolomite</t>
  </si>
  <si>
    <t>Conservation tillage (1)</t>
  </si>
  <si>
    <t>(1) CO2 sequestration from implementing conservation tillage. Will remove if this tool doesn't include offsets from sequestration</t>
  </si>
  <si>
    <t>MT CO2e per ton applied</t>
  </si>
  <si>
    <t>MT consumed</t>
  </si>
  <si>
    <t>Select Coal Category</t>
  </si>
  <si>
    <t>Category selected</t>
  </si>
  <si>
    <t>(Select Category)</t>
  </si>
  <si>
    <t>Purchased Heat, Steam, Chilled Water</t>
  </si>
  <si>
    <t>Fuel Combustion</t>
  </si>
  <si>
    <t>• Residential - Households with fewer than 10 persons, 5 light-duty vehicles, less than 20,000 sq.ft. or 100 acres.</t>
  </si>
  <si>
    <t>Simplified Emissions Inventory Tool (SEIT)</t>
  </si>
  <si>
    <t>PROCESS EMISSIONS: Coal Mine Methane - Underground Mines</t>
  </si>
  <si>
    <t>Oil Transportation</t>
  </si>
  <si>
    <t>HFC-23 emissions from HCFC-22 Production</t>
  </si>
  <si>
    <t xml:space="preserve">1. the area harvested must be less than the maximum area in the table below; and </t>
  </si>
  <si>
    <t>2. the area must be no younger than the minimum age at the time of harvest listed in the table below.</t>
  </si>
  <si>
    <t>Emission Source Category</t>
  </si>
  <si>
    <t>Emission Factor Origin / Explanation</t>
  </si>
  <si>
    <t>Indirect Emissions: Purchased Electricity</t>
  </si>
  <si>
    <t>Indirect Emissions: Purchased Heat, Steam, and Chilled Water</t>
  </si>
  <si>
    <t>EIA / Emission Factor of .606 MT CO2/MWh is the national average electricity emission factor for CO2</t>
  </si>
  <si>
    <t>Stationary Combustion</t>
  </si>
  <si>
    <t>Agricultural  Emissions</t>
  </si>
  <si>
    <t>Model Years 1984-1993</t>
  </si>
  <si>
    <t>Model Year 1994</t>
  </si>
  <si>
    <t>Model Year 1995</t>
  </si>
  <si>
    <t>Model Year 1996</t>
  </si>
  <si>
    <t>Model Year 1997</t>
  </si>
  <si>
    <t>Model Year 1998</t>
  </si>
  <si>
    <t>Model Year 1999</t>
  </si>
  <si>
    <t>Model Year 2000</t>
  </si>
  <si>
    <t>Model Year 2001and Forward</t>
  </si>
  <si>
    <t>CO2 Emission Factors</t>
  </si>
  <si>
    <t>Grams CH4/Mile</t>
  </si>
  <si>
    <t>Kg CH4/Mile</t>
  </si>
  <si>
    <t>Kg N2O/Mile</t>
  </si>
  <si>
    <t>Grams N2O/Mile</t>
  </si>
  <si>
    <t>Kg CO2e(CH4)/mile</t>
  </si>
  <si>
    <t>Kg CO2e(N20)/mile</t>
  </si>
  <si>
    <t>Emission Factor for CH4 and N2O</t>
  </si>
  <si>
    <t>hybrid auto        56 mpg</t>
  </si>
  <si>
    <t>small gas auto 29 mpg</t>
  </si>
  <si>
    <t>med gas auto   23 mpg</t>
  </si>
  <si>
    <t>large gas auto 19 mpg</t>
  </si>
  <si>
    <t>LPG automobile</t>
  </si>
  <si>
    <t>diesel auto           24 mpg</t>
  </si>
  <si>
    <t>gas light truck    14 mpg</t>
  </si>
  <si>
    <t>gas heavy truck   6 mpg</t>
  </si>
  <si>
    <t>diesel light truck 15 mpg</t>
  </si>
  <si>
    <t>diesel heavy truck 7 mpg</t>
  </si>
  <si>
    <t>light motorcycle  60 mpg</t>
  </si>
  <si>
    <t>CO2E Emission Factors</t>
  </si>
  <si>
    <t>These factors are from the EPA.  They are a weighted average based on emission controll technology available in that model year.</t>
  </si>
  <si>
    <t>Gasoline Coefficient taken from Technical Guidelines.</t>
  </si>
  <si>
    <t>Model Years 1987-1993</t>
  </si>
  <si>
    <t>Model Year 2001</t>
  </si>
  <si>
    <t>Model Years 1985-1986</t>
  </si>
  <si>
    <t>Model Year 1987</t>
  </si>
  <si>
    <t>Model Year 1988-1989</t>
  </si>
  <si>
    <t>Model Year 1990-1995</t>
  </si>
  <si>
    <t>Model Years 1966-1982</t>
  </si>
  <si>
    <t>Model Years 1983-1995</t>
  </si>
  <si>
    <t>Model  Years 1996-2001</t>
  </si>
  <si>
    <t>Model Years 1966-1995</t>
  </si>
  <si>
    <t>Model Years 1996-2001</t>
  </si>
  <si>
    <t>Model Years 1966-2001</t>
  </si>
  <si>
    <t>Gasoline Passenger Cars</t>
  </si>
  <si>
    <t>Total kg CO2E/mile from N2O and CH4</t>
  </si>
  <si>
    <t>Average</t>
  </si>
  <si>
    <t>Miles Per US Gallon</t>
  </si>
  <si>
    <t>Light Trucks</t>
  </si>
  <si>
    <t>Vehicle Type</t>
  </si>
  <si>
    <t>mpg</t>
  </si>
  <si>
    <t>Average vehicles on road, by calendar year</t>
  </si>
  <si>
    <t>US 1997, passenger auto</t>
  </si>
  <si>
    <t>US 1997, other 2 axle vehicle</t>
  </si>
  <si>
    <t>EU 1997, pasenger auto</t>
  </si>
  <si>
    <t>US 1990, passenger auto</t>
  </si>
  <si>
    <t>US 1990, other 2 axle vehicle</t>
  </si>
  <si>
    <t>EU 1990, pasenger auto</t>
  </si>
  <si>
    <t>Mini Van, hwy</t>
  </si>
  <si>
    <t xml:space="preserve">  Mini Van, city</t>
  </si>
  <si>
    <t>Large Van, hwy</t>
  </si>
  <si>
    <t xml:space="preserve">  Large Van, city</t>
  </si>
  <si>
    <t>Mid size. Pick-up Trucks, hwy</t>
  </si>
  <si>
    <t xml:space="preserve">  Pick-up Trucks, city</t>
  </si>
  <si>
    <t>Large Pick-up Trucks, hwy</t>
  </si>
  <si>
    <t xml:space="preserve">  Large Pick-up Trucks, city</t>
  </si>
  <si>
    <t>Typical vehicles (recent vintage)</t>
  </si>
  <si>
    <t>Typical vehicles (recent vintage) Light Trucks</t>
  </si>
  <si>
    <t>gas light truck</t>
  </si>
  <si>
    <t>MPG hwy or City</t>
  </si>
  <si>
    <t>Total MPG</t>
  </si>
  <si>
    <t>MPG</t>
  </si>
  <si>
    <t>Heavy Trucks</t>
  </si>
  <si>
    <t>CH4 and N2O Emission  Factors</t>
  </si>
  <si>
    <t>Kg CO2E (CH4)/mile</t>
  </si>
  <si>
    <t>Kg CO2E (N20)/mile</t>
  </si>
  <si>
    <t>Kg / Mile</t>
  </si>
  <si>
    <t>Kg / Km</t>
  </si>
  <si>
    <t>CO2 Equivalent Emission Factor for CH4 and N2O Combined</t>
  </si>
  <si>
    <t>Total CO2 E Emission Factors</t>
  </si>
  <si>
    <r>
      <t>Other livestock operations</t>
    </r>
    <r>
      <rPr>
        <sz val="10"/>
        <color indexed="10"/>
        <rFont val="Arial"/>
        <family val="2"/>
      </rPr>
      <t xml:space="preserve"> [TBD]</t>
    </r>
  </si>
  <si>
    <t>Model Years 2001-Current Year</t>
  </si>
  <si>
    <t>Model Year 2001 - Current Year</t>
  </si>
  <si>
    <t>Model  Years 1996 - Current Year</t>
  </si>
  <si>
    <t>Model Years 1966 - Current Year</t>
  </si>
  <si>
    <t>Model Years 1996 - Current Year</t>
  </si>
  <si>
    <t>Sector (Electric Power)</t>
  </si>
  <si>
    <t>Sector (Industrial Coking)</t>
  </si>
  <si>
    <t>Sector (Other Industrial)</t>
  </si>
  <si>
    <t>Sector (Residential/Commercial)</t>
  </si>
  <si>
    <t>Distillate Fuel (No.1, No. 2, No. 4 Fuel Oil), home heating Oil &amp; Diesel Fuel</t>
  </si>
  <si>
    <t>Heavy Fuel Oil (No. 5 and No. 6 Fuel Oil), bunker fuel</t>
  </si>
  <si>
    <t>Jet Fuel (Jet A, JP-8)</t>
  </si>
  <si>
    <t>975-1000</t>
  </si>
  <si>
    <t>1025-1050</t>
  </si>
  <si>
    <t>1050-1075</t>
  </si>
  <si>
    <t>1075-1100</t>
  </si>
  <si>
    <t>1000-1025</t>
  </si>
  <si>
    <t xml:space="preserve"> HHV (Btu/scf)</t>
  </si>
  <si>
    <t>CO2E per Unit</t>
  </si>
  <si>
    <t>Transportation Fuel</t>
  </si>
  <si>
    <t>Aviation Gasoline</t>
  </si>
  <si>
    <t>Biodiesel/Biodiesel Blends</t>
  </si>
  <si>
    <t xml:space="preserve"> - B100</t>
  </si>
  <si>
    <t xml:space="preserve"> - B20</t>
  </si>
  <si>
    <t xml:space="preserve"> - B5</t>
  </si>
  <si>
    <t xml:space="preserve"> - B2</t>
  </si>
  <si>
    <t>Diesel Fuel (No.1 and No. 2)</t>
  </si>
  <si>
    <t>Ethanol/Ethanol Blends</t>
  </si>
  <si>
    <t xml:space="preserve"> - E100</t>
  </si>
  <si>
    <t xml:space="preserve"> - E85</t>
  </si>
  <si>
    <t xml:space="preserve"> - E10 (Gasohol)</t>
  </si>
  <si>
    <t>Motor Gasoline</t>
  </si>
  <si>
    <t>Jet Fuel, Kerosene</t>
  </si>
  <si>
    <t>Residual Fuel (No. 5 and No. 6 Fuel Oil)</t>
  </si>
  <si>
    <t>Select Units</t>
  </si>
  <si>
    <t>kg/Mcf</t>
  </si>
  <si>
    <t>Lbs/gal</t>
  </si>
  <si>
    <t>Kg/gal</t>
  </si>
  <si>
    <t>Units for Fuel</t>
  </si>
  <si>
    <t>Consumption</t>
  </si>
  <si>
    <t>N/A</t>
  </si>
  <si>
    <t>Carbon Black Production</t>
  </si>
  <si>
    <t>Ethylene Production</t>
  </si>
  <si>
    <t>Ethylene Dichloride Production</t>
  </si>
  <si>
    <t>Styrene Production</t>
  </si>
  <si>
    <t>Kg CO2e per MT product</t>
  </si>
  <si>
    <t>Kg CO2e per Kg SF6</t>
  </si>
  <si>
    <t>Version 1.0 (July 2006) - DRAFT</t>
  </si>
  <si>
    <t>CO2 equiv</t>
  </si>
  <si>
    <t>Wood Residue (industrial)</t>
  </si>
  <si>
    <t>Conventional Wood Stove (non-catalytic)</t>
  </si>
  <si>
    <t>Wood Stove (non-catalytic)</t>
  </si>
  <si>
    <t>Wood Stove (catalytic)</t>
  </si>
  <si>
    <t>Residential Fireplace</t>
  </si>
  <si>
    <t>Charcoal Manufacture</t>
  </si>
  <si>
    <t>Kg Methane</t>
  </si>
  <si>
    <t>CO2E factor</t>
  </si>
  <si>
    <t>Kg/Short Ton</t>
  </si>
  <si>
    <t>Kg/Unit</t>
  </si>
  <si>
    <t>Unit</t>
  </si>
  <si>
    <t>Metric Tons N20 only</t>
  </si>
  <si>
    <t>Natural Gas Liquids Transport</t>
  </si>
  <si>
    <t xml:space="preserve"> - B10</t>
  </si>
  <si>
    <t>Gasoline</t>
  </si>
  <si>
    <t>Diesel Selection</t>
  </si>
  <si>
    <t>Methanol Vehicles (M85)</t>
  </si>
  <si>
    <t>Ethanol Vehicles (E85)</t>
  </si>
  <si>
    <t>DIRECT EMISSIONS: Mobile Fuel Combustion - Use either the Distance Traveled method or the Fuel Consumption method.</t>
  </si>
  <si>
    <t>Mobile Fuel Combustion - Distance Traveled Method</t>
  </si>
  <si>
    <t>Mobile Fuel Combustion - Fuel Consumption Method</t>
  </si>
  <si>
    <t>Coal Type - Bituminous</t>
  </si>
  <si>
    <t>Coal Type - Anthracite</t>
  </si>
  <si>
    <t>Coal Type - Sub-Bituminous</t>
  </si>
  <si>
    <t>Coal Type - Lignite</t>
  </si>
  <si>
    <t xml:space="preserve">To determine if you are a Small Emitter, enter activity data in the empty unshaded (white) cells below, and, when applicable, also choose your activity data units. Total emissions will be calculated and automatically summed at the bottom.  A message will indicate whether you are eligible to report as a Small Emitter, or required to report as a Large Emitter.  </t>
  </si>
  <si>
    <t>Note that the following Entity types automatically qualify as a Small Emitter and need not complete this workbook:</t>
  </si>
  <si>
    <t>Process Emissions (Coal Mining)</t>
  </si>
  <si>
    <t>Coal (Enter activity data either by Coal Type or by Sector)</t>
  </si>
  <si>
    <t>kg CO2e per MMBtu</t>
  </si>
  <si>
    <t>All Factors for all fuels are taken from the Technical Guidelines.</t>
  </si>
  <si>
    <t>Mobile Fuel Combustion - Miles Travelled Method</t>
  </si>
  <si>
    <t>Mobile Fuel Combustion - Fuel Consumptions Method</t>
  </si>
  <si>
    <t>1605(b) Technical Guidelines</t>
  </si>
  <si>
    <t>Provided by USDA.</t>
  </si>
  <si>
    <t>Coal Mine Methane - Underground Mines</t>
  </si>
  <si>
    <t>Coal Mine Methane - Surface Mines and Post-Mining Operations</t>
  </si>
  <si>
    <t>Oil and Gas Industries</t>
  </si>
  <si>
    <t>Waste and Wastewater</t>
  </si>
  <si>
    <t>HCFC-22 Production</t>
  </si>
  <si>
    <t>Other Industrial Use of Hydrofluorocardbons, Perfluorocarbons, and Sulfur Hexafluoride</t>
  </si>
  <si>
    <t>IPCC Good Practice Guidance and Uncertainty Management in National Greenhouse Gas Inventories</t>
  </si>
  <si>
    <t>Technical Guidelines</t>
  </si>
  <si>
    <t>EIA / Emission Factor of .606 MT/ MWh is the national average electricity emission factor for CO2, 0.178 MT/MMBTU is calculated from .606 based on 3413 BTU = 1 KWh taken from EIA 1605(b) Instructions for Form EIA-1605</t>
  </si>
  <si>
    <t xml:space="preserve">Derived From EPA estimates </t>
  </si>
  <si>
    <t>Factors are based on Consumption of Gases, so the factors are GWP values taken from IPPC Third Editions</t>
  </si>
  <si>
    <t>Nitric Acid Production (With NSCR*)</t>
  </si>
  <si>
    <t>Nitric Acid Production (Without NSCR*)</t>
  </si>
  <si>
    <t>*NSCR - Non-Selective Catalytic Reduction Controls</t>
  </si>
  <si>
    <t>User will input their own factor</t>
  </si>
  <si>
    <t>No Factor provide at this time</t>
  </si>
  <si>
    <t>The factor is the GWP for SF6 as the emissions are equal to the amount of SF6 consumed (Tech. Guidelines)</t>
  </si>
  <si>
    <t>? (Most likely the IPCC Good Practice Guidance and Uncertainty Management in National Greenhouse Gas Inventories)</t>
  </si>
  <si>
    <t>% of Total Emissions</t>
  </si>
  <si>
    <r>
      <t>De Minimis Emissions.</t>
    </r>
    <r>
      <rPr>
        <sz val="10"/>
        <rFont val="Arial"/>
        <family val="2"/>
      </rPr>
      <t xml:space="preserve">  You may also use this workbook to identify de minimis emissions.  The workbook will automatically calculate each sources' percentage of total emissions in the column T.  Any that meet the de minimis requirement of 3% or less will be highlighted in red.</t>
    </r>
  </si>
  <si>
    <r>
      <t xml:space="preserve">Small Emitter Determination. </t>
    </r>
    <r>
      <rPr>
        <sz val="10"/>
        <rFont val="Arial"/>
        <family val="0"/>
      </rPr>
      <t>This sheet is intended to help you quickly determine your entity's eligibility to report and or register as a "small emitter" under the 1605(b) Program. Small emitters are defined as those enities that emit less than 10,000 metric tons of carbon dioxide equivalent (CO2e) per year.</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</si>
</sst>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00"/>
    <numFmt numFmtId="171" formatCode="0.000E+00"/>
    <numFmt numFmtId="172" formatCode="0.0E+00"/>
    <numFmt numFmtId="173" formatCode="0.000000"/>
    <numFmt numFmtId="174" formatCode="#,##0.000000"/>
    <numFmt numFmtId="175" formatCode="0.000"/>
    <numFmt numFmtId="176" formatCode="0.00000"/>
    <numFmt numFmtId="177" formatCode="#,##0.0000000"/>
    <numFmt numFmtId="178" formatCode="#,##0.0000"/>
    <numFmt numFmtId="179" formatCode="0.0"/>
  </numFmts>
  <fonts count="35">
    <font>
      <sz val="10"/>
      <name val="Arial"/>
      <family val="0"/>
    </font>
    <font>
      <u val="single"/>
      <sz val="7.5"/>
      <color indexed="12"/>
      <name val="Arial"/>
      <family val="0"/>
    </font>
    <font>
      <b/>
      <sz val="10"/>
      <name val="Arial"/>
      <family val="2"/>
    </font>
    <font>
      <i/>
      <sz val="10"/>
      <name val="Arial"/>
      <family val="2"/>
    </font>
    <font>
      <b/>
      <sz val="12"/>
      <color indexed="12"/>
      <name val="Arial Narrow"/>
      <family val="2"/>
    </font>
    <font>
      <sz val="12"/>
      <name val="Arial"/>
      <family val="2"/>
    </font>
    <font>
      <b/>
      <sz val="12"/>
      <color indexed="10"/>
      <name val="Arial"/>
      <family val="2"/>
    </font>
    <font>
      <sz val="8"/>
      <name val="Tahoma"/>
      <family val="2"/>
    </font>
    <font>
      <sz val="10"/>
      <color indexed="10"/>
      <name val="Arial"/>
      <family val="2"/>
    </font>
    <font>
      <sz val="10"/>
      <color indexed="8"/>
      <name val="Arial"/>
      <family val="0"/>
    </font>
    <font>
      <i/>
      <sz val="9"/>
      <color indexed="10"/>
      <name val="Arial"/>
      <family val="2"/>
    </font>
    <font>
      <b/>
      <u val="single"/>
      <sz val="10"/>
      <name val="Arial"/>
      <family val="2"/>
    </font>
    <font>
      <u val="single"/>
      <sz val="10"/>
      <name val="Arial"/>
      <family val="0"/>
    </font>
    <font>
      <b/>
      <sz val="14"/>
      <color indexed="9"/>
      <name val="Lucida Sans Unicode"/>
      <family val="2"/>
    </font>
    <font>
      <b/>
      <sz val="12"/>
      <color indexed="12"/>
      <name val="Arial"/>
      <family val="2"/>
    </font>
    <font>
      <b/>
      <sz val="10"/>
      <color indexed="10"/>
      <name val="Arial"/>
      <family val="2"/>
    </font>
    <font>
      <b/>
      <sz val="16"/>
      <name val="Arial"/>
      <family val="2"/>
    </font>
    <font>
      <b/>
      <sz val="16"/>
      <color indexed="10"/>
      <name val="Arial"/>
      <family val="2"/>
    </font>
    <font>
      <i/>
      <sz val="9"/>
      <name val="Arial"/>
      <family val="2"/>
    </font>
    <font>
      <b/>
      <sz val="12"/>
      <name val="Lucida Sans Unicode"/>
      <family val="2"/>
    </font>
    <font>
      <b/>
      <sz val="18"/>
      <name val="Lucida Sans Unicode"/>
      <family val="2"/>
    </font>
    <font>
      <u val="single"/>
      <sz val="10"/>
      <color indexed="36"/>
      <name val="Arial"/>
      <family val="0"/>
    </font>
    <font>
      <sz val="9"/>
      <name val="Arial"/>
      <family val="2"/>
    </font>
    <font>
      <b/>
      <sz val="11"/>
      <name val="Arial"/>
      <family val="2"/>
    </font>
    <font>
      <b/>
      <sz val="9"/>
      <name val="Arial"/>
      <family val="2"/>
    </font>
    <font>
      <sz val="10"/>
      <color indexed="17"/>
      <name val="Arial"/>
      <family val="0"/>
    </font>
    <font>
      <b/>
      <u val="single"/>
      <sz val="10"/>
      <color indexed="12"/>
      <name val="Arial"/>
      <family val="2"/>
    </font>
    <font>
      <b/>
      <sz val="10"/>
      <color indexed="9"/>
      <name val="Arial"/>
      <family val="2"/>
    </font>
    <font>
      <i/>
      <sz val="10"/>
      <color indexed="16"/>
      <name val="Arial"/>
      <family val="2"/>
    </font>
    <font>
      <b/>
      <sz val="10"/>
      <color indexed="17"/>
      <name val="Arial"/>
      <family val="2"/>
    </font>
    <font>
      <sz val="9"/>
      <color indexed="8"/>
      <name val="Arial"/>
      <family val="2"/>
    </font>
    <font>
      <b/>
      <sz val="8"/>
      <name val="Tahoma"/>
      <family val="0"/>
    </font>
    <font>
      <sz val="10"/>
      <name val="Tahoma"/>
      <family val="2"/>
    </font>
    <font>
      <sz val="10"/>
      <color indexed="41"/>
      <name val="Arial"/>
      <family val="2"/>
    </font>
    <font>
      <b/>
      <sz val="8"/>
      <name val="Arial"/>
      <family val="2"/>
    </font>
  </fonts>
  <fills count="1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18"/>
        <bgColor indexed="64"/>
      </patternFill>
    </fill>
    <fill>
      <patternFill patternType="solid">
        <fgColor indexed="56"/>
        <bgColor indexed="64"/>
      </patternFill>
    </fill>
    <fill>
      <patternFill patternType="solid">
        <fgColor indexed="58"/>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24"/>
        <bgColor indexed="64"/>
      </patternFill>
    </fill>
    <fill>
      <patternFill patternType="solid">
        <fgColor indexed="26"/>
        <bgColor indexed="64"/>
      </patternFill>
    </fill>
    <fill>
      <patternFill patternType="solid">
        <fgColor indexed="26"/>
        <bgColor indexed="64"/>
      </patternFill>
    </fill>
  </fills>
  <borders count="33">
    <border>
      <left/>
      <right/>
      <top/>
      <bottom/>
      <diagonal/>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0" fillId="2" borderId="1">
      <alignment vertical="top"/>
      <protection/>
    </xf>
    <xf numFmtId="3" fontId="0" fillId="3" borderId="1">
      <alignment vertical="top"/>
      <protection/>
    </xf>
    <xf numFmtId="0" fontId="0" fillId="2" borderId="1">
      <alignment vertical="top"/>
      <protection/>
    </xf>
    <xf numFmtId="3" fontId="2" fillId="2" borderId="2">
      <alignment vertical="top"/>
      <protection/>
    </xf>
    <xf numFmtId="0" fontId="21" fillId="0" borderId="0" applyNumberFormat="0" applyFill="0" applyBorder="0" applyAlignment="0" applyProtection="0"/>
    <xf numFmtId="0" fontId="2" fillId="3" borderId="3" applyBorder="0">
      <alignment vertical="top"/>
      <protection/>
    </xf>
    <xf numFmtId="0" fontId="2" fillId="4" borderId="3" applyBorder="0">
      <alignment/>
      <protection/>
    </xf>
    <xf numFmtId="0" fontId="27" fillId="5" borderId="3" applyBorder="0">
      <alignment/>
      <protection/>
    </xf>
    <xf numFmtId="0" fontId="2" fillId="6" borderId="3" applyBorder="0">
      <alignment vertical="top"/>
      <protection/>
    </xf>
    <xf numFmtId="0" fontId="2" fillId="7" borderId="3" applyBorder="0">
      <alignment vertical="top"/>
      <protection/>
    </xf>
    <xf numFmtId="0" fontId="1" fillId="0" borderId="0" applyNumberFormat="0" applyFill="0" applyBorder="0" applyAlignment="0" applyProtection="0"/>
    <xf numFmtId="0" fontId="9" fillId="0" borderId="0">
      <alignment/>
      <protection/>
    </xf>
    <xf numFmtId="9" fontId="0" fillId="0" borderId="0" applyFont="0" applyFill="0" applyBorder="0" applyAlignment="0" applyProtection="0"/>
    <xf numFmtId="0" fontId="28" fillId="2" borderId="4">
      <alignment horizontal="left" vertical="top" indent="1"/>
      <protection/>
    </xf>
    <xf numFmtId="0" fontId="2" fillId="2" borderId="0">
      <alignment horizontal="right" vertical="top" indent="1"/>
      <protection/>
    </xf>
    <xf numFmtId="0" fontId="29" fillId="2" borderId="0">
      <alignment horizontal="right" vertical="top" indent="1"/>
      <protection/>
    </xf>
    <xf numFmtId="0" fontId="0" fillId="2" borderId="0">
      <alignment horizontal="left" vertical="top" indent="1"/>
      <protection/>
    </xf>
    <xf numFmtId="0" fontId="0" fillId="2" borderId="0">
      <alignment horizontal="left" vertical="top" wrapText="1" indent="1"/>
      <protection/>
    </xf>
    <xf numFmtId="0" fontId="13" fillId="8" borderId="0">
      <alignment horizontal="left" vertical="center" indent="1"/>
      <protection/>
    </xf>
    <xf numFmtId="0" fontId="13" fillId="9" borderId="0">
      <alignment horizontal="left" vertical="center" indent="1"/>
      <protection/>
    </xf>
    <xf numFmtId="0" fontId="13" fillId="10" borderId="0">
      <alignment horizontal="left" vertical="center" indent="1"/>
      <protection/>
    </xf>
    <xf numFmtId="0" fontId="13" fillId="10" borderId="0">
      <alignment horizontal="left" vertical="center" indent="1"/>
      <protection/>
    </xf>
  </cellStyleXfs>
  <cellXfs count="64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0" fillId="7" borderId="10" xfId="0" applyFill="1" applyBorder="1" applyAlignment="1">
      <alignment/>
    </xf>
    <xf numFmtId="0" fontId="0" fillId="0" borderId="4" xfId="0" applyFill="1" applyBorder="1" applyAlignment="1">
      <alignment/>
    </xf>
    <xf numFmtId="0" fontId="2" fillId="7" borderId="3" xfId="0" applyFont="1" applyFill="1" applyBorder="1" applyAlignment="1">
      <alignment/>
    </xf>
    <xf numFmtId="0" fontId="8" fillId="0" borderId="0" xfId="0" applyFont="1" applyFill="1" applyBorder="1" applyAlignment="1">
      <alignment/>
    </xf>
    <xf numFmtId="0" fontId="2" fillId="0" borderId="0" xfId="0" applyFont="1" applyBorder="1" applyAlignment="1">
      <alignment horizontal="center" wrapText="1"/>
    </xf>
    <xf numFmtId="0" fontId="2" fillId="0" borderId="0" xfId="0" applyFont="1" applyBorder="1" applyAlignment="1">
      <alignment horizontal="center" vertical="top"/>
    </xf>
    <xf numFmtId="0" fontId="0" fillId="0" borderId="0" xfId="0" applyBorder="1" applyAlignment="1">
      <alignment vertical="top"/>
    </xf>
    <xf numFmtId="0" fontId="3" fillId="0" borderId="0" xfId="0" applyFont="1" applyBorder="1" applyAlignment="1">
      <alignment horizontal="center" vertical="top"/>
    </xf>
    <xf numFmtId="0" fontId="0" fillId="3" borderId="1" xfId="0" applyFill="1" applyBorder="1" applyAlignment="1">
      <alignment vertical="top"/>
    </xf>
    <xf numFmtId="169" fontId="0" fillId="0" borderId="1" xfId="0" applyNumberFormat="1" applyBorder="1" applyAlignment="1">
      <alignment vertical="top"/>
    </xf>
    <xf numFmtId="0" fontId="0" fillId="0" borderId="0" xfId="0" applyFill="1" applyBorder="1" applyAlignment="1">
      <alignment vertical="top"/>
    </xf>
    <xf numFmtId="169" fontId="0" fillId="0" borderId="0" xfId="0" applyNumberFormat="1" applyFill="1" applyBorder="1" applyAlignment="1">
      <alignment vertical="top"/>
    </xf>
    <xf numFmtId="169" fontId="0" fillId="2" borderId="0" xfId="0" applyNumberFormat="1" applyFill="1" applyBorder="1" applyAlignment="1">
      <alignment vertical="top"/>
    </xf>
    <xf numFmtId="0" fontId="0" fillId="0" borderId="0" xfId="0" applyAlignment="1">
      <alignment vertical="top"/>
    </xf>
    <xf numFmtId="0" fontId="2" fillId="0" borderId="0" xfId="0" applyFont="1" applyFill="1" applyBorder="1" applyAlignment="1">
      <alignment vertical="top"/>
    </xf>
    <xf numFmtId="0" fontId="8" fillId="0" borderId="0" xfId="0" applyFont="1" applyFill="1" applyBorder="1" applyAlignment="1">
      <alignment vertical="top"/>
    </xf>
    <xf numFmtId="4" fontId="0" fillId="2" borderId="0" xfId="0" applyNumberFormat="1" applyFill="1" applyBorder="1" applyAlignment="1">
      <alignment horizontal="center" vertical="top"/>
    </xf>
    <xf numFmtId="3" fontId="0" fillId="3" borderId="1" xfId="0" applyNumberFormat="1" applyFill="1" applyBorder="1" applyAlignment="1">
      <alignment horizontal="right" vertical="top"/>
    </xf>
    <xf numFmtId="169" fontId="0" fillId="0" borderId="0" xfId="0" applyNumberFormat="1" applyBorder="1" applyAlignment="1">
      <alignment vertical="top"/>
    </xf>
    <xf numFmtId="0" fontId="0" fillId="0" borderId="8" xfId="0" applyBorder="1" applyAlignment="1">
      <alignment vertical="top"/>
    </xf>
    <xf numFmtId="168" fontId="0" fillId="3" borderId="1" xfId="0" applyNumberFormat="1" applyFill="1" applyBorder="1" applyAlignment="1">
      <alignment horizontal="right" vertical="top"/>
    </xf>
    <xf numFmtId="0" fontId="2" fillId="2" borderId="0" xfId="0" applyFont="1" applyFill="1" applyBorder="1" applyAlignment="1">
      <alignment vertical="top"/>
    </xf>
    <xf numFmtId="0" fontId="0" fillId="2" borderId="0" xfId="0" applyFill="1" applyBorder="1" applyAlignment="1">
      <alignment/>
    </xf>
    <xf numFmtId="0" fontId="0" fillId="0" borderId="0" xfId="0" applyFill="1" applyAlignment="1">
      <alignment vertical="top"/>
    </xf>
    <xf numFmtId="0" fontId="0" fillId="11" borderId="3" xfId="0" applyFont="1" applyFill="1" applyBorder="1" applyAlignment="1">
      <alignment horizontal="left" vertical="top"/>
    </xf>
    <xf numFmtId="0" fontId="0" fillId="11" borderId="11" xfId="0" applyFont="1" applyFill="1" applyBorder="1" applyAlignment="1">
      <alignment horizontal="left" vertical="top"/>
    </xf>
    <xf numFmtId="0" fontId="3" fillId="2" borderId="0" xfId="0" applyFont="1" applyFill="1" applyBorder="1" applyAlignment="1">
      <alignment horizontal="left" vertical="top"/>
    </xf>
    <xf numFmtId="0" fontId="2" fillId="0" borderId="0" xfId="0" applyFont="1" applyBorder="1" applyAlignment="1">
      <alignment horizontal="left" vertical="top"/>
    </xf>
    <xf numFmtId="0" fontId="0" fillId="11" borderId="10" xfId="0" applyFont="1" applyFill="1" applyBorder="1" applyAlignment="1">
      <alignment horizontal="left" vertical="top"/>
    </xf>
    <xf numFmtId="0" fontId="2" fillId="2" borderId="8" xfId="0" applyFont="1" applyFill="1" applyBorder="1" applyAlignment="1">
      <alignment horizontal="left" vertical="top"/>
    </xf>
    <xf numFmtId="0" fontId="2" fillId="2" borderId="0" xfId="0" applyFont="1" applyFill="1" applyBorder="1" applyAlignment="1">
      <alignment horizontal="left" vertical="top"/>
    </xf>
    <xf numFmtId="173" fontId="0" fillId="3" borderId="1" xfId="0" applyNumberFormat="1" applyFont="1" applyFill="1" applyBorder="1" applyAlignment="1">
      <alignment horizontal="right" vertical="top"/>
    </xf>
    <xf numFmtId="169" fontId="0" fillId="3" borderId="1" xfId="0" applyNumberFormat="1" applyFill="1" applyBorder="1" applyAlignment="1">
      <alignment horizontal="right" vertical="top"/>
    </xf>
    <xf numFmtId="0" fontId="0" fillId="2" borderId="0" xfId="0" applyFont="1" applyFill="1" applyBorder="1" applyAlignment="1">
      <alignment vertical="top"/>
    </xf>
    <xf numFmtId="0" fontId="2" fillId="0" borderId="8" xfId="0" applyFont="1" applyBorder="1" applyAlignment="1">
      <alignment horizontal="left" vertical="top"/>
    </xf>
    <xf numFmtId="0" fontId="0" fillId="2" borderId="0" xfId="0" applyFont="1" applyFill="1" applyBorder="1" applyAlignment="1">
      <alignment horizontal="left" vertical="top" indent="1"/>
    </xf>
    <xf numFmtId="0" fontId="0" fillId="2" borderId="0" xfId="0" applyFill="1" applyBorder="1" applyAlignment="1">
      <alignment vertical="top"/>
    </xf>
    <xf numFmtId="0" fontId="0" fillId="2" borderId="0" xfId="0" applyFill="1" applyBorder="1" applyAlignment="1">
      <alignment horizontal="left" vertical="top"/>
    </xf>
    <xf numFmtId="4" fontId="0" fillId="3" borderId="1" xfId="0" applyNumberFormat="1" applyFill="1" applyBorder="1" applyAlignment="1">
      <alignment horizontal="right" vertical="top"/>
    </xf>
    <xf numFmtId="4" fontId="0" fillId="0" borderId="1" xfId="0" applyNumberFormat="1" applyFill="1" applyBorder="1" applyAlignment="1">
      <alignment horizontal="right" vertical="top"/>
    </xf>
    <xf numFmtId="0" fontId="2" fillId="0" borderId="0" xfId="0" applyFont="1" applyFill="1" applyBorder="1" applyAlignment="1">
      <alignment horizontal="left" vertical="top"/>
    </xf>
    <xf numFmtId="169" fontId="0" fillId="0" borderId="0" xfId="0" applyNumberFormat="1" applyBorder="1" applyAlignment="1">
      <alignment horizontal="left" vertical="top"/>
    </xf>
    <xf numFmtId="0" fontId="9" fillId="0" borderId="0" xfId="30" applyFont="1" applyFill="1" applyBorder="1" applyAlignment="1">
      <alignment horizontal="left" vertical="top"/>
      <protection/>
    </xf>
    <xf numFmtId="0" fontId="9" fillId="0" borderId="0" xfId="30" applyFont="1" applyFill="1" applyBorder="1" applyAlignment="1">
      <alignment horizontal="left" vertical="top" indent="1"/>
      <protection/>
    </xf>
    <xf numFmtId="0" fontId="0" fillId="2" borderId="0" xfId="0" applyFont="1" applyFill="1" applyBorder="1" applyAlignment="1">
      <alignment vertical="center"/>
    </xf>
    <xf numFmtId="0" fontId="0" fillId="2" borderId="0" xfId="0" applyFill="1" applyAlignment="1">
      <alignment/>
    </xf>
    <xf numFmtId="0" fontId="0" fillId="2" borderId="0" xfId="0" applyFont="1" applyFill="1" applyBorder="1" applyAlignment="1">
      <alignment/>
    </xf>
    <xf numFmtId="0" fontId="2" fillId="2" borderId="0" xfId="0" applyFont="1" applyFill="1" applyBorder="1" applyAlignment="1">
      <alignment horizontal="center" vertical="top"/>
    </xf>
    <xf numFmtId="0" fontId="3" fillId="2" borderId="0" xfId="0" applyFont="1" applyFill="1" applyBorder="1" applyAlignment="1">
      <alignment horizontal="center" vertical="top"/>
    </xf>
    <xf numFmtId="0" fontId="3" fillId="0" borderId="0" xfId="0" applyFont="1" applyFill="1" applyBorder="1" applyAlignment="1">
      <alignment vertical="top"/>
    </xf>
    <xf numFmtId="169" fontId="0" fillId="0" borderId="1" xfId="0" applyNumberFormat="1" applyFill="1" applyBorder="1" applyAlignment="1">
      <alignment horizontal="right" vertical="top"/>
    </xf>
    <xf numFmtId="0" fontId="0" fillId="0" borderId="12" xfId="0" applyBorder="1" applyAlignment="1">
      <alignment horizontal="left" vertical="top" indent="1"/>
    </xf>
    <xf numFmtId="0" fontId="11" fillId="0" borderId="4" xfId="0" applyFont="1" applyBorder="1" applyAlignment="1">
      <alignment horizontal="left" vertical="top" indent="1"/>
    </xf>
    <xf numFmtId="0" fontId="0" fillId="0" borderId="4" xfId="0" applyBorder="1" applyAlignment="1">
      <alignment horizontal="left" vertical="top" indent="1"/>
    </xf>
    <xf numFmtId="0" fontId="12" fillId="0" borderId="4" xfId="0" applyFont="1" applyFill="1" applyBorder="1" applyAlignment="1">
      <alignment horizontal="left" vertical="top" indent="1"/>
    </xf>
    <xf numFmtId="0" fontId="0" fillId="0" borderId="13" xfId="0" applyBorder="1" applyAlignment="1">
      <alignment horizontal="left" vertical="top" indent="1"/>
    </xf>
    <xf numFmtId="0" fontId="11" fillId="0" borderId="4" xfId="0" applyFont="1" applyFill="1" applyBorder="1" applyAlignment="1">
      <alignment horizontal="left" vertical="top" indent="1"/>
    </xf>
    <xf numFmtId="0" fontId="2" fillId="0" borderId="0" xfId="0" applyFont="1" applyAlignment="1">
      <alignment/>
    </xf>
    <xf numFmtId="0" fontId="0" fillId="0" borderId="0" xfId="0" applyBorder="1" applyAlignment="1">
      <alignment horizontal="left" vertical="top"/>
    </xf>
    <xf numFmtId="169" fontId="0" fillId="0" borderId="7" xfId="0" applyNumberFormat="1" applyFill="1" applyBorder="1" applyAlignment="1">
      <alignment vertical="top"/>
    </xf>
    <xf numFmtId="0" fontId="5" fillId="0" borderId="4" xfId="0" applyFont="1" applyBorder="1" applyAlignment="1">
      <alignment horizontal="left" vertical="top" indent="1"/>
    </xf>
    <xf numFmtId="0" fontId="5" fillId="0" borderId="7" xfId="0" applyFont="1" applyBorder="1" applyAlignment="1">
      <alignment/>
    </xf>
    <xf numFmtId="0" fontId="5" fillId="0" borderId="0" xfId="0" applyFont="1" applyAlignment="1">
      <alignment/>
    </xf>
    <xf numFmtId="0" fontId="5" fillId="0" borderId="0" xfId="0" applyFont="1" applyAlignment="1">
      <alignment vertical="top"/>
    </xf>
    <xf numFmtId="0" fontId="0" fillId="2" borderId="12" xfId="0" applyFont="1" applyFill="1" applyBorder="1" applyAlignment="1">
      <alignment horizontal="left" vertical="top" indent="1"/>
    </xf>
    <xf numFmtId="0" fontId="0" fillId="2" borderId="4" xfId="0" applyFont="1" applyFill="1" applyBorder="1" applyAlignment="1">
      <alignment horizontal="left" vertical="top" indent="1"/>
    </xf>
    <xf numFmtId="0" fontId="0" fillId="2" borderId="13" xfId="0" applyFont="1" applyFill="1" applyBorder="1" applyAlignment="1">
      <alignment horizontal="left" vertical="top" indent="1"/>
    </xf>
    <xf numFmtId="0" fontId="0" fillId="2" borderId="3" xfId="0" applyFont="1" applyFill="1" applyBorder="1" applyAlignment="1">
      <alignment horizontal="left" vertical="top" indent="1"/>
    </xf>
    <xf numFmtId="0" fontId="0" fillId="0" borderId="10" xfId="0" applyBorder="1" applyAlignment="1">
      <alignment/>
    </xf>
    <xf numFmtId="0" fontId="0" fillId="2" borderId="11" xfId="0" applyFont="1" applyFill="1" applyBorder="1" applyAlignment="1">
      <alignment vertical="top"/>
    </xf>
    <xf numFmtId="0" fontId="0" fillId="2" borderId="1" xfId="0" applyFont="1" applyFill="1" applyBorder="1" applyAlignment="1">
      <alignment vertical="top"/>
    </xf>
    <xf numFmtId="0" fontId="0" fillId="0" borderId="10" xfId="0" applyBorder="1" applyAlignment="1">
      <alignment vertical="top"/>
    </xf>
    <xf numFmtId="0" fontId="0" fillId="0" borderId="11" xfId="0" applyBorder="1" applyAlignment="1">
      <alignment vertical="top"/>
    </xf>
    <xf numFmtId="0" fontId="3" fillId="11" borderId="10" xfId="0" applyFont="1" applyFill="1" applyBorder="1" applyAlignment="1">
      <alignment horizontal="left" vertical="top"/>
    </xf>
    <xf numFmtId="4" fontId="0" fillId="11" borderId="10" xfId="0" applyNumberFormat="1" applyFill="1" applyBorder="1" applyAlignment="1">
      <alignment horizontal="center" vertical="top"/>
    </xf>
    <xf numFmtId="0" fontId="0" fillId="11" borderId="10" xfId="0" applyFill="1" applyBorder="1" applyAlignment="1">
      <alignment/>
    </xf>
    <xf numFmtId="0" fontId="0" fillId="11" borderId="10" xfId="0" applyFill="1" applyBorder="1" applyAlignment="1">
      <alignment vertical="top"/>
    </xf>
    <xf numFmtId="0" fontId="0" fillId="11" borderId="11" xfId="0" applyFill="1" applyBorder="1" applyAlignment="1">
      <alignment vertical="top"/>
    </xf>
    <xf numFmtId="0" fontId="0" fillId="11" borderId="11" xfId="0" applyFill="1" applyBorder="1" applyAlignment="1">
      <alignment/>
    </xf>
    <xf numFmtId="169" fontId="0" fillId="0" borderId="3" xfId="0" applyNumberFormat="1" applyFill="1" applyBorder="1" applyAlignment="1">
      <alignment vertical="top"/>
    </xf>
    <xf numFmtId="169" fontId="0" fillId="11" borderId="12" xfId="0" applyNumberFormat="1" applyFill="1" applyBorder="1" applyAlignment="1">
      <alignment vertical="top"/>
    </xf>
    <xf numFmtId="169" fontId="0" fillId="11" borderId="5" xfId="0" applyNumberFormat="1" applyFill="1" applyBorder="1" applyAlignment="1">
      <alignment vertical="top"/>
    </xf>
    <xf numFmtId="169" fontId="0" fillId="11" borderId="6" xfId="0" applyNumberFormat="1" applyFill="1" applyBorder="1" applyAlignment="1">
      <alignment vertical="top"/>
    </xf>
    <xf numFmtId="169" fontId="0" fillId="11" borderId="4" xfId="0" applyNumberFormat="1" applyFill="1" applyBorder="1" applyAlignment="1">
      <alignment vertical="top"/>
    </xf>
    <xf numFmtId="169" fontId="0" fillId="11" borderId="0" xfId="0" applyNumberFormat="1" applyFill="1" applyBorder="1" applyAlignment="1">
      <alignment vertical="top"/>
    </xf>
    <xf numFmtId="169" fontId="0" fillId="11" borderId="7" xfId="0" applyNumberFormat="1" applyFill="1" applyBorder="1" applyAlignment="1">
      <alignment vertical="top"/>
    </xf>
    <xf numFmtId="169" fontId="0" fillId="11" borderId="13" xfId="0" applyNumberFormat="1" applyFill="1" applyBorder="1" applyAlignment="1">
      <alignment vertical="top"/>
    </xf>
    <xf numFmtId="169" fontId="0" fillId="11" borderId="8" xfId="0" applyNumberFormat="1" applyFill="1" applyBorder="1" applyAlignment="1">
      <alignment vertical="top"/>
    </xf>
    <xf numFmtId="169" fontId="0" fillId="11" borderId="9" xfId="0" applyNumberFormat="1" applyFill="1" applyBorder="1" applyAlignment="1">
      <alignment vertical="top"/>
    </xf>
    <xf numFmtId="0" fontId="0" fillId="0" borderId="3" xfId="0" applyBorder="1" applyAlignment="1">
      <alignment vertical="top"/>
    </xf>
    <xf numFmtId="0" fontId="0" fillId="2" borderId="10" xfId="0" applyFill="1" applyBorder="1" applyAlignment="1">
      <alignment vertical="top"/>
    </xf>
    <xf numFmtId="0" fontId="0" fillId="2" borderId="11" xfId="0" applyFill="1" applyBorder="1" applyAlignment="1">
      <alignment vertical="top"/>
    </xf>
    <xf numFmtId="0" fontId="0" fillId="0" borderId="3" xfId="0" applyBorder="1" applyAlignment="1">
      <alignment horizontal="left" vertical="top" indent="1"/>
    </xf>
    <xf numFmtId="0" fontId="0" fillId="0" borderId="12" xfId="0" applyBorder="1" applyAlignment="1">
      <alignment/>
    </xf>
    <xf numFmtId="0" fontId="0" fillId="0" borderId="0" xfId="0" applyBorder="1" applyAlignment="1">
      <alignment horizontal="left" vertical="top" indent="1"/>
    </xf>
    <xf numFmtId="4" fontId="0" fillId="3" borderId="3" xfId="0" applyNumberFormat="1" applyFill="1" applyBorder="1" applyAlignment="1">
      <alignment horizontal="right" vertical="top"/>
    </xf>
    <xf numFmtId="3" fontId="0" fillId="3" borderId="3" xfId="0" applyNumberFormat="1" applyFill="1" applyBorder="1" applyAlignment="1">
      <alignment horizontal="right" vertical="top"/>
    </xf>
    <xf numFmtId="168" fontId="0" fillId="3" borderId="3" xfId="0" applyNumberFormat="1" applyFill="1" applyBorder="1" applyAlignment="1">
      <alignment horizontal="right" vertical="top"/>
    </xf>
    <xf numFmtId="4" fontId="0" fillId="2" borderId="5" xfId="0" applyNumberFormat="1" applyFill="1" applyBorder="1" applyAlignment="1">
      <alignment horizontal="center" vertical="top"/>
    </xf>
    <xf numFmtId="0" fontId="0" fillId="0" borderId="5" xfId="0" applyBorder="1" applyAlignment="1">
      <alignment vertical="top"/>
    </xf>
    <xf numFmtId="4" fontId="0" fillId="2" borderId="8" xfId="0" applyNumberFormat="1" applyFill="1" applyBorder="1" applyAlignment="1">
      <alignment horizontal="center" vertical="top"/>
    </xf>
    <xf numFmtId="4" fontId="0" fillId="11" borderId="11" xfId="0" applyNumberFormat="1" applyFill="1" applyBorder="1" applyAlignment="1">
      <alignment horizontal="center" vertical="top"/>
    </xf>
    <xf numFmtId="0" fontId="8" fillId="0" borderId="5" xfId="0" applyFont="1" applyFill="1" applyBorder="1" applyAlignment="1">
      <alignment/>
    </xf>
    <xf numFmtId="0" fontId="3" fillId="2" borderId="6" xfId="0" applyFont="1" applyFill="1" applyBorder="1" applyAlignment="1">
      <alignment horizontal="left" vertical="top"/>
    </xf>
    <xf numFmtId="0" fontId="0" fillId="0" borderId="4" xfId="0" applyBorder="1" applyAlignment="1">
      <alignment/>
    </xf>
    <xf numFmtId="0" fontId="3" fillId="2" borderId="7" xfId="0" applyFont="1" applyFill="1" applyBorder="1" applyAlignment="1">
      <alignment horizontal="left" vertical="top"/>
    </xf>
    <xf numFmtId="0" fontId="0" fillId="0" borderId="13" xfId="0" applyBorder="1" applyAlignment="1">
      <alignment/>
    </xf>
    <xf numFmtId="0" fontId="0" fillId="2" borderId="8" xfId="0" applyFill="1" applyBorder="1" applyAlignment="1">
      <alignment/>
    </xf>
    <xf numFmtId="0" fontId="8" fillId="0" borderId="8" xfId="0" applyFont="1" applyFill="1" applyBorder="1" applyAlignment="1">
      <alignment/>
    </xf>
    <xf numFmtId="0" fontId="3" fillId="2" borderId="9" xfId="0" applyFont="1" applyFill="1" applyBorder="1" applyAlignment="1">
      <alignment horizontal="left" vertical="top"/>
    </xf>
    <xf numFmtId="0" fontId="0" fillId="0" borderId="3" xfId="0" applyFill="1" applyBorder="1" applyAlignment="1">
      <alignment vertical="top"/>
    </xf>
    <xf numFmtId="0" fontId="0" fillId="0" borderId="10" xfId="0" applyFill="1" applyBorder="1" applyAlignment="1">
      <alignment vertical="top"/>
    </xf>
    <xf numFmtId="0" fontId="0" fillId="0" borderId="11" xfId="0" applyFill="1" applyBorder="1" applyAlignment="1">
      <alignment vertical="top"/>
    </xf>
    <xf numFmtId="0" fontId="0" fillId="0" borderId="3" xfId="0" applyFill="1" applyBorder="1" applyAlignment="1">
      <alignment horizontal="left" vertical="top" indent="1"/>
    </xf>
    <xf numFmtId="0" fontId="0" fillId="0" borderId="13" xfId="0" applyFill="1" applyBorder="1" applyAlignment="1">
      <alignment horizontal="left" vertical="top" indent="1"/>
    </xf>
    <xf numFmtId="0" fontId="0" fillId="0" borderId="8" xfId="0" applyFill="1" applyBorder="1" applyAlignment="1">
      <alignment vertical="top"/>
    </xf>
    <xf numFmtId="0" fontId="0" fillId="0" borderId="9" xfId="0" applyFill="1" applyBorder="1" applyAlignment="1">
      <alignment vertical="top"/>
    </xf>
    <xf numFmtId="0" fontId="2" fillId="0" borderId="0" xfId="0" applyFont="1" applyBorder="1" applyAlignment="1">
      <alignment/>
    </xf>
    <xf numFmtId="0" fontId="9" fillId="0" borderId="3" xfId="30" applyFont="1" applyFill="1" applyBorder="1" applyAlignment="1">
      <alignment horizontal="left" vertical="top" indent="1"/>
      <protection/>
    </xf>
    <xf numFmtId="0" fontId="9" fillId="0" borderId="10" xfId="30" applyFont="1" applyFill="1" applyBorder="1" applyAlignment="1">
      <alignment horizontal="left" vertical="top"/>
      <protection/>
    </xf>
    <xf numFmtId="0" fontId="2" fillId="0" borderId="10" xfId="0" applyFont="1" applyFill="1" applyBorder="1" applyAlignment="1">
      <alignment horizontal="left" vertical="top"/>
    </xf>
    <xf numFmtId="169" fontId="0" fillId="2" borderId="10" xfId="0" applyNumberFormat="1" applyFill="1" applyBorder="1" applyAlignment="1">
      <alignment vertical="top"/>
    </xf>
    <xf numFmtId="0" fontId="0" fillId="0" borderId="3" xfId="0" applyFont="1" applyFill="1" applyBorder="1" applyAlignment="1">
      <alignment horizontal="left" vertical="top" indent="1"/>
    </xf>
    <xf numFmtId="0" fontId="2" fillId="0" borderId="0" xfId="0" applyFont="1" applyBorder="1" applyAlignment="1">
      <alignment vertical="top"/>
    </xf>
    <xf numFmtId="0" fontId="15" fillId="0" borderId="10" xfId="0" applyFont="1" applyBorder="1" applyAlignment="1">
      <alignment vertical="top"/>
    </xf>
    <xf numFmtId="0" fontId="2" fillId="12" borderId="8" xfId="0" applyFont="1" applyFill="1" applyBorder="1" applyAlignment="1">
      <alignment horizontal="left" vertical="top"/>
    </xf>
    <xf numFmtId="169" fontId="0" fillId="2" borderId="5" xfId="0" applyNumberFormat="1" applyFill="1" applyBorder="1" applyAlignment="1">
      <alignment horizontal="left" vertical="top"/>
    </xf>
    <xf numFmtId="0" fontId="8" fillId="0" borderId="3" xfId="0" applyFont="1" applyFill="1" applyBorder="1" applyAlignment="1">
      <alignment horizontal="left" vertical="top" indent="1"/>
    </xf>
    <xf numFmtId="0" fontId="4" fillId="2" borderId="0" xfId="0" applyFont="1" applyFill="1" applyBorder="1" applyAlignment="1">
      <alignment vertical="top"/>
    </xf>
    <xf numFmtId="0" fontId="5" fillId="2" borderId="0" xfId="0" applyFont="1" applyFill="1" applyBorder="1" applyAlignment="1">
      <alignment vertical="top"/>
    </xf>
    <xf numFmtId="0" fontId="14" fillId="2" borderId="0" xfId="0" applyFont="1" applyFill="1" applyBorder="1" applyAlignment="1">
      <alignment vertical="top"/>
    </xf>
    <xf numFmtId="0" fontId="18" fillId="0" borderId="0" xfId="0" applyFont="1" applyBorder="1" applyAlignment="1">
      <alignment vertical="top"/>
    </xf>
    <xf numFmtId="0" fontId="10" fillId="0" borderId="0" xfId="0" applyFont="1" applyBorder="1" applyAlignment="1">
      <alignment vertical="top"/>
    </xf>
    <xf numFmtId="0" fontId="16" fillId="2" borderId="0" xfId="0" applyFont="1" applyFill="1" applyBorder="1" applyAlignment="1">
      <alignment horizontal="right" indent="1"/>
    </xf>
    <xf numFmtId="0" fontId="0" fillId="12" borderId="12" xfId="0" applyFill="1" applyBorder="1" applyAlignment="1">
      <alignment vertical="top"/>
    </xf>
    <xf numFmtId="0" fontId="0" fillId="12" borderId="4" xfId="0" applyFill="1" applyBorder="1" applyAlignment="1">
      <alignment/>
    </xf>
    <xf numFmtId="0" fontId="0" fillId="12" borderId="4" xfId="0" applyFill="1" applyBorder="1" applyAlignment="1">
      <alignment horizontal="right"/>
    </xf>
    <xf numFmtId="0" fontId="0" fillId="12" borderId="13" xfId="0" applyFill="1" applyBorder="1" applyAlignment="1">
      <alignment vertical="top"/>
    </xf>
    <xf numFmtId="0" fontId="0" fillId="12" borderId="5" xfId="0" applyFill="1" applyBorder="1" applyAlignment="1">
      <alignment vertical="top"/>
    </xf>
    <xf numFmtId="0" fontId="0" fillId="12" borderId="6" xfId="0" applyFill="1" applyBorder="1" applyAlignment="1">
      <alignment vertical="top"/>
    </xf>
    <xf numFmtId="0" fontId="0" fillId="12" borderId="7" xfId="0" applyFill="1" applyBorder="1" applyAlignment="1">
      <alignment vertical="top"/>
    </xf>
    <xf numFmtId="0" fontId="0" fillId="12" borderId="0" xfId="0" applyFill="1" applyBorder="1" applyAlignment="1">
      <alignment/>
    </xf>
    <xf numFmtId="0" fontId="0" fillId="12" borderId="0" xfId="0" applyFill="1" applyBorder="1" applyAlignment="1">
      <alignment vertical="top"/>
    </xf>
    <xf numFmtId="0" fontId="0" fillId="12" borderId="0" xfId="0" applyFill="1" applyBorder="1" applyAlignment="1">
      <alignment horizontal="left"/>
    </xf>
    <xf numFmtId="0" fontId="0" fillId="12" borderId="7" xfId="0" applyFill="1" applyBorder="1" applyAlignment="1">
      <alignment/>
    </xf>
    <xf numFmtId="0" fontId="2" fillId="12" borderId="7" xfId="0" applyFont="1" applyFill="1" applyBorder="1" applyAlignment="1">
      <alignment horizontal="left" vertical="top"/>
    </xf>
    <xf numFmtId="0" fontId="0" fillId="12" borderId="9" xfId="0" applyFill="1" applyBorder="1" applyAlignment="1">
      <alignment vertical="top"/>
    </xf>
    <xf numFmtId="0" fontId="0" fillId="12" borderId="0" xfId="0" applyFill="1" applyBorder="1" applyAlignment="1">
      <alignment horizontal="right"/>
    </xf>
    <xf numFmtId="0" fontId="2" fillId="12" borderId="0" xfId="0" applyFont="1" applyFill="1" applyBorder="1" applyAlignment="1">
      <alignment horizontal="left" vertical="top"/>
    </xf>
    <xf numFmtId="0" fontId="0" fillId="12" borderId="0" xfId="0" applyFill="1" applyBorder="1" applyAlignment="1">
      <alignment horizontal="left" vertical="top"/>
    </xf>
    <xf numFmtId="0" fontId="0" fillId="12" borderId="8" xfId="0" applyFill="1" applyBorder="1" applyAlignment="1">
      <alignment vertical="top"/>
    </xf>
    <xf numFmtId="0" fontId="0" fillId="12" borderId="12" xfId="0" applyFill="1" applyBorder="1" applyAlignment="1">
      <alignment/>
    </xf>
    <xf numFmtId="0" fontId="0" fillId="12" borderId="5" xfId="0" applyFill="1" applyBorder="1" applyAlignment="1">
      <alignment/>
    </xf>
    <xf numFmtId="0" fontId="2" fillId="12" borderId="0" xfId="0" applyFont="1" applyFill="1" applyBorder="1" applyAlignment="1">
      <alignment/>
    </xf>
    <xf numFmtId="0" fontId="0" fillId="12" borderId="13" xfId="0" applyFill="1" applyBorder="1" applyAlignment="1">
      <alignment/>
    </xf>
    <xf numFmtId="0" fontId="0" fillId="12" borderId="8" xfId="0" applyFill="1" applyBorder="1" applyAlignment="1">
      <alignment/>
    </xf>
    <xf numFmtId="0" fontId="13" fillId="2" borderId="0" xfId="37" applyFont="1" applyFill="1" applyBorder="1" applyAlignment="1">
      <alignment horizontal="center" vertical="center"/>
      <protection/>
    </xf>
    <xf numFmtId="0" fontId="0" fillId="0" borderId="14" xfId="0" applyBorder="1" applyAlignment="1">
      <alignment/>
    </xf>
    <xf numFmtId="0" fontId="13" fillId="2" borderId="14" xfId="37" applyFont="1" applyFill="1" applyBorder="1" applyAlignment="1">
      <alignment horizontal="center" vertical="center"/>
      <protection/>
    </xf>
    <xf numFmtId="0" fontId="19" fillId="0" borderId="0" xfId="0" applyFont="1" applyFill="1" applyBorder="1" applyAlignment="1">
      <alignment horizontal="center"/>
    </xf>
    <xf numFmtId="0" fontId="0" fillId="2" borderId="1" xfId="0" applyFill="1" applyBorder="1" applyAlignment="1">
      <alignment/>
    </xf>
    <xf numFmtId="0" fontId="0" fillId="2" borderId="1" xfId="0" applyFill="1" applyBorder="1" applyAlignment="1">
      <alignment vertical="top"/>
    </xf>
    <xf numFmtId="0" fontId="0" fillId="12" borderId="0" xfId="0" applyFill="1" applyBorder="1" applyAlignment="1">
      <alignment/>
    </xf>
    <xf numFmtId="0" fontId="0" fillId="12" borderId="4" xfId="0" applyFill="1" applyBorder="1" applyAlignment="1">
      <alignment vertical="top"/>
    </xf>
    <xf numFmtId="0" fontId="2" fillId="4" borderId="12" xfId="0" applyFont="1" applyFill="1" applyBorder="1" applyAlignment="1">
      <alignment/>
    </xf>
    <xf numFmtId="0" fontId="0" fillId="4" borderId="5" xfId="0" applyFill="1" applyBorder="1" applyAlignment="1">
      <alignment/>
    </xf>
    <xf numFmtId="0" fontId="0" fillId="4" borderId="6" xfId="0" applyFill="1" applyBorder="1" applyAlignment="1">
      <alignment/>
    </xf>
    <xf numFmtId="0" fontId="0" fillId="7" borderId="11" xfId="0" applyFill="1" applyBorder="1" applyAlignment="1">
      <alignment/>
    </xf>
    <xf numFmtId="0" fontId="20" fillId="2" borderId="0" xfId="37" applyFont="1" applyFill="1" applyBorder="1" applyAlignment="1">
      <alignment horizontal="center"/>
      <protection/>
    </xf>
    <xf numFmtId="0" fontId="20" fillId="2" borderId="14" xfId="37" applyFont="1" applyFill="1" applyBorder="1" applyAlignment="1">
      <alignment horizontal="center" vertical="top"/>
      <protection/>
    </xf>
    <xf numFmtId="0" fontId="0" fillId="11" borderId="3" xfId="0" applyFont="1" applyFill="1" applyBorder="1" applyAlignment="1">
      <alignment vertical="top"/>
    </xf>
    <xf numFmtId="4" fontId="0" fillId="11" borderId="10" xfId="0" applyNumberFormat="1" applyFont="1" applyFill="1" applyBorder="1" applyAlignment="1">
      <alignment horizontal="center" vertical="top"/>
    </xf>
    <xf numFmtId="0" fontId="0" fillId="11" borderId="10" xfId="0" applyFont="1" applyFill="1" applyBorder="1" applyAlignment="1">
      <alignment vertical="top"/>
    </xf>
    <xf numFmtId="4" fontId="0" fillId="11" borderId="11" xfId="0" applyNumberFormat="1" applyFont="1" applyFill="1" applyBorder="1" applyAlignment="1">
      <alignment horizontal="center" vertical="top"/>
    </xf>
    <xf numFmtId="0" fontId="0" fillId="11" borderId="10" xfId="0" applyFont="1" applyFill="1" applyBorder="1" applyAlignment="1">
      <alignment/>
    </xf>
    <xf numFmtId="0" fontId="0" fillId="11" borderId="11" xfId="0" applyFont="1" applyFill="1" applyBorder="1" applyAlignment="1">
      <alignment/>
    </xf>
    <xf numFmtId="0" fontId="0" fillId="0" borderId="7" xfId="0" applyBorder="1" applyAlignment="1">
      <alignment horizontal="left" vertical="top" indent="1"/>
    </xf>
    <xf numFmtId="0" fontId="0" fillId="0" borderId="1" xfId="0" applyFill="1" applyBorder="1" applyAlignment="1">
      <alignment vertical="top"/>
    </xf>
    <xf numFmtId="0" fontId="0" fillId="0" borderId="1" xfId="0" applyFill="1" applyBorder="1" applyAlignment="1">
      <alignment/>
    </xf>
    <xf numFmtId="0" fontId="0" fillId="3" borderId="1" xfId="0" applyNumberFormat="1" applyFill="1" applyBorder="1" applyAlignment="1">
      <alignment vertical="top"/>
    </xf>
    <xf numFmtId="0" fontId="0" fillId="0" borderId="1" xfId="0" applyBorder="1" applyAlignment="1">
      <alignment vertical="top"/>
    </xf>
    <xf numFmtId="0" fontId="0" fillId="12" borderId="11" xfId="0" applyFill="1" applyBorder="1" applyAlignment="1">
      <alignment/>
    </xf>
    <xf numFmtId="0" fontId="0" fillId="12" borderId="9" xfId="0" applyFill="1" applyBorder="1" applyAlignment="1">
      <alignment/>
    </xf>
    <xf numFmtId="0" fontId="0" fillId="12" borderId="3" xfId="0" applyFill="1" applyBorder="1" applyAlignment="1">
      <alignment vertical="top"/>
    </xf>
    <xf numFmtId="0" fontId="2" fillId="2" borderId="12"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2" fillId="0" borderId="4" xfId="0" applyFont="1" applyBorder="1" applyAlignment="1">
      <alignment horizontal="left" vertical="top" indent="1"/>
    </xf>
    <xf numFmtId="0" fontId="0" fillId="0" borderId="4" xfId="0" applyBorder="1" applyAlignment="1">
      <alignment horizontal="left" vertical="top" indent="2"/>
    </xf>
    <xf numFmtId="0" fontId="0" fillId="0" borderId="0" xfId="0" applyBorder="1" applyAlignment="1">
      <alignment/>
    </xf>
    <xf numFmtId="0" fontId="0" fillId="0" borderId="4" xfId="0" applyBorder="1" applyAlignment="1">
      <alignment horizontal="left" vertical="top" indent="3"/>
    </xf>
    <xf numFmtId="0" fontId="0" fillId="0" borderId="0" xfId="0" applyBorder="1" applyAlignment="1">
      <alignment horizontal="left" vertical="top" indent="3"/>
    </xf>
    <xf numFmtId="0" fontId="0" fillId="0" borderId="7" xfId="0" applyBorder="1" applyAlignment="1">
      <alignment horizontal="left" vertical="top" indent="3"/>
    </xf>
    <xf numFmtId="0" fontId="0" fillId="0" borderId="0" xfId="0" applyAlignment="1">
      <alignment horizontal="left" indent="3"/>
    </xf>
    <xf numFmtId="0" fontId="0" fillId="0" borderId="0" xfId="0" applyAlignment="1">
      <alignment horizontal="left" vertical="top" indent="3"/>
    </xf>
    <xf numFmtId="4" fontId="0" fillId="2" borderId="0" xfId="0" applyNumberFormat="1" applyFont="1" applyFill="1" applyBorder="1" applyAlignment="1">
      <alignment vertical="top"/>
    </xf>
    <xf numFmtId="4" fontId="2" fillId="0" borderId="0" xfId="0" applyNumberFormat="1" applyFont="1" applyBorder="1" applyAlignment="1">
      <alignment horizontal="left" vertical="top"/>
    </xf>
    <xf numFmtId="0" fontId="2" fillId="12" borderId="12" xfId="0" applyFont="1" applyFill="1" applyBorder="1" applyAlignment="1">
      <alignment/>
    </xf>
    <xf numFmtId="0" fontId="0" fillId="0" borderId="0" xfId="0" applyFont="1" applyAlignment="1">
      <alignment wrapText="1"/>
    </xf>
    <xf numFmtId="0" fontId="22" fillId="0" borderId="0" xfId="0" applyFont="1" applyBorder="1" applyAlignment="1">
      <alignment vertical="top" wrapText="1"/>
    </xf>
    <xf numFmtId="0" fontId="0" fillId="11" borderId="12" xfId="0" applyFont="1" applyFill="1" applyBorder="1" applyAlignment="1">
      <alignment/>
    </xf>
    <xf numFmtId="0" fontId="0" fillId="11" borderId="5" xfId="0" applyFill="1" applyBorder="1" applyAlignment="1">
      <alignment/>
    </xf>
    <xf numFmtId="0" fontId="0" fillId="11" borderId="6" xfId="0" applyFill="1" applyBorder="1" applyAlignment="1">
      <alignment/>
    </xf>
    <xf numFmtId="0" fontId="0" fillId="11" borderId="3" xfId="0" applyFont="1" applyFill="1" applyBorder="1" applyAlignment="1">
      <alignment/>
    </xf>
    <xf numFmtId="0" fontId="0" fillId="11" borderId="13" xfId="0" applyFont="1" applyFill="1" applyBorder="1" applyAlignment="1">
      <alignment/>
    </xf>
    <xf numFmtId="0" fontId="0" fillId="11" borderId="8" xfId="0" applyFill="1" applyBorder="1" applyAlignment="1">
      <alignment/>
    </xf>
    <xf numFmtId="0" fontId="0" fillId="11" borderId="9" xfId="0" applyFill="1" applyBorder="1" applyAlignment="1">
      <alignment/>
    </xf>
    <xf numFmtId="0" fontId="0" fillId="11" borderId="10" xfId="0" applyFill="1" applyBorder="1" applyAlignment="1">
      <alignment/>
    </xf>
    <xf numFmtId="0" fontId="0" fillId="11" borderId="4" xfId="0" applyFont="1" applyFill="1" applyBorder="1" applyAlignment="1">
      <alignment/>
    </xf>
    <xf numFmtId="0" fontId="0" fillId="11" borderId="0" xfId="0" applyFill="1" applyBorder="1" applyAlignment="1">
      <alignment/>
    </xf>
    <xf numFmtId="0" fontId="0" fillId="11" borderId="7" xfId="0" applyFill="1" applyBorder="1" applyAlignment="1">
      <alignment/>
    </xf>
    <xf numFmtId="0" fontId="0" fillId="11" borderId="1" xfId="0" applyFont="1" applyFill="1" applyBorder="1" applyAlignment="1">
      <alignment horizontal="center" wrapText="1"/>
    </xf>
    <xf numFmtId="0" fontId="0" fillId="3" borderId="1" xfId="0" applyFont="1" applyFill="1" applyBorder="1" applyAlignment="1">
      <alignment horizontal="right" wrapText="1"/>
    </xf>
    <xf numFmtId="1" fontId="0" fillId="3" borderId="1" xfId="0" applyNumberFormat="1" applyFill="1" applyBorder="1" applyAlignment="1">
      <alignment/>
    </xf>
    <xf numFmtId="0" fontId="0" fillId="3" borderId="3" xfId="0" applyFill="1" applyBorder="1" applyAlignment="1">
      <alignment/>
    </xf>
    <xf numFmtId="0" fontId="0" fillId="3" borderId="11" xfId="0" applyFont="1" applyFill="1" applyBorder="1" applyAlignment="1">
      <alignment horizontal="right" wrapText="1"/>
    </xf>
    <xf numFmtId="0" fontId="9" fillId="0" borderId="0" xfId="0" applyFont="1" applyAlignment="1">
      <alignment/>
    </xf>
    <xf numFmtId="0" fontId="0" fillId="0" borderId="0" xfId="0" applyFont="1" applyBorder="1" applyAlignment="1">
      <alignment vertical="top"/>
    </xf>
    <xf numFmtId="0" fontId="0" fillId="0" borderId="0" xfId="0" applyFont="1" applyBorder="1" applyAlignment="1">
      <alignment horizontal="left" vertical="top" indent="1"/>
    </xf>
    <xf numFmtId="0" fontId="9" fillId="0" borderId="0" xfId="0" applyFont="1" applyAlignment="1">
      <alignment horizontal="left" indent="1"/>
    </xf>
    <xf numFmtId="0" fontId="0" fillId="0" borderId="6" xfId="0" applyBorder="1" applyAlignment="1">
      <alignment vertical="top"/>
    </xf>
    <xf numFmtId="0" fontId="0" fillId="11" borderId="8" xfId="0" applyFont="1" applyFill="1" applyBorder="1" applyAlignment="1">
      <alignment vertical="center"/>
    </xf>
    <xf numFmtId="0" fontId="0" fillId="11" borderId="5" xfId="0" applyFont="1" applyFill="1" applyBorder="1" applyAlignment="1">
      <alignment vertical="center"/>
    </xf>
    <xf numFmtId="0" fontId="0" fillId="11" borderId="0" xfId="0" applyFont="1" applyFill="1" applyBorder="1" applyAlignment="1">
      <alignment vertical="center"/>
    </xf>
    <xf numFmtId="169" fontId="0" fillId="0" borderId="10" xfId="0" applyNumberFormat="1" applyFill="1"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2" borderId="3" xfId="0" applyFont="1" applyFill="1" applyBorder="1" applyAlignment="1">
      <alignment vertical="top"/>
    </xf>
    <xf numFmtId="0" fontId="0" fillId="2" borderId="8" xfId="0" applyFont="1" applyFill="1" applyBorder="1" applyAlignment="1">
      <alignment vertical="top"/>
    </xf>
    <xf numFmtId="0" fontId="0" fillId="2" borderId="9" xfId="0" applyFont="1" applyFill="1" applyBorder="1" applyAlignment="1">
      <alignment vertical="top"/>
    </xf>
    <xf numFmtId="0" fontId="0" fillId="2" borderId="10" xfId="0" applyFont="1" applyFill="1" applyBorder="1" applyAlignment="1">
      <alignment vertical="top"/>
    </xf>
    <xf numFmtId="0" fontId="2" fillId="0" borderId="0" xfId="0" applyFont="1" applyBorder="1" applyAlignment="1">
      <alignment horizontal="right" vertical="top"/>
    </xf>
    <xf numFmtId="0" fontId="0" fillId="0" borderId="1" xfId="0" applyBorder="1" applyAlignment="1">
      <alignment/>
    </xf>
    <xf numFmtId="0" fontId="2" fillId="6" borderId="1" xfId="0" applyFont="1" applyFill="1" applyBorder="1" applyAlignment="1">
      <alignment/>
    </xf>
    <xf numFmtId="0" fontId="24" fillId="6" borderId="1" xfId="0" applyFont="1" applyFill="1" applyBorder="1" applyAlignment="1">
      <alignment horizontal="center" wrapText="1"/>
    </xf>
    <xf numFmtId="0" fontId="24" fillId="12" borderId="1" xfId="0" applyFont="1" applyFill="1" applyBorder="1" applyAlignment="1">
      <alignment horizontal="center" wrapText="1"/>
    </xf>
    <xf numFmtId="0" fontId="24" fillId="12" borderId="1" xfId="0" applyFont="1" applyFill="1" applyBorder="1" applyAlignment="1">
      <alignment/>
    </xf>
    <xf numFmtId="173" fontId="25" fillId="2" borderId="1" xfId="0" applyNumberFormat="1" applyFont="1" applyFill="1" applyBorder="1" applyAlignment="1">
      <alignment/>
    </xf>
    <xf numFmtId="173" fontId="0" fillId="13" borderId="1" xfId="0" applyNumberFormat="1" applyFill="1" applyBorder="1" applyAlignment="1">
      <alignment/>
    </xf>
    <xf numFmtId="173" fontId="25" fillId="12" borderId="1" xfId="0" applyNumberFormat="1" applyFont="1" applyFill="1" applyBorder="1" applyAlignment="1">
      <alignment/>
    </xf>
    <xf numFmtId="173" fontId="0" fillId="12" borderId="1" xfId="0" applyNumberFormat="1" applyFill="1" applyBorder="1" applyAlignment="1">
      <alignment/>
    </xf>
    <xf numFmtId="0" fontId="24" fillId="6" borderId="1" xfId="0" applyFont="1" applyFill="1" applyBorder="1" applyAlignment="1">
      <alignment/>
    </xf>
    <xf numFmtId="177" fontId="0" fillId="13" borderId="1" xfId="0" applyNumberFormat="1" applyFill="1" applyBorder="1" applyAlignment="1">
      <alignment/>
    </xf>
    <xf numFmtId="2" fontId="0" fillId="2" borderId="1" xfId="0" applyNumberFormat="1" applyFill="1" applyBorder="1" applyAlignment="1">
      <alignment/>
    </xf>
    <xf numFmtId="173" fontId="8" fillId="2" borderId="1" xfId="0" applyNumberFormat="1" applyFont="1" applyFill="1" applyBorder="1" applyAlignment="1">
      <alignment/>
    </xf>
    <xf numFmtId="4" fontId="0" fillId="3" borderId="1" xfId="0" applyNumberFormat="1" applyFill="1" applyBorder="1" applyAlignment="1">
      <alignment/>
    </xf>
    <xf numFmtId="0" fontId="0" fillId="2" borderId="1" xfId="0" applyFont="1" applyFill="1" applyBorder="1" applyAlignment="1">
      <alignment/>
    </xf>
    <xf numFmtId="175" fontId="0" fillId="2" borderId="1" xfId="0" applyNumberFormat="1" applyFill="1" applyBorder="1" applyAlignment="1">
      <alignment/>
    </xf>
    <xf numFmtId="0" fontId="0" fillId="11" borderId="9" xfId="0" applyFont="1" applyFill="1" applyBorder="1" applyAlignment="1">
      <alignment vertical="center"/>
    </xf>
    <xf numFmtId="0" fontId="0" fillId="11" borderId="6" xfId="0" applyFont="1" applyFill="1" applyBorder="1" applyAlignment="1">
      <alignment vertical="center"/>
    </xf>
    <xf numFmtId="0" fontId="0" fillId="11" borderId="7" xfId="0" applyFont="1" applyFill="1" applyBorder="1" applyAlignment="1">
      <alignment vertical="center"/>
    </xf>
    <xf numFmtId="3" fontId="0" fillId="3" borderId="3" xfId="0" applyNumberFormat="1" applyFill="1" applyBorder="1" applyAlignment="1">
      <alignment horizontal="right" vertical="center"/>
    </xf>
    <xf numFmtId="4" fontId="0" fillId="3" borderId="3" xfId="0" applyNumberFormat="1" applyFill="1" applyBorder="1" applyAlignment="1">
      <alignment horizontal="right" vertical="center"/>
    </xf>
    <xf numFmtId="168" fontId="0" fillId="3" borderId="3" xfId="0" applyNumberFormat="1" applyFill="1" applyBorder="1" applyAlignment="1">
      <alignment horizontal="right" vertical="center"/>
    </xf>
    <xf numFmtId="0" fontId="0" fillId="11" borderId="11" xfId="0" applyFont="1" applyFill="1" applyBorder="1" applyAlignment="1">
      <alignment vertical="top"/>
    </xf>
    <xf numFmtId="0" fontId="2" fillId="12" borderId="4" xfId="0" applyFont="1" applyFill="1" applyBorder="1" applyAlignment="1">
      <alignment vertical="top"/>
    </xf>
    <xf numFmtId="0" fontId="2" fillId="12" borderId="10" xfId="0" applyFont="1" applyFill="1" applyBorder="1" applyAlignment="1">
      <alignment vertical="top"/>
    </xf>
    <xf numFmtId="175" fontId="2" fillId="12" borderId="0" xfId="0" applyNumberFormat="1" applyFont="1" applyFill="1" applyBorder="1" applyAlignment="1">
      <alignment/>
    </xf>
    <xf numFmtId="0" fontId="0" fillId="12" borderId="6" xfId="0" applyFill="1" applyBorder="1" applyAlignment="1">
      <alignment/>
    </xf>
    <xf numFmtId="173" fontId="0" fillId="12" borderId="0" xfId="0" applyNumberFormat="1" applyFill="1" applyBorder="1" applyAlignment="1">
      <alignment/>
    </xf>
    <xf numFmtId="175" fontId="2" fillId="12" borderId="8" xfId="0" applyNumberFormat="1" applyFont="1" applyFill="1" applyBorder="1" applyAlignment="1">
      <alignment/>
    </xf>
    <xf numFmtId="0" fontId="0" fillId="12" borderId="11" xfId="0" applyFill="1" applyBorder="1" applyAlignment="1">
      <alignment vertical="top"/>
    </xf>
    <xf numFmtId="175" fontId="0" fillId="2" borderId="15" xfId="0" applyNumberFormat="1" applyFill="1" applyBorder="1" applyAlignment="1">
      <alignment/>
    </xf>
    <xf numFmtId="0" fontId="2" fillId="2" borderId="8" xfId="0" applyFont="1" applyFill="1" applyBorder="1" applyAlignment="1">
      <alignment horizontal="left"/>
    </xf>
    <xf numFmtId="0" fontId="0" fillId="2" borderId="13" xfId="0" applyFont="1" applyFill="1" applyBorder="1" applyAlignment="1">
      <alignment horizontal="left" indent="1"/>
    </xf>
    <xf numFmtId="0" fontId="0" fillId="0" borderId="9" xfId="0" applyBorder="1" applyAlignment="1">
      <alignment vertical="top"/>
    </xf>
    <xf numFmtId="175" fontId="0" fillId="3" borderId="10" xfId="0" applyNumberFormat="1" applyFill="1" applyBorder="1" applyAlignment="1">
      <alignment vertical="top"/>
    </xf>
    <xf numFmtId="0" fontId="0" fillId="2" borderId="3" xfId="0" applyFont="1" applyFill="1" applyBorder="1" applyAlignment="1">
      <alignment horizontal="left" indent="1"/>
    </xf>
    <xf numFmtId="169" fontId="0" fillId="11" borderId="4" xfId="0" applyNumberFormat="1" applyFill="1" applyBorder="1" applyAlignment="1">
      <alignment horizontal="left" vertical="top" indent="1"/>
    </xf>
    <xf numFmtId="169" fontId="0" fillId="11" borderId="0" xfId="0" applyNumberFormat="1" applyFill="1" applyBorder="1" applyAlignment="1">
      <alignment horizontal="left" vertical="top" indent="1"/>
    </xf>
    <xf numFmtId="169" fontId="0" fillId="11" borderId="7" xfId="0" applyNumberFormat="1" applyFill="1" applyBorder="1" applyAlignment="1">
      <alignment horizontal="left" vertical="top" indent="1"/>
    </xf>
    <xf numFmtId="0" fontId="0" fillId="11" borderId="4" xfId="0" applyFill="1" applyBorder="1" applyAlignment="1">
      <alignment/>
    </xf>
    <xf numFmtId="0" fontId="0" fillId="2" borderId="12" xfId="0" applyFont="1" applyFill="1" applyBorder="1" applyAlignment="1">
      <alignment horizontal="left" indent="1"/>
    </xf>
    <xf numFmtId="169" fontId="0" fillId="0" borderId="8" xfId="0" applyNumberFormat="1" applyFill="1" applyBorder="1" applyAlignment="1">
      <alignment vertical="top"/>
    </xf>
    <xf numFmtId="175" fontId="0" fillId="0" borderId="0" xfId="0" applyNumberFormat="1" applyFill="1" applyBorder="1" applyAlignment="1">
      <alignment vertical="top"/>
    </xf>
    <xf numFmtId="0" fontId="0" fillId="2" borderId="0" xfId="0" applyFont="1" applyFill="1" applyBorder="1" applyAlignment="1">
      <alignment horizontal="left" indent="1"/>
    </xf>
    <xf numFmtId="175" fontId="0" fillId="2" borderId="0" xfId="0" applyNumberFormat="1" applyFill="1" applyBorder="1" applyAlignment="1">
      <alignment vertical="top"/>
    </xf>
    <xf numFmtId="0" fontId="2" fillId="2" borderId="0" xfId="0" applyFont="1" applyFill="1" applyBorder="1" applyAlignment="1">
      <alignment horizontal="left"/>
    </xf>
    <xf numFmtId="0" fontId="0" fillId="2" borderId="5" xfId="0" applyFont="1" applyFill="1" applyBorder="1" applyAlignment="1">
      <alignment horizontal="left"/>
    </xf>
    <xf numFmtId="169" fontId="0" fillId="11" borderId="12" xfId="0" applyNumberFormat="1" applyFill="1" applyBorder="1" applyAlignment="1">
      <alignment horizontal="left" vertical="top" indent="1"/>
    </xf>
    <xf numFmtId="169" fontId="0" fillId="11" borderId="5" xfId="0" applyNumberFormat="1" applyFill="1" applyBorder="1" applyAlignment="1">
      <alignment horizontal="left" vertical="top" indent="1"/>
    </xf>
    <xf numFmtId="169" fontId="0" fillId="11" borderId="6" xfId="0" applyNumberFormat="1" applyFill="1" applyBorder="1" applyAlignment="1">
      <alignment horizontal="left" vertical="top" indent="1"/>
    </xf>
    <xf numFmtId="175" fontId="0" fillId="3" borderId="1" xfId="0" applyNumberFormat="1" applyFill="1" applyBorder="1" applyAlignment="1">
      <alignment vertical="top"/>
    </xf>
    <xf numFmtId="0" fontId="0" fillId="2" borderId="4" xfId="0" applyFont="1" applyFill="1" applyBorder="1" applyAlignment="1">
      <alignment horizontal="left" indent="1"/>
    </xf>
    <xf numFmtId="169" fontId="0" fillId="11" borderId="13" xfId="0" applyNumberFormat="1" applyFill="1" applyBorder="1" applyAlignment="1">
      <alignment horizontal="left" vertical="top" indent="1"/>
    </xf>
    <xf numFmtId="0" fontId="3" fillId="0" borderId="0" xfId="0" applyFont="1" applyFill="1" applyBorder="1" applyAlignment="1">
      <alignment horizontal="left" vertical="top" indent="1"/>
    </xf>
    <xf numFmtId="169" fontId="0" fillId="11" borderId="13" xfId="0" applyNumberFormat="1" applyFill="1" applyBorder="1" applyAlignment="1">
      <alignment horizontal="left" vertical="center" indent="1"/>
    </xf>
    <xf numFmtId="169" fontId="0" fillId="0" borderId="0" xfId="0" applyNumberFormat="1" applyFill="1" applyBorder="1" applyAlignment="1">
      <alignment horizontal="left" vertical="top" indent="1"/>
    </xf>
    <xf numFmtId="0" fontId="2" fillId="0" borderId="0" xfId="0" applyFont="1" applyAlignment="1">
      <alignment vertical="top"/>
    </xf>
    <xf numFmtId="0" fontId="0" fillId="0" borderId="0" xfId="0" applyAlignment="1">
      <alignment horizontal="left" indent="2"/>
    </xf>
    <xf numFmtId="0" fontId="26" fillId="0" borderId="0" xfId="29" applyFont="1" applyAlignment="1">
      <alignment horizontal="left" vertical="top" indent="2"/>
    </xf>
    <xf numFmtId="0" fontId="2" fillId="0" borderId="0" xfId="0" applyFont="1" applyAlignment="1">
      <alignment horizontal="left" vertical="top" indent="2"/>
    </xf>
    <xf numFmtId="0" fontId="26" fillId="0" borderId="0" xfId="29" applyFont="1" applyAlignment="1">
      <alignment horizontal="left" vertical="top" indent="3"/>
    </xf>
    <xf numFmtId="0" fontId="26" fillId="0" borderId="0" xfId="0" applyFont="1" applyAlignment="1">
      <alignment horizontal="left" vertical="top" indent="3"/>
    </xf>
    <xf numFmtId="0" fontId="26" fillId="0" borderId="0" xfId="0" applyFont="1" applyAlignment="1">
      <alignment horizontal="left" indent="3"/>
    </xf>
    <xf numFmtId="175" fontId="0" fillId="2" borderId="16" xfId="0" applyNumberFormat="1" applyFill="1" applyBorder="1" applyAlignment="1">
      <alignment/>
    </xf>
    <xf numFmtId="175" fontId="0" fillId="2" borderId="11" xfId="0" applyNumberFormat="1" applyFill="1" applyBorder="1" applyAlignment="1">
      <alignment/>
    </xf>
    <xf numFmtId="0" fontId="2" fillId="12" borderId="1" xfId="0" applyFont="1" applyFill="1" applyBorder="1" applyAlignment="1">
      <alignment horizontal="right"/>
    </xf>
    <xf numFmtId="0" fontId="2" fillId="12" borderId="16" xfId="0" applyFont="1" applyFill="1" applyBorder="1" applyAlignment="1">
      <alignment horizontal="right"/>
    </xf>
    <xf numFmtId="0" fontId="2" fillId="12" borderId="11" xfId="0" applyFont="1" applyFill="1" applyBorder="1" applyAlignment="1">
      <alignment horizontal="right"/>
    </xf>
    <xf numFmtId="0" fontId="2" fillId="12" borderId="8" xfId="0" applyFont="1" applyFill="1" applyBorder="1" applyAlignment="1">
      <alignment horizontal="left"/>
    </xf>
    <xf numFmtId="0" fontId="0" fillId="12" borderId="17" xfId="0" applyFill="1" applyBorder="1" applyAlignment="1">
      <alignment/>
    </xf>
    <xf numFmtId="0" fontId="2" fillId="12" borderId="10" xfId="0" applyFont="1" applyFill="1" applyBorder="1" applyAlignment="1">
      <alignment horizontal="left"/>
    </xf>
    <xf numFmtId="0" fontId="0" fillId="12" borderId="5" xfId="0" applyFont="1" applyFill="1" applyBorder="1" applyAlignment="1">
      <alignment horizontal="left"/>
    </xf>
    <xf numFmtId="0" fontId="0" fillId="12" borderId="0" xfId="0" applyFont="1" applyFill="1" applyBorder="1" applyAlignment="1">
      <alignment horizontal="left"/>
    </xf>
    <xf numFmtId="175" fontId="0" fillId="12" borderId="4" xfId="0" applyNumberFormat="1" applyFill="1" applyBorder="1" applyAlignment="1">
      <alignment/>
    </xf>
    <xf numFmtId="175" fontId="0" fillId="12" borderId="17" xfId="0" applyNumberFormat="1" applyFill="1" applyBorder="1" applyAlignment="1">
      <alignment/>
    </xf>
    <xf numFmtId="175" fontId="0" fillId="12" borderId="0" xfId="0" applyNumberFormat="1" applyFill="1" applyBorder="1" applyAlignment="1">
      <alignment/>
    </xf>
    <xf numFmtId="175" fontId="0" fillId="12" borderId="7" xfId="0" applyNumberFormat="1" applyFill="1" applyBorder="1" applyAlignment="1">
      <alignment/>
    </xf>
    <xf numFmtId="0" fontId="0" fillId="12" borderId="13" xfId="0" applyFont="1" applyFill="1" applyBorder="1" applyAlignment="1">
      <alignment horizontal="left"/>
    </xf>
    <xf numFmtId="0" fontId="0" fillId="12" borderId="3" xfId="0" applyFont="1" applyFill="1" applyBorder="1" applyAlignment="1">
      <alignment horizontal="left"/>
    </xf>
    <xf numFmtId="0" fontId="0" fillId="12" borderId="12" xfId="0" applyFont="1" applyFill="1" applyBorder="1" applyAlignment="1">
      <alignment horizontal="left"/>
    </xf>
    <xf numFmtId="175" fontId="0" fillId="12" borderId="7" xfId="0" applyNumberFormat="1" applyFill="1" applyBorder="1" applyAlignment="1">
      <alignment/>
    </xf>
    <xf numFmtId="0" fontId="0" fillId="12" borderId="4" xfId="0" applyFont="1" applyFill="1" applyBorder="1" applyAlignment="1">
      <alignment horizontal="left"/>
    </xf>
    <xf numFmtId="0" fontId="0" fillId="12" borderId="3" xfId="0" applyFill="1" applyBorder="1" applyAlignment="1">
      <alignment horizontal="left" vertical="top" indent="1"/>
    </xf>
    <xf numFmtId="0" fontId="0" fillId="12" borderId="1" xfId="0" applyFill="1" applyBorder="1" applyAlignment="1">
      <alignment horizontal="left" vertical="top" indent="1"/>
    </xf>
    <xf numFmtId="0" fontId="0" fillId="12" borderId="1" xfId="0" applyFill="1" applyBorder="1" applyAlignment="1">
      <alignment vertical="top"/>
    </xf>
    <xf numFmtId="0" fontId="8" fillId="12" borderId="1" xfId="0" applyFont="1" applyFill="1" applyBorder="1" applyAlignment="1">
      <alignment horizontal="left" vertical="top" indent="1"/>
    </xf>
    <xf numFmtId="169" fontId="0" fillId="2" borderId="1" xfId="0" applyNumberFormat="1" applyFill="1" applyBorder="1" applyAlignment="1">
      <alignment horizontal="right" vertical="top"/>
    </xf>
    <xf numFmtId="169" fontId="8" fillId="2" borderId="1" xfId="0" applyNumberFormat="1" applyFont="1" applyFill="1" applyBorder="1" applyAlignment="1">
      <alignment horizontal="right" vertical="top"/>
    </xf>
    <xf numFmtId="175" fontId="0" fillId="12" borderId="0" xfId="0" applyNumberFormat="1" applyFill="1" applyBorder="1" applyAlignment="1">
      <alignment/>
    </xf>
    <xf numFmtId="0" fontId="2" fillId="12" borderId="9" xfId="0" applyFont="1" applyFill="1" applyBorder="1" applyAlignment="1">
      <alignment horizontal="left"/>
    </xf>
    <xf numFmtId="0" fontId="0" fillId="12" borderId="9" xfId="0" applyFont="1" applyFill="1" applyBorder="1" applyAlignment="1">
      <alignment horizontal="left"/>
    </xf>
    <xf numFmtId="0" fontId="0" fillId="12" borderId="11" xfId="0" applyFont="1" applyFill="1" applyBorder="1" applyAlignment="1">
      <alignment horizontal="left"/>
    </xf>
    <xf numFmtId="0" fontId="0" fillId="12" borderId="6" xfId="0" applyFont="1" applyFill="1" applyBorder="1" applyAlignment="1">
      <alignment horizontal="left"/>
    </xf>
    <xf numFmtId="0" fontId="2" fillId="12" borderId="11" xfId="0" applyFont="1" applyFill="1" applyBorder="1" applyAlignment="1">
      <alignment horizontal="left"/>
    </xf>
    <xf numFmtId="0" fontId="0" fillId="12" borderId="7" xfId="0" applyFont="1" applyFill="1" applyBorder="1" applyAlignment="1">
      <alignment horizontal="left"/>
    </xf>
    <xf numFmtId="169" fontId="0" fillId="0" borderId="10" xfId="0" applyNumberFormat="1" applyBorder="1" applyAlignment="1">
      <alignment horizontal="left" vertical="top"/>
    </xf>
    <xf numFmtId="0" fontId="0" fillId="0" borderId="11" xfId="0" applyBorder="1" applyAlignment="1">
      <alignment/>
    </xf>
    <xf numFmtId="3" fontId="9" fillId="14" borderId="10" xfId="30" applyNumberFormat="1" applyFont="1" applyFill="1" applyBorder="1" applyAlignment="1">
      <alignment horizontal="right" vertical="top"/>
      <protection/>
    </xf>
    <xf numFmtId="3" fontId="9" fillId="14" borderId="5" xfId="30" applyNumberFormat="1" applyFont="1" applyFill="1" applyBorder="1" applyAlignment="1">
      <alignment horizontal="right" vertical="top"/>
      <protection/>
    </xf>
    <xf numFmtId="3" fontId="9" fillId="14" borderId="8" xfId="30" applyNumberFormat="1" applyFont="1" applyFill="1" applyBorder="1" applyAlignment="1">
      <alignment horizontal="right" vertical="top"/>
      <protection/>
    </xf>
    <xf numFmtId="3" fontId="0" fillId="3" borderId="10" xfId="0" applyNumberFormat="1" applyFill="1" applyBorder="1" applyAlignment="1">
      <alignment horizontal="right" vertical="top"/>
    </xf>
    <xf numFmtId="0" fontId="15" fillId="0" borderId="10" xfId="0" applyFont="1" applyFill="1" applyBorder="1" applyAlignment="1">
      <alignment vertical="top"/>
    </xf>
    <xf numFmtId="0" fontId="6" fillId="0" borderId="8" xfId="0" applyFont="1" applyFill="1" applyBorder="1" applyAlignment="1">
      <alignment vertical="top"/>
    </xf>
    <xf numFmtId="0" fontId="17" fillId="0" borderId="8" xfId="0" applyFont="1" applyFill="1" applyBorder="1" applyAlignment="1">
      <alignment horizontal="right" vertical="top"/>
    </xf>
    <xf numFmtId="0" fontId="0" fillId="11" borderId="12" xfId="0" applyFont="1" applyFill="1" applyBorder="1" applyAlignment="1">
      <alignment horizontal="left" vertical="center"/>
    </xf>
    <xf numFmtId="0" fontId="0" fillId="11" borderId="5" xfId="0" applyFont="1" applyFill="1" applyBorder="1" applyAlignment="1">
      <alignment horizontal="left" vertical="center"/>
    </xf>
    <xf numFmtId="0" fontId="0" fillId="11" borderId="6" xfId="0" applyFont="1" applyFill="1" applyBorder="1" applyAlignment="1">
      <alignment horizontal="left" vertical="center"/>
    </xf>
    <xf numFmtId="0" fontId="0" fillId="11" borderId="4" xfId="0" applyFont="1" applyFill="1" applyBorder="1" applyAlignment="1">
      <alignment horizontal="left" vertical="center"/>
    </xf>
    <xf numFmtId="0" fontId="0" fillId="11" borderId="0" xfId="0" applyFont="1" applyFill="1" applyBorder="1" applyAlignment="1">
      <alignment horizontal="left" vertical="center"/>
    </xf>
    <xf numFmtId="0" fontId="0" fillId="11" borderId="7" xfId="0" applyFont="1" applyFill="1" applyBorder="1" applyAlignment="1">
      <alignment horizontal="left" vertical="center"/>
    </xf>
    <xf numFmtId="0" fontId="2" fillId="12" borderId="11" xfId="0" applyFont="1" applyFill="1" applyBorder="1" applyAlignment="1">
      <alignment horizontal="center"/>
    </xf>
    <xf numFmtId="0" fontId="2" fillId="0" borderId="12" xfId="0" applyFont="1" applyBorder="1" applyAlignment="1">
      <alignment/>
    </xf>
    <xf numFmtId="0" fontId="0" fillId="0" borderId="1" xfId="0" applyBorder="1" applyAlignment="1">
      <alignment wrapText="1"/>
    </xf>
    <xf numFmtId="0" fontId="2" fillId="0" borderId="1" xfId="0" applyFont="1" applyBorder="1" applyAlignment="1">
      <alignment/>
    </xf>
    <xf numFmtId="0" fontId="0" fillId="2" borderId="10" xfId="0" applyFill="1" applyBorder="1" applyAlignment="1">
      <alignment vertical="top" wrapText="1"/>
    </xf>
    <xf numFmtId="0" fontId="2" fillId="12" borderId="1" xfId="0" applyFont="1" applyFill="1" applyBorder="1" applyAlignment="1">
      <alignment horizontal="center"/>
    </xf>
    <xf numFmtId="175" fontId="0" fillId="2" borderId="3" xfId="0" applyNumberFormat="1" applyFill="1" applyBorder="1" applyAlignment="1">
      <alignment/>
    </xf>
    <xf numFmtId="0" fontId="11" fillId="2" borderId="0" xfId="0" applyFont="1" applyFill="1" applyBorder="1" applyAlignment="1">
      <alignment horizontal="left" vertical="top"/>
    </xf>
    <xf numFmtId="0" fontId="0" fillId="2" borderId="1" xfId="0" applyFill="1" applyBorder="1" applyAlignment="1">
      <alignment horizontal="left" vertical="top"/>
    </xf>
    <xf numFmtId="173" fontId="0" fillId="2" borderId="1" xfId="19" applyNumberFormat="1" applyBorder="1" applyAlignment="1">
      <alignment horizontal="right" vertical="top"/>
      <protection/>
    </xf>
    <xf numFmtId="178" fontId="0" fillId="3" borderId="1" xfId="20" applyNumberFormat="1" applyFont="1" applyBorder="1" applyAlignment="1">
      <alignment horizontal="right"/>
      <protection/>
    </xf>
    <xf numFmtId="178" fontId="0" fillId="0" borderId="1" xfId="20" applyNumberFormat="1" applyFont="1" applyFill="1" applyBorder="1" applyAlignment="1">
      <alignment horizontal="right"/>
      <protection/>
    </xf>
    <xf numFmtId="169" fontId="0" fillId="11" borderId="4" xfId="0" applyNumberFormat="1" applyFill="1" applyBorder="1" applyAlignment="1">
      <alignment horizontal="left" vertical="center" wrapText="1"/>
    </xf>
    <xf numFmtId="169" fontId="0" fillId="11" borderId="0" xfId="0" applyNumberFormat="1" applyFill="1" applyBorder="1" applyAlignment="1">
      <alignment horizontal="left" vertical="center" wrapText="1"/>
    </xf>
    <xf numFmtId="169" fontId="0" fillId="11" borderId="7" xfId="0" applyNumberFormat="1" applyFill="1" applyBorder="1" applyAlignment="1">
      <alignment horizontal="left" vertical="center" wrapText="1"/>
    </xf>
    <xf numFmtId="169" fontId="0" fillId="11" borderId="13" xfId="0" applyNumberFormat="1" applyFill="1" applyBorder="1" applyAlignment="1">
      <alignment horizontal="left" vertical="center" wrapText="1"/>
    </xf>
    <xf numFmtId="169" fontId="0" fillId="11" borderId="8" xfId="0" applyNumberFormat="1" applyFill="1" applyBorder="1" applyAlignment="1">
      <alignment horizontal="left" vertical="center" wrapText="1"/>
    </xf>
    <xf numFmtId="169" fontId="0" fillId="11" borderId="9" xfId="0" applyNumberFormat="1" applyFill="1" applyBorder="1" applyAlignment="1">
      <alignment horizontal="left" vertical="center" wrapText="1"/>
    </xf>
    <xf numFmtId="0" fontId="30" fillId="2" borderId="1" xfId="0" applyFont="1" applyFill="1" applyBorder="1" applyAlignment="1" applyProtection="1">
      <alignment/>
      <protection/>
    </xf>
    <xf numFmtId="0" fontId="30" fillId="2" borderId="15" xfId="0" applyFont="1" applyFill="1" applyBorder="1" applyAlignment="1" applyProtection="1">
      <alignment/>
      <protection/>
    </xf>
    <xf numFmtId="0" fontId="2" fillId="12" borderId="3" xfId="0" applyFont="1" applyFill="1" applyBorder="1" applyAlignment="1">
      <alignment horizontal="right"/>
    </xf>
    <xf numFmtId="0" fontId="0" fillId="12" borderId="18" xfId="0" applyFill="1" applyBorder="1" applyAlignment="1">
      <alignment/>
    </xf>
    <xf numFmtId="178" fontId="0" fillId="0" borderId="0" xfId="0" applyNumberFormat="1" applyAlignment="1">
      <alignment/>
    </xf>
    <xf numFmtId="178" fontId="0" fillId="0" borderId="1" xfId="0" applyNumberFormat="1" applyBorder="1" applyAlignment="1">
      <alignment/>
    </xf>
    <xf numFmtId="169" fontId="0" fillId="2" borderId="0" xfId="0" applyNumberFormat="1" applyFill="1" applyBorder="1" applyAlignment="1">
      <alignment horizontal="left" vertical="top"/>
    </xf>
    <xf numFmtId="169" fontId="0" fillId="0" borderId="11" xfId="0" applyNumberFormat="1" applyFill="1" applyBorder="1" applyAlignment="1">
      <alignment vertical="top"/>
    </xf>
    <xf numFmtId="175" fontId="0" fillId="0" borderId="1" xfId="0" applyNumberFormat="1" applyFill="1" applyBorder="1" applyAlignment="1">
      <alignment vertical="top"/>
    </xf>
    <xf numFmtId="0" fontId="0" fillId="0" borderId="3" xfId="0" applyBorder="1" applyAlignment="1">
      <alignment/>
    </xf>
    <xf numFmtId="169" fontId="0" fillId="0" borderId="5" xfId="0" applyNumberFormat="1" applyFill="1" applyBorder="1" applyAlignment="1">
      <alignment vertical="top"/>
    </xf>
    <xf numFmtId="169" fontId="2" fillId="11" borderId="4" xfId="0" applyNumberFormat="1" applyFont="1" applyFill="1" applyBorder="1" applyAlignment="1">
      <alignment horizontal="left" vertical="top" indent="1"/>
    </xf>
    <xf numFmtId="0" fontId="0" fillId="2" borderId="0" xfId="0" applyFont="1" applyFill="1" applyBorder="1" applyAlignment="1">
      <alignment horizontal="left"/>
    </xf>
    <xf numFmtId="0" fontId="0" fillId="0" borderId="8" xfId="0" applyFont="1" applyFill="1" applyBorder="1" applyAlignment="1">
      <alignment horizontal="left" vertical="center"/>
    </xf>
    <xf numFmtId="0" fontId="2" fillId="0" borderId="8" xfId="0" applyFont="1" applyBorder="1" applyAlignment="1">
      <alignment horizontal="center" vertical="top"/>
    </xf>
    <xf numFmtId="175" fontId="0" fillId="3" borderId="3" xfId="0" applyNumberFormat="1" applyFill="1" applyBorder="1" applyAlignment="1">
      <alignment vertical="top"/>
    </xf>
    <xf numFmtId="169" fontId="23" fillId="0" borderId="0" xfId="0" applyNumberFormat="1" applyFont="1" applyFill="1" applyBorder="1" applyAlignment="1">
      <alignment vertical="top"/>
    </xf>
    <xf numFmtId="0" fontId="23" fillId="2" borderId="0" xfId="0" applyFont="1" applyFill="1" applyBorder="1" applyAlignment="1">
      <alignment horizontal="left"/>
    </xf>
    <xf numFmtId="0" fontId="23" fillId="2" borderId="8" xfId="0" applyFont="1" applyFill="1" applyBorder="1" applyAlignment="1">
      <alignment horizontal="left"/>
    </xf>
    <xf numFmtId="0" fontId="2" fillId="2" borderId="10" xfId="0" applyFont="1" applyFill="1" applyBorder="1" applyAlignment="1">
      <alignment horizontal="left"/>
    </xf>
    <xf numFmtId="0" fontId="2" fillId="12" borderId="3" xfId="0" applyFont="1" applyFill="1" applyBorder="1" applyAlignment="1">
      <alignment horizontal="left"/>
    </xf>
    <xf numFmtId="0" fontId="2" fillId="12" borderId="16" xfId="0" applyFont="1" applyFill="1" applyBorder="1" applyAlignment="1">
      <alignment horizontal="left"/>
    </xf>
    <xf numFmtId="0" fontId="2" fillId="12" borderId="1" xfId="0" applyFont="1" applyFill="1" applyBorder="1" applyAlignment="1">
      <alignment horizontal="left"/>
    </xf>
    <xf numFmtId="175" fontId="0" fillId="0" borderId="0" xfId="0" applyNumberFormat="1" applyAlignment="1">
      <alignment/>
    </xf>
    <xf numFmtId="0" fontId="0" fillId="2" borderId="3" xfId="0" applyFill="1" applyBorder="1" applyAlignment="1">
      <alignment vertical="top"/>
    </xf>
    <xf numFmtId="0" fontId="0" fillId="2" borderId="4" xfId="0" applyFill="1" applyBorder="1" applyAlignment="1">
      <alignment vertical="top"/>
    </xf>
    <xf numFmtId="175" fontId="0" fillId="2" borderId="19" xfId="0" applyNumberFormat="1" applyFill="1" applyBorder="1" applyAlignment="1">
      <alignment/>
    </xf>
    <xf numFmtId="0" fontId="0" fillId="2" borderId="12" xfId="0" applyFont="1" applyFill="1" applyBorder="1" applyAlignment="1">
      <alignment vertical="top"/>
    </xf>
    <xf numFmtId="0" fontId="0" fillId="2" borderId="5" xfId="0" applyFont="1" applyFill="1" applyBorder="1" applyAlignment="1">
      <alignment vertical="top"/>
    </xf>
    <xf numFmtId="0" fontId="0" fillId="2" borderId="12" xfId="0" applyFill="1" applyBorder="1" applyAlignment="1">
      <alignment vertical="top"/>
    </xf>
    <xf numFmtId="0" fontId="0" fillId="2" borderId="5" xfId="0" applyFill="1" applyBorder="1" applyAlignment="1">
      <alignment vertical="top"/>
    </xf>
    <xf numFmtId="0" fontId="0" fillId="12" borderId="12" xfId="0" applyFont="1" applyFill="1" applyBorder="1" applyAlignment="1">
      <alignment vertical="top"/>
    </xf>
    <xf numFmtId="175" fontId="0" fillId="2" borderId="20" xfId="0" applyNumberFormat="1" applyFill="1" applyBorder="1" applyAlignment="1">
      <alignment/>
    </xf>
    <xf numFmtId="0" fontId="2" fillId="12" borderId="1" xfId="0" applyFont="1" applyFill="1" applyBorder="1" applyAlignment="1">
      <alignment horizontal="left" wrapText="1"/>
    </xf>
    <xf numFmtId="0" fontId="0" fillId="12" borderId="1" xfId="0" applyFill="1" applyBorder="1" applyAlignment="1">
      <alignment/>
    </xf>
    <xf numFmtId="0" fontId="24" fillId="15" borderId="4" xfId="0" applyFont="1" applyFill="1" applyBorder="1" applyAlignment="1">
      <alignment/>
    </xf>
    <xf numFmtId="0" fontId="22" fillId="15" borderId="0" xfId="0" applyFont="1" applyFill="1" applyBorder="1" applyAlignment="1">
      <alignment horizontal="center"/>
    </xf>
    <xf numFmtId="0" fontId="22" fillId="15" borderId="7" xfId="0" applyFont="1" applyFill="1" applyBorder="1" applyAlignment="1">
      <alignment horizontal="center"/>
    </xf>
    <xf numFmtId="0" fontId="3" fillId="15" borderId="0" xfId="0" applyFont="1" applyFill="1" applyAlignment="1">
      <alignment/>
    </xf>
    <xf numFmtId="0" fontId="0" fillId="15" borderId="0" xfId="0" applyFill="1" applyAlignment="1">
      <alignment horizontal="center"/>
    </xf>
    <xf numFmtId="0" fontId="0" fillId="15" borderId="0" xfId="0" applyFill="1" applyAlignment="1">
      <alignment/>
    </xf>
    <xf numFmtId="0" fontId="22" fillId="0" borderId="1" xfId="0" applyFont="1" applyBorder="1" applyAlignment="1">
      <alignment/>
    </xf>
    <xf numFmtId="179" fontId="22" fillId="0" borderId="1" xfId="0" applyNumberFormat="1" applyFont="1" applyFill="1" applyBorder="1" applyAlignment="1">
      <alignment horizontal="center"/>
    </xf>
    <xf numFmtId="0" fontId="22" fillId="0" borderId="1" xfId="0" applyFont="1" applyBorder="1" applyAlignment="1">
      <alignment horizontal="center"/>
    </xf>
    <xf numFmtId="0" fontId="0" fillId="0" borderId="11" xfId="0" applyFill="1" applyBorder="1" applyAlignment="1">
      <alignment/>
    </xf>
    <xf numFmtId="0" fontId="22" fillId="0" borderId="3" xfId="0" applyFont="1" applyFill="1" applyBorder="1" applyAlignment="1">
      <alignment/>
    </xf>
    <xf numFmtId="0" fontId="22" fillId="0" borderId="21" xfId="0" applyFont="1" applyBorder="1" applyAlignment="1">
      <alignment/>
    </xf>
    <xf numFmtId="0" fontId="22" fillId="0" borderId="1" xfId="0" applyFont="1" applyFill="1" applyBorder="1" applyAlignment="1">
      <alignment horizontal="center"/>
    </xf>
    <xf numFmtId="0" fontId="0" fillId="15" borderId="1" xfId="0" applyFont="1" applyFill="1" applyBorder="1" applyAlignment="1">
      <alignment/>
    </xf>
    <xf numFmtId="0" fontId="24" fillId="0" borderId="0" xfId="0" applyFont="1" applyFill="1" applyBorder="1" applyAlignment="1">
      <alignment/>
    </xf>
    <xf numFmtId="0" fontId="8" fillId="0" borderId="0" xfId="0" applyFont="1" applyAlignment="1">
      <alignment/>
    </xf>
    <xf numFmtId="0" fontId="0" fillId="0" borderId="15" xfId="0" applyFill="1" applyBorder="1" applyAlignment="1">
      <alignment vertical="top"/>
    </xf>
    <xf numFmtId="0" fontId="0" fillId="0" borderId="22" xfId="0" applyBorder="1" applyAlignment="1">
      <alignment/>
    </xf>
    <xf numFmtId="0" fontId="0" fillId="0" borderId="15" xfId="0" applyBorder="1" applyAlignment="1">
      <alignment/>
    </xf>
    <xf numFmtId="0" fontId="2" fillId="12" borderId="1" xfId="0" applyFont="1" applyFill="1" applyBorder="1" applyAlignment="1">
      <alignment horizontal="left" vertical="top" wrapText="1"/>
    </xf>
    <xf numFmtId="178" fontId="0" fillId="3" borderId="1" xfId="20" applyNumberFormat="1" applyFont="1" applyFill="1" applyBorder="1" applyAlignment="1">
      <alignment horizontal="right"/>
      <protection/>
    </xf>
    <xf numFmtId="0" fontId="0" fillId="0" borderId="3" xfId="0" applyFill="1" applyBorder="1" applyAlignment="1">
      <alignment/>
    </xf>
    <xf numFmtId="0" fontId="0" fillId="0" borderId="0" xfId="0" applyFont="1" applyBorder="1" applyAlignment="1">
      <alignment/>
    </xf>
    <xf numFmtId="0" fontId="2" fillId="12" borderId="3" xfId="0" applyFont="1" applyFill="1" applyBorder="1" applyAlignment="1">
      <alignment horizontal="left" vertical="top" wrapText="1"/>
    </xf>
    <xf numFmtId="0" fontId="2" fillId="12" borderId="20" xfId="0" applyFont="1" applyFill="1" applyBorder="1" applyAlignment="1">
      <alignment horizontal="left" vertical="top" wrapText="1"/>
    </xf>
    <xf numFmtId="175" fontId="0" fillId="2" borderId="23" xfId="0" applyNumberFormat="1" applyFill="1" applyBorder="1" applyAlignment="1">
      <alignment/>
    </xf>
    <xf numFmtId="175" fontId="0" fillId="2" borderId="24" xfId="0" applyNumberFormat="1" applyFill="1" applyBorder="1" applyAlignment="1">
      <alignment/>
    </xf>
    <xf numFmtId="0" fontId="2" fillId="12" borderId="11" xfId="0" applyFont="1" applyFill="1" applyBorder="1" applyAlignment="1">
      <alignment horizontal="left" vertical="top" wrapText="1"/>
    </xf>
    <xf numFmtId="0" fontId="0" fillId="0" borderId="20" xfId="0"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left" vertical="top" wrapText="1"/>
    </xf>
    <xf numFmtId="0" fontId="0" fillId="11" borderId="8" xfId="0" applyFont="1" applyFill="1" applyBorder="1" applyAlignment="1">
      <alignment horizontal="left" vertical="center"/>
    </xf>
    <xf numFmtId="0" fontId="0" fillId="11" borderId="9" xfId="0" applyFont="1" applyFill="1" applyBorder="1" applyAlignment="1">
      <alignment horizontal="left" vertical="center"/>
    </xf>
    <xf numFmtId="0" fontId="2" fillId="12"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2" fillId="12" borderId="11" xfId="0" applyFont="1" applyFill="1" applyBorder="1" applyAlignment="1">
      <alignment horizontal="left" vertical="center"/>
    </xf>
    <xf numFmtId="0" fontId="0" fillId="0" borderId="10" xfId="0" applyFont="1" applyBorder="1" applyAlignment="1">
      <alignment/>
    </xf>
    <xf numFmtId="0" fontId="2" fillId="12" borderId="10" xfId="0" applyFont="1" applyFill="1" applyBorder="1" applyAlignment="1">
      <alignment horizontal="left" vertical="center" wrapText="1"/>
    </xf>
    <xf numFmtId="0" fontId="2" fillId="12" borderId="20" xfId="0" applyFont="1" applyFill="1" applyBorder="1" applyAlignment="1">
      <alignment horizontal="left" vertical="center"/>
    </xf>
    <xf numFmtId="178" fontId="0" fillId="3" borderId="11" xfId="20" applyNumberFormat="1" applyFont="1" applyFill="1" applyBorder="1" applyAlignment="1">
      <alignment horizontal="right"/>
      <protection/>
    </xf>
    <xf numFmtId="178" fontId="0" fillId="3" borderId="11" xfId="20" applyNumberFormat="1" applyFont="1" applyBorder="1" applyAlignment="1">
      <alignment horizontal="right"/>
      <protection/>
    </xf>
    <xf numFmtId="0" fontId="0" fillId="0" borderId="20" xfId="0" applyFill="1" applyBorder="1" applyAlignment="1">
      <alignment/>
    </xf>
    <xf numFmtId="0" fontId="0" fillId="0" borderId="16" xfId="0" applyBorder="1" applyAlignment="1">
      <alignment/>
    </xf>
    <xf numFmtId="0" fontId="0" fillId="11" borderId="13" xfId="0" applyFont="1" applyFill="1" applyBorder="1" applyAlignment="1">
      <alignment horizontal="left" vertical="center"/>
    </xf>
    <xf numFmtId="0" fontId="2" fillId="0" borderId="8" xfId="0" applyFont="1" applyBorder="1" applyAlignment="1">
      <alignment horizontal="left"/>
    </xf>
    <xf numFmtId="0" fontId="0" fillId="12" borderId="3" xfId="0" applyFont="1" applyFill="1" applyBorder="1" applyAlignment="1">
      <alignment vertical="top"/>
    </xf>
    <xf numFmtId="0" fontId="0" fillId="0" borderId="8" xfId="0" applyBorder="1" applyAlignment="1">
      <alignment horizontal="left"/>
    </xf>
    <xf numFmtId="4" fontId="0" fillId="3" borderId="3" xfId="0" applyNumberFormat="1" applyFill="1" applyBorder="1" applyAlignment="1">
      <alignment/>
    </xf>
    <xf numFmtId="4" fontId="0" fillId="3" borderId="10" xfId="0" applyNumberFormat="1" applyFill="1" applyBorder="1" applyAlignment="1">
      <alignment/>
    </xf>
    <xf numFmtId="169" fontId="0" fillId="11" borderId="4" xfId="0" applyNumberFormat="1" applyFill="1" applyBorder="1" applyAlignment="1">
      <alignment horizontal="left" vertical="center" indent="1"/>
    </xf>
    <xf numFmtId="0" fontId="0" fillId="2" borderId="0" xfId="0" applyFont="1" applyFill="1" applyBorder="1" applyAlignment="1">
      <alignment horizontal="left" vertical="center"/>
    </xf>
    <xf numFmtId="0" fontId="0" fillId="12" borderId="10" xfId="0" applyFill="1" applyBorder="1" applyAlignment="1">
      <alignment vertical="top"/>
    </xf>
    <xf numFmtId="173" fontId="25" fillId="12" borderId="0" xfId="0" applyNumberFormat="1" applyFont="1" applyFill="1" applyBorder="1" applyAlignment="1">
      <alignment/>
    </xf>
    <xf numFmtId="177" fontId="0" fillId="12" borderId="0" xfId="0" applyNumberFormat="1" applyFill="1" applyBorder="1" applyAlignment="1">
      <alignment/>
    </xf>
    <xf numFmtId="2" fontId="0" fillId="12" borderId="0" xfId="0" applyNumberFormat="1" applyFill="1" applyBorder="1" applyAlignment="1">
      <alignment/>
    </xf>
    <xf numFmtId="0" fontId="2" fillId="12" borderId="8" xfId="0" applyFont="1" applyFill="1" applyBorder="1" applyAlignment="1">
      <alignment vertical="top"/>
    </xf>
    <xf numFmtId="0" fontId="8" fillId="0" borderId="10" xfId="0" applyFont="1" applyBorder="1" applyAlignment="1">
      <alignment vertical="top"/>
    </xf>
    <xf numFmtId="169" fontId="0" fillId="16" borderId="4" xfId="0" applyNumberFormat="1" applyFill="1" applyBorder="1" applyAlignment="1">
      <alignment vertical="top"/>
    </xf>
    <xf numFmtId="169" fontId="0" fillId="16" borderId="0" xfId="0" applyNumberFormat="1" applyFill="1" applyBorder="1" applyAlignment="1">
      <alignment vertical="top"/>
    </xf>
    <xf numFmtId="169" fontId="0" fillId="16" borderId="7" xfId="0" applyNumberFormat="1" applyFill="1" applyBorder="1" applyAlignment="1">
      <alignment vertical="top"/>
    </xf>
    <xf numFmtId="169" fontId="0" fillId="16" borderId="13" xfId="0" applyNumberFormat="1" applyFill="1" applyBorder="1" applyAlignment="1">
      <alignment vertical="top"/>
    </xf>
    <xf numFmtId="169" fontId="0" fillId="16" borderId="8" xfId="0" applyNumberFormat="1" applyFill="1" applyBorder="1" applyAlignment="1">
      <alignment vertical="top"/>
    </xf>
    <xf numFmtId="169" fontId="0" fillId="16" borderId="9" xfId="0" applyNumberFormat="1" applyFill="1" applyBorder="1" applyAlignment="1">
      <alignment vertical="top"/>
    </xf>
    <xf numFmtId="169" fontId="0" fillId="3" borderId="11" xfId="0" applyNumberFormat="1" applyFill="1" applyBorder="1" applyAlignment="1">
      <alignment vertical="top"/>
    </xf>
    <xf numFmtId="0" fontId="23" fillId="12" borderId="0" xfId="0" applyFont="1" applyFill="1" applyBorder="1" applyAlignment="1">
      <alignment horizontal="left"/>
    </xf>
    <xf numFmtId="0" fontId="0" fillId="12" borderId="3" xfId="0" applyFont="1" applyFill="1" applyBorder="1" applyAlignment="1">
      <alignment horizontal="left" indent="1"/>
    </xf>
    <xf numFmtId="0" fontId="0" fillId="12" borderId="4" xfId="0" applyFont="1" applyFill="1" applyBorder="1" applyAlignment="1">
      <alignment horizontal="left" indent="1"/>
    </xf>
    <xf numFmtId="0" fontId="0" fillId="12" borderId="12" xfId="0" applyFont="1" applyFill="1" applyBorder="1" applyAlignment="1">
      <alignment horizontal="left" indent="1"/>
    </xf>
    <xf numFmtId="0" fontId="2" fillId="12" borderId="0" xfId="0" applyFont="1" applyFill="1" applyAlignment="1">
      <alignment horizontal="right" vertical="top"/>
    </xf>
    <xf numFmtId="0" fontId="0" fillId="12" borderId="0" xfId="0" applyFill="1" applyAlignment="1">
      <alignment/>
    </xf>
    <xf numFmtId="0" fontId="0" fillId="11" borderId="0" xfId="0" applyFill="1" applyAlignment="1">
      <alignment/>
    </xf>
    <xf numFmtId="168" fontId="0" fillId="3" borderId="11" xfId="0" applyNumberFormat="1" applyFill="1" applyBorder="1" applyAlignment="1">
      <alignment vertical="top"/>
    </xf>
    <xf numFmtId="169" fontId="0" fillId="2" borderId="11" xfId="0" applyNumberFormat="1" applyFill="1" applyBorder="1" applyAlignment="1">
      <alignment vertical="top"/>
    </xf>
    <xf numFmtId="0" fontId="0" fillId="11" borderId="4" xfId="0" applyFont="1" applyFill="1" applyBorder="1" applyAlignment="1">
      <alignment horizontal="left" vertical="top"/>
    </xf>
    <xf numFmtId="0" fontId="0" fillId="0" borderId="0" xfId="0" applyAlignment="1">
      <alignment/>
    </xf>
    <xf numFmtId="4" fontId="0" fillId="11" borderId="0" xfId="0" applyNumberFormat="1" applyFont="1" applyFill="1" applyBorder="1" applyAlignment="1">
      <alignment vertical="top"/>
    </xf>
    <xf numFmtId="0" fontId="0" fillId="11" borderId="0" xfId="0" applyFont="1" applyFill="1" applyBorder="1" applyAlignment="1">
      <alignment vertical="top"/>
    </xf>
    <xf numFmtId="0" fontId="0" fillId="11" borderId="12" xfId="0" applyFont="1" applyFill="1" applyBorder="1" applyAlignment="1">
      <alignment horizontal="left" vertical="top"/>
    </xf>
    <xf numFmtId="0" fontId="0" fillId="11" borderId="5" xfId="0" applyFont="1" applyFill="1" applyBorder="1" applyAlignment="1">
      <alignment horizontal="left" vertical="top"/>
    </xf>
    <xf numFmtId="4" fontId="0" fillId="11" borderId="6" xfId="0" applyNumberFormat="1" applyFont="1" applyFill="1" applyBorder="1" applyAlignment="1">
      <alignment vertical="top"/>
    </xf>
    <xf numFmtId="4" fontId="0" fillId="11" borderId="7" xfId="0" applyNumberFormat="1" applyFont="1" applyFill="1" applyBorder="1" applyAlignment="1">
      <alignment vertical="top"/>
    </xf>
    <xf numFmtId="4" fontId="0" fillId="3" borderId="10" xfId="0" applyNumberFormat="1" applyFill="1" applyBorder="1" applyAlignment="1">
      <alignment horizontal="right" vertical="top"/>
    </xf>
    <xf numFmtId="2" fontId="0" fillId="12" borderId="1" xfId="0" applyNumberFormat="1" applyFill="1" applyBorder="1" applyAlignment="1">
      <alignment/>
    </xf>
    <xf numFmtId="0" fontId="0" fillId="11" borderId="12" xfId="0" applyFill="1" applyBorder="1" applyAlignment="1">
      <alignment/>
    </xf>
    <xf numFmtId="0" fontId="0" fillId="0" borderId="4" xfId="0" applyFill="1" applyBorder="1" applyAlignment="1">
      <alignment vertical="top"/>
    </xf>
    <xf numFmtId="169" fontId="0" fillId="3" borderId="1" xfId="0" applyNumberFormat="1" applyFill="1" applyBorder="1" applyAlignment="1">
      <alignment vertical="top"/>
    </xf>
    <xf numFmtId="169" fontId="0" fillId="11" borderId="4" xfId="0" applyNumberFormat="1" applyFill="1" applyBorder="1" applyAlignment="1">
      <alignment horizontal="center" vertical="top"/>
    </xf>
    <xf numFmtId="0" fontId="0" fillId="2" borderId="0" xfId="0" applyFill="1" applyAlignment="1">
      <alignment vertical="top"/>
    </xf>
    <xf numFmtId="173" fontId="0" fillId="13" borderId="0" xfId="0" applyNumberFormat="1" applyFill="1" applyBorder="1" applyAlignment="1">
      <alignment/>
    </xf>
    <xf numFmtId="175" fontId="0" fillId="2" borderId="0" xfId="0" applyNumberFormat="1" applyFill="1" applyBorder="1" applyAlignment="1">
      <alignment/>
    </xf>
    <xf numFmtId="4" fontId="0" fillId="2" borderId="1" xfId="0" applyNumberFormat="1" applyFill="1" applyBorder="1" applyAlignment="1">
      <alignment horizontal="right" vertical="top"/>
    </xf>
    <xf numFmtId="168" fontId="0" fillId="3" borderId="10" xfId="0" applyNumberFormat="1" applyFill="1" applyBorder="1" applyAlignment="1">
      <alignment horizontal="right"/>
    </xf>
    <xf numFmtId="0" fontId="3" fillId="0" borderId="4" xfId="0" applyFont="1" applyBorder="1" applyAlignment="1">
      <alignment horizontal="left" vertical="top" indent="1"/>
    </xf>
    <xf numFmtId="0" fontId="0" fillId="2" borderId="8" xfId="0" applyFont="1" applyFill="1" applyBorder="1" applyAlignment="1">
      <alignment horizontal="left" vertical="center"/>
    </xf>
    <xf numFmtId="169" fontId="0" fillId="11" borderId="10" xfId="0" applyNumberFormat="1" applyFill="1" applyBorder="1" applyAlignment="1">
      <alignment vertical="top"/>
    </xf>
    <xf numFmtId="169" fontId="0" fillId="11" borderId="11" xfId="0" applyNumberFormat="1" applyFill="1" applyBorder="1" applyAlignment="1">
      <alignment vertical="top"/>
    </xf>
    <xf numFmtId="0" fontId="0" fillId="11" borderId="3" xfId="0" applyFont="1" applyFill="1" applyBorder="1" applyAlignment="1">
      <alignment horizontal="left" vertical="center"/>
    </xf>
    <xf numFmtId="0" fontId="0" fillId="11" borderId="11" xfId="0" applyFill="1" applyBorder="1" applyAlignment="1">
      <alignment/>
    </xf>
    <xf numFmtId="169" fontId="0" fillId="3" borderId="3" xfId="0" applyNumberFormat="1" applyFill="1" applyBorder="1" applyAlignment="1">
      <alignment vertical="top"/>
    </xf>
    <xf numFmtId="0" fontId="0" fillId="11" borderId="12" xfId="0" applyFill="1" applyBorder="1" applyAlignment="1">
      <alignment/>
    </xf>
    <xf numFmtId="0" fontId="0" fillId="11" borderId="4" xfId="0" applyFill="1" applyBorder="1" applyAlignment="1">
      <alignment/>
    </xf>
    <xf numFmtId="0" fontId="0" fillId="11" borderId="13" xfId="0" applyFill="1" applyBorder="1" applyAlignment="1">
      <alignment/>
    </xf>
    <xf numFmtId="0" fontId="0" fillId="11" borderId="3" xfId="0" applyFont="1" applyFill="1" applyBorder="1" applyAlignment="1">
      <alignment horizontal="center" vertical="top"/>
    </xf>
    <xf numFmtId="169" fontId="0" fillId="11" borderId="3" xfId="0" applyNumberFormat="1" applyFill="1" applyBorder="1" applyAlignment="1">
      <alignment horizontal="center" vertical="top"/>
    </xf>
    <xf numFmtId="169" fontId="0" fillId="11" borderId="8" xfId="0" applyNumberFormat="1" applyFill="1" applyBorder="1" applyAlignment="1">
      <alignment horizontal="left" vertical="top" indent="1"/>
    </xf>
    <xf numFmtId="0" fontId="0" fillId="2" borderId="25" xfId="0" applyFont="1" applyFill="1" applyBorder="1" applyAlignment="1">
      <alignment vertical="top"/>
    </xf>
    <xf numFmtId="0" fontId="0" fillId="2" borderId="26" xfId="0" applyFont="1" applyFill="1" applyBorder="1" applyAlignment="1">
      <alignment vertical="top"/>
    </xf>
    <xf numFmtId="0" fontId="0" fillId="2" borderId="27" xfId="0" applyFont="1" applyFill="1" applyBorder="1" applyAlignment="1">
      <alignment vertical="top"/>
    </xf>
    <xf numFmtId="0" fontId="2" fillId="0" borderId="0" xfId="0" applyFont="1" applyBorder="1" applyAlignment="1">
      <alignment horizontal="left"/>
    </xf>
    <xf numFmtId="0" fontId="2" fillId="0" borderId="0" xfId="0" applyFont="1" applyBorder="1" applyAlignment="1">
      <alignment horizontal="center"/>
    </xf>
    <xf numFmtId="0" fontId="3" fillId="2" borderId="0" xfId="0" applyFont="1" applyFill="1" applyBorder="1" applyAlignment="1">
      <alignment horizontal="center"/>
    </xf>
    <xf numFmtId="10" fontId="33" fillId="13" borderId="1" xfId="0" applyNumberFormat="1" applyFont="1" applyFill="1" applyBorder="1" applyAlignment="1">
      <alignment/>
    </xf>
    <xf numFmtId="0" fontId="2" fillId="0" borderId="7" xfId="0" applyFont="1" applyBorder="1" applyAlignment="1">
      <alignment horizontal="center" wrapText="1"/>
    </xf>
    <xf numFmtId="0" fontId="0" fillId="0" borderId="0" xfId="0" applyFont="1" applyFill="1" applyBorder="1" applyAlignment="1">
      <alignment horizontal="left" vertical="center"/>
    </xf>
    <xf numFmtId="169" fontId="0" fillId="11" borderId="4" xfId="0" applyNumberFormat="1" applyFont="1" applyFill="1" applyBorder="1" applyAlignment="1">
      <alignment vertical="top"/>
    </xf>
    <xf numFmtId="0" fontId="3" fillId="0" borderId="0" xfId="0" applyFont="1" applyBorder="1" applyAlignment="1">
      <alignment vertical="top"/>
    </xf>
    <xf numFmtId="0" fontId="3" fillId="11" borderId="10" xfId="0" applyFont="1" applyFill="1" applyBorder="1" applyAlignment="1">
      <alignment horizontal="left" vertical="center"/>
    </xf>
    <xf numFmtId="4" fontId="0" fillId="11" borderId="10" xfId="0" applyNumberFormat="1" applyFill="1" applyBorder="1" applyAlignment="1">
      <alignment horizontal="center" vertical="center"/>
    </xf>
    <xf numFmtId="4" fontId="0" fillId="11" borderId="11" xfId="0" applyNumberFormat="1" applyFill="1" applyBorder="1" applyAlignment="1">
      <alignment horizontal="center" vertical="center"/>
    </xf>
    <xf numFmtId="10" fontId="33" fillId="13" borderId="1" xfId="0" applyNumberFormat="1" applyFont="1" applyFill="1" applyBorder="1" applyAlignment="1">
      <alignment vertical="center"/>
    </xf>
    <xf numFmtId="0" fontId="0" fillId="2" borderId="0" xfId="0" applyFill="1" applyBorder="1" applyAlignment="1">
      <alignment/>
    </xf>
    <xf numFmtId="0" fontId="0" fillId="0" borderId="11" xfId="0" applyBorder="1" applyAlignment="1">
      <alignment vertical="top" wrapText="1"/>
    </xf>
    <xf numFmtId="0" fontId="0"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vertical="top" wrapText="1"/>
    </xf>
    <xf numFmtId="0" fontId="0" fillId="2" borderId="1" xfId="0" applyFont="1" applyFill="1" applyBorder="1" applyAlignment="1">
      <alignment vertical="top" wrapText="1"/>
    </xf>
    <xf numFmtId="0" fontId="0" fillId="0" borderId="3" xfId="0"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169" fontId="0" fillId="11" borderId="4" xfId="0" applyNumberFormat="1" applyFont="1" applyFill="1" applyBorder="1" applyAlignment="1">
      <alignment horizontal="left" vertical="center" wrapText="1"/>
    </xf>
    <xf numFmtId="0" fontId="0" fillId="11" borderId="3" xfId="0" applyFont="1" applyFill="1" applyBorder="1" applyAlignment="1">
      <alignment horizontal="left" vertical="top" wrapText="1"/>
    </xf>
    <xf numFmtId="0" fontId="0" fillId="12" borderId="4" xfId="0" applyFill="1" applyBorder="1" applyAlignment="1">
      <alignment horizontal="left" vertical="top" wrapText="1" indent="1"/>
    </xf>
    <xf numFmtId="0" fontId="0" fillId="12" borderId="0" xfId="0" applyFill="1" applyBorder="1" applyAlignment="1">
      <alignment horizontal="left" vertical="top" wrapText="1" indent="1"/>
    </xf>
    <xf numFmtId="0" fontId="0" fillId="0" borderId="13" xfId="0" applyBorder="1" applyAlignment="1">
      <alignment/>
    </xf>
    <xf numFmtId="0" fontId="0" fillId="0" borderId="8" xfId="0" applyBorder="1" applyAlignment="1">
      <alignment/>
    </xf>
    <xf numFmtId="0" fontId="0" fillId="0" borderId="9" xfId="0" applyBorder="1" applyAlignment="1">
      <alignment/>
    </xf>
    <xf numFmtId="169" fontId="0" fillId="0" borderId="1" xfId="0" applyNumberFormat="1" applyBorder="1" applyAlignment="1">
      <alignment vertical="center"/>
    </xf>
    <xf numFmtId="169" fontId="0" fillId="0" borderId="3" xfId="0" applyNumberFormat="1" applyFill="1" applyBorder="1" applyAlignment="1">
      <alignment vertical="center"/>
    </xf>
    <xf numFmtId="169" fontId="0" fillId="0" borderId="3" xfId="0" applyNumberFormat="1" applyBorder="1" applyAlignment="1">
      <alignment vertical="center"/>
    </xf>
    <xf numFmtId="169" fontId="0" fillId="0" borderId="10" xfId="0" applyNumberFormat="1" applyFill="1" applyBorder="1" applyAlignment="1">
      <alignment vertical="center"/>
    </xf>
    <xf numFmtId="169" fontId="0" fillId="0" borderId="12" xfId="0" applyNumberFormat="1" applyFill="1" applyBorder="1" applyAlignment="1">
      <alignment vertical="center"/>
    </xf>
    <xf numFmtId="169" fontId="0" fillId="0" borderId="28" xfId="0" applyNumberFormat="1" applyFill="1" applyBorder="1" applyAlignment="1">
      <alignment vertical="center"/>
    </xf>
    <xf numFmtId="169" fontId="0" fillId="0" borderId="1" xfId="0" applyNumberFormat="1" applyFill="1" applyBorder="1" applyAlignment="1">
      <alignment vertical="center"/>
    </xf>
    <xf numFmtId="169" fontId="0" fillId="0" borderId="8" xfId="0" applyNumberFormat="1" applyFill="1" applyBorder="1" applyAlignment="1">
      <alignment vertical="center"/>
    </xf>
    <xf numFmtId="169" fontId="0" fillId="0" borderId="11" xfId="0" applyNumberFormat="1" applyFill="1" applyBorder="1" applyAlignment="1">
      <alignment vertical="center"/>
    </xf>
    <xf numFmtId="169" fontId="0" fillId="0" borderId="4" xfId="0" applyNumberFormat="1" applyFill="1" applyBorder="1" applyAlignment="1">
      <alignment vertical="center"/>
    </xf>
    <xf numFmtId="169" fontId="0" fillId="0" borderId="5" xfId="0" applyNumberFormat="1" applyFill="1" applyBorder="1" applyAlignment="1">
      <alignment vertical="center"/>
    </xf>
    <xf numFmtId="169" fontId="0" fillId="0" borderId="22" xfId="0" applyNumberFormat="1" applyFill="1" applyBorder="1" applyAlignment="1">
      <alignment vertical="center"/>
    </xf>
    <xf numFmtId="169" fontId="0" fillId="0" borderId="11" xfId="0" applyNumberFormat="1" applyBorder="1" applyAlignment="1">
      <alignment vertical="center"/>
    </xf>
    <xf numFmtId="169" fontId="0" fillId="0" borderId="10" xfId="0" applyNumberFormat="1" applyBorder="1" applyAlignment="1">
      <alignment vertical="center"/>
    </xf>
    <xf numFmtId="3" fontId="0" fillId="0" borderId="1" xfId="0" applyNumberFormat="1" applyFill="1" applyBorder="1" applyAlignment="1">
      <alignment vertical="center"/>
    </xf>
    <xf numFmtId="3" fontId="9" fillId="17" borderId="9" xfId="30" applyNumberFormat="1" applyFont="1" applyFill="1" applyBorder="1" applyAlignment="1">
      <alignment horizontal="left" vertical="center"/>
      <protection/>
    </xf>
    <xf numFmtId="0" fontId="0" fillId="11" borderId="3" xfId="0" applyFont="1" applyFill="1" applyBorder="1" applyAlignment="1">
      <alignment horizontal="left" vertical="center" wrapText="1"/>
    </xf>
    <xf numFmtId="0" fontId="0" fillId="11" borderId="12" xfId="0" applyFont="1" applyFill="1" applyBorder="1" applyAlignment="1">
      <alignment horizontal="left" vertical="center"/>
    </xf>
    <xf numFmtId="0" fontId="0" fillId="0" borderId="5" xfId="0" applyBorder="1" applyAlignment="1">
      <alignment/>
    </xf>
    <xf numFmtId="0" fontId="0" fillId="0" borderId="6" xfId="0" applyBorder="1" applyAlignment="1">
      <alignment/>
    </xf>
    <xf numFmtId="0" fontId="0" fillId="0" borderId="4" xfId="0" applyBorder="1" applyAlignment="1">
      <alignment/>
    </xf>
    <xf numFmtId="0" fontId="0" fillId="0" borderId="0" xfId="0" applyAlignment="1">
      <alignment/>
    </xf>
    <xf numFmtId="0" fontId="0" fillId="0" borderId="7" xfId="0" applyBorder="1" applyAlignment="1">
      <alignment/>
    </xf>
    <xf numFmtId="169" fontId="0" fillId="6" borderId="3" xfId="0" applyNumberFormat="1" applyFill="1" applyBorder="1" applyAlignment="1">
      <alignment vertical="center"/>
    </xf>
    <xf numFmtId="0" fontId="0" fillId="0" borderId="11" xfId="0" applyBorder="1" applyAlignment="1">
      <alignment/>
    </xf>
    <xf numFmtId="169" fontId="0" fillId="6" borderId="3" xfId="0" applyNumberFormat="1" applyFill="1" applyBorder="1" applyAlignment="1">
      <alignment vertical="top"/>
    </xf>
    <xf numFmtId="169" fontId="0" fillId="6" borderId="11" xfId="0" applyNumberFormat="1" applyFill="1" applyBorder="1" applyAlignment="1">
      <alignment vertical="top"/>
    </xf>
    <xf numFmtId="0" fontId="0" fillId="0" borderId="3" xfId="0" applyFill="1" applyBorder="1" applyAlignment="1">
      <alignment vertical="top" wrapText="1"/>
    </xf>
    <xf numFmtId="0" fontId="0" fillId="0" borderId="10" xfId="0" applyBorder="1" applyAlignment="1">
      <alignment/>
    </xf>
    <xf numFmtId="0" fontId="2" fillId="12" borderId="3" xfId="0" applyFont="1" applyFill="1" applyBorder="1" applyAlignment="1">
      <alignment horizontal="center"/>
    </xf>
    <xf numFmtId="0" fontId="2" fillId="12" borderId="10" xfId="0" applyFont="1" applyFill="1" applyBorder="1" applyAlignment="1">
      <alignment horizontal="center"/>
    </xf>
    <xf numFmtId="0" fontId="2" fillId="12" borderId="11" xfId="0" applyFont="1" applyFill="1" applyBorder="1" applyAlignment="1">
      <alignment horizontal="center"/>
    </xf>
    <xf numFmtId="169" fontId="0" fillId="2" borderId="3" xfId="0" applyNumberFormat="1" applyFill="1" applyBorder="1" applyAlignment="1">
      <alignment vertical="top"/>
    </xf>
    <xf numFmtId="0" fontId="0" fillId="12" borderId="3" xfId="0" applyFill="1" applyBorder="1" applyAlignment="1">
      <alignment vertical="top" wrapText="1"/>
    </xf>
    <xf numFmtId="0" fontId="0" fillId="12" borderId="10" xfId="0" applyFill="1" applyBorder="1" applyAlignment="1">
      <alignment vertical="top" wrapText="1"/>
    </xf>
    <xf numFmtId="0" fontId="0" fillId="2" borderId="3" xfId="0" applyFill="1" applyBorder="1" applyAlignment="1">
      <alignment vertical="top" wrapText="1"/>
    </xf>
    <xf numFmtId="3" fontId="9" fillId="17" borderId="12" xfId="30" applyNumberFormat="1" applyFont="1" applyFill="1" applyBorder="1" applyAlignment="1">
      <alignment horizontal="left" vertical="center"/>
      <protection/>
    </xf>
    <xf numFmtId="3" fontId="9" fillId="17" borderId="5" xfId="30" applyNumberFormat="1" applyFont="1" applyFill="1" applyBorder="1" applyAlignment="1">
      <alignment horizontal="left" vertical="center"/>
      <protection/>
    </xf>
    <xf numFmtId="3" fontId="9" fillId="17" borderId="6" xfId="30" applyNumberFormat="1" applyFont="1" applyFill="1" applyBorder="1" applyAlignment="1">
      <alignment horizontal="left" vertical="center"/>
      <protection/>
    </xf>
    <xf numFmtId="3" fontId="9" fillId="17" borderId="4" xfId="30" applyNumberFormat="1" applyFont="1" applyFill="1" applyBorder="1" applyAlignment="1">
      <alignment horizontal="left" vertical="center"/>
      <protection/>
    </xf>
    <xf numFmtId="3" fontId="9" fillId="17" borderId="0" xfId="30" applyNumberFormat="1" applyFont="1" applyFill="1" applyBorder="1" applyAlignment="1">
      <alignment horizontal="left" vertical="center"/>
      <protection/>
    </xf>
    <xf numFmtId="3" fontId="9" fillId="17" borderId="7" xfId="30" applyNumberFormat="1" applyFont="1" applyFill="1" applyBorder="1" applyAlignment="1">
      <alignment horizontal="left" vertical="center"/>
      <protection/>
    </xf>
    <xf numFmtId="3" fontId="9" fillId="17" borderId="13" xfId="30" applyNumberFormat="1" applyFont="1" applyFill="1" applyBorder="1" applyAlignment="1">
      <alignment horizontal="left" vertical="center"/>
      <protection/>
    </xf>
    <xf numFmtId="3" fontId="9" fillId="17" borderId="8" xfId="30" applyNumberFormat="1" applyFont="1" applyFill="1" applyBorder="1" applyAlignment="1">
      <alignment horizontal="left" vertical="center"/>
      <protection/>
    </xf>
    <xf numFmtId="0" fontId="0" fillId="12" borderId="7" xfId="0" applyFill="1" applyBorder="1" applyAlignment="1">
      <alignment horizontal="left" vertical="top" wrapText="1" indent="1"/>
    </xf>
    <xf numFmtId="0" fontId="0" fillId="12" borderId="13" xfId="0" applyFill="1" applyBorder="1" applyAlignment="1">
      <alignment horizontal="left" vertical="top" wrapText="1" indent="1"/>
    </xf>
    <xf numFmtId="0" fontId="0" fillId="12" borderId="8" xfId="0" applyFill="1" applyBorder="1" applyAlignment="1">
      <alignment horizontal="left" vertical="top" wrapText="1" indent="1"/>
    </xf>
    <xf numFmtId="0" fontId="0" fillId="12" borderId="9" xfId="0" applyFill="1" applyBorder="1" applyAlignment="1">
      <alignment horizontal="left" vertical="top" wrapText="1" indent="1"/>
    </xf>
    <xf numFmtId="169" fontId="16" fillId="0" borderId="29" xfId="0" applyNumberFormat="1" applyFont="1" applyFill="1" applyBorder="1" applyAlignment="1">
      <alignment/>
    </xf>
    <xf numFmtId="0" fontId="0" fillId="0" borderId="30" xfId="0" applyBorder="1" applyAlignment="1">
      <alignment/>
    </xf>
    <xf numFmtId="0" fontId="0" fillId="0" borderId="31" xfId="0" applyBorder="1" applyAlignment="1">
      <alignment/>
    </xf>
    <xf numFmtId="0" fontId="0" fillId="11" borderId="12" xfId="0" applyFont="1" applyFill="1" applyBorder="1" applyAlignment="1">
      <alignment vertical="center"/>
    </xf>
    <xf numFmtId="0" fontId="0" fillId="11" borderId="12" xfId="0" applyFont="1" applyFill="1" applyBorder="1" applyAlignment="1">
      <alignment horizontal="left" vertical="center" wrapText="1"/>
    </xf>
    <xf numFmtId="0" fontId="0" fillId="11" borderId="5" xfId="0" applyFont="1" applyFill="1" applyBorder="1" applyAlignment="1">
      <alignment horizontal="left" vertical="center" wrapText="1"/>
    </xf>
    <xf numFmtId="0" fontId="0" fillId="11" borderId="6"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0" fillId="11" borderId="0" xfId="0" applyFont="1" applyFill="1" applyBorder="1" applyAlignment="1">
      <alignment horizontal="left" vertical="center" wrapText="1"/>
    </xf>
    <xf numFmtId="0" fontId="0" fillId="11" borderId="7" xfId="0" applyFont="1" applyFill="1" applyBorder="1" applyAlignment="1">
      <alignment horizontal="left" vertical="center" wrapText="1"/>
    </xf>
    <xf numFmtId="0" fontId="0" fillId="11" borderId="13" xfId="0" applyFont="1" applyFill="1" applyBorder="1" applyAlignment="1">
      <alignment horizontal="left" vertical="center" wrapText="1"/>
    </xf>
    <xf numFmtId="0" fontId="0" fillId="11" borderId="8" xfId="0" applyFont="1" applyFill="1" applyBorder="1" applyAlignment="1">
      <alignment horizontal="left" vertical="center" wrapText="1"/>
    </xf>
    <xf numFmtId="0" fontId="0" fillId="11" borderId="9" xfId="0" applyFont="1" applyFill="1" applyBorder="1" applyAlignment="1">
      <alignment horizontal="left" vertical="center" wrapText="1"/>
    </xf>
    <xf numFmtId="0" fontId="2" fillId="11" borderId="12" xfId="0" applyFont="1" applyFill="1" applyBorder="1" applyAlignment="1">
      <alignment horizontal="center"/>
    </xf>
    <xf numFmtId="0" fontId="2" fillId="11" borderId="12" xfId="0" applyFont="1" applyFill="1" applyBorder="1" applyAlignment="1">
      <alignment horizontal="center" wrapText="1"/>
    </xf>
    <xf numFmtId="0" fontId="2" fillId="2" borderId="4" xfId="0" applyFont="1" applyFill="1" applyBorder="1" applyAlignment="1">
      <alignment horizontal="left" vertical="top" wrapText="1" indent="1"/>
    </xf>
    <xf numFmtId="0" fontId="0" fillId="0" borderId="4" xfId="0" applyBorder="1" applyAlignment="1">
      <alignment horizontal="left" vertical="top" wrapText="1" indent="1"/>
    </xf>
    <xf numFmtId="0" fontId="0" fillId="0" borderId="3" xfId="0" applyBorder="1" applyAlignment="1">
      <alignment vertical="top" wrapText="1"/>
    </xf>
    <xf numFmtId="0" fontId="26" fillId="0" borderId="4" xfId="29" applyFont="1" applyBorder="1" applyAlignment="1">
      <alignment horizontal="left" vertical="top" indent="3"/>
    </xf>
    <xf numFmtId="169" fontId="0" fillId="11" borderId="12" xfId="0" applyNumberFormat="1" applyFont="1" applyFill="1" applyBorder="1" applyAlignment="1">
      <alignment horizontal="left" vertical="center" wrapText="1"/>
    </xf>
    <xf numFmtId="0" fontId="2" fillId="0" borderId="4" xfId="0" applyFont="1" applyBorder="1" applyAlignment="1">
      <alignment horizontal="left" vertical="top" wrapText="1" indent="1"/>
    </xf>
    <xf numFmtId="0" fontId="0" fillId="0" borderId="3" xfId="0" applyFill="1" applyBorder="1" applyAlignment="1">
      <alignment vertical="center" wrapText="1"/>
    </xf>
    <xf numFmtId="0" fontId="0" fillId="11" borderId="3" xfId="0" applyFont="1" applyFill="1" applyBorder="1" applyAlignment="1">
      <alignment horizontal="left" vertical="top"/>
    </xf>
    <xf numFmtId="169" fontId="0" fillId="6" borderId="11" xfId="0" applyNumberFormat="1" applyFill="1" applyBorder="1" applyAlignment="1">
      <alignment vertical="center"/>
    </xf>
    <xf numFmtId="0" fontId="0" fillId="11" borderId="1" xfId="0" applyFont="1" applyFill="1" applyBorder="1" applyAlignment="1">
      <alignment horizontal="left" vertical="top"/>
    </xf>
    <xf numFmtId="0" fontId="0" fillId="11" borderId="11" xfId="0" applyFont="1" applyFill="1" applyBorder="1" applyAlignment="1">
      <alignment horizontal="left" vertical="top"/>
    </xf>
    <xf numFmtId="169" fontId="0" fillId="6" borderId="3" xfId="0" applyNumberFormat="1" applyFill="1" applyBorder="1" applyAlignment="1">
      <alignment horizontal="right"/>
    </xf>
    <xf numFmtId="0" fontId="0" fillId="11" borderId="3" xfId="0" applyFont="1" applyFill="1" applyBorder="1" applyAlignment="1">
      <alignment vertical="top"/>
    </xf>
    <xf numFmtId="0" fontId="2" fillId="12" borderId="0" xfId="0" applyFont="1" applyFill="1" applyBorder="1" applyAlignment="1">
      <alignment vertical="top" wrapText="1"/>
    </xf>
    <xf numFmtId="0" fontId="2" fillId="6" borderId="3" xfId="0" applyFont="1" applyFill="1" applyBorder="1" applyAlignment="1">
      <alignment horizontal="center"/>
    </xf>
    <xf numFmtId="0" fontId="2" fillId="6" borderId="10" xfId="0" applyFont="1" applyFill="1" applyBorder="1" applyAlignment="1">
      <alignment horizontal="center"/>
    </xf>
    <xf numFmtId="0" fontId="2" fillId="6" borderId="11" xfId="0" applyFont="1" applyFill="1" applyBorder="1" applyAlignment="1">
      <alignment horizontal="center"/>
    </xf>
    <xf numFmtId="0" fontId="2" fillId="6" borderId="1" xfId="0" applyFont="1" applyFill="1" applyBorder="1" applyAlignment="1">
      <alignment horizontal="center"/>
    </xf>
    <xf numFmtId="0" fontId="0" fillId="0" borderId="11" xfId="0" applyBorder="1" applyAlignment="1">
      <alignment/>
    </xf>
    <xf numFmtId="0" fontId="2" fillId="0" borderId="4" xfId="0" applyFont="1" applyBorder="1" applyAlignment="1">
      <alignment horizontal="left" vertical="top" wrapText="1" indent="2"/>
    </xf>
    <xf numFmtId="0" fontId="26" fillId="0" borderId="4" xfId="29" applyFont="1" applyBorder="1" applyAlignment="1">
      <alignment horizontal="left" indent="3"/>
    </xf>
    <xf numFmtId="0" fontId="26" fillId="0" borderId="0" xfId="29" applyFont="1" applyAlignment="1">
      <alignment horizontal="left" indent="3"/>
    </xf>
    <xf numFmtId="0" fontId="2" fillId="0" borderId="8" xfId="0" applyFont="1" applyBorder="1" applyAlignment="1">
      <alignment horizontal="left"/>
    </xf>
    <xf numFmtId="0" fontId="0" fillId="11" borderId="4" xfId="0" applyFont="1" applyFill="1" applyBorder="1" applyAlignment="1">
      <alignment horizontal="left" vertical="top"/>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Fill="1" applyBorder="1" applyAlignment="1">
      <alignment wrapText="1"/>
    </xf>
    <xf numFmtId="0" fontId="2" fillId="12" borderId="5" xfId="0" applyFont="1" applyFill="1" applyBorder="1" applyAlignment="1">
      <alignment horizontal="center"/>
    </xf>
    <xf numFmtId="0" fontId="2" fillId="12" borderId="32" xfId="0" applyFont="1" applyFill="1" applyBorder="1" applyAlignment="1">
      <alignment/>
    </xf>
    <xf numFmtId="0" fontId="2" fillId="0" borderId="8" xfId="0" applyFont="1" applyBorder="1" applyAlignment="1">
      <alignment/>
    </xf>
    <xf numFmtId="0" fontId="2" fillId="0" borderId="0" xfId="0" applyFont="1" applyBorder="1" applyAlignment="1">
      <alignment/>
    </xf>
    <xf numFmtId="0" fontId="2" fillId="0" borderId="9" xfId="0" applyFont="1" applyBorder="1" applyAlignment="1">
      <alignment/>
    </xf>
    <xf numFmtId="0" fontId="0" fillId="0" borderId="1" xfId="0" applyBorder="1" applyAlignment="1">
      <alignment/>
    </xf>
    <xf numFmtId="0" fontId="0" fillId="0" borderId="10" xfId="0" applyBorder="1" applyAlignment="1">
      <alignment vertical="top" wrapText="1"/>
    </xf>
    <xf numFmtId="0" fontId="0" fillId="0" borderId="22" xfId="0" applyBorder="1" applyAlignment="1">
      <alignment vertical="center"/>
    </xf>
    <xf numFmtId="0" fontId="0" fillId="0" borderId="21" xfId="0" applyBorder="1" applyAlignment="1">
      <alignment vertical="center"/>
    </xf>
    <xf numFmtId="0" fontId="0" fillId="0" borderId="15" xfId="0" applyBorder="1" applyAlignment="1">
      <alignment vertical="center"/>
    </xf>
  </cellXfs>
  <cellStyles count="27">
    <cellStyle name="Normal" xfId="0"/>
    <cellStyle name="Comma" xfId="15"/>
    <cellStyle name="Comma [0]" xfId="16"/>
    <cellStyle name="Currency" xfId="17"/>
    <cellStyle name="Currency [0]" xfId="18"/>
    <cellStyle name="Data" xfId="19"/>
    <cellStyle name="Data-Default" xfId="20"/>
    <cellStyle name="Data-Text" xfId="21"/>
    <cellStyle name="Data-Totals" xfId="22"/>
    <cellStyle name="Followed Hyperlink" xfId="23"/>
    <cellStyle name="Heading-DefaultData" xfId="24"/>
    <cellStyle name="Heading-Instructions" xfId="25"/>
    <cellStyle name="Heading-Other" xfId="26"/>
    <cellStyle name="Heading-Output" xfId="27"/>
    <cellStyle name="Heading-UserData" xfId="28"/>
    <cellStyle name="Hyperlink" xfId="29"/>
    <cellStyle name="Normal_Sheet1" xfId="30"/>
    <cellStyle name="Percent" xfId="31"/>
    <cellStyle name="Text-Attention" xfId="32"/>
    <cellStyle name="Text-BlackLabel" xfId="33"/>
    <cellStyle name="Text-GreenLabel" xfId="34"/>
    <cellStyle name="Text-Guidance" xfId="35"/>
    <cellStyle name="Text-Normal" xfId="36"/>
    <cellStyle name="Title-Direct" xfId="37"/>
    <cellStyle name="Title-Indirect" xfId="38"/>
    <cellStyle name="Title-Process" xfId="39"/>
    <cellStyle name="Title-Sequestration" xfId="40"/>
  </cellStyles>
  <dxfs count="6">
    <dxf>
      <font>
        <b/>
        <i val="0"/>
        <color rgb="FF800000"/>
      </font>
      <border/>
    </dxf>
    <dxf>
      <font>
        <b/>
        <i val="0"/>
        <color rgb="FF000080"/>
      </font>
      <border/>
    </dxf>
    <dxf>
      <font>
        <color rgb="FFFFFF99"/>
      </font>
      <fill>
        <patternFill>
          <bgColor rgb="FFFFFF99"/>
        </patternFill>
      </fill>
      <border/>
    </dxf>
    <dxf>
      <font>
        <b val="0"/>
        <i val="0"/>
        <color rgb="FFCCFFFF"/>
      </font>
      <border/>
    </dxf>
    <dxf>
      <font>
        <color auto="1"/>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D431"/>
  <sheetViews>
    <sheetView showGridLines="0" tabSelected="1" zoomScale="70" zoomScaleNormal="70" zoomScaleSheetLayoutView="70" workbookViewId="0" topLeftCell="A1">
      <selection activeCell="E3" sqref="E3"/>
    </sheetView>
  </sheetViews>
  <sheetFormatPr defaultColWidth="9.140625" defaultRowHeight="12.75"/>
  <cols>
    <col min="1" max="1" width="1.7109375" style="0" customWidth="1"/>
    <col min="7" max="7" width="8.7109375" style="0" customWidth="1"/>
    <col min="8" max="8" width="21.140625" style="0" bestFit="1" customWidth="1"/>
    <col min="12" max="12" width="9.421875" style="0" customWidth="1"/>
    <col min="18" max="18" width="12.28125" style="0" customWidth="1"/>
    <col min="19" max="19" width="12.421875" style="0" customWidth="1"/>
    <col min="20" max="20" width="13.28125" style="0" customWidth="1"/>
    <col min="23" max="23" width="11.421875" style="0" customWidth="1"/>
    <col min="24" max="24" width="9.28125" style="0" bestFit="1" customWidth="1"/>
    <col min="25" max="25" width="11.421875" style="25" customWidth="1"/>
    <col min="26" max="26" width="12.28125" style="25" customWidth="1"/>
    <col min="27" max="27" width="13.140625" style="25" customWidth="1"/>
    <col min="28" max="28" width="11.140625" style="25" customWidth="1"/>
    <col min="29" max="29" width="12.7109375" style="25" customWidth="1"/>
    <col min="30" max="30" width="10.8515625" style="25" customWidth="1"/>
    <col min="31" max="31" width="10.140625" style="25" bestFit="1" customWidth="1"/>
    <col min="32" max="32" width="9.140625" style="25" customWidth="1"/>
    <col min="33" max="33" width="10.140625" style="25" bestFit="1" customWidth="1"/>
    <col min="34" max="34" width="9.28125" style="25" bestFit="1" customWidth="1"/>
    <col min="35" max="35" width="21.140625" style="25" customWidth="1"/>
    <col min="36" max="36" width="20.57421875" style="25" customWidth="1"/>
    <col min="37" max="37" width="10.421875" style="25" bestFit="1" customWidth="1"/>
    <col min="38" max="38" width="9.140625" style="25" customWidth="1"/>
    <col min="40" max="40" width="11.7109375" style="0" customWidth="1"/>
    <col min="41" max="41" width="12.140625" style="0" customWidth="1"/>
    <col min="42" max="43" width="11.8515625" style="0" customWidth="1"/>
  </cols>
  <sheetData>
    <row r="1" spans="2:20" ht="8.25" customHeight="1" thickBot="1">
      <c r="B1" s="169"/>
      <c r="C1" s="169"/>
      <c r="D1" s="169"/>
      <c r="E1" s="169"/>
      <c r="F1" s="169"/>
      <c r="G1" s="169"/>
      <c r="H1" s="169"/>
      <c r="I1" s="169"/>
      <c r="J1" s="169"/>
      <c r="K1" s="169"/>
      <c r="L1" s="169"/>
      <c r="M1" s="169"/>
      <c r="N1" s="169"/>
      <c r="O1" s="169"/>
      <c r="P1" s="169"/>
      <c r="Q1" s="169"/>
      <c r="R1" s="169"/>
      <c r="S1" s="169"/>
      <c r="T1" s="169"/>
    </row>
    <row r="2" spans="2:24" s="56" customFormat="1" ht="27" customHeight="1">
      <c r="B2" s="168"/>
      <c r="C2" s="168"/>
      <c r="D2" s="168"/>
      <c r="E2" s="168"/>
      <c r="F2" s="168"/>
      <c r="G2" s="168"/>
      <c r="H2" s="168"/>
      <c r="I2" s="168"/>
      <c r="J2" s="168"/>
      <c r="K2" s="180" t="s">
        <v>388</v>
      </c>
      <c r="L2" s="168"/>
      <c r="M2" s="168"/>
      <c r="N2" s="168"/>
      <c r="O2" s="168"/>
      <c r="P2" s="168"/>
      <c r="Q2" s="168"/>
      <c r="R2" s="168"/>
      <c r="S2" s="168"/>
      <c r="T2" s="168"/>
      <c r="V2" s="57"/>
      <c r="W2" s="57"/>
      <c r="X2" s="57"/>
    </row>
    <row r="3" spans="2:24" s="56" customFormat="1" ht="27" customHeight="1" thickBot="1">
      <c r="B3" s="170"/>
      <c r="C3" s="170"/>
      <c r="D3" s="170"/>
      <c r="E3" s="170"/>
      <c r="F3" s="170"/>
      <c r="G3" s="170"/>
      <c r="H3" s="170"/>
      <c r="I3" s="170"/>
      <c r="J3" s="170"/>
      <c r="K3" s="181" t="s">
        <v>215</v>
      </c>
      <c r="L3" s="170"/>
      <c r="M3" s="170"/>
      <c r="N3" s="170"/>
      <c r="O3" s="170"/>
      <c r="P3" s="170"/>
      <c r="Q3" s="170"/>
      <c r="R3" s="170"/>
      <c r="S3" s="170"/>
      <c r="T3" s="170"/>
      <c r="V3" s="57"/>
      <c r="W3" s="57"/>
      <c r="X3" s="57"/>
    </row>
    <row r="4" spans="1:38" s="3" customFormat="1" ht="15">
      <c r="A4" s="2"/>
      <c r="B4" s="10"/>
      <c r="C4" s="10"/>
      <c r="D4" s="10"/>
      <c r="E4" s="10"/>
      <c r="F4" s="10"/>
      <c r="G4" s="10"/>
      <c r="H4" s="10"/>
      <c r="I4" s="10"/>
      <c r="J4" s="10"/>
      <c r="L4" s="11"/>
      <c r="M4" s="11"/>
      <c r="N4" s="11"/>
      <c r="O4" s="10"/>
      <c r="P4" s="10"/>
      <c r="Q4" s="10"/>
      <c r="R4" s="10"/>
      <c r="S4" s="10"/>
      <c r="T4" s="10"/>
      <c r="U4" s="10"/>
      <c r="V4" s="58"/>
      <c r="W4" s="4"/>
      <c r="X4" s="4"/>
      <c r="Y4" s="35"/>
      <c r="Z4" s="35"/>
      <c r="AA4" s="35"/>
      <c r="AB4" s="35"/>
      <c r="AC4" s="35"/>
      <c r="AD4" s="35"/>
      <c r="AE4" s="35"/>
      <c r="AF4" s="35"/>
      <c r="AG4" s="35"/>
      <c r="AH4" s="35"/>
      <c r="AI4" s="35"/>
      <c r="AJ4" s="35"/>
      <c r="AK4" s="35"/>
      <c r="AL4" s="35"/>
    </row>
    <row r="5" spans="1:38" s="3" customFormat="1" ht="16.5">
      <c r="A5" s="2"/>
      <c r="B5" s="10"/>
      <c r="C5" s="10"/>
      <c r="D5" s="10"/>
      <c r="E5" s="10"/>
      <c r="F5" s="10"/>
      <c r="G5" s="10"/>
      <c r="H5" s="10"/>
      <c r="I5" s="10"/>
      <c r="J5" s="10"/>
      <c r="K5" s="171" t="s">
        <v>528</v>
      </c>
      <c r="L5" s="11"/>
      <c r="M5" s="11"/>
      <c r="N5" s="11"/>
      <c r="O5" s="10"/>
      <c r="P5" s="10"/>
      <c r="Q5" s="10"/>
      <c r="R5" s="10"/>
      <c r="S5" s="10"/>
      <c r="T5" s="10"/>
      <c r="U5" s="10"/>
      <c r="V5" s="58"/>
      <c r="W5" s="4"/>
      <c r="X5" s="4"/>
      <c r="Y5" s="35"/>
      <c r="Z5" s="35"/>
      <c r="AA5" s="35"/>
      <c r="AB5" s="35"/>
      <c r="AC5" s="35"/>
      <c r="AD5" s="35"/>
      <c r="AE5" s="35"/>
      <c r="AF5" s="35"/>
      <c r="AG5" s="35"/>
      <c r="AH5" s="35"/>
      <c r="AI5" s="35"/>
      <c r="AJ5" s="35"/>
      <c r="AK5" s="35"/>
      <c r="AL5" s="35"/>
    </row>
    <row r="6" spans="1:38" s="3" customFormat="1" ht="16.5">
      <c r="A6" s="2"/>
      <c r="B6" s="10"/>
      <c r="C6" s="10"/>
      <c r="D6" s="10"/>
      <c r="E6" s="10"/>
      <c r="F6" s="10"/>
      <c r="G6" s="10"/>
      <c r="H6" s="10"/>
      <c r="I6" s="10"/>
      <c r="J6" s="10"/>
      <c r="K6" s="171" t="s">
        <v>23</v>
      </c>
      <c r="L6" s="11"/>
      <c r="M6" s="11"/>
      <c r="N6" s="11"/>
      <c r="O6" s="10"/>
      <c r="P6" s="10"/>
      <c r="Q6" s="10"/>
      <c r="R6" s="10"/>
      <c r="S6" s="10"/>
      <c r="T6" s="10"/>
      <c r="U6" s="10"/>
      <c r="V6" s="58"/>
      <c r="W6" s="4"/>
      <c r="X6" s="4"/>
      <c r="Y6" s="35"/>
      <c r="Z6" s="35"/>
      <c r="AA6" s="35"/>
      <c r="AB6" s="35"/>
      <c r="AC6" s="35"/>
      <c r="AD6" s="35"/>
      <c r="AE6" s="35"/>
      <c r="AF6" s="35"/>
      <c r="AG6" s="35"/>
      <c r="AH6" s="35"/>
      <c r="AI6" s="35"/>
      <c r="AJ6" s="35"/>
      <c r="AK6" s="35"/>
      <c r="AL6" s="35"/>
    </row>
    <row r="7" spans="1:38" s="3" customFormat="1" ht="16.5">
      <c r="A7" s="2"/>
      <c r="B7" s="10"/>
      <c r="C7" s="10"/>
      <c r="D7" s="10"/>
      <c r="E7" s="10"/>
      <c r="F7" s="10"/>
      <c r="G7" s="10"/>
      <c r="H7" s="10"/>
      <c r="I7" s="10"/>
      <c r="J7" s="10"/>
      <c r="K7" s="171" t="s">
        <v>24</v>
      </c>
      <c r="L7" s="11"/>
      <c r="M7" s="11"/>
      <c r="N7" s="11"/>
      <c r="O7" s="10"/>
      <c r="P7" s="10"/>
      <c r="Q7" s="10"/>
      <c r="R7" s="10"/>
      <c r="S7" s="10"/>
      <c r="T7" s="10"/>
      <c r="U7" s="10"/>
      <c r="V7" s="58"/>
      <c r="W7" s="4"/>
      <c r="X7" s="4"/>
      <c r="Y7" s="35"/>
      <c r="Z7" s="35"/>
      <c r="AA7" s="35"/>
      <c r="AB7" s="35"/>
      <c r="AC7" s="35"/>
      <c r="AD7" s="35"/>
      <c r="AE7" s="35"/>
      <c r="AF7" s="35"/>
      <c r="AG7" s="35"/>
      <c r="AH7" s="35"/>
      <c r="AI7" s="35"/>
      <c r="AJ7" s="35"/>
      <c r="AK7" s="35"/>
      <c r="AL7" s="35"/>
    </row>
    <row r="8" spans="2:38" s="2" customFormat="1" ht="16.5">
      <c r="B8" s="10"/>
      <c r="C8" s="10"/>
      <c r="D8" s="10"/>
      <c r="E8" s="10"/>
      <c r="F8" s="10"/>
      <c r="G8" s="10"/>
      <c r="H8" s="10"/>
      <c r="I8" s="10"/>
      <c r="J8" s="10"/>
      <c r="K8" s="171" t="s">
        <v>25</v>
      </c>
      <c r="L8" s="11"/>
      <c r="M8" s="11"/>
      <c r="N8" s="11"/>
      <c r="O8" s="10"/>
      <c r="P8" s="10"/>
      <c r="Q8" s="10"/>
      <c r="R8" s="10"/>
      <c r="S8" s="10"/>
      <c r="T8" s="10"/>
      <c r="U8" s="10"/>
      <c r="V8" s="58"/>
      <c r="W8" s="10"/>
      <c r="X8" s="10"/>
      <c r="Y8" s="22"/>
      <c r="Z8" s="22"/>
      <c r="AA8" s="22"/>
      <c r="AB8" s="22"/>
      <c r="AC8" s="22"/>
      <c r="AD8" s="22"/>
      <c r="AE8" s="22"/>
      <c r="AF8" s="22"/>
      <c r="AG8" s="22"/>
      <c r="AH8" s="22"/>
      <c r="AI8" s="22"/>
      <c r="AJ8" s="22"/>
      <c r="AK8" s="22"/>
      <c r="AL8" s="22"/>
    </row>
    <row r="9" spans="2:38" s="2" customFormat="1" ht="15">
      <c r="B9" s="10"/>
      <c r="C9" s="10"/>
      <c r="D9" s="10"/>
      <c r="E9" s="10"/>
      <c r="F9" s="10"/>
      <c r="G9" s="10"/>
      <c r="H9" s="10"/>
      <c r="I9" s="10"/>
      <c r="J9" s="10"/>
      <c r="K9" s="11"/>
      <c r="L9" s="11"/>
      <c r="M9" s="11"/>
      <c r="N9" s="11"/>
      <c r="O9" s="10"/>
      <c r="P9" s="10"/>
      <c r="Q9" s="10"/>
      <c r="R9" s="10"/>
      <c r="S9" s="10"/>
      <c r="T9" s="10"/>
      <c r="U9" s="10"/>
      <c r="V9" s="58"/>
      <c r="W9" s="10"/>
      <c r="X9" s="10"/>
      <c r="Y9" s="22"/>
      <c r="Z9" s="22"/>
      <c r="AA9" s="22"/>
      <c r="AB9" s="22"/>
      <c r="AC9" s="22"/>
      <c r="AD9" s="22"/>
      <c r="AE9" s="22"/>
      <c r="AF9" s="22"/>
      <c r="AG9" s="22"/>
      <c r="AH9" s="22"/>
      <c r="AI9" s="22"/>
      <c r="AJ9" s="22"/>
      <c r="AK9" s="22"/>
      <c r="AL9" s="22"/>
    </row>
    <row r="10" spans="2:38" ht="12.75" customHeight="1">
      <c r="B10" s="176" t="s">
        <v>177</v>
      </c>
      <c r="C10" s="177"/>
      <c r="D10" s="177"/>
      <c r="E10" s="177"/>
      <c r="F10" s="177"/>
      <c r="G10" s="177"/>
      <c r="H10" s="177"/>
      <c r="I10" s="177"/>
      <c r="J10" s="177"/>
      <c r="K10" s="177"/>
      <c r="L10" s="177"/>
      <c r="M10" s="177"/>
      <c r="N10" s="178"/>
      <c r="V10" s="25"/>
      <c r="W10" s="25"/>
      <c r="X10" s="25"/>
      <c r="AC10"/>
      <c r="AD10"/>
      <c r="AE10"/>
      <c r="AF10"/>
      <c r="AG10"/>
      <c r="AH10"/>
      <c r="AI10"/>
      <c r="AJ10"/>
      <c r="AK10"/>
      <c r="AL10"/>
    </row>
    <row r="11" spans="2:38" ht="12.75" customHeight="1">
      <c r="B11" s="196"/>
      <c r="C11" s="197"/>
      <c r="D11" s="197"/>
      <c r="E11" s="197"/>
      <c r="F11" s="197"/>
      <c r="G11" s="197"/>
      <c r="H11" s="197"/>
      <c r="I11" s="197"/>
      <c r="J11" s="197"/>
      <c r="K11" s="197"/>
      <c r="L11" s="197"/>
      <c r="M11" s="197"/>
      <c r="N11" s="198"/>
      <c r="V11" s="25"/>
      <c r="W11" s="25"/>
      <c r="X11" s="25"/>
      <c r="AC11"/>
      <c r="AD11"/>
      <c r="AE11"/>
      <c r="AF11"/>
      <c r="AG11"/>
      <c r="AH11"/>
      <c r="AI11"/>
      <c r="AJ11"/>
      <c r="AK11"/>
      <c r="AL11"/>
    </row>
    <row r="12" spans="2:38" ht="12.75" customHeight="1">
      <c r="B12" s="608" t="s">
        <v>585</v>
      </c>
      <c r="C12" s="566"/>
      <c r="D12" s="566"/>
      <c r="E12" s="566"/>
      <c r="F12" s="566"/>
      <c r="G12" s="566"/>
      <c r="H12" s="566"/>
      <c r="I12" s="566"/>
      <c r="J12" s="566"/>
      <c r="K12" s="566"/>
      <c r="L12" s="566"/>
      <c r="M12" s="566"/>
      <c r="N12" s="567"/>
      <c r="O12" s="627" t="s">
        <v>240</v>
      </c>
      <c r="P12" s="566"/>
      <c r="Q12" s="566"/>
      <c r="R12" s="566"/>
      <c r="S12" s="566"/>
      <c r="T12" s="566"/>
      <c r="V12" s="25"/>
      <c r="W12" s="25"/>
      <c r="X12" s="25"/>
      <c r="AC12"/>
      <c r="AD12"/>
      <c r="AE12"/>
      <c r="AF12"/>
      <c r="AG12"/>
      <c r="AH12"/>
      <c r="AI12"/>
      <c r="AJ12"/>
      <c r="AK12"/>
      <c r="AL12"/>
    </row>
    <row r="13" spans="2:38" ht="12.75" customHeight="1">
      <c r="B13" s="565"/>
      <c r="C13" s="566"/>
      <c r="D13" s="566"/>
      <c r="E13" s="566"/>
      <c r="F13" s="566"/>
      <c r="G13" s="566"/>
      <c r="H13" s="566"/>
      <c r="I13" s="566"/>
      <c r="J13" s="566"/>
      <c r="K13" s="566"/>
      <c r="L13" s="566"/>
      <c r="M13" s="566"/>
      <c r="N13" s="567"/>
      <c r="O13" s="565"/>
      <c r="P13" s="566"/>
      <c r="Q13" s="566"/>
      <c r="R13" s="566"/>
      <c r="S13" s="566"/>
      <c r="T13" s="566"/>
      <c r="V13" s="25"/>
      <c r="W13" s="25"/>
      <c r="X13" s="25"/>
      <c r="AC13"/>
      <c r="AD13"/>
      <c r="AE13"/>
      <c r="AF13"/>
      <c r="AG13"/>
      <c r="AH13"/>
      <c r="AI13"/>
      <c r="AJ13"/>
      <c r="AK13"/>
      <c r="AL13"/>
    </row>
    <row r="14" spans="2:38" ht="12.75" customHeight="1">
      <c r="B14" s="565"/>
      <c r="C14" s="566"/>
      <c r="D14" s="566"/>
      <c r="E14" s="566"/>
      <c r="F14" s="566"/>
      <c r="G14" s="566"/>
      <c r="H14" s="566"/>
      <c r="I14" s="566"/>
      <c r="J14" s="566"/>
      <c r="K14" s="566"/>
      <c r="L14" s="566"/>
      <c r="M14" s="566"/>
      <c r="N14" s="567"/>
      <c r="P14" s="304"/>
      <c r="Q14" s="302"/>
      <c r="R14" s="303"/>
      <c r="S14" s="303"/>
      <c r="T14" s="301"/>
      <c r="V14" s="25"/>
      <c r="W14" s="25"/>
      <c r="X14" s="25"/>
      <c r="AC14"/>
      <c r="AD14"/>
      <c r="AE14"/>
      <c r="AF14"/>
      <c r="AG14"/>
      <c r="AH14"/>
      <c r="AI14"/>
      <c r="AJ14"/>
      <c r="AK14"/>
      <c r="AL14"/>
    </row>
    <row r="15" spans="2:38" ht="12.75" customHeight="1">
      <c r="B15" s="65"/>
      <c r="C15" s="106"/>
      <c r="D15" s="106"/>
      <c r="E15" s="106"/>
      <c r="F15" s="106"/>
      <c r="G15" s="106"/>
      <c r="H15" s="106"/>
      <c r="I15" s="106"/>
      <c r="J15" s="106"/>
      <c r="K15" s="106"/>
      <c r="L15" s="106"/>
      <c r="M15" s="106"/>
      <c r="N15" s="188"/>
      <c r="O15" s="628" t="s">
        <v>226</v>
      </c>
      <c r="P15" s="629"/>
      <c r="Q15" s="629"/>
      <c r="R15" s="629"/>
      <c r="S15" s="305"/>
      <c r="T15" s="306"/>
      <c r="V15" s="25"/>
      <c r="W15" s="25"/>
      <c r="X15" s="25"/>
      <c r="AC15"/>
      <c r="AD15"/>
      <c r="AE15"/>
      <c r="AF15"/>
      <c r="AG15"/>
      <c r="AH15"/>
      <c r="AI15"/>
      <c r="AJ15"/>
      <c r="AK15"/>
      <c r="AL15"/>
    </row>
    <row r="16" spans="2:38" ht="12.75" customHeight="1">
      <c r="B16" s="609" t="s">
        <v>555</v>
      </c>
      <c r="C16" s="566"/>
      <c r="D16" s="566"/>
      <c r="E16" s="566"/>
      <c r="F16" s="566"/>
      <c r="G16" s="566"/>
      <c r="H16" s="566"/>
      <c r="I16" s="566"/>
      <c r="J16" s="566"/>
      <c r="K16" s="566"/>
      <c r="L16" s="566"/>
      <c r="M16" s="566"/>
      <c r="N16" s="567"/>
      <c r="O16" s="628" t="s">
        <v>225</v>
      </c>
      <c r="P16" s="629"/>
      <c r="Q16" s="629"/>
      <c r="R16" s="629"/>
      <c r="S16" s="305"/>
      <c r="T16" s="306"/>
      <c r="V16" s="25"/>
      <c r="W16" s="25"/>
      <c r="X16" s="25"/>
      <c r="AC16"/>
      <c r="AD16"/>
      <c r="AE16"/>
      <c r="AF16"/>
      <c r="AG16"/>
      <c r="AH16"/>
      <c r="AI16"/>
      <c r="AJ16"/>
      <c r="AK16"/>
      <c r="AL16"/>
    </row>
    <row r="17" spans="2:38" ht="12.75" customHeight="1">
      <c r="B17" s="565"/>
      <c r="C17" s="566"/>
      <c r="D17" s="566"/>
      <c r="E17" s="566"/>
      <c r="F17" s="566"/>
      <c r="G17" s="566"/>
      <c r="H17" s="566"/>
      <c r="I17" s="566"/>
      <c r="J17" s="566"/>
      <c r="K17" s="566"/>
      <c r="L17" s="566"/>
      <c r="M17" s="566"/>
      <c r="N17" s="567"/>
      <c r="O17" s="628" t="s">
        <v>227</v>
      </c>
      <c r="P17" s="629"/>
      <c r="Q17" s="629"/>
      <c r="R17" s="629"/>
      <c r="S17" s="305"/>
      <c r="T17" s="306"/>
      <c r="V17" s="25"/>
      <c r="W17" s="25"/>
      <c r="X17" s="25"/>
      <c r="AC17"/>
      <c r="AD17"/>
      <c r="AE17"/>
      <c r="AF17"/>
      <c r="AG17"/>
      <c r="AH17"/>
      <c r="AI17"/>
      <c r="AJ17"/>
      <c r="AK17"/>
      <c r="AL17"/>
    </row>
    <row r="18" spans="2:38" ht="12.75" customHeight="1">
      <c r="B18" s="565"/>
      <c r="C18" s="566"/>
      <c r="D18" s="566"/>
      <c r="E18" s="566"/>
      <c r="F18" s="566"/>
      <c r="G18" s="566"/>
      <c r="H18" s="566"/>
      <c r="I18" s="566"/>
      <c r="J18" s="566"/>
      <c r="K18" s="566"/>
      <c r="L18" s="566"/>
      <c r="M18" s="566"/>
      <c r="N18" s="567"/>
      <c r="O18" s="628" t="s">
        <v>371</v>
      </c>
      <c r="P18" s="629"/>
      <c r="Q18" s="629"/>
      <c r="R18" s="629"/>
      <c r="S18" s="305"/>
      <c r="T18" s="306"/>
      <c r="V18" s="25"/>
      <c r="W18" s="25"/>
      <c r="X18" s="25"/>
      <c r="AC18"/>
      <c r="AD18"/>
      <c r="AE18"/>
      <c r="AF18"/>
      <c r="AG18"/>
      <c r="AH18"/>
      <c r="AI18"/>
      <c r="AJ18"/>
      <c r="AK18"/>
      <c r="AL18"/>
    </row>
    <row r="19" spans="2:38" ht="12.75" customHeight="1">
      <c r="B19" s="65"/>
      <c r="C19" s="106"/>
      <c r="D19" s="106"/>
      <c r="E19" s="106"/>
      <c r="F19" s="106"/>
      <c r="G19" s="106"/>
      <c r="H19" s="106"/>
      <c r="I19" s="106"/>
      <c r="J19" s="106"/>
      <c r="K19" s="106"/>
      <c r="L19" s="106"/>
      <c r="M19" s="106"/>
      <c r="N19" s="188"/>
      <c r="O19" s="628" t="s">
        <v>228</v>
      </c>
      <c r="P19" s="629"/>
      <c r="Q19" s="629"/>
      <c r="R19" s="304"/>
      <c r="S19" s="306"/>
      <c r="T19" s="306"/>
      <c r="V19" s="25"/>
      <c r="W19" s="25"/>
      <c r="X19" s="25"/>
      <c r="AC19"/>
      <c r="AD19"/>
      <c r="AE19"/>
      <c r="AF19"/>
      <c r="AG19"/>
      <c r="AH19"/>
      <c r="AI19"/>
      <c r="AJ19"/>
      <c r="AK19"/>
      <c r="AL19"/>
    </row>
    <row r="20" spans="2:38" ht="12.75" customHeight="1">
      <c r="B20" s="499" t="s">
        <v>556</v>
      </c>
      <c r="C20" s="106"/>
      <c r="D20" s="106"/>
      <c r="E20" s="106"/>
      <c r="F20" s="106"/>
      <c r="G20" s="106"/>
      <c r="H20" s="106"/>
      <c r="I20" s="106"/>
      <c r="J20" s="106"/>
      <c r="K20" s="106"/>
      <c r="L20" s="106"/>
      <c r="M20" s="106"/>
      <c r="N20" s="188"/>
      <c r="O20" s="628" t="s">
        <v>557</v>
      </c>
      <c r="P20" s="629"/>
      <c r="Q20" s="629"/>
      <c r="R20" s="629"/>
      <c r="S20" s="629"/>
      <c r="T20" s="306"/>
      <c r="V20" s="25"/>
      <c r="W20" s="25"/>
      <c r="X20" s="25"/>
      <c r="AC20"/>
      <c r="AD20"/>
      <c r="AE20"/>
      <c r="AF20"/>
      <c r="AG20"/>
      <c r="AH20"/>
      <c r="AI20"/>
      <c r="AJ20"/>
      <c r="AK20"/>
      <c r="AL20"/>
    </row>
    <row r="21" spans="2:38" ht="12.75" customHeight="1">
      <c r="B21" s="199"/>
      <c r="C21" s="106"/>
      <c r="D21" s="106"/>
      <c r="E21" s="106"/>
      <c r="F21" s="106"/>
      <c r="G21" s="106"/>
      <c r="H21" s="106"/>
      <c r="I21" s="106"/>
      <c r="J21" s="106"/>
      <c r="K21" s="106"/>
      <c r="L21" s="106"/>
      <c r="M21" s="106"/>
      <c r="N21" s="188"/>
      <c r="O21" s="628" t="s">
        <v>229</v>
      </c>
      <c r="P21" s="629"/>
      <c r="Q21" s="629"/>
      <c r="R21" s="629"/>
      <c r="S21" s="629"/>
      <c r="T21" s="306"/>
      <c r="V21" s="25"/>
      <c r="W21" s="25"/>
      <c r="X21" s="25"/>
      <c r="AC21"/>
      <c r="AD21"/>
      <c r="AE21"/>
      <c r="AF21"/>
      <c r="AG21"/>
      <c r="AH21"/>
      <c r="AI21"/>
      <c r="AJ21"/>
      <c r="AK21"/>
      <c r="AL21"/>
    </row>
    <row r="22" spans="2:38" ht="12.75" customHeight="1">
      <c r="B22" s="202" t="s">
        <v>387</v>
      </c>
      <c r="C22" s="203"/>
      <c r="D22" s="203"/>
      <c r="E22" s="203"/>
      <c r="F22" s="203"/>
      <c r="G22" s="203"/>
      <c r="H22" s="203"/>
      <c r="I22" s="203"/>
      <c r="J22" s="203"/>
      <c r="K22" s="203"/>
      <c r="L22" s="203"/>
      <c r="M22" s="203"/>
      <c r="N22" s="204"/>
      <c r="O22" s="611" t="s">
        <v>239</v>
      </c>
      <c r="P22" s="566"/>
      <c r="Q22" s="566"/>
      <c r="R22" s="566"/>
      <c r="S22" s="566"/>
      <c r="T22" s="566"/>
      <c r="W22" s="25"/>
      <c r="X22" s="25"/>
      <c r="AC22"/>
      <c r="AD22"/>
      <c r="AE22"/>
      <c r="AF22"/>
      <c r="AG22"/>
      <c r="AH22"/>
      <c r="AI22"/>
      <c r="AJ22"/>
      <c r="AK22"/>
      <c r="AL22"/>
    </row>
    <row r="23" spans="2:38" ht="12.75" customHeight="1">
      <c r="B23" s="202" t="s">
        <v>245</v>
      </c>
      <c r="C23" s="206"/>
      <c r="D23" s="206"/>
      <c r="E23" s="206"/>
      <c r="F23" s="206"/>
      <c r="G23" s="206"/>
      <c r="H23" s="206"/>
      <c r="I23" s="206"/>
      <c r="J23" s="206"/>
      <c r="K23" s="206"/>
      <c r="L23" s="206"/>
      <c r="M23" s="206"/>
      <c r="N23" s="204"/>
      <c r="O23" s="611" t="s">
        <v>230</v>
      </c>
      <c r="P23" s="566"/>
      <c r="Q23" s="566"/>
      <c r="R23" s="566"/>
      <c r="S23" s="566"/>
      <c r="T23" s="306"/>
      <c r="W23" s="25"/>
      <c r="X23" s="25"/>
      <c r="AC23"/>
      <c r="AD23"/>
      <c r="AE23"/>
      <c r="AF23"/>
      <c r="AG23"/>
      <c r="AH23"/>
      <c r="AI23"/>
      <c r="AJ23"/>
      <c r="AK23"/>
      <c r="AL23"/>
    </row>
    <row r="24" spans="2:38" ht="12.75" customHeight="1">
      <c r="B24" s="202" t="s">
        <v>246</v>
      </c>
      <c r="C24" s="206"/>
      <c r="D24" s="206"/>
      <c r="E24" s="206"/>
      <c r="F24" s="206"/>
      <c r="G24" s="206"/>
      <c r="H24" s="206"/>
      <c r="I24" s="206"/>
      <c r="J24" s="206"/>
      <c r="K24" s="206"/>
      <c r="L24" s="206"/>
      <c r="M24" s="206"/>
      <c r="N24" s="204"/>
      <c r="O24" s="611" t="s">
        <v>231</v>
      </c>
      <c r="P24" s="566"/>
      <c r="Q24" s="566"/>
      <c r="R24" s="305"/>
      <c r="S24" s="305"/>
      <c r="T24" s="306"/>
      <c r="W24" s="25"/>
      <c r="X24" s="25"/>
      <c r="AC24"/>
      <c r="AD24"/>
      <c r="AE24"/>
      <c r="AF24"/>
      <c r="AG24"/>
      <c r="AH24"/>
      <c r="AI24"/>
      <c r="AJ24"/>
      <c r="AK24"/>
      <c r="AL24"/>
    </row>
    <row r="25" spans="2:38" ht="12.75" customHeight="1">
      <c r="B25" s="202" t="s">
        <v>233</v>
      </c>
      <c r="C25" s="203"/>
      <c r="D25" s="203"/>
      <c r="E25" s="205"/>
      <c r="F25" s="203"/>
      <c r="G25" s="203"/>
      <c r="H25" s="203"/>
      <c r="I25" s="205"/>
      <c r="J25" s="203"/>
      <c r="K25" s="203"/>
      <c r="L25" s="205"/>
      <c r="M25" s="203"/>
      <c r="N25" s="204"/>
      <c r="O25" s="628" t="s">
        <v>250</v>
      </c>
      <c r="P25" s="629"/>
      <c r="Q25" s="629"/>
      <c r="R25" s="305"/>
      <c r="S25" s="305"/>
      <c r="T25" s="305"/>
      <c r="W25" s="25"/>
      <c r="X25" s="25"/>
      <c r="AC25"/>
      <c r="AD25"/>
      <c r="AE25"/>
      <c r="AF25"/>
      <c r="AG25"/>
      <c r="AH25"/>
      <c r="AI25"/>
      <c r="AJ25"/>
      <c r="AK25"/>
      <c r="AL25"/>
    </row>
    <row r="26" spans="2:38" ht="12.75" customHeight="1">
      <c r="B26" s="116"/>
      <c r="E26" s="70" t="s">
        <v>234</v>
      </c>
      <c r="F26" s="106"/>
      <c r="G26" s="1"/>
      <c r="I26" s="70" t="s">
        <v>480</v>
      </c>
      <c r="J26" s="70"/>
      <c r="K26" s="201"/>
      <c r="M26" s="106"/>
      <c r="N26" s="188"/>
      <c r="R26" s="300"/>
      <c r="S26" s="300"/>
      <c r="T26" s="300"/>
      <c r="W26" s="25"/>
      <c r="X26" s="25"/>
      <c r="AC26"/>
      <c r="AD26"/>
      <c r="AE26"/>
      <c r="AF26"/>
      <c r="AG26"/>
      <c r="AH26"/>
      <c r="AI26"/>
      <c r="AJ26"/>
      <c r="AK26"/>
      <c r="AL26"/>
    </row>
    <row r="27" spans="2:38" ht="12.75" customHeight="1">
      <c r="B27" s="116"/>
      <c r="E27" s="70" t="s">
        <v>235</v>
      </c>
      <c r="F27" s="106"/>
      <c r="G27" s="1"/>
      <c r="I27" s="70" t="s">
        <v>237</v>
      </c>
      <c r="J27" s="70"/>
      <c r="K27" s="201"/>
      <c r="L27" s="1"/>
      <c r="M27" s="106"/>
      <c r="N27" s="188"/>
      <c r="O27" s="25"/>
      <c r="Q27" s="25"/>
      <c r="R27" s="25"/>
      <c r="S27" s="25"/>
      <c r="T27" s="25"/>
      <c r="W27" s="25"/>
      <c r="X27" s="25"/>
      <c r="AC27"/>
      <c r="AD27"/>
      <c r="AE27"/>
      <c r="AF27"/>
      <c r="AG27"/>
      <c r="AH27"/>
      <c r="AI27"/>
      <c r="AJ27"/>
      <c r="AK27"/>
      <c r="AL27"/>
    </row>
    <row r="28" spans="2:38" ht="12.75" customHeight="1">
      <c r="B28" s="116"/>
      <c r="E28" s="70" t="s">
        <v>236</v>
      </c>
      <c r="F28" s="106"/>
      <c r="G28" s="1"/>
      <c r="I28" s="70" t="s">
        <v>238</v>
      </c>
      <c r="J28" s="70"/>
      <c r="K28" s="201"/>
      <c r="L28" s="1"/>
      <c r="M28" s="106"/>
      <c r="N28" s="188"/>
      <c r="O28" s="25"/>
      <c r="Q28" s="25"/>
      <c r="R28" s="25"/>
      <c r="S28" s="25"/>
      <c r="T28" s="25"/>
      <c r="W28" s="25"/>
      <c r="X28" s="25"/>
      <c r="AC28"/>
      <c r="AD28"/>
      <c r="AE28"/>
      <c r="AF28"/>
      <c r="AG28"/>
      <c r="AH28"/>
      <c r="AI28"/>
      <c r="AJ28"/>
      <c r="AK28"/>
      <c r="AL28"/>
    </row>
    <row r="29" spans="2:38" ht="12.75" customHeight="1">
      <c r="B29" s="200"/>
      <c r="C29" s="106"/>
      <c r="D29" s="106"/>
      <c r="E29" s="106"/>
      <c r="F29" s="106"/>
      <c r="G29" s="106"/>
      <c r="H29" s="106"/>
      <c r="I29" s="106"/>
      <c r="J29" s="106"/>
      <c r="K29" s="106"/>
      <c r="L29" s="106"/>
      <c r="M29" s="106"/>
      <c r="N29" s="188"/>
      <c r="O29" s="25"/>
      <c r="Q29" s="25"/>
      <c r="R29" s="25"/>
      <c r="S29" s="25"/>
      <c r="T29" s="25"/>
      <c r="W29" s="25"/>
      <c r="X29" s="25"/>
      <c r="AC29"/>
      <c r="AD29"/>
      <c r="AE29"/>
      <c r="AF29"/>
      <c r="AG29"/>
      <c r="AH29"/>
      <c r="AI29"/>
      <c r="AJ29"/>
      <c r="AK29"/>
      <c r="AL29"/>
    </row>
    <row r="30" spans="2:38" ht="12.75" customHeight="1">
      <c r="B30" s="613" t="s">
        <v>584</v>
      </c>
      <c r="C30" s="566"/>
      <c r="D30" s="566"/>
      <c r="E30" s="566"/>
      <c r="F30" s="566"/>
      <c r="G30" s="566"/>
      <c r="H30" s="566"/>
      <c r="I30" s="566"/>
      <c r="J30" s="566"/>
      <c r="K30" s="566"/>
      <c r="L30" s="566"/>
      <c r="M30" s="566"/>
      <c r="N30" s="567"/>
      <c r="O30" s="25"/>
      <c r="P30" s="25"/>
      <c r="Q30" s="25"/>
      <c r="R30" s="25"/>
      <c r="S30" s="25"/>
      <c r="T30" s="25"/>
      <c r="U30" s="25"/>
      <c r="V30" s="25"/>
      <c r="W30" s="25"/>
      <c r="X30" s="25"/>
      <c r="AC30"/>
      <c r="AD30"/>
      <c r="AE30"/>
      <c r="AF30"/>
      <c r="AG30"/>
      <c r="AH30"/>
      <c r="AI30"/>
      <c r="AJ30"/>
      <c r="AK30"/>
      <c r="AL30"/>
    </row>
    <row r="31" spans="2:38" ht="12.75" customHeight="1">
      <c r="B31" s="565"/>
      <c r="C31" s="566"/>
      <c r="D31" s="566"/>
      <c r="E31" s="566"/>
      <c r="F31" s="566"/>
      <c r="G31" s="566"/>
      <c r="H31" s="566"/>
      <c r="I31" s="566"/>
      <c r="J31" s="566"/>
      <c r="K31" s="566"/>
      <c r="L31" s="566"/>
      <c r="M31" s="566"/>
      <c r="N31" s="567"/>
      <c r="O31" s="25"/>
      <c r="P31" s="25"/>
      <c r="Q31" s="25"/>
      <c r="R31" s="25"/>
      <c r="S31" s="25"/>
      <c r="T31" s="25"/>
      <c r="U31" s="25"/>
      <c r="V31" s="25"/>
      <c r="W31" s="25"/>
      <c r="X31" s="25"/>
      <c r="AC31"/>
      <c r="AD31"/>
      <c r="AE31"/>
      <c r="AF31"/>
      <c r="AG31"/>
      <c r="AH31"/>
      <c r="AI31"/>
      <c r="AJ31"/>
      <c r="AK31"/>
      <c r="AL31"/>
    </row>
    <row r="32" spans="2:38" ht="12.75" customHeight="1">
      <c r="B32" s="542"/>
      <c r="C32" s="543"/>
      <c r="D32" s="543"/>
      <c r="E32" s="543"/>
      <c r="F32" s="543"/>
      <c r="G32" s="543"/>
      <c r="H32" s="543"/>
      <c r="I32" s="543"/>
      <c r="J32" s="543"/>
      <c r="K32" s="543"/>
      <c r="L32" s="543"/>
      <c r="M32" s="543"/>
      <c r="N32" s="544"/>
      <c r="O32" s="25"/>
      <c r="P32" s="25"/>
      <c r="Q32" s="25"/>
      <c r="R32" s="25"/>
      <c r="S32" s="25"/>
      <c r="T32" s="25"/>
      <c r="U32" s="25"/>
      <c r="V32" s="25"/>
      <c r="W32" s="25"/>
      <c r="X32" s="25"/>
      <c r="AC32"/>
      <c r="AD32"/>
      <c r="AE32"/>
      <c r="AF32"/>
      <c r="AG32"/>
      <c r="AH32"/>
      <c r="AI32"/>
      <c r="AJ32"/>
      <c r="AK32"/>
      <c r="AL32"/>
    </row>
    <row r="33" spans="15:22" ht="12.75" customHeight="1">
      <c r="O33" s="1"/>
      <c r="P33" s="1"/>
      <c r="Q33" s="1"/>
      <c r="R33" s="1"/>
      <c r="S33" s="1"/>
      <c r="T33" s="1"/>
      <c r="U33" s="1"/>
      <c r="V33" s="1"/>
    </row>
    <row r="34" spans="2:22" ht="12.75" customHeight="1">
      <c r="B34" s="14" t="s">
        <v>241</v>
      </c>
      <c r="C34" s="12"/>
      <c r="D34" s="12"/>
      <c r="E34" s="12"/>
      <c r="F34" s="12"/>
      <c r="G34" s="12"/>
      <c r="H34" s="12"/>
      <c r="I34" s="12"/>
      <c r="J34" s="12"/>
      <c r="K34" s="12"/>
      <c r="L34" s="12"/>
      <c r="M34" s="12"/>
      <c r="N34" s="12"/>
      <c r="O34" s="12"/>
      <c r="P34" s="12"/>
      <c r="Q34" s="12"/>
      <c r="R34" s="12"/>
      <c r="S34" s="12"/>
      <c r="T34" s="179"/>
      <c r="U34" s="13"/>
      <c r="V34" s="2"/>
    </row>
    <row r="35" spans="2:20" ht="12.75" customHeight="1">
      <c r="B35" s="63"/>
      <c r="C35" s="5"/>
      <c r="D35" s="5"/>
      <c r="E35" s="5"/>
      <c r="F35" s="5"/>
      <c r="G35" s="5"/>
      <c r="H35" s="5"/>
      <c r="I35" s="5"/>
      <c r="J35" s="5"/>
      <c r="K35" s="5"/>
      <c r="L35" s="5"/>
      <c r="M35" s="5"/>
      <c r="N35" s="5"/>
      <c r="O35" s="5"/>
      <c r="P35" s="5"/>
      <c r="Q35" s="5"/>
      <c r="R35" s="5"/>
      <c r="S35" s="5"/>
      <c r="T35" s="6"/>
    </row>
    <row r="36" spans="2:20" ht="12.75" customHeight="1">
      <c r="B36" s="64" t="s">
        <v>208</v>
      </c>
      <c r="C36" s="1"/>
      <c r="D36" s="1"/>
      <c r="E36" s="1"/>
      <c r="F36" s="1"/>
      <c r="G36" s="1"/>
      <c r="H36" s="1"/>
      <c r="I36" s="1"/>
      <c r="J36" s="1"/>
      <c r="K36" s="1"/>
      <c r="L36" s="1"/>
      <c r="M36" s="1"/>
      <c r="N36" s="1"/>
      <c r="O36" s="1"/>
      <c r="P36" s="1"/>
      <c r="Q36" s="1"/>
      <c r="R36" s="1"/>
      <c r="S36" s="1"/>
      <c r="T36" s="7"/>
    </row>
    <row r="37" spans="2:20" ht="12.75" customHeight="1">
      <c r="B37" s="65"/>
      <c r="C37" s="1"/>
      <c r="D37" s="1"/>
      <c r="E37" s="1"/>
      <c r="F37" s="1"/>
      <c r="G37" s="1"/>
      <c r="H37" s="18"/>
      <c r="I37" s="18"/>
      <c r="J37" s="18"/>
      <c r="K37" s="18"/>
      <c r="L37" s="18"/>
      <c r="M37" s="18"/>
      <c r="N37" s="1"/>
      <c r="O37" s="1"/>
      <c r="P37" s="1"/>
      <c r="Q37" s="1"/>
      <c r="R37" s="1"/>
      <c r="S37" s="1"/>
      <c r="T37" s="632" t="s">
        <v>583</v>
      </c>
    </row>
    <row r="38" spans="2:41" ht="12.75" customHeight="1">
      <c r="B38" s="65"/>
      <c r="C38" s="1"/>
      <c r="D38" s="1"/>
      <c r="E38" s="1"/>
      <c r="F38" s="1"/>
      <c r="G38" s="1"/>
      <c r="H38" s="39" t="s">
        <v>206</v>
      </c>
      <c r="I38" s="630" t="s">
        <v>303</v>
      </c>
      <c r="J38" s="630"/>
      <c r="K38" s="451"/>
      <c r="L38" s="39" t="s">
        <v>80</v>
      </c>
      <c r="M38" s="39"/>
      <c r="N38" s="1"/>
      <c r="O38" s="1"/>
      <c r="P38" s="17"/>
      <c r="Q38" s="17"/>
      <c r="R38" s="39" t="s">
        <v>190</v>
      </c>
      <c r="S38" s="18"/>
      <c r="T38" s="544"/>
      <c r="AO38">
        <f>AO53/AK53</f>
        <v>7.4399999999999995</v>
      </c>
    </row>
    <row r="39" spans="2:41" ht="12.75" customHeight="1">
      <c r="B39" s="65"/>
      <c r="C39" s="101" t="s">
        <v>184</v>
      </c>
      <c r="D39" s="83"/>
      <c r="E39" s="83"/>
      <c r="F39" s="102"/>
      <c r="G39" s="103"/>
      <c r="H39" s="545"/>
      <c r="I39" s="509" t="s">
        <v>182</v>
      </c>
      <c r="J39" s="85"/>
      <c r="K39" s="86"/>
      <c r="L39" s="20">
        <v>0.654</v>
      </c>
      <c r="M39" s="40" t="s">
        <v>183</v>
      </c>
      <c r="N39" s="86"/>
      <c r="O39" s="87"/>
      <c r="P39" s="88"/>
      <c r="Q39" s="89"/>
      <c r="R39" s="570">
        <f>H39*L39</f>
        <v>0</v>
      </c>
      <c r="S39" s="571"/>
      <c r="T39" s="518" t="e">
        <f>R39/$Q$393</f>
        <v>#DIV/0!</v>
      </c>
      <c r="AO39">
        <f aca="true" t="shared" si="0" ref="AO39:AO46">AO54/AK54</f>
        <v>6.339785582631537</v>
      </c>
    </row>
    <row r="40" spans="2:41" ht="12.75" customHeight="1">
      <c r="B40" s="65"/>
      <c r="C40" s="18"/>
      <c r="D40" s="18"/>
      <c r="E40" s="18"/>
      <c r="F40" s="18"/>
      <c r="G40" s="18"/>
      <c r="H40" s="28"/>
      <c r="I40" s="28"/>
      <c r="J40" s="28"/>
      <c r="K40" s="28"/>
      <c r="L40" s="28"/>
      <c r="M40" s="38"/>
      <c r="N40" s="28"/>
      <c r="O40" s="28"/>
      <c r="P40" s="18"/>
      <c r="Q40" s="28"/>
      <c r="R40" s="18"/>
      <c r="S40" s="18"/>
      <c r="T40" s="7"/>
      <c r="AO40">
        <f t="shared" si="0"/>
        <v>7.70998678867743</v>
      </c>
    </row>
    <row r="41" spans="2:41" ht="12.75" customHeight="1">
      <c r="B41" s="65"/>
      <c r="C41" s="18"/>
      <c r="D41" s="18"/>
      <c r="E41" s="18"/>
      <c r="F41" s="18"/>
      <c r="G41" s="18"/>
      <c r="H41" s="18"/>
      <c r="I41" s="18"/>
      <c r="J41" s="18"/>
      <c r="K41" s="18"/>
      <c r="L41" s="18"/>
      <c r="M41" s="18"/>
      <c r="N41" s="18"/>
      <c r="O41" s="18"/>
      <c r="P41" s="18"/>
      <c r="Q41" s="18"/>
      <c r="R41" s="18"/>
      <c r="S41" s="18"/>
      <c r="T41" s="7"/>
      <c r="AO41" t="e">
        <f t="shared" si="0"/>
        <v>#VALUE!</v>
      </c>
    </row>
    <row r="42" spans="2:41" ht="12.75" customHeight="1">
      <c r="B42" s="64" t="s">
        <v>207</v>
      </c>
      <c r="C42" s="18"/>
      <c r="D42" s="18"/>
      <c r="E42" s="18"/>
      <c r="F42" s="18"/>
      <c r="G42" s="18"/>
      <c r="H42" s="18"/>
      <c r="I42" s="18"/>
      <c r="J42" s="18"/>
      <c r="K42" s="18"/>
      <c r="L42" s="18"/>
      <c r="M42" s="18"/>
      <c r="N42" s="18"/>
      <c r="O42" s="18"/>
      <c r="P42" s="18"/>
      <c r="Q42" s="18"/>
      <c r="R42" s="18"/>
      <c r="S42" s="18"/>
      <c r="T42" s="7"/>
      <c r="AO42">
        <f t="shared" si="0"/>
        <v>7.7299999999999995</v>
      </c>
    </row>
    <row r="43" spans="2:41" ht="12.75" customHeight="1">
      <c r="B43" s="64"/>
      <c r="C43" s="18"/>
      <c r="D43" s="18"/>
      <c r="E43" s="18"/>
      <c r="F43" s="18"/>
      <c r="G43" s="18"/>
      <c r="H43" s="18"/>
      <c r="I43" s="18"/>
      <c r="J43" s="18"/>
      <c r="K43" s="18"/>
      <c r="L43" s="18"/>
      <c r="M43" s="18"/>
      <c r="N43" s="18"/>
      <c r="O43" s="18"/>
      <c r="P43" s="18"/>
      <c r="Q43" s="18"/>
      <c r="R43" s="18"/>
      <c r="S43" s="18"/>
      <c r="T43" s="632" t="s">
        <v>583</v>
      </c>
      <c r="W43" s="209" t="s">
        <v>385</v>
      </c>
      <c r="X43" s="164"/>
      <c r="Y43" s="164"/>
      <c r="Z43" s="150"/>
      <c r="AA43" s="150"/>
      <c r="AB43" s="150"/>
      <c r="AC43" s="151"/>
      <c r="AO43">
        <f t="shared" si="0"/>
        <v>12.440000000000001</v>
      </c>
    </row>
    <row r="44" spans="2:41" ht="12.75" customHeight="1">
      <c r="B44" s="64"/>
      <c r="C44" s="18"/>
      <c r="D44" s="18"/>
      <c r="E44" s="18"/>
      <c r="F44" s="18"/>
      <c r="G44" s="18"/>
      <c r="H44" s="39" t="s">
        <v>206</v>
      </c>
      <c r="I44" s="275" t="s">
        <v>340</v>
      </c>
      <c r="J44" s="453"/>
      <c r="K44" s="453"/>
      <c r="L44" s="39" t="s">
        <v>80</v>
      </c>
      <c r="M44" s="39"/>
      <c r="N44" s="18"/>
      <c r="O44" s="18"/>
      <c r="P44" s="18"/>
      <c r="Q44" s="18"/>
      <c r="R44" s="39" t="s">
        <v>190</v>
      </c>
      <c r="S44" s="18"/>
      <c r="T44" s="544"/>
      <c r="W44" s="147"/>
      <c r="X44" s="153" t="s">
        <v>244</v>
      </c>
      <c r="Y44" s="153"/>
      <c r="Z44" s="154" t="s">
        <v>232</v>
      </c>
      <c r="AA44" s="154"/>
      <c r="AB44" s="154"/>
      <c r="AC44" s="152"/>
      <c r="AM44" s="25"/>
      <c r="AO44">
        <f t="shared" si="0"/>
        <v>16.88</v>
      </c>
    </row>
    <row r="45" spans="2:41" ht="12.75" customHeight="1">
      <c r="B45" s="64"/>
      <c r="C45" s="101" t="s">
        <v>0</v>
      </c>
      <c r="D45" s="83"/>
      <c r="E45" s="83"/>
      <c r="F45" s="83"/>
      <c r="G45" s="84"/>
      <c r="H45" s="545"/>
      <c r="I45" s="562"/>
      <c r="J45" s="563"/>
      <c r="K45" s="564"/>
      <c r="L45" s="191">
        <f>IF($X$45=1,$AB$46,IF($X$45=2,$AB$47,0))</f>
        <v>0.606</v>
      </c>
      <c r="M45" s="562" t="s">
        <v>249</v>
      </c>
      <c r="N45" s="563"/>
      <c r="O45" s="563"/>
      <c r="P45" s="563"/>
      <c r="Q45" s="564"/>
      <c r="R45" s="570">
        <f>H45*L45</f>
        <v>0</v>
      </c>
      <c r="S45" s="569"/>
      <c r="T45" s="518" t="e">
        <f>R45/$Q$393</f>
        <v>#DIV/0!</v>
      </c>
      <c r="W45" s="147"/>
      <c r="X45" s="190">
        <v>2</v>
      </c>
      <c r="Y45" s="153"/>
      <c r="Z45" s="192" t="s">
        <v>185</v>
      </c>
      <c r="AA45" s="154"/>
      <c r="AB45" s="21">
        <v>0</v>
      </c>
      <c r="AC45" s="152"/>
      <c r="AO45">
        <f t="shared" si="0"/>
        <v>11.200000000000001</v>
      </c>
    </row>
    <row r="46" spans="2:41" ht="12.75" customHeight="1">
      <c r="B46" s="64"/>
      <c r="C46" s="101" t="s">
        <v>1</v>
      </c>
      <c r="D46" s="83"/>
      <c r="E46" s="83"/>
      <c r="F46" s="83"/>
      <c r="G46" s="84"/>
      <c r="H46" s="545"/>
      <c r="I46" s="565"/>
      <c r="J46" s="566"/>
      <c r="K46" s="567"/>
      <c r="L46" s="191">
        <f>IF($X$45=1,$AB$46,IF($X$45=2,$AB$47,0))</f>
        <v>0.606</v>
      </c>
      <c r="M46" s="565"/>
      <c r="N46" s="566"/>
      <c r="O46" s="566"/>
      <c r="P46" s="566"/>
      <c r="Q46" s="567"/>
      <c r="R46" s="570">
        <f>H46*L46</f>
        <v>0</v>
      </c>
      <c r="S46" s="569"/>
      <c r="T46" s="518" t="e">
        <f>R46/$Q$393</f>
        <v>#DIV/0!</v>
      </c>
      <c r="W46" s="147"/>
      <c r="X46" s="153"/>
      <c r="Y46" s="153"/>
      <c r="Z46" s="189" t="s">
        <v>33</v>
      </c>
      <c r="AA46" s="154"/>
      <c r="AB46" s="189">
        <v>0.178</v>
      </c>
      <c r="AC46" s="152"/>
      <c r="AM46" s="25"/>
      <c r="AO46">
        <f t="shared" si="0"/>
        <v>10.79</v>
      </c>
    </row>
    <row r="47" spans="2:39" ht="12.75" customHeight="1">
      <c r="B47" s="64"/>
      <c r="C47" s="101" t="s">
        <v>2</v>
      </c>
      <c r="D47" s="83"/>
      <c r="E47" s="83"/>
      <c r="F47" s="83"/>
      <c r="G47" s="84"/>
      <c r="H47" s="545"/>
      <c r="I47" s="542"/>
      <c r="J47" s="543"/>
      <c r="K47" s="544"/>
      <c r="L47" s="191">
        <f>IF($X$45=1,$AB$46,IF($X$45=2,$AB$47,0))</f>
        <v>0.606</v>
      </c>
      <c r="M47" s="542"/>
      <c r="N47" s="543"/>
      <c r="O47" s="543"/>
      <c r="P47" s="543"/>
      <c r="Q47" s="544"/>
      <c r="R47" s="570">
        <f>H47*L47</f>
        <v>0</v>
      </c>
      <c r="S47" s="569"/>
      <c r="T47" s="518" t="e">
        <f>R47/$Q$393</f>
        <v>#DIV/0!</v>
      </c>
      <c r="W47" s="147"/>
      <c r="X47" s="153"/>
      <c r="Y47" s="153"/>
      <c r="Z47" s="189" t="s">
        <v>182</v>
      </c>
      <c r="AA47" s="154"/>
      <c r="AB47" s="189">
        <v>0.606</v>
      </c>
      <c r="AC47" s="152"/>
      <c r="AM47" s="25"/>
    </row>
    <row r="48" spans="2:39" ht="12.75" customHeight="1">
      <c r="B48" s="64"/>
      <c r="C48" s="18"/>
      <c r="D48" s="18"/>
      <c r="E48" s="18"/>
      <c r="F48" s="18"/>
      <c r="G48" s="18"/>
      <c r="H48" s="18"/>
      <c r="I48" s="18"/>
      <c r="J48" s="18"/>
      <c r="K48" s="18"/>
      <c r="L48" s="18"/>
      <c r="M48" s="18"/>
      <c r="N48" s="18"/>
      <c r="O48" s="18"/>
      <c r="P48" s="18"/>
      <c r="Q48" s="18"/>
      <c r="R48" s="18"/>
      <c r="S48" s="18"/>
      <c r="T48" s="7"/>
      <c r="W48" s="166"/>
      <c r="X48" s="167"/>
      <c r="Y48" s="167"/>
      <c r="Z48" s="162"/>
      <c r="AA48" s="162"/>
      <c r="AB48" s="162"/>
      <c r="AC48" s="158"/>
      <c r="AM48" s="25"/>
    </row>
    <row r="49" spans="2:39" ht="12.75" customHeight="1">
      <c r="B49" s="65"/>
      <c r="C49" s="18"/>
      <c r="D49" s="18"/>
      <c r="E49" s="18"/>
      <c r="F49" s="18"/>
      <c r="G49" s="18"/>
      <c r="H49" s="70"/>
      <c r="I49" s="70"/>
      <c r="J49" s="70"/>
      <c r="K49" s="70"/>
      <c r="L49" s="70"/>
      <c r="M49" s="70"/>
      <c r="N49" s="70"/>
      <c r="O49" s="70"/>
      <c r="P49" s="70"/>
      <c r="Q49" s="70"/>
      <c r="R49" s="18"/>
      <c r="S49" s="18"/>
      <c r="T49" s="7"/>
      <c r="AM49" s="25"/>
    </row>
    <row r="50" spans="2:48" ht="12.75" customHeight="1">
      <c r="B50" s="68" t="s">
        <v>210</v>
      </c>
      <c r="D50" s="26"/>
      <c r="E50" s="26"/>
      <c r="F50" s="17"/>
      <c r="G50" s="17"/>
      <c r="T50" s="7"/>
      <c r="W50" s="209" t="s">
        <v>386</v>
      </c>
      <c r="X50" s="164"/>
      <c r="Y50" s="164"/>
      <c r="Z50" s="150"/>
      <c r="AA50" s="150"/>
      <c r="AB50" s="150"/>
      <c r="AC50" s="150"/>
      <c r="AD50" s="150"/>
      <c r="AE50" s="622" t="s">
        <v>306</v>
      </c>
      <c r="AF50" s="623"/>
      <c r="AG50" s="623"/>
      <c r="AH50" s="624"/>
      <c r="AI50" s="150"/>
      <c r="AJ50" s="150"/>
      <c r="AK50" s="622" t="s">
        <v>316</v>
      </c>
      <c r="AL50" s="623"/>
      <c r="AM50" s="623"/>
      <c r="AN50" s="623"/>
      <c r="AO50" s="623"/>
      <c r="AP50" s="623"/>
      <c r="AQ50" s="623"/>
      <c r="AR50" s="624"/>
      <c r="AS50" s="164"/>
      <c r="AT50" s="164"/>
      <c r="AU50" s="164"/>
      <c r="AV50" s="270"/>
    </row>
    <row r="51" spans="2:48" ht="12.75" customHeight="1">
      <c r="B51" s="65"/>
      <c r="C51" s="26"/>
      <c r="D51" s="26"/>
      <c r="E51" s="26"/>
      <c r="F51" s="19"/>
      <c r="G51" s="19"/>
      <c r="S51" s="18"/>
      <c r="T51" s="632" t="s">
        <v>583</v>
      </c>
      <c r="W51" s="147"/>
      <c r="X51" s="153" t="s">
        <v>327</v>
      </c>
      <c r="Y51" s="153"/>
      <c r="Z51" s="165" t="s">
        <v>216</v>
      </c>
      <c r="AA51" s="154"/>
      <c r="AB51" s="154"/>
      <c r="AC51" s="154"/>
      <c r="AD51" s="154"/>
      <c r="AE51" s="245" t="s">
        <v>307</v>
      </c>
      <c r="AF51" s="245" t="s">
        <v>308</v>
      </c>
      <c r="AG51" s="245" t="s">
        <v>309</v>
      </c>
      <c r="AH51" s="245" t="s">
        <v>310</v>
      </c>
      <c r="AI51" s="153"/>
      <c r="AJ51" s="153"/>
      <c r="AK51" s="622" t="s">
        <v>317</v>
      </c>
      <c r="AL51" s="623"/>
      <c r="AM51" s="623"/>
      <c r="AN51" s="623"/>
      <c r="AO51" s="623"/>
      <c r="AP51" s="623"/>
      <c r="AQ51" s="623"/>
      <c r="AR51" s="624"/>
      <c r="AS51" s="153"/>
      <c r="AT51" s="153"/>
      <c r="AU51" s="153"/>
      <c r="AV51" s="156"/>
    </row>
    <row r="52" spans="2:48" ht="12.75" customHeight="1">
      <c r="B52" s="65"/>
      <c r="C52" s="26" t="s">
        <v>213</v>
      </c>
      <c r="D52" s="26"/>
      <c r="E52" s="26"/>
      <c r="F52" s="19"/>
      <c r="G52" s="19"/>
      <c r="H52" s="39" t="s">
        <v>206</v>
      </c>
      <c r="I52" s="275" t="s">
        <v>340</v>
      </c>
      <c r="J52" s="453"/>
      <c r="K52" s="453"/>
      <c r="L52" s="39" t="s">
        <v>80</v>
      </c>
      <c r="N52" s="39"/>
      <c r="O52" s="39"/>
      <c r="P52" s="39"/>
      <c r="Q52" s="17"/>
      <c r="R52" s="39" t="s">
        <v>190</v>
      </c>
      <c r="S52" s="18"/>
      <c r="T52" s="544"/>
      <c r="W52" s="147"/>
      <c r="X52" s="153"/>
      <c r="Y52" s="153"/>
      <c r="Z52" s="154" t="s">
        <v>188</v>
      </c>
      <c r="AA52" s="153" t="s">
        <v>189</v>
      </c>
      <c r="AB52" s="153" t="s">
        <v>187</v>
      </c>
      <c r="AC52" s="154" t="s">
        <v>154</v>
      </c>
      <c r="AD52" s="154"/>
      <c r="AE52" s="625" t="s">
        <v>311</v>
      </c>
      <c r="AF52" s="625"/>
      <c r="AG52" s="625"/>
      <c r="AH52" s="625"/>
      <c r="AI52" s="267" t="s">
        <v>213</v>
      </c>
      <c r="AJ52" s="153"/>
      <c r="AK52" s="246" t="s">
        <v>318</v>
      </c>
      <c r="AL52" s="246" t="s">
        <v>319</v>
      </c>
      <c r="AM52" s="246" t="s">
        <v>320</v>
      </c>
      <c r="AN52" s="247" t="s">
        <v>321</v>
      </c>
      <c r="AO52" s="247" t="s">
        <v>322</v>
      </c>
      <c r="AP52" s="248" t="s">
        <v>323</v>
      </c>
      <c r="AQ52" s="248" t="s">
        <v>324</v>
      </c>
      <c r="AR52" s="248" t="s">
        <v>325</v>
      </c>
      <c r="AS52" s="153"/>
      <c r="AT52" s="165" t="s">
        <v>329</v>
      </c>
      <c r="AU52" s="153"/>
      <c r="AV52" s="156"/>
    </row>
    <row r="53" spans="2:48" ht="26.25" customHeight="1">
      <c r="B53" s="65"/>
      <c r="C53" s="610" t="s">
        <v>490</v>
      </c>
      <c r="D53" s="573"/>
      <c r="E53" s="573"/>
      <c r="F53" s="573"/>
      <c r="G53" s="569"/>
      <c r="H53" s="546"/>
      <c r="I53" s="291"/>
      <c r="J53" s="93"/>
      <c r="K53" s="94"/>
      <c r="L53" s="454">
        <f aca="true" t="shared" si="1" ref="L53:L61">IF($Z$60=2,AT53*AK53,IF($Z$60=3,AT53*AL53,IF($Z$60=4,AT53,IF($Z$60=5,AT53*AM53,0))))</f>
        <v>0</v>
      </c>
      <c r="M53" s="348"/>
      <c r="N53" s="349"/>
      <c r="O53" s="349"/>
      <c r="P53" s="349"/>
      <c r="Q53" s="350"/>
      <c r="R53" s="568">
        <f>H53*L53/1000</f>
        <v>0</v>
      </c>
      <c r="S53" s="569"/>
      <c r="T53" s="518" t="e">
        <f aca="true" t="shared" si="2" ref="T53:T61">R53/$Q$393</f>
        <v>#DIV/0!</v>
      </c>
      <c r="W53" s="147"/>
      <c r="X53" s="172" t="s">
        <v>328</v>
      </c>
      <c r="Y53" s="153"/>
      <c r="Z53" s="172" t="s">
        <v>185</v>
      </c>
      <c r="AA53" s="172" t="s">
        <v>185</v>
      </c>
      <c r="AB53" s="172" t="s">
        <v>185</v>
      </c>
      <c r="AC53" s="172" t="s">
        <v>185</v>
      </c>
      <c r="AD53" s="154"/>
      <c r="AE53" s="244">
        <v>76.7</v>
      </c>
      <c r="AF53" s="244">
        <v>76.7</v>
      </c>
      <c r="AG53" s="244">
        <v>75.04400000000001</v>
      </c>
      <c r="AH53" s="244">
        <v>75.251</v>
      </c>
      <c r="AI53" s="578" t="s">
        <v>490</v>
      </c>
      <c r="AJ53" s="626"/>
      <c r="AK53" s="249">
        <v>5.825</v>
      </c>
      <c r="AL53" s="249">
        <f>AK53/42</f>
        <v>0.1386904761904762</v>
      </c>
      <c r="AM53" s="250">
        <f aca="true" t="shared" si="3" ref="AM53:AM61">AK53/158.987</f>
        <v>0.036638215703170704</v>
      </c>
      <c r="AN53" s="250">
        <f>AO53/0.9071847</f>
        <v>47.77196969922443</v>
      </c>
      <c r="AO53" s="251">
        <v>43.338</v>
      </c>
      <c r="AP53" s="252"/>
      <c r="AQ53" s="252"/>
      <c r="AR53" s="252"/>
      <c r="AS53" s="153"/>
      <c r="AT53" s="259">
        <v>72.315</v>
      </c>
      <c r="AU53" s="153"/>
      <c r="AV53" s="156"/>
    </row>
    <row r="54" spans="2:48" ht="12.75" customHeight="1">
      <c r="B54" s="65"/>
      <c r="C54" s="101" t="s">
        <v>491</v>
      </c>
      <c r="D54" s="83"/>
      <c r="E54" s="83"/>
      <c r="F54" s="83"/>
      <c r="G54" s="84"/>
      <c r="H54" s="546"/>
      <c r="I54" s="280"/>
      <c r="J54" s="96"/>
      <c r="K54" s="97"/>
      <c r="L54" s="454">
        <f t="shared" si="1"/>
        <v>0</v>
      </c>
      <c r="M54" s="351"/>
      <c r="N54" s="352"/>
      <c r="O54" s="352"/>
      <c r="P54" s="352"/>
      <c r="Q54" s="353"/>
      <c r="R54" s="568">
        <f aca="true" t="shared" si="4" ref="R54:R61">H54*L54/1000</f>
        <v>0</v>
      </c>
      <c r="S54" s="569"/>
      <c r="T54" s="518" t="e">
        <f t="shared" si="2"/>
        <v>#DIV/0!</v>
      </c>
      <c r="W54" s="147"/>
      <c r="X54" s="258" t="s">
        <v>307</v>
      </c>
      <c r="Y54" s="153"/>
      <c r="Z54" s="172" t="s">
        <v>32</v>
      </c>
      <c r="AA54" s="172" t="s">
        <v>34</v>
      </c>
      <c r="AB54" s="172" t="s">
        <v>372</v>
      </c>
      <c r="AC54" s="172" t="s">
        <v>372</v>
      </c>
      <c r="AD54" s="154"/>
      <c r="AE54" s="244">
        <v>82.35</v>
      </c>
      <c r="AF54" s="244">
        <v>82.35</v>
      </c>
      <c r="AG54" s="244">
        <v>80.694</v>
      </c>
      <c r="AH54" s="244">
        <v>80.901</v>
      </c>
      <c r="AI54" s="195" t="s">
        <v>491</v>
      </c>
      <c r="AJ54" s="193"/>
      <c r="AK54" s="249">
        <v>6.287212632111601</v>
      </c>
      <c r="AL54" s="249">
        <v>0.1496958</v>
      </c>
      <c r="AM54" s="250">
        <f t="shared" si="3"/>
        <v>0.03954545108789776</v>
      </c>
      <c r="AN54" s="250">
        <f>AO54/0.9071847</f>
        <v>43.937667820015044</v>
      </c>
      <c r="AO54" s="251">
        <v>39.85958</v>
      </c>
      <c r="AP54" s="252"/>
      <c r="AQ54" s="252"/>
      <c r="AR54" s="252"/>
      <c r="AS54" s="153"/>
      <c r="AT54" s="259">
        <v>78.8</v>
      </c>
      <c r="AU54" s="153"/>
      <c r="AV54" s="156"/>
    </row>
    <row r="55" spans="2:48" ht="12.75" customHeight="1">
      <c r="B55" s="65"/>
      <c r="C55" s="101" t="s">
        <v>3</v>
      </c>
      <c r="D55" s="83"/>
      <c r="E55" s="83"/>
      <c r="F55" s="83"/>
      <c r="G55" s="84"/>
      <c r="H55" s="546"/>
      <c r="I55" s="280"/>
      <c r="J55" s="96"/>
      <c r="K55" s="97"/>
      <c r="L55" s="454">
        <f t="shared" si="1"/>
        <v>0</v>
      </c>
      <c r="M55" s="351"/>
      <c r="N55" s="352"/>
      <c r="O55" s="352"/>
      <c r="P55" s="352"/>
      <c r="Q55" s="353"/>
      <c r="R55" s="568">
        <f t="shared" si="4"/>
        <v>0</v>
      </c>
      <c r="S55" s="569"/>
      <c r="T55" s="518" t="e">
        <f t="shared" si="2"/>
        <v>#DIV/0!</v>
      </c>
      <c r="W55" s="147"/>
      <c r="X55" s="258" t="s">
        <v>308</v>
      </c>
      <c r="Y55" s="153"/>
      <c r="Z55" s="172" t="s">
        <v>243</v>
      </c>
      <c r="AA55" s="172" t="s">
        <v>33</v>
      </c>
      <c r="AB55" s="192" t="s">
        <v>330</v>
      </c>
      <c r="AC55" s="192" t="s">
        <v>330</v>
      </c>
      <c r="AD55" s="154"/>
      <c r="AE55" s="244">
        <v>75.86</v>
      </c>
      <c r="AF55" s="244">
        <v>75.86</v>
      </c>
      <c r="AG55" s="244">
        <v>74.20400000000001</v>
      </c>
      <c r="AH55" s="244">
        <v>74.411</v>
      </c>
      <c r="AI55" s="195" t="s">
        <v>3</v>
      </c>
      <c r="AJ55" s="193"/>
      <c r="AK55" s="249">
        <v>5.670009715736359</v>
      </c>
      <c r="AL55" s="249">
        <v>0.1349986</v>
      </c>
      <c r="AM55" s="250">
        <f t="shared" si="3"/>
        <v>0.03566335433548881</v>
      </c>
      <c r="AN55" s="250">
        <f>AO55/0.9071847</f>
        <v>48.18831269971815</v>
      </c>
      <c r="AO55" s="251">
        <v>43.7157</v>
      </c>
      <c r="AP55" s="252"/>
      <c r="AQ55" s="252"/>
      <c r="AR55" s="252"/>
      <c r="AS55" s="153"/>
      <c r="AT55" s="259">
        <v>71.232</v>
      </c>
      <c r="AU55" s="153"/>
      <c r="AV55" s="156"/>
    </row>
    <row r="56" spans="2:48" ht="12.75" customHeight="1">
      <c r="B56" s="65"/>
      <c r="C56" s="101" t="s">
        <v>26</v>
      </c>
      <c r="D56" s="83"/>
      <c r="E56" s="83"/>
      <c r="F56" s="83"/>
      <c r="G56" s="84"/>
      <c r="H56" s="546"/>
      <c r="I56" s="95"/>
      <c r="J56" s="96"/>
      <c r="K56" s="97"/>
      <c r="L56" s="454">
        <f t="shared" si="1"/>
        <v>0</v>
      </c>
      <c r="M56" s="351"/>
      <c r="N56" s="352"/>
      <c r="O56" s="352"/>
      <c r="P56" s="352"/>
      <c r="Q56" s="353"/>
      <c r="R56" s="568">
        <f t="shared" si="4"/>
        <v>0</v>
      </c>
      <c r="S56" s="569"/>
      <c r="T56" s="518" t="e">
        <f t="shared" si="2"/>
        <v>#DIV/0!</v>
      </c>
      <c r="W56" s="147"/>
      <c r="X56" s="258" t="s">
        <v>309</v>
      </c>
      <c r="Y56" s="153"/>
      <c r="Z56" s="172" t="s">
        <v>33</v>
      </c>
      <c r="AA56" s="172" t="s">
        <v>35</v>
      </c>
      <c r="AB56" s="172" t="s">
        <v>33</v>
      </c>
      <c r="AC56" s="172" t="s">
        <v>33</v>
      </c>
      <c r="AD56" s="154"/>
      <c r="AE56" s="244">
        <v>67.52</v>
      </c>
      <c r="AF56" s="244">
        <v>67.52</v>
      </c>
      <c r="AG56" s="244">
        <v>65.864</v>
      </c>
      <c r="AH56" s="244">
        <v>66.071</v>
      </c>
      <c r="AI56" s="195" t="s">
        <v>26</v>
      </c>
      <c r="AJ56" s="193"/>
      <c r="AK56" s="249">
        <v>3.868008256676185</v>
      </c>
      <c r="AL56" s="249">
        <v>0.09209646</v>
      </c>
      <c r="AM56" s="250">
        <f t="shared" si="3"/>
        <v>0.02432908512442014</v>
      </c>
      <c r="AN56" s="252"/>
      <c r="AO56" s="251" t="s">
        <v>326</v>
      </c>
      <c r="AP56" s="252"/>
      <c r="AQ56" s="252"/>
      <c r="AR56" s="252"/>
      <c r="AS56" s="153"/>
      <c r="AT56" s="259">
        <v>62.47</v>
      </c>
      <c r="AU56" s="153"/>
      <c r="AV56" s="156"/>
    </row>
    <row r="57" spans="2:48" ht="12.75" customHeight="1">
      <c r="B57" s="65"/>
      <c r="C57" s="101" t="s">
        <v>492</v>
      </c>
      <c r="D57" s="83"/>
      <c r="E57" s="83"/>
      <c r="F57" s="83"/>
      <c r="G57" s="84"/>
      <c r="H57" s="547"/>
      <c r="I57" s="280" t="s">
        <v>305</v>
      </c>
      <c r="J57" s="96"/>
      <c r="K57" s="97"/>
      <c r="L57" s="454">
        <f t="shared" si="1"/>
        <v>0</v>
      </c>
      <c r="M57" s="351" t="s">
        <v>331</v>
      </c>
      <c r="N57" s="352"/>
      <c r="O57" s="352"/>
      <c r="P57" s="352"/>
      <c r="Q57" s="353"/>
      <c r="R57" s="568">
        <f t="shared" si="4"/>
        <v>0</v>
      </c>
      <c r="S57" s="569"/>
      <c r="T57" s="518" t="e">
        <f t="shared" si="2"/>
        <v>#DIV/0!</v>
      </c>
      <c r="W57" s="147"/>
      <c r="X57" s="258" t="s">
        <v>310</v>
      </c>
      <c r="Y57" s="153"/>
      <c r="Z57" s="189" t="s">
        <v>247</v>
      </c>
      <c r="AA57" s="189" t="s">
        <v>248</v>
      </c>
      <c r="AB57" s="189"/>
      <c r="AC57" s="189"/>
      <c r="AD57" s="154"/>
      <c r="AE57" s="244">
        <v>105.666666666</v>
      </c>
      <c r="AF57" s="244">
        <v>105.666666666</v>
      </c>
      <c r="AG57" s="244">
        <v>104.010666666</v>
      </c>
      <c r="AH57" s="244">
        <v>104.217666666</v>
      </c>
      <c r="AI57" s="195" t="s">
        <v>492</v>
      </c>
      <c r="AJ57" s="193"/>
      <c r="AK57" s="249">
        <v>5.67</v>
      </c>
      <c r="AL57" s="249">
        <f>AK57/42</f>
        <v>0.135</v>
      </c>
      <c r="AM57" s="250">
        <f t="shared" si="3"/>
        <v>0.035663293225232255</v>
      </c>
      <c r="AN57" s="251">
        <f>AO57*(1/0.9071848)</f>
        <v>48.31330948225764</v>
      </c>
      <c r="AO57" s="250">
        <v>43.8291</v>
      </c>
      <c r="AP57" s="252"/>
      <c r="AQ57" s="252"/>
      <c r="AR57" s="252"/>
      <c r="AS57" s="153"/>
      <c r="AT57" s="259">
        <v>70.8716</v>
      </c>
      <c r="AU57" s="153"/>
      <c r="AV57" s="156"/>
    </row>
    <row r="58" spans="2:48" ht="12.75" customHeight="1">
      <c r="B58" s="65"/>
      <c r="C58" s="237" t="s">
        <v>29</v>
      </c>
      <c r="D58" s="111"/>
      <c r="E58" s="111"/>
      <c r="F58" s="111"/>
      <c r="G58" s="232"/>
      <c r="H58" s="546"/>
      <c r="I58" s="280"/>
      <c r="J58" s="96"/>
      <c r="K58" s="97"/>
      <c r="L58" s="454">
        <f t="shared" si="1"/>
        <v>0</v>
      </c>
      <c r="M58" s="351"/>
      <c r="N58" s="352"/>
      <c r="O58" s="352"/>
      <c r="P58" s="352"/>
      <c r="Q58" s="353"/>
      <c r="R58" s="568">
        <f t="shared" si="4"/>
        <v>0</v>
      </c>
      <c r="S58" s="569"/>
      <c r="T58" s="518" t="e">
        <f t="shared" si="2"/>
        <v>#DIV/0!</v>
      </c>
      <c r="W58" s="147"/>
      <c r="X58" s="153"/>
      <c r="Y58" s="153"/>
      <c r="Z58" s="165" t="s">
        <v>191</v>
      </c>
      <c r="AA58" s="154"/>
      <c r="AB58" s="154"/>
      <c r="AC58" s="154"/>
      <c r="AD58" s="154"/>
      <c r="AE58" s="244">
        <v>67.52</v>
      </c>
      <c r="AF58" s="244">
        <v>67.52</v>
      </c>
      <c r="AG58" s="244">
        <v>65.864</v>
      </c>
      <c r="AH58" s="244">
        <v>66.071</v>
      </c>
      <c r="AI58" s="146" t="s">
        <v>29</v>
      </c>
      <c r="AJ58" s="193"/>
      <c r="AK58" s="249">
        <v>3.824</v>
      </c>
      <c r="AL58" s="249">
        <v>0.09102732</v>
      </c>
      <c r="AM58" s="250">
        <f t="shared" si="3"/>
        <v>0.024052281004107254</v>
      </c>
      <c r="AN58" s="250">
        <f>AO58/0.9071847</f>
        <v>52.43756866710826</v>
      </c>
      <c r="AO58" s="251">
        <v>47.57056</v>
      </c>
      <c r="AP58" s="252"/>
      <c r="AQ58" s="252"/>
      <c r="AR58" s="252"/>
      <c r="AS58" s="153"/>
      <c r="AT58" s="259">
        <v>62.44</v>
      </c>
      <c r="AU58" s="153"/>
      <c r="AV58" s="156"/>
    </row>
    <row r="59" spans="2:48" ht="12.75" customHeight="1">
      <c r="B59" s="65"/>
      <c r="C59" s="239" t="s">
        <v>299</v>
      </c>
      <c r="D59" s="83"/>
      <c r="E59" s="83"/>
      <c r="F59" s="83"/>
      <c r="G59" s="84"/>
      <c r="H59" s="548"/>
      <c r="I59" s="280"/>
      <c r="J59" s="96"/>
      <c r="K59" s="97"/>
      <c r="L59" s="454">
        <f t="shared" si="1"/>
        <v>0</v>
      </c>
      <c r="M59" s="351"/>
      <c r="N59" s="352"/>
      <c r="O59" s="352"/>
      <c r="P59" s="352"/>
      <c r="Q59" s="353"/>
      <c r="R59" s="568">
        <f t="shared" si="4"/>
        <v>0</v>
      </c>
      <c r="S59" s="569"/>
      <c r="T59" s="518" t="e">
        <f t="shared" si="2"/>
        <v>#DIV/0!</v>
      </c>
      <c r="W59" s="147"/>
      <c r="X59" s="153"/>
      <c r="Y59" s="153"/>
      <c r="Z59" s="154" t="s">
        <v>302</v>
      </c>
      <c r="AA59" s="154" t="s">
        <v>304</v>
      </c>
      <c r="AB59" s="154"/>
      <c r="AC59" s="154"/>
      <c r="AD59" s="154"/>
      <c r="AE59" s="244">
        <v>63.13</v>
      </c>
      <c r="AF59" s="244">
        <v>63.13</v>
      </c>
      <c r="AG59" s="244">
        <v>61.474</v>
      </c>
      <c r="AH59" s="244">
        <v>61.681</v>
      </c>
      <c r="AI59" s="452" t="s">
        <v>299</v>
      </c>
      <c r="AJ59" s="193"/>
      <c r="AK59" s="249">
        <v>2.916</v>
      </c>
      <c r="AL59" s="249">
        <f>AK59/42</f>
        <v>0.06942857142857142</v>
      </c>
      <c r="AM59" s="250">
        <f t="shared" si="3"/>
        <v>0.018341122230119442</v>
      </c>
      <c r="AN59" s="250">
        <f>AO59/0.9071847</f>
        <v>54.258057923595935</v>
      </c>
      <c r="AO59" s="251">
        <v>49.22208</v>
      </c>
      <c r="AP59" s="252"/>
      <c r="AQ59" s="252"/>
      <c r="AR59" s="252"/>
      <c r="AS59" s="153"/>
      <c r="AT59" s="259">
        <v>58.98</v>
      </c>
      <c r="AU59" s="153"/>
      <c r="AV59" s="156"/>
    </row>
    <row r="60" spans="2:48" ht="12.75" customHeight="1">
      <c r="B60" s="65"/>
      <c r="C60" s="239" t="s">
        <v>300</v>
      </c>
      <c r="D60" s="18"/>
      <c r="E60" s="18"/>
      <c r="F60" s="18"/>
      <c r="G60" s="238"/>
      <c r="H60" s="548"/>
      <c r="I60" s="280"/>
      <c r="J60" s="96"/>
      <c r="K60" s="97"/>
      <c r="L60" s="454">
        <f t="shared" si="1"/>
        <v>0</v>
      </c>
      <c r="M60" s="351"/>
      <c r="N60" s="352"/>
      <c r="O60" s="352"/>
      <c r="P60" s="352"/>
      <c r="Q60" s="353"/>
      <c r="R60" s="568">
        <f t="shared" si="4"/>
        <v>0</v>
      </c>
      <c r="S60" s="569"/>
      <c r="T60" s="518" t="e">
        <f t="shared" si="2"/>
        <v>#DIV/0!</v>
      </c>
      <c r="W60" s="147"/>
      <c r="X60" s="153"/>
      <c r="Y60" s="159" t="s">
        <v>186</v>
      </c>
      <c r="Z60" s="173">
        <v>1</v>
      </c>
      <c r="AA60" s="82">
        <v>5</v>
      </c>
      <c r="AB60" s="154"/>
      <c r="AC60" s="154"/>
      <c r="AD60" s="154"/>
      <c r="AE60" s="244">
        <v>68.63</v>
      </c>
      <c r="AF60" s="244">
        <v>68.63</v>
      </c>
      <c r="AG60" s="244">
        <v>66.974</v>
      </c>
      <c r="AH60" s="244">
        <v>67.181</v>
      </c>
      <c r="AI60" s="452" t="s">
        <v>300</v>
      </c>
      <c r="AJ60" s="193"/>
      <c r="AK60" s="249">
        <v>4.162</v>
      </c>
      <c r="AL60" s="249">
        <f>AK60/42</f>
        <v>0.0990952380952381</v>
      </c>
      <c r="AM60" s="250">
        <f t="shared" si="3"/>
        <v>0.026178240988256902</v>
      </c>
      <c r="AN60" s="250">
        <f>AO60/0.9071847</f>
        <v>51.383582637581966</v>
      </c>
      <c r="AO60" s="251">
        <v>46.6144</v>
      </c>
      <c r="AP60" s="252"/>
      <c r="AQ60" s="252"/>
      <c r="AR60" s="252"/>
      <c r="AS60" s="153"/>
      <c r="AT60" s="259">
        <v>64.43</v>
      </c>
      <c r="AU60" s="153"/>
      <c r="AV60" s="156"/>
    </row>
    <row r="61" spans="2:48" ht="12.75" customHeight="1">
      <c r="B61" s="65"/>
      <c r="C61" s="239" t="s">
        <v>301</v>
      </c>
      <c r="D61" s="83"/>
      <c r="E61" s="83"/>
      <c r="F61" s="83"/>
      <c r="G61" s="84"/>
      <c r="H61" s="548"/>
      <c r="I61" s="296"/>
      <c r="J61" s="99"/>
      <c r="K61" s="100"/>
      <c r="L61" s="454">
        <f t="shared" si="1"/>
        <v>0</v>
      </c>
      <c r="M61" s="450"/>
      <c r="N61" s="438"/>
      <c r="O61" s="438"/>
      <c r="P61" s="438"/>
      <c r="Q61" s="439"/>
      <c r="R61" s="568">
        <f t="shared" si="4"/>
        <v>0</v>
      </c>
      <c r="S61" s="569"/>
      <c r="T61" s="518" t="e">
        <f t="shared" si="2"/>
        <v>#DIV/0!</v>
      </c>
      <c r="W61" s="147"/>
      <c r="X61" s="153"/>
      <c r="Y61" s="159" t="s">
        <v>189</v>
      </c>
      <c r="Z61" s="173">
        <v>1</v>
      </c>
      <c r="AA61" s="82">
        <v>5</v>
      </c>
      <c r="AB61" s="154"/>
      <c r="AC61" s="154"/>
      <c r="AD61" s="154"/>
      <c r="AE61" s="244">
        <v>68.52</v>
      </c>
      <c r="AF61" s="244">
        <v>68.52</v>
      </c>
      <c r="AG61" s="244">
        <v>66.864</v>
      </c>
      <c r="AH61" s="244">
        <v>67.071</v>
      </c>
      <c r="AI61" s="452" t="s">
        <v>301</v>
      </c>
      <c r="AJ61" s="193"/>
      <c r="AK61" s="249">
        <v>4.328</v>
      </c>
      <c r="AL61" s="249">
        <f>AK61/42</f>
        <v>0.10304761904761905</v>
      </c>
      <c r="AM61" s="250">
        <f t="shared" si="3"/>
        <v>0.02722235151301679</v>
      </c>
      <c r="AN61" s="250">
        <f>AO61/0.9071847</f>
        <v>51.47697045596118</v>
      </c>
      <c r="AO61" s="251">
        <v>46.69912</v>
      </c>
      <c r="AP61" s="252"/>
      <c r="AQ61" s="252"/>
      <c r="AR61" s="252"/>
      <c r="AS61" s="153"/>
      <c r="AT61" s="259">
        <v>64.32</v>
      </c>
      <c r="AU61" s="153"/>
      <c r="AV61" s="156"/>
    </row>
    <row r="62" spans="2:48" ht="17.25" customHeight="1">
      <c r="B62" s="65"/>
      <c r="C62" s="26"/>
      <c r="D62" s="26"/>
      <c r="E62" s="26"/>
      <c r="F62" s="17"/>
      <c r="G62" s="17"/>
      <c r="H62" s="61"/>
      <c r="I62" s="297"/>
      <c r="J62" s="61"/>
      <c r="K62" s="61"/>
      <c r="L62" s="17"/>
      <c r="M62" s="19"/>
      <c r="N62" s="60"/>
      <c r="O62" s="61"/>
      <c r="P62" s="60"/>
      <c r="Q62" s="17"/>
      <c r="R62" s="60"/>
      <c r="S62" s="60"/>
      <c r="T62" s="633" t="s">
        <v>583</v>
      </c>
      <c r="W62" s="147"/>
      <c r="X62" s="153"/>
      <c r="Y62" s="159" t="s">
        <v>187</v>
      </c>
      <c r="Z62" s="173">
        <v>1</v>
      </c>
      <c r="AA62" s="82">
        <v>5</v>
      </c>
      <c r="AB62" s="154"/>
      <c r="AC62" s="154"/>
      <c r="AD62" s="154"/>
      <c r="AE62" s="153"/>
      <c r="AF62" s="153"/>
      <c r="AG62" s="153"/>
      <c r="AH62" s="153"/>
      <c r="AI62" s="268"/>
      <c r="AJ62" s="153"/>
      <c r="AK62" s="271"/>
      <c r="AL62" s="271"/>
      <c r="AM62" s="271"/>
      <c r="AN62" s="271"/>
      <c r="AO62" s="271"/>
      <c r="AP62" s="271"/>
      <c r="AQ62" s="271"/>
      <c r="AR62" s="271"/>
      <c r="AS62" s="153"/>
      <c r="AT62" s="269"/>
      <c r="AU62" s="153"/>
      <c r="AV62" s="156"/>
    </row>
    <row r="63" spans="2:48" ht="12.75" customHeight="1">
      <c r="B63" s="65"/>
      <c r="C63" s="26" t="s">
        <v>212</v>
      </c>
      <c r="D63" s="26"/>
      <c r="E63" s="26"/>
      <c r="F63" s="17"/>
      <c r="G63" s="17"/>
      <c r="H63" s="39" t="s">
        <v>206</v>
      </c>
      <c r="I63" s="275" t="s">
        <v>340</v>
      </c>
      <c r="J63" s="453"/>
      <c r="K63" s="453"/>
      <c r="L63" s="39" t="s">
        <v>80</v>
      </c>
      <c r="N63" s="39"/>
      <c r="O63" s="39"/>
      <c r="P63" s="39"/>
      <c r="Q63" s="17"/>
      <c r="R63" s="39" t="s">
        <v>190</v>
      </c>
      <c r="S63" s="60"/>
      <c r="T63" s="544"/>
      <c r="W63" s="147"/>
      <c r="X63" s="154"/>
      <c r="Y63" s="159" t="s">
        <v>154</v>
      </c>
      <c r="Z63" s="173">
        <v>1</v>
      </c>
      <c r="AA63" s="82">
        <v>3</v>
      </c>
      <c r="AB63" s="154"/>
      <c r="AC63" s="154"/>
      <c r="AD63" s="154"/>
      <c r="AE63" s="625" t="s">
        <v>311</v>
      </c>
      <c r="AF63" s="625"/>
      <c r="AG63" s="625"/>
      <c r="AH63" s="625"/>
      <c r="AI63" s="267" t="s">
        <v>212</v>
      </c>
      <c r="AJ63" s="193"/>
      <c r="AK63" s="247" t="s">
        <v>318</v>
      </c>
      <c r="AL63" s="247" t="s">
        <v>319</v>
      </c>
      <c r="AM63" s="247" t="s">
        <v>320</v>
      </c>
      <c r="AN63" s="247" t="s">
        <v>321</v>
      </c>
      <c r="AO63" s="247" t="s">
        <v>322</v>
      </c>
      <c r="AP63" s="253" t="s">
        <v>323</v>
      </c>
      <c r="AQ63" s="253" t="s">
        <v>324</v>
      </c>
      <c r="AR63" s="253" t="s">
        <v>325</v>
      </c>
      <c r="AS63" s="153"/>
      <c r="AT63" s="272" t="s">
        <v>329</v>
      </c>
      <c r="AU63" s="153"/>
      <c r="AV63" s="156"/>
    </row>
    <row r="64" spans="2:48" ht="14.25" customHeight="1">
      <c r="B64" s="65"/>
      <c r="C64" s="101" t="s">
        <v>493</v>
      </c>
      <c r="D64" s="83" t="s">
        <v>498</v>
      </c>
      <c r="E64" s="83"/>
      <c r="F64" s="463"/>
      <c r="G64" s="84"/>
      <c r="H64" s="549"/>
      <c r="I64" s="92"/>
      <c r="J64" s="93"/>
      <c r="K64" s="94"/>
      <c r="L64" s="455">
        <f>IF($Z$61=2,AT64*AP64,IF($Z$61=3,AT64,IF($Z$61=4,AT64*AR64,IF($Z$61=5,AT64*AQ64,0))))</f>
        <v>0</v>
      </c>
      <c r="M64" s="562"/>
      <c r="N64" s="563"/>
      <c r="O64" s="563"/>
      <c r="P64" s="563"/>
      <c r="Q64" s="564"/>
      <c r="R64" s="568">
        <f>H64*L64/1000</f>
        <v>0</v>
      </c>
      <c r="S64" s="569"/>
      <c r="T64" s="518" t="e">
        <f>R64/$Q$393</f>
        <v>#DIV/0!</v>
      </c>
      <c r="W64" s="147"/>
      <c r="X64" s="154"/>
      <c r="Y64" s="159" t="s">
        <v>4</v>
      </c>
      <c r="Z64" s="173">
        <v>1</v>
      </c>
      <c r="AA64" s="173"/>
      <c r="AB64" s="154"/>
      <c r="AC64" s="154"/>
      <c r="AD64" s="154"/>
      <c r="AE64" s="244">
        <v>54.036187999999996</v>
      </c>
      <c r="AF64" s="244">
        <v>54.036187999999996</v>
      </c>
      <c r="AG64" s="244">
        <v>54.036187999999996</v>
      </c>
      <c r="AH64" s="244">
        <v>53.231187999999996</v>
      </c>
      <c r="AI64" s="195" t="s">
        <v>493</v>
      </c>
      <c r="AJ64" s="458" t="s">
        <v>498</v>
      </c>
      <c r="AK64" s="252"/>
      <c r="AL64" s="252"/>
      <c r="AM64" s="252"/>
      <c r="AN64" s="252"/>
      <c r="AO64" s="252"/>
      <c r="AP64" s="249">
        <v>1.108001093</v>
      </c>
      <c r="AQ64" s="254">
        <f>AP64/0.02832</f>
        <v>39.124332379943496</v>
      </c>
      <c r="AR64" s="255">
        <v>10</v>
      </c>
      <c r="AS64" s="153"/>
      <c r="AT64" s="274">
        <v>53.74</v>
      </c>
      <c r="AU64" s="153"/>
      <c r="AV64" s="156"/>
    </row>
    <row r="65" spans="2:48" ht="14.25" customHeight="1">
      <c r="B65" s="65"/>
      <c r="C65" s="101" t="s">
        <v>497</v>
      </c>
      <c r="D65" s="83" t="s">
        <v>498</v>
      </c>
      <c r="E65" s="83"/>
      <c r="F65" s="83"/>
      <c r="G65" s="84"/>
      <c r="H65" s="546"/>
      <c r="I65" s="456"/>
      <c r="J65" s="96"/>
      <c r="K65" s="97"/>
      <c r="L65" s="455">
        <f>IF($Z$61=2,AT65*AP65,IF($Z$61=3,AT65,IF($Z$61=4,AT65*AR65,IF($Z$61=5,AT65*AQ65,0))))</f>
        <v>0</v>
      </c>
      <c r="M65" s="565"/>
      <c r="N65" s="566"/>
      <c r="O65" s="566"/>
      <c r="P65" s="566"/>
      <c r="Q65" s="567"/>
      <c r="R65" s="568">
        <f>H65*L65/1000</f>
        <v>0</v>
      </c>
      <c r="S65" s="569"/>
      <c r="T65" s="518" t="e">
        <f>R65/$Q$393</f>
        <v>#DIV/0!</v>
      </c>
      <c r="W65" s="147"/>
      <c r="X65" s="153"/>
      <c r="Y65" s="153"/>
      <c r="Z65" s="154"/>
      <c r="AA65" s="154"/>
      <c r="AB65" s="154"/>
      <c r="AC65" s="154"/>
      <c r="AD65" s="154"/>
      <c r="AE65" s="244">
        <v>54.036187999999996</v>
      </c>
      <c r="AF65" s="244">
        <v>54.036187999999996</v>
      </c>
      <c r="AG65" s="244">
        <v>54.036187999999996</v>
      </c>
      <c r="AH65" s="244">
        <v>53.231187999999996</v>
      </c>
      <c r="AI65" s="195" t="s">
        <v>497</v>
      </c>
      <c r="AJ65" s="458" t="s">
        <v>498</v>
      </c>
      <c r="AK65" s="252"/>
      <c r="AL65" s="252"/>
      <c r="AM65" s="252"/>
      <c r="AN65" s="252"/>
      <c r="AO65" s="252"/>
      <c r="AP65" s="249">
        <v>1.108001093</v>
      </c>
      <c r="AQ65" s="254">
        <f>AP65/0.02832</f>
        <v>39.124332379943496</v>
      </c>
      <c r="AR65" s="255">
        <v>10</v>
      </c>
      <c r="AS65" s="153"/>
      <c r="AT65" s="259">
        <v>52.65</v>
      </c>
      <c r="AU65" s="153"/>
      <c r="AV65" s="156"/>
    </row>
    <row r="66" spans="2:48" ht="13.5" customHeight="1">
      <c r="B66" s="65"/>
      <c r="C66" s="101" t="s">
        <v>494</v>
      </c>
      <c r="D66" s="83" t="s">
        <v>498</v>
      </c>
      <c r="E66" s="83"/>
      <c r="F66" s="463"/>
      <c r="G66" s="84"/>
      <c r="H66" s="546"/>
      <c r="I66" s="456" t="s">
        <v>305</v>
      </c>
      <c r="J66" s="96"/>
      <c r="K66" s="97"/>
      <c r="L66" s="455">
        <f>IF($Z$61=2,AT66*AP66,IF($Z$61=3,AT66,IF($Z$61=4,AT66*AR66,IF($Z$61=5,AT66*AQ66,0))))</f>
        <v>0</v>
      </c>
      <c r="M66" s="631" t="s">
        <v>331</v>
      </c>
      <c r="N66" s="566"/>
      <c r="O66" s="566"/>
      <c r="P66" s="566"/>
      <c r="Q66" s="567"/>
      <c r="R66" s="568">
        <f>H66*L66/1000</f>
        <v>0</v>
      </c>
      <c r="S66" s="569"/>
      <c r="T66" s="518" t="e">
        <f>R66/$Q$393</f>
        <v>#DIV/0!</v>
      </c>
      <c r="W66" s="147"/>
      <c r="X66" s="153"/>
      <c r="Y66" s="153"/>
      <c r="Z66" s="154"/>
      <c r="AA66" s="154"/>
      <c r="AB66" s="154"/>
      <c r="AC66" s="154"/>
      <c r="AD66" s="154"/>
      <c r="AE66" s="244">
        <v>53.260298497954295</v>
      </c>
      <c r="AF66" s="244">
        <v>53.260298497954295</v>
      </c>
      <c r="AG66" s="244">
        <v>53.260298497954295</v>
      </c>
      <c r="AH66" s="244">
        <v>52.455298497954296</v>
      </c>
      <c r="AI66" s="195" t="s">
        <v>494</v>
      </c>
      <c r="AJ66" s="458" t="s">
        <v>498</v>
      </c>
      <c r="AK66" s="252"/>
      <c r="AL66" s="252"/>
      <c r="AM66" s="252"/>
      <c r="AN66" s="252"/>
      <c r="AO66" s="252"/>
      <c r="AP66" s="249">
        <v>1.108001093</v>
      </c>
      <c r="AQ66" s="254">
        <f>AP66/0.02832</f>
        <v>39.124332379943496</v>
      </c>
      <c r="AR66" s="255">
        <v>10</v>
      </c>
      <c r="AS66" s="153"/>
      <c r="AT66" s="259">
        <v>52.79</v>
      </c>
      <c r="AU66" s="153"/>
      <c r="AV66" s="156"/>
    </row>
    <row r="67" spans="2:48" ht="13.5" customHeight="1">
      <c r="B67" s="65"/>
      <c r="C67" s="101" t="s">
        <v>495</v>
      </c>
      <c r="D67" s="83" t="s">
        <v>498</v>
      </c>
      <c r="E67" s="83"/>
      <c r="F67" s="83"/>
      <c r="G67" s="84"/>
      <c r="H67" s="546"/>
      <c r="I67" s="456"/>
      <c r="J67" s="96"/>
      <c r="K67" s="97"/>
      <c r="L67" s="455">
        <f>IF($Z$61=2,AT67*AP67,IF($Z$61=3,AT67,IF($Z$61=4,AT67*AR67,IF($Z$61=5,AT67*AQ67,0))))</f>
        <v>0</v>
      </c>
      <c r="M67" s="565"/>
      <c r="N67" s="566"/>
      <c r="O67" s="566"/>
      <c r="P67" s="566"/>
      <c r="Q67" s="567"/>
      <c r="R67" s="568">
        <f>H67*L67/1000</f>
        <v>0</v>
      </c>
      <c r="S67" s="569"/>
      <c r="T67" s="518" t="e">
        <f>R67/$Q$393</f>
        <v>#DIV/0!</v>
      </c>
      <c r="W67" s="147"/>
      <c r="X67" s="153"/>
      <c r="Y67" s="153"/>
      <c r="Z67" s="154"/>
      <c r="AA67" s="154"/>
      <c r="AB67" s="154"/>
      <c r="AC67" s="154"/>
      <c r="AD67" s="154"/>
      <c r="AE67" s="244"/>
      <c r="AF67" s="244"/>
      <c r="AG67" s="244"/>
      <c r="AH67" s="244"/>
      <c r="AI67" s="458" t="s">
        <v>495</v>
      </c>
      <c r="AJ67" s="458" t="s">
        <v>498</v>
      </c>
      <c r="AK67" s="252"/>
      <c r="AL67" s="252"/>
      <c r="AM67" s="252"/>
      <c r="AN67" s="252"/>
      <c r="AO67" s="252"/>
      <c r="AP67" s="249">
        <v>1.108001093</v>
      </c>
      <c r="AQ67" s="254">
        <f>AP67/0.02832</f>
        <v>39.124332379943496</v>
      </c>
      <c r="AR67" s="255">
        <v>10</v>
      </c>
      <c r="AS67" s="153"/>
      <c r="AT67" s="259">
        <v>52.93</v>
      </c>
      <c r="AU67" s="153"/>
      <c r="AV67" s="156"/>
    </row>
    <row r="68" spans="2:48" ht="13.5" customHeight="1">
      <c r="B68" s="65"/>
      <c r="C68" s="101" t="s">
        <v>496</v>
      </c>
      <c r="D68" s="83" t="s">
        <v>498</v>
      </c>
      <c r="E68" s="83"/>
      <c r="F68" s="463"/>
      <c r="G68" s="84"/>
      <c r="H68" s="546"/>
      <c r="I68" s="298"/>
      <c r="J68" s="99"/>
      <c r="K68" s="100"/>
      <c r="L68" s="455">
        <f>IF($Z$61=2,AT68*AP68,IF($Z$61=3,AT68,IF($Z$61=4,AT68*AR68,IF($Z$61=5,AT68*AQ68,0))))</f>
        <v>0</v>
      </c>
      <c r="M68" s="450"/>
      <c r="N68" s="438"/>
      <c r="O68" s="438"/>
      <c r="P68" s="438"/>
      <c r="Q68" s="439"/>
      <c r="R68" s="568">
        <f>H68*L68/1000</f>
        <v>0</v>
      </c>
      <c r="S68" s="569"/>
      <c r="T68" s="518" t="e">
        <f>R68/$Q$393</f>
        <v>#DIV/0!</v>
      </c>
      <c r="W68" s="147"/>
      <c r="X68" s="153"/>
      <c r="Y68" s="153"/>
      <c r="Z68" s="154"/>
      <c r="AA68" s="154"/>
      <c r="AB68" s="154"/>
      <c r="AC68" s="154"/>
      <c r="AD68" s="154"/>
      <c r="AE68" s="244"/>
      <c r="AF68" s="244"/>
      <c r="AG68" s="244"/>
      <c r="AH68" s="244"/>
      <c r="AI68" s="458" t="s">
        <v>496</v>
      </c>
      <c r="AJ68" s="458" t="s">
        <v>498</v>
      </c>
      <c r="AK68" s="252"/>
      <c r="AL68" s="252"/>
      <c r="AM68" s="252"/>
      <c r="AN68" s="252"/>
      <c r="AO68" s="252"/>
      <c r="AP68" s="249">
        <v>1.108001093</v>
      </c>
      <c r="AQ68" s="254">
        <f>AP68/0.02832</f>
        <v>39.124332379943496</v>
      </c>
      <c r="AR68" s="255">
        <v>10</v>
      </c>
      <c r="AS68" s="153"/>
      <c r="AT68" s="259">
        <v>53.18</v>
      </c>
      <c r="AU68" s="153"/>
      <c r="AV68" s="156"/>
    </row>
    <row r="69" spans="2:48" ht="18.75" customHeight="1">
      <c r="B69" s="65"/>
      <c r="C69" s="634" t="s">
        <v>558</v>
      </c>
      <c r="D69" s="563"/>
      <c r="E69" s="563"/>
      <c r="F69" s="563"/>
      <c r="G69" s="563"/>
      <c r="H69" s="515"/>
      <c r="I69" s="297"/>
      <c r="J69" s="61"/>
      <c r="K69" s="61"/>
      <c r="L69" s="19"/>
      <c r="M69" s="457"/>
      <c r="N69" s="457"/>
      <c r="O69" s="457"/>
      <c r="P69" s="457"/>
      <c r="Q69" s="457"/>
      <c r="R69" s="60"/>
      <c r="S69" s="60"/>
      <c r="T69" s="633" t="s">
        <v>583</v>
      </c>
      <c r="W69" s="147"/>
      <c r="X69" s="153"/>
      <c r="Y69" s="153"/>
      <c r="Z69" s="154"/>
      <c r="AA69" s="154"/>
      <c r="AB69" s="154"/>
      <c r="AC69" s="154"/>
      <c r="AD69" s="154"/>
      <c r="AE69" s="153"/>
      <c r="AF69" s="153"/>
      <c r="AG69" s="153"/>
      <c r="AH69" s="153"/>
      <c r="AI69" s="154"/>
      <c r="AJ69" s="153"/>
      <c r="AK69" s="271"/>
      <c r="AL69" s="271"/>
      <c r="AM69" s="271"/>
      <c r="AN69" s="271"/>
      <c r="AO69" s="271"/>
      <c r="AP69" s="459"/>
      <c r="AQ69" s="460"/>
      <c r="AR69" s="461"/>
      <c r="AS69" s="153"/>
      <c r="AT69" s="319"/>
      <c r="AU69" s="153"/>
      <c r="AV69" s="156"/>
    </row>
    <row r="70" spans="2:48" ht="13.5" customHeight="1">
      <c r="B70" s="65"/>
      <c r="C70" s="543"/>
      <c r="D70" s="543"/>
      <c r="E70" s="543"/>
      <c r="F70" s="543"/>
      <c r="G70" s="543"/>
      <c r="H70" s="515" t="s">
        <v>206</v>
      </c>
      <c r="I70" s="275" t="s">
        <v>340</v>
      </c>
      <c r="J70" s="453"/>
      <c r="K70" s="453"/>
      <c r="L70" s="515" t="s">
        <v>80</v>
      </c>
      <c r="M70" s="481"/>
      <c r="N70" s="515"/>
      <c r="O70" s="515"/>
      <c r="P70" s="515"/>
      <c r="Q70" s="516"/>
      <c r="R70" s="515" t="s">
        <v>190</v>
      </c>
      <c r="S70" s="517"/>
      <c r="T70" s="544"/>
      <c r="W70" s="147"/>
      <c r="X70" s="153"/>
      <c r="Y70" s="153"/>
      <c r="Z70" s="154"/>
      <c r="AA70" s="154"/>
      <c r="AB70" s="154"/>
      <c r="AC70" s="154"/>
      <c r="AD70" s="154"/>
      <c r="AE70" s="153"/>
      <c r="AF70" s="153"/>
      <c r="AG70" s="153"/>
      <c r="AH70" s="153"/>
      <c r="AI70" s="462"/>
      <c r="AJ70" s="153"/>
      <c r="AK70" s="271"/>
      <c r="AL70" s="271"/>
      <c r="AM70" s="271"/>
      <c r="AN70" s="271"/>
      <c r="AO70" s="271"/>
      <c r="AP70" s="271"/>
      <c r="AQ70" s="271"/>
      <c r="AR70" s="271"/>
      <c r="AS70" s="153"/>
      <c r="AT70" s="269"/>
      <c r="AU70" s="153"/>
      <c r="AV70" s="156"/>
    </row>
    <row r="71" spans="2:48" ht="12.75" customHeight="1">
      <c r="B71" s="65"/>
      <c r="C71" s="101" t="s">
        <v>551</v>
      </c>
      <c r="D71" s="83"/>
      <c r="E71" s="83"/>
      <c r="F71" s="83"/>
      <c r="G71" s="84"/>
      <c r="H71" s="549"/>
      <c r="I71" s="291"/>
      <c r="J71" s="93"/>
      <c r="K71" s="94"/>
      <c r="L71" s="454">
        <f aca="true" t="shared" si="5" ref="L71:L78">IF($Z$62=2,AT72*AN72,IF($Z$62=3,AT72*AO72,IF($Z$62=4,AT72,0)))</f>
        <v>0</v>
      </c>
      <c r="M71" s="348"/>
      <c r="N71" s="349"/>
      <c r="O71" s="349"/>
      <c r="P71" s="349"/>
      <c r="Q71" s="350"/>
      <c r="R71" s="568">
        <f>H71*L71/1000</f>
        <v>0</v>
      </c>
      <c r="S71" s="569"/>
      <c r="T71" s="518" t="e">
        <f aca="true" t="shared" si="6" ref="T71:T78">R71/$Q$393</f>
        <v>#DIV/0!</v>
      </c>
      <c r="W71" s="147"/>
      <c r="X71" s="153"/>
      <c r="Y71" s="153"/>
      <c r="Z71" s="154"/>
      <c r="AA71" s="154"/>
      <c r="AB71" s="154"/>
      <c r="AC71" s="154"/>
      <c r="AD71" s="154"/>
      <c r="AE71" s="625" t="s">
        <v>311</v>
      </c>
      <c r="AF71" s="625"/>
      <c r="AG71" s="625"/>
      <c r="AH71" s="625"/>
      <c r="AI71" s="267" t="s">
        <v>187</v>
      </c>
      <c r="AJ71" s="193"/>
      <c r="AK71" s="247" t="s">
        <v>318</v>
      </c>
      <c r="AL71" s="247" t="s">
        <v>319</v>
      </c>
      <c r="AM71" s="247" t="s">
        <v>320</v>
      </c>
      <c r="AN71" s="246" t="s">
        <v>321</v>
      </c>
      <c r="AO71" s="246" t="s">
        <v>322</v>
      </c>
      <c r="AP71" s="248" t="s">
        <v>323</v>
      </c>
      <c r="AQ71" s="248" t="s">
        <v>324</v>
      </c>
      <c r="AR71" s="248" t="s">
        <v>325</v>
      </c>
      <c r="AS71" s="153"/>
      <c r="AT71" s="272" t="s">
        <v>329</v>
      </c>
      <c r="AU71" s="153"/>
      <c r="AV71" s="156"/>
    </row>
    <row r="72" spans="2:48" ht="12.75" customHeight="1">
      <c r="B72" s="65"/>
      <c r="C72" s="101" t="s">
        <v>552</v>
      </c>
      <c r="D72" s="83"/>
      <c r="E72" s="83"/>
      <c r="F72" s="83"/>
      <c r="G72" s="84"/>
      <c r="H72" s="546"/>
      <c r="I72" s="280"/>
      <c r="J72" s="96"/>
      <c r="K72" s="97"/>
      <c r="L72" s="454">
        <f t="shared" si="5"/>
        <v>0</v>
      </c>
      <c r="M72" s="351"/>
      <c r="N72" s="352"/>
      <c r="O72" s="352"/>
      <c r="P72" s="352"/>
      <c r="Q72" s="353"/>
      <c r="R72" s="568">
        <f aca="true" t="shared" si="7" ref="R72:R78">H72*L72/1000</f>
        <v>0</v>
      </c>
      <c r="S72" s="569"/>
      <c r="T72" s="518" t="e">
        <f t="shared" si="6"/>
        <v>#DIV/0!</v>
      </c>
      <c r="W72" s="147"/>
      <c r="X72" s="153"/>
      <c r="Y72" s="153"/>
      <c r="Z72" s="154"/>
      <c r="AA72" s="154"/>
      <c r="AB72" s="154"/>
      <c r="AC72" s="154"/>
      <c r="AD72" s="154"/>
      <c r="AE72" s="244">
        <v>157.186</v>
      </c>
      <c r="AF72" s="244">
        <v>97.15599999999999</v>
      </c>
      <c r="AG72" s="244">
        <v>97.15599999999999</v>
      </c>
      <c r="AH72" s="244">
        <v>95.29299999999999</v>
      </c>
      <c r="AI72" s="195" t="s">
        <v>313</v>
      </c>
      <c r="AJ72" s="193"/>
      <c r="AK72" s="252"/>
      <c r="AL72" s="252"/>
      <c r="AM72" s="252"/>
      <c r="AN72" s="249">
        <v>24.019970774476377</v>
      </c>
      <c r="AO72" s="250">
        <f>AN72*0.9071847</f>
        <v>21.79054998105212</v>
      </c>
      <c r="AP72" s="252"/>
      <c r="AQ72" s="252"/>
      <c r="AR72" s="252"/>
      <c r="AS72" s="153"/>
      <c r="AT72" s="274">
        <v>92.53</v>
      </c>
      <c r="AU72" s="153"/>
      <c r="AV72" s="156"/>
    </row>
    <row r="73" spans="2:48" ht="12.75" customHeight="1">
      <c r="B73" s="65"/>
      <c r="C73" s="101" t="s">
        <v>553</v>
      </c>
      <c r="D73" s="83"/>
      <c r="E73" s="83"/>
      <c r="F73" s="83"/>
      <c r="G73" s="84"/>
      <c r="H73" s="546"/>
      <c r="I73" s="280"/>
      <c r="J73" s="96"/>
      <c r="K73" s="97"/>
      <c r="L73" s="454">
        <f t="shared" si="5"/>
        <v>0</v>
      </c>
      <c r="M73" s="351"/>
      <c r="N73" s="352"/>
      <c r="O73" s="352"/>
      <c r="P73" s="352"/>
      <c r="Q73" s="353"/>
      <c r="R73" s="568">
        <f t="shared" si="7"/>
        <v>0</v>
      </c>
      <c r="S73" s="569"/>
      <c r="T73" s="518" t="e">
        <f t="shared" si="6"/>
        <v>#DIV/0!</v>
      </c>
      <c r="W73" s="147"/>
      <c r="X73" s="153"/>
      <c r="Y73" s="153"/>
      <c r="Z73" s="154"/>
      <c r="AA73" s="154"/>
      <c r="AB73" s="154"/>
      <c r="AC73" s="154"/>
      <c r="AD73" s="154"/>
      <c r="AE73" s="244">
        <v>167.49560000000002</v>
      </c>
      <c r="AF73" s="244">
        <v>107.4656</v>
      </c>
      <c r="AG73" s="244">
        <v>107.4656</v>
      </c>
      <c r="AH73" s="244">
        <v>105.6026</v>
      </c>
      <c r="AI73" s="195" t="s">
        <v>312</v>
      </c>
      <c r="AJ73" s="193"/>
      <c r="AK73" s="252"/>
      <c r="AL73" s="252"/>
      <c r="AM73" s="252"/>
      <c r="AN73" s="249">
        <v>16.940017590149516</v>
      </c>
      <c r="AO73" s="250">
        <f>AN73*0.9071847</f>
        <v>15.36772477551451</v>
      </c>
      <c r="AP73" s="252"/>
      <c r="AQ73" s="252"/>
      <c r="AR73" s="252"/>
      <c r="AS73" s="153"/>
      <c r="AT73" s="259">
        <v>102.58</v>
      </c>
      <c r="AU73" s="153"/>
      <c r="AV73" s="156"/>
    </row>
    <row r="74" spans="2:48" ht="12.75" customHeight="1" thickBot="1">
      <c r="B74" s="65"/>
      <c r="C74" s="237" t="s">
        <v>554</v>
      </c>
      <c r="D74" s="111"/>
      <c r="E74" s="111"/>
      <c r="F74" s="111"/>
      <c r="G74" s="232"/>
      <c r="H74" s="549"/>
      <c r="I74" s="280"/>
      <c r="J74" s="96"/>
      <c r="K74" s="97"/>
      <c r="L74" s="454">
        <f t="shared" si="5"/>
        <v>0</v>
      </c>
      <c r="M74" s="351"/>
      <c r="N74" s="352"/>
      <c r="O74" s="352"/>
      <c r="P74" s="352"/>
      <c r="Q74" s="353"/>
      <c r="R74" s="568">
        <f t="shared" si="7"/>
        <v>0</v>
      </c>
      <c r="S74" s="569"/>
      <c r="T74" s="518" t="e">
        <f t="shared" si="6"/>
        <v>#DIV/0!</v>
      </c>
      <c r="W74" s="147"/>
      <c r="X74" s="153"/>
      <c r="Y74" s="153"/>
      <c r="Z74" s="154"/>
      <c r="AA74" s="154"/>
      <c r="AB74" s="154"/>
      <c r="AC74" s="154"/>
      <c r="AD74" s="154"/>
      <c r="AE74" s="244">
        <v>161.0962</v>
      </c>
      <c r="AF74" s="244">
        <v>101.0662</v>
      </c>
      <c r="AG74" s="244">
        <v>101.0662</v>
      </c>
      <c r="AH74" s="244">
        <v>99.2032</v>
      </c>
      <c r="AI74" s="195" t="s">
        <v>314</v>
      </c>
      <c r="AJ74" s="193"/>
      <c r="AK74" s="252"/>
      <c r="AL74" s="252"/>
      <c r="AM74" s="252"/>
      <c r="AN74" s="249">
        <v>17.470145745181007</v>
      </c>
      <c r="AO74" s="250">
        <f>AN74*0.9071847</f>
        <v>15.848648926798308</v>
      </c>
      <c r="AP74" s="252"/>
      <c r="AQ74" s="252"/>
      <c r="AR74" s="252"/>
      <c r="AS74" s="153"/>
      <c r="AT74" s="259">
        <v>96.12</v>
      </c>
      <c r="AU74" s="153"/>
      <c r="AV74" s="156"/>
    </row>
    <row r="75" spans="2:48" ht="12.75" customHeight="1">
      <c r="B75" s="65"/>
      <c r="C75" s="514" t="s">
        <v>486</v>
      </c>
      <c r="D75" s="512"/>
      <c r="E75" s="512"/>
      <c r="F75" s="512"/>
      <c r="G75" s="513"/>
      <c r="H75" s="550"/>
      <c r="I75" s="281" t="s">
        <v>305</v>
      </c>
      <c r="J75" s="96"/>
      <c r="K75" s="97"/>
      <c r="L75" s="454">
        <f t="shared" si="5"/>
        <v>0</v>
      </c>
      <c r="M75" s="351" t="s">
        <v>331</v>
      </c>
      <c r="N75" s="352"/>
      <c r="O75" s="352"/>
      <c r="P75" s="352"/>
      <c r="Q75" s="353"/>
      <c r="R75" s="568">
        <f t="shared" si="7"/>
        <v>0</v>
      </c>
      <c r="S75" s="569"/>
      <c r="T75" s="518" t="e">
        <f t="shared" si="6"/>
        <v>#DIV/0!</v>
      </c>
      <c r="W75" s="147"/>
      <c r="X75" s="153"/>
      <c r="Y75" s="153"/>
      <c r="Z75" s="154"/>
      <c r="AA75" s="154"/>
      <c r="AB75" s="154"/>
      <c r="AC75" s="154"/>
      <c r="AD75" s="154"/>
      <c r="AE75" s="244">
        <v>160.44940000000003</v>
      </c>
      <c r="AF75" s="244">
        <v>100.4194</v>
      </c>
      <c r="AG75" s="244">
        <v>100.4194</v>
      </c>
      <c r="AH75" s="244">
        <v>98.5564</v>
      </c>
      <c r="AI75" s="146" t="s">
        <v>315</v>
      </c>
      <c r="AJ75" s="193"/>
      <c r="AK75" s="252"/>
      <c r="AL75" s="252"/>
      <c r="AM75" s="252"/>
      <c r="AN75" s="249">
        <v>12.960074280408543</v>
      </c>
      <c r="AO75" s="250">
        <f>AN75*0.9071847</f>
        <v>11.75718109805014</v>
      </c>
      <c r="AP75" s="252"/>
      <c r="AQ75" s="252"/>
      <c r="AR75" s="252"/>
      <c r="AS75" s="153"/>
      <c r="AT75" s="259">
        <v>95.47</v>
      </c>
      <c r="AU75" s="153"/>
      <c r="AV75" s="156"/>
    </row>
    <row r="76" spans="2:48" ht="12.75" customHeight="1">
      <c r="B76" s="65"/>
      <c r="C76" s="239" t="s">
        <v>487</v>
      </c>
      <c r="D76" s="242"/>
      <c r="E76" s="242"/>
      <c r="F76" s="242"/>
      <c r="G76" s="81"/>
      <c r="H76" s="551"/>
      <c r="I76" s="281"/>
      <c r="J76" s="96"/>
      <c r="K76" s="97"/>
      <c r="L76" s="454">
        <f t="shared" si="5"/>
        <v>0</v>
      </c>
      <c r="M76" s="351"/>
      <c r="N76" s="352"/>
      <c r="O76" s="352"/>
      <c r="P76" s="352"/>
      <c r="Q76" s="353"/>
      <c r="R76" s="568">
        <f t="shared" si="7"/>
        <v>0</v>
      </c>
      <c r="S76" s="569"/>
      <c r="T76" s="518" t="e">
        <f t="shared" si="6"/>
        <v>#DIV/0!</v>
      </c>
      <c r="W76" s="147"/>
      <c r="X76" s="153"/>
      <c r="Y76" s="153"/>
      <c r="Z76" s="154"/>
      <c r="AA76" s="154"/>
      <c r="AB76" s="154"/>
      <c r="AC76" s="154"/>
      <c r="AD76" s="154"/>
      <c r="AE76" s="244">
        <v>155.229</v>
      </c>
      <c r="AF76" s="244">
        <v>95.199</v>
      </c>
      <c r="AG76" s="244">
        <v>95.199</v>
      </c>
      <c r="AH76" s="244">
        <v>93.336</v>
      </c>
      <c r="AI76" s="452" t="s">
        <v>486</v>
      </c>
      <c r="AJ76" s="193"/>
      <c r="AK76" s="252"/>
      <c r="AL76" s="252"/>
      <c r="AM76" s="252"/>
      <c r="AN76" s="256">
        <v>0</v>
      </c>
      <c r="AO76" s="250">
        <v>0</v>
      </c>
      <c r="AP76" s="252"/>
      <c r="AQ76" s="252"/>
      <c r="AR76" s="252"/>
      <c r="AS76" s="153"/>
      <c r="AT76" s="259">
        <v>94.31</v>
      </c>
      <c r="AU76" s="153"/>
      <c r="AV76" s="156"/>
    </row>
    <row r="77" spans="2:48" ht="12.75" customHeight="1">
      <c r="B77" s="65"/>
      <c r="C77" s="239" t="s">
        <v>488</v>
      </c>
      <c r="D77" s="240"/>
      <c r="E77" s="240"/>
      <c r="F77" s="240"/>
      <c r="G77" s="241"/>
      <c r="H77" s="551"/>
      <c r="I77" s="281"/>
      <c r="J77" s="96"/>
      <c r="K77" s="97"/>
      <c r="L77" s="455">
        <f t="shared" si="5"/>
        <v>0</v>
      </c>
      <c r="M77" s="351"/>
      <c r="N77" s="352"/>
      <c r="O77" s="352"/>
      <c r="P77" s="352"/>
      <c r="Q77" s="353"/>
      <c r="R77" s="568">
        <f t="shared" si="7"/>
        <v>0</v>
      </c>
      <c r="S77" s="569"/>
      <c r="T77" s="518" t="e">
        <f t="shared" si="6"/>
        <v>#DIV/0!</v>
      </c>
      <c r="W77" s="147"/>
      <c r="X77" s="153"/>
      <c r="Y77" s="153"/>
      <c r="Z77" s="154"/>
      <c r="AA77" s="154"/>
      <c r="AB77" s="154"/>
      <c r="AC77" s="154"/>
      <c r="AD77" s="154"/>
      <c r="AE77" s="244">
        <v>172.27800000000002</v>
      </c>
      <c r="AF77" s="244">
        <v>112.24799999999999</v>
      </c>
      <c r="AG77" s="244">
        <v>112.24799999999999</v>
      </c>
      <c r="AH77" s="244">
        <v>110.385</v>
      </c>
      <c r="AI77" s="452" t="s">
        <v>487</v>
      </c>
      <c r="AJ77" s="193"/>
      <c r="AK77" s="252"/>
      <c r="AL77" s="252"/>
      <c r="AM77" s="252"/>
      <c r="AN77" s="256">
        <v>0</v>
      </c>
      <c r="AO77" s="256">
        <v>0</v>
      </c>
      <c r="AP77" s="252"/>
      <c r="AQ77" s="252"/>
      <c r="AR77" s="252"/>
      <c r="AS77" s="153"/>
      <c r="AT77" s="259">
        <v>93.04</v>
      </c>
      <c r="AU77" s="153"/>
      <c r="AV77" s="156"/>
    </row>
    <row r="78" spans="2:48" ht="12.75" customHeight="1">
      <c r="B78" s="65"/>
      <c r="C78" s="239" t="s">
        <v>489</v>
      </c>
      <c r="D78" s="240"/>
      <c r="E78" s="240"/>
      <c r="F78" s="240"/>
      <c r="G78" s="241"/>
      <c r="H78" s="551"/>
      <c r="I78" s="511"/>
      <c r="J78" s="99"/>
      <c r="K78" s="100"/>
      <c r="L78" s="455">
        <f t="shared" si="5"/>
        <v>0</v>
      </c>
      <c r="M78" s="450"/>
      <c r="N78" s="438"/>
      <c r="O78" s="438"/>
      <c r="P78" s="438"/>
      <c r="Q78" s="439"/>
      <c r="R78" s="568">
        <f t="shared" si="7"/>
        <v>0</v>
      </c>
      <c r="S78" s="569"/>
      <c r="T78" s="518" t="e">
        <f t="shared" si="6"/>
        <v>#DIV/0!</v>
      </c>
      <c r="W78" s="147"/>
      <c r="X78" s="153"/>
      <c r="Y78" s="153"/>
      <c r="Z78" s="154"/>
      <c r="AA78" s="154"/>
      <c r="AB78" s="154"/>
      <c r="AC78" s="154"/>
      <c r="AD78" s="154"/>
      <c r="AE78" s="244">
        <v>151.93120000000002</v>
      </c>
      <c r="AF78" s="244">
        <v>91.90119999999999</v>
      </c>
      <c r="AG78" s="244">
        <v>91.90119999999999</v>
      </c>
      <c r="AH78" s="244">
        <v>90.03819999999999</v>
      </c>
      <c r="AI78" s="452" t="s">
        <v>488</v>
      </c>
      <c r="AJ78" s="193"/>
      <c r="AK78" s="252"/>
      <c r="AL78" s="252"/>
      <c r="AM78" s="252"/>
      <c r="AN78" s="256">
        <v>0</v>
      </c>
      <c r="AO78" s="250">
        <v>0</v>
      </c>
      <c r="AP78" s="252"/>
      <c r="AQ78" s="252"/>
      <c r="AR78" s="252"/>
      <c r="AS78" s="153"/>
      <c r="AT78" s="259">
        <v>93.44</v>
      </c>
      <c r="AU78" s="153"/>
      <c r="AV78" s="156"/>
    </row>
    <row r="79" spans="2:48" ht="15.75" customHeight="1">
      <c r="B79" s="65"/>
      <c r="C79" s="18"/>
      <c r="D79" s="18"/>
      <c r="E79" s="18"/>
      <c r="F79" s="17"/>
      <c r="G79" s="17"/>
      <c r="H79" s="23"/>
      <c r="I79" s="299"/>
      <c r="J79" s="23"/>
      <c r="K79" s="23"/>
      <c r="L79" s="23"/>
      <c r="M79" s="23"/>
      <c r="N79" s="23"/>
      <c r="O79" s="23"/>
      <c r="P79" s="23"/>
      <c r="Q79" s="23"/>
      <c r="R79" s="23"/>
      <c r="S79" s="23"/>
      <c r="T79" s="633" t="s">
        <v>583</v>
      </c>
      <c r="W79" s="147"/>
      <c r="X79" s="153"/>
      <c r="Y79" s="153"/>
      <c r="Z79" s="154"/>
      <c r="AA79" s="154"/>
      <c r="AB79" s="154"/>
      <c r="AC79" s="154"/>
      <c r="AD79" s="154"/>
      <c r="AE79" s="1"/>
      <c r="AF79" s="1"/>
      <c r="AG79" s="1"/>
      <c r="AH79" s="1"/>
      <c r="AI79" s="452" t="s">
        <v>489</v>
      </c>
      <c r="AJ79" s="193"/>
      <c r="AK79" s="252"/>
      <c r="AL79" s="252"/>
      <c r="AM79" s="252"/>
      <c r="AN79" s="256">
        <v>0</v>
      </c>
      <c r="AO79" s="250">
        <v>0</v>
      </c>
      <c r="AP79" s="252"/>
      <c r="AQ79" s="252"/>
      <c r="AR79" s="252"/>
      <c r="AS79" s="153"/>
      <c r="AT79" s="259">
        <v>94.53</v>
      </c>
      <c r="AU79" s="153"/>
      <c r="AV79" s="156"/>
    </row>
    <row r="80" spans="2:48" ht="12.75" customHeight="1">
      <c r="B80" s="65"/>
      <c r="C80" s="135" t="s">
        <v>211</v>
      </c>
      <c r="D80" s="18"/>
      <c r="E80" s="18"/>
      <c r="F80" s="17"/>
      <c r="G80" s="17"/>
      <c r="H80" s="39" t="s">
        <v>206</v>
      </c>
      <c r="I80" s="275" t="s">
        <v>340</v>
      </c>
      <c r="J80" s="453"/>
      <c r="K80" s="453"/>
      <c r="L80" s="39" t="s">
        <v>80</v>
      </c>
      <c r="N80" s="39"/>
      <c r="O80" s="39"/>
      <c r="P80" s="39"/>
      <c r="Q80" s="17"/>
      <c r="R80" s="39" t="s">
        <v>190</v>
      </c>
      <c r="S80" s="23"/>
      <c r="T80" s="544"/>
      <c r="W80" s="147"/>
      <c r="X80" s="153"/>
      <c r="Y80" s="153"/>
      <c r="Z80" s="154"/>
      <c r="AA80" s="154"/>
      <c r="AB80" s="154"/>
      <c r="AC80" s="154"/>
      <c r="AD80" s="154"/>
      <c r="AE80" s="271"/>
      <c r="AF80" s="271"/>
      <c r="AG80" s="271"/>
      <c r="AH80" s="271"/>
      <c r="AI80" s="271"/>
      <c r="AJ80" s="271"/>
      <c r="AK80" s="271"/>
      <c r="AL80" s="271"/>
      <c r="AM80" s="271"/>
      <c r="AN80" s="271" t="s">
        <v>499</v>
      </c>
      <c r="AO80" s="271"/>
      <c r="AP80" s="271"/>
      <c r="AQ80" s="271"/>
      <c r="AR80" s="271"/>
      <c r="AS80" s="153"/>
      <c r="AT80" s="269"/>
      <c r="AU80" s="153"/>
      <c r="AV80" s="156"/>
    </row>
    <row r="81" spans="2:48" ht="14.25" customHeight="1">
      <c r="B81" s="65"/>
      <c r="C81" s="396" t="s">
        <v>30</v>
      </c>
      <c r="D81" s="83"/>
      <c r="E81" s="83"/>
      <c r="F81" s="83"/>
      <c r="G81" s="84"/>
      <c r="H81" s="546"/>
      <c r="I81" s="490"/>
      <c r="J81" s="93"/>
      <c r="K81" s="94"/>
      <c r="L81" s="257">
        <f>IF($Z$63=2,AN83,IF($Z$63=3,AO83,IF($Z$63=4,AT83,0)))</f>
        <v>0</v>
      </c>
      <c r="M81" s="348"/>
      <c r="N81" s="349"/>
      <c r="O81" s="349"/>
      <c r="P81" s="349"/>
      <c r="Q81" s="350"/>
      <c r="R81" s="568">
        <f>H81*L81/1000</f>
        <v>0</v>
      </c>
      <c r="S81" s="569"/>
      <c r="T81" s="518" t="e">
        <f>R81/$Q$393</f>
        <v>#DIV/0!</v>
      </c>
      <c r="W81" s="147"/>
      <c r="X81" s="153"/>
      <c r="Y81" s="153"/>
      <c r="Z81" s="154"/>
      <c r="AA81" s="154"/>
      <c r="AB81" s="154"/>
      <c r="AC81" s="154"/>
      <c r="AD81" s="154"/>
      <c r="AE81" s="625" t="s">
        <v>311</v>
      </c>
      <c r="AF81" s="625"/>
      <c r="AG81" s="625"/>
      <c r="AH81" s="625"/>
      <c r="AI81" s="267" t="s">
        <v>211</v>
      </c>
      <c r="AJ81" s="154"/>
      <c r="AK81" s="247" t="s">
        <v>318</v>
      </c>
      <c r="AL81" s="247" t="s">
        <v>319</v>
      </c>
      <c r="AM81" s="247" t="s">
        <v>320</v>
      </c>
      <c r="AN81" s="246" t="s">
        <v>321</v>
      </c>
      <c r="AO81" s="246" t="s">
        <v>322</v>
      </c>
      <c r="AP81" s="248" t="s">
        <v>529</v>
      </c>
      <c r="AQ81" s="248" t="s">
        <v>324</v>
      </c>
      <c r="AR81" s="248" t="s">
        <v>325</v>
      </c>
      <c r="AS81" s="153"/>
      <c r="AT81" s="272" t="s">
        <v>329</v>
      </c>
      <c r="AU81" s="153"/>
      <c r="AV81" s="156"/>
    </row>
    <row r="82" spans="2:48" ht="14.25" customHeight="1">
      <c r="B82" s="65"/>
      <c r="C82" s="122" t="s">
        <v>27</v>
      </c>
      <c r="D82" s="83"/>
      <c r="E82" s="83"/>
      <c r="F82" s="83"/>
      <c r="G82" s="84"/>
      <c r="H82" s="546"/>
      <c r="I82" s="280" t="s">
        <v>305</v>
      </c>
      <c r="J82" s="96"/>
      <c r="K82" s="97"/>
      <c r="L82" s="257">
        <f>IF($Z$63=2,AN84,IF($Z$63=3,AO84,IF($Z$63=4,AT84,0)))</f>
        <v>0</v>
      </c>
      <c r="M82" s="351" t="s">
        <v>331</v>
      </c>
      <c r="N82" s="352"/>
      <c r="O82" s="352"/>
      <c r="P82" s="352"/>
      <c r="Q82" s="353"/>
      <c r="R82" s="568">
        <f>H82*L82/1000</f>
        <v>0</v>
      </c>
      <c r="S82" s="569"/>
      <c r="T82" s="518" t="e">
        <f>R82/$Q$393</f>
        <v>#DIV/0!</v>
      </c>
      <c r="W82" s="147"/>
      <c r="X82" s="153"/>
      <c r="Y82" s="153"/>
      <c r="Z82" s="154"/>
      <c r="AA82" s="154"/>
      <c r="AB82" s="154"/>
      <c r="AC82" s="154"/>
      <c r="AD82" s="154"/>
      <c r="AE82" s="192"/>
      <c r="AF82" s="192"/>
      <c r="AG82" s="192"/>
      <c r="AH82" s="192"/>
      <c r="AI82" s="195"/>
      <c r="AJ82" s="273"/>
      <c r="AK82" s="252"/>
      <c r="AL82" s="252"/>
      <c r="AM82" s="252"/>
      <c r="AN82" s="249"/>
      <c r="AO82" s="250"/>
      <c r="AP82" s="489"/>
      <c r="AQ82" s="252"/>
      <c r="AR82" s="252"/>
      <c r="AS82" s="153"/>
      <c r="AT82" s="274"/>
      <c r="AU82" s="153"/>
      <c r="AV82" s="156"/>
    </row>
    <row r="83" spans="2:48" ht="12.75" customHeight="1">
      <c r="B83" s="65"/>
      <c r="C83" s="101" t="s">
        <v>28</v>
      </c>
      <c r="D83" s="83"/>
      <c r="E83" s="83"/>
      <c r="F83" s="83"/>
      <c r="G83" s="84"/>
      <c r="H83" s="546"/>
      <c r="I83" s="296"/>
      <c r="J83" s="99"/>
      <c r="K83" s="100"/>
      <c r="L83" s="91"/>
      <c r="M83" s="450"/>
      <c r="N83" s="438"/>
      <c r="O83" s="438"/>
      <c r="P83" s="438"/>
      <c r="Q83" s="439"/>
      <c r="R83" s="568">
        <f>H83*L83/1000</f>
        <v>0</v>
      </c>
      <c r="S83" s="569"/>
      <c r="T83" s="518" t="e">
        <f>R83/$Q$393</f>
        <v>#DIV/0!</v>
      </c>
      <c r="W83" s="147"/>
      <c r="X83" s="153"/>
      <c r="Y83" s="153"/>
      <c r="Z83" s="154"/>
      <c r="AA83" s="154"/>
      <c r="AB83" s="154"/>
      <c r="AC83" s="154"/>
      <c r="AD83" s="154"/>
      <c r="AE83" s="192">
        <v>85.97309286861228</v>
      </c>
      <c r="AF83" s="192">
        <v>85.97309286861228</v>
      </c>
      <c r="AG83" s="192">
        <v>85.97309286861228</v>
      </c>
      <c r="AH83" s="192">
        <v>85.97309286861228</v>
      </c>
      <c r="AI83" s="195" t="s">
        <v>30</v>
      </c>
      <c r="AJ83" s="273"/>
      <c r="AK83" s="252"/>
      <c r="AL83" s="252"/>
      <c r="AM83" s="252"/>
      <c r="AN83" s="249">
        <v>2794.17</v>
      </c>
      <c r="AO83" s="250">
        <f>AN83*(1/0.9071848)</f>
        <v>3080.0449919354915</v>
      </c>
      <c r="AP83" s="252"/>
      <c r="AQ83" s="252"/>
      <c r="AR83" s="252"/>
      <c r="AS83" s="153"/>
      <c r="AT83" s="259">
        <v>85.97</v>
      </c>
      <c r="AU83" s="153"/>
      <c r="AV83" s="156"/>
    </row>
    <row r="84" spans="2:48" ht="12.75" customHeight="1">
      <c r="B84" s="65"/>
      <c r="C84" s="22"/>
      <c r="D84" s="22"/>
      <c r="E84" s="22"/>
      <c r="F84" s="23"/>
      <c r="G84" s="23"/>
      <c r="H84" s="23"/>
      <c r="I84" s="23"/>
      <c r="J84" s="23"/>
      <c r="K84" s="23"/>
      <c r="L84" s="23"/>
      <c r="M84" s="23"/>
      <c r="N84" s="23"/>
      <c r="O84" s="24"/>
      <c r="P84" s="24"/>
      <c r="Q84" s="24"/>
      <c r="R84" s="24"/>
      <c r="S84" s="18"/>
      <c r="T84" s="633" t="s">
        <v>583</v>
      </c>
      <c r="W84" s="166"/>
      <c r="X84" s="167"/>
      <c r="Y84" s="167"/>
      <c r="Z84" s="162"/>
      <c r="AA84" s="162"/>
      <c r="AB84" s="162"/>
      <c r="AC84" s="162"/>
      <c r="AD84" s="162"/>
      <c r="AE84" s="192">
        <v>90.65235732235035</v>
      </c>
      <c r="AF84" s="192">
        <v>90.65235732235035</v>
      </c>
      <c r="AG84" s="192">
        <v>90.65235732235035</v>
      </c>
      <c r="AH84" s="192">
        <v>90.65235732235035</v>
      </c>
      <c r="AI84" s="195" t="s">
        <v>27</v>
      </c>
      <c r="AJ84" s="273"/>
      <c r="AK84" s="252"/>
      <c r="AL84" s="252"/>
      <c r="AM84" s="252"/>
      <c r="AN84" s="249">
        <v>416.86</v>
      </c>
      <c r="AO84" s="250">
        <f>AN84*(1/0.9071848)</f>
        <v>459.5094626805917</v>
      </c>
      <c r="AP84" s="252"/>
      <c r="AQ84" s="252"/>
      <c r="AR84" s="252"/>
      <c r="AS84" s="153"/>
      <c r="AT84" s="259">
        <v>41.73</v>
      </c>
      <c r="AU84" s="153"/>
      <c r="AV84" s="194"/>
    </row>
    <row r="85" spans="2:48" ht="12.75" customHeight="1">
      <c r="B85" s="65"/>
      <c r="C85" s="26" t="s">
        <v>4</v>
      </c>
      <c r="D85" s="22"/>
      <c r="E85" s="22"/>
      <c r="F85" s="23"/>
      <c r="G85" s="23"/>
      <c r="H85" s="39" t="s">
        <v>206</v>
      </c>
      <c r="I85" s="275" t="s">
        <v>303</v>
      </c>
      <c r="J85" s="453"/>
      <c r="K85" s="453"/>
      <c r="L85" s="39" t="s">
        <v>80</v>
      </c>
      <c r="N85" s="39"/>
      <c r="O85" s="39"/>
      <c r="P85" s="39"/>
      <c r="Q85" s="17"/>
      <c r="R85" s="39" t="s">
        <v>190</v>
      </c>
      <c r="S85" s="18"/>
      <c r="T85" s="544"/>
      <c r="W85" s="153"/>
      <c r="X85" s="153"/>
      <c r="Y85" s="153"/>
      <c r="Z85" s="154"/>
      <c r="AA85" s="154"/>
      <c r="AB85" s="154"/>
      <c r="AC85" s="154"/>
      <c r="AD85" s="154"/>
      <c r="AE85" s="18"/>
      <c r="AF85" s="18"/>
      <c r="AG85" s="18"/>
      <c r="AH85" s="18"/>
      <c r="AI85" s="154"/>
      <c r="AJ85" s="154"/>
      <c r="AK85" s="252"/>
      <c r="AL85" s="252"/>
      <c r="AM85" s="252"/>
      <c r="AN85" s="249"/>
      <c r="AO85" s="495"/>
      <c r="AP85" s="271"/>
      <c r="AQ85" s="271"/>
      <c r="AR85" s="271"/>
      <c r="AS85" s="153"/>
      <c r="AT85" s="496"/>
      <c r="AU85" s="153"/>
      <c r="AV85" s="153"/>
    </row>
    <row r="86" spans="2:48" ht="12.75" customHeight="1">
      <c r="B86" s="65"/>
      <c r="C86" s="122" t="s">
        <v>530</v>
      </c>
      <c r="D86" s="123"/>
      <c r="E86" s="123"/>
      <c r="F86" s="236"/>
      <c r="G86" s="236"/>
      <c r="H86" s="551"/>
      <c r="I86" s="510" t="s">
        <v>33</v>
      </c>
      <c r="J86" s="501"/>
      <c r="K86" s="502"/>
      <c r="L86" s="492">
        <f>AM87</f>
        <v>2191.9</v>
      </c>
      <c r="M86" s="503" t="s">
        <v>559</v>
      </c>
      <c r="N86" s="219"/>
      <c r="O86" s="219"/>
      <c r="P86" s="219"/>
      <c r="Q86" s="504"/>
      <c r="R86" s="570">
        <f aca="true" t="shared" si="8" ref="R86:R92">(H86*L86)/1000</f>
        <v>0</v>
      </c>
      <c r="S86" s="569"/>
      <c r="T86" s="518" t="e">
        <f>R86/$Q$393</f>
        <v>#DIV/0!</v>
      </c>
      <c r="W86" s="153"/>
      <c r="X86" s="153"/>
      <c r="Y86" s="153"/>
      <c r="Z86" s="154"/>
      <c r="AA86" s="154"/>
      <c r="AB86" s="154"/>
      <c r="AC86" s="154"/>
      <c r="AD86" s="154"/>
      <c r="AE86" s="154"/>
      <c r="AF86" s="154"/>
      <c r="AG86" s="154"/>
      <c r="AH86" s="154"/>
      <c r="AJ86" s="494" t="s">
        <v>540</v>
      </c>
      <c r="AK86" s="173" t="s">
        <v>536</v>
      </c>
      <c r="AL86" s="173" t="s">
        <v>537</v>
      </c>
      <c r="AM86" s="172" t="s">
        <v>539</v>
      </c>
      <c r="AN86" s="172" t="s">
        <v>538</v>
      </c>
      <c r="AO86" s="34"/>
      <c r="AP86" s="34"/>
      <c r="AQ86" s="34"/>
      <c r="AR86" s="153"/>
      <c r="AS86" s="153"/>
      <c r="AT86" s="269"/>
      <c r="AU86" s="153"/>
      <c r="AV86" s="153"/>
    </row>
    <row r="87" spans="2:48" ht="12.75" customHeight="1">
      <c r="B87" s="65"/>
      <c r="C87" s="22"/>
      <c r="D87" s="22"/>
      <c r="E87" s="22"/>
      <c r="F87" s="23"/>
      <c r="G87" s="23"/>
      <c r="H87" s="23"/>
      <c r="I87" s="275"/>
      <c r="J87" s="24"/>
      <c r="K87" s="24"/>
      <c r="L87" s="24"/>
      <c r="M87" s="457"/>
      <c r="N87" s="201"/>
      <c r="O87" s="201"/>
      <c r="P87" s="201"/>
      <c r="Q87" s="201"/>
      <c r="R87" s="24"/>
      <c r="S87" s="48"/>
      <c r="T87" s="7"/>
      <c r="W87" s="153"/>
      <c r="X87" s="153"/>
      <c r="Y87" s="153"/>
      <c r="Z87" s="154"/>
      <c r="AA87" s="154"/>
      <c r="AB87" s="154"/>
      <c r="AC87" s="154"/>
      <c r="AD87" s="154"/>
      <c r="AE87" s="154"/>
      <c r="AF87" s="154"/>
      <c r="AG87" s="154"/>
      <c r="AH87" s="154"/>
      <c r="AI87" s="146" t="s">
        <v>530</v>
      </c>
      <c r="AJ87" s="195" t="s">
        <v>33</v>
      </c>
      <c r="AK87" s="328">
        <v>95.3</v>
      </c>
      <c r="AL87" s="328">
        <v>23</v>
      </c>
      <c r="AM87" s="406">
        <f>AK87*AL87</f>
        <v>2191.9</v>
      </c>
      <c r="AN87" s="406"/>
      <c r="AO87" s="34"/>
      <c r="AP87" s="34"/>
      <c r="AQ87" s="34"/>
      <c r="AR87" s="153"/>
      <c r="AS87" s="153"/>
      <c r="AT87" s="269"/>
      <c r="AU87" s="153"/>
      <c r="AV87" s="153"/>
    </row>
    <row r="88" spans="2:48" ht="12.75" customHeight="1">
      <c r="B88" s="65"/>
      <c r="C88" s="122" t="s">
        <v>531</v>
      </c>
      <c r="D88" s="123"/>
      <c r="E88" s="123"/>
      <c r="F88" s="236"/>
      <c r="G88" s="379"/>
      <c r="H88" s="551"/>
      <c r="I88" s="92"/>
      <c r="J88" s="93"/>
      <c r="K88" s="94"/>
      <c r="L88" s="505">
        <f>IF($Z$64=2,AN89,IF($Z$64=3,AM89,0))</f>
        <v>0</v>
      </c>
      <c r="M88" s="506"/>
      <c r="N88" s="213"/>
      <c r="O88" s="213"/>
      <c r="P88" s="213"/>
      <c r="Q88" s="214"/>
      <c r="R88" s="570">
        <f t="shared" si="8"/>
        <v>0</v>
      </c>
      <c r="S88" s="569"/>
      <c r="T88" s="518" t="e">
        <f>R88/$Q$393</f>
        <v>#DIV/0!</v>
      </c>
      <c r="W88" s="153"/>
      <c r="X88" s="153"/>
      <c r="Y88" s="153"/>
      <c r="Z88" s="154"/>
      <c r="AA88" s="154"/>
      <c r="AB88" s="154"/>
      <c r="AC88" s="154"/>
      <c r="AD88" s="154"/>
      <c r="AE88" s="154"/>
      <c r="AF88" s="154"/>
      <c r="AG88" s="154"/>
      <c r="AH88" s="154"/>
      <c r="AO88" s="153"/>
      <c r="AP88" s="153"/>
      <c r="AQ88" s="153"/>
      <c r="AR88" s="153"/>
      <c r="AS88" s="153"/>
      <c r="AT88" s="269"/>
      <c r="AU88" s="153"/>
      <c r="AV88" s="153"/>
    </row>
    <row r="89" spans="2:48" ht="12.75" customHeight="1">
      <c r="B89" s="65"/>
      <c r="C89" s="491" t="s">
        <v>532</v>
      </c>
      <c r="D89" s="22"/>
      <c r="E89" s="22"/>
      <c r="F89" s="23"/>
      <c r="G89" s="71"/>
      <c r="H89" s="551"/>
      <c r="I89" s="477"/>
      <c r="J89" s="96"/>
      <c r="K89" s="97"/>
      <c r="L89" s="505">
        <f>IF($Z$64=2,AN90,IF($Z$64=3,AM90,0))</f>
        <v>0</v>
      </c>
      <c r="M89" s="507"/>
      <c r="N89" s="221"/>
      <c r="O89" s="221"/>
      <c r="P89" s="221"/>
      <c r="Q89" s="222"/>
      <c r="R89" s="570">
        <f t="shared" si="8"/>
        <v>0</v>
      </c>
      <c r="S89" s="569"/>
      <c r="T89" s="518" t="e">
        <f>R89/$Q$393</f>
        <v>#DIV/0!</v>
      </c>
      <c r="W89" s="153"/>
      <c r="X89" s="153"/>
      <c r="Y89" s="153"/>
      <c r="Z89" s="154"/>
      <c r="AA89" s="154"/>
      <c r="AB89" s="154"/>
      <c r="AC89" s="154"/>
      <c r="AD89" s="154"/>
      <c r="AE89" s="154"/>
      <c r="AF89" s="154"/>
      <c r="AG89" s="154"/>
      <c r="AH89" s="154"/>
      <c r="AI89" s="195" t="s">
        <v>531</v>
      </c>
      <c r="AJ89" s="195" t="s">
        <v>330</v>
      </c>
      <c r="AK89" s="328">
        <v>15</v>
      </c>
      <c r="AL89" s="328">
        <v>23</v>
      </c>
      <c r="AM89" s="406">
        <f>AK89*AL89</f>
        <v>345</v>
      </c>
      <c r="AN89" s="406">
        <f>AM89/1.1023</f>
        <v>312.9819468384287</v>
      </c>
      <c r="AO89" s="153"/>
      <c r="AP89" s="153"/>
      <c r="AQ89" s="153"/>
      <c r="AR89" s="153"/>
      <c r="AS89" s="153"/>
      <c r="AT89" s="269"/>
      <c r="AU89" s="153"/>
      <c r="AV89" s="153"/>
    </row>
    <row r="90" spans="2:48" ht="12.75" customHeight="1">
      <c r="B90" s="65"/>
      <c r="C90" s="122" t="s">
        <v>533</v>
      </c>
      <c r="D90" s="123"/>
      <c r="E90" s="123"/>
      <c r="F90" s="236"/>
      <c r="G90" s="379"/>
      <c r="H90" s="551"/>
      <c r="I90" s="493" t="s">
        <v>305</v>
      </c>
      <c r="J90" s="96"/>
      <c r="K90" s="97"/>
      <c r="L90" s="505">
        <f>IF($Z$64=2,AN91,IF($Z$64=3,AM91,0))</f>
        <v>0</v>
      </c>
      <c r="M90" s="351" t="s">
        <v>342</v>
      </c>
      <c r="N90" s="221"/>
      <c r="O90" s="221"/>
      <c r="P90" s="221"/>
      <c r="Q90" s="222"/>
      <c r="R90" s="570">
        <f t="shared" si="8"/>
        <v>0</v>
      </c>
      <c r="S90" s="569"/>
      <c r="T90" s="518" t="e">
        <f>R90/$Q$393</f>
        <v>#DIV/0!</v>
      </c>
      <c r="W90" s="153"/>
      <c r="X90" s="153"/>
      <c r="Y90" s="153"/>
      <c r="Z90" s="154"/>
      <c r="AA90" s="154"/>
      <c r="AB90" s="154"/>
      <c r="AC90" s="154"/>
      <c r="AD90" s="154"/>
      <c r="AE90" s="154"/>
      <c r="AF90" s="154"/>
      <c r="AG90" s="154"/>
      <c r="AH90" s="154"/>
      <c r="AI90" s="175" t="s">
        <v>532</v>
      </c>
      <c r="AJ90" s="195" t="s">
        <v>330</v>
      </c>
      <c r="AK90" s="328">
        <v>8</v>
      </c>
      <c r="AL90" s="328">
        <v>23</v>
      </c>
      <c r="AM90" s="406">
        <f>AK90*AL90</f>
        <v>184</v>
      </c>
      <c r="AN90" s="406">
        <f>AM90/1.1023</f>
        <v>166.92370498049533</v>
      </c>
      <c r="AO90" s="153"/>
      <c r="AP90" s="153"/>
      <c r="AQ90" s="153"/>
      <c r="AR90" s="153"/>
      <c r="AS90" s="153"/>
      <c r="AT90" s="269"/>
      <c r="AU90" s="153"/>
      <c r="AV90" s="153"/>
    </row>
    <row r="91" spans="2:48" ht="12.75" customHeight="1">
      <c r="B91" s="65"/>
      <c r="C91" s="491" t="s">
        <v>534</v>
      </c>
      <c r="D91" s="22"/>
      <c r="E91" s="22"/>
      <c r="F91" s="23"/>
      <c r="G91" s="71"/>
      <c r="H91" s="551"/>
      <c r="I91" s="95"/>
      <c r="J91" s="96"/>
      <c r="K91" s="97"/>
      <c r="L91" s="505">
        <f>IF($Z$64=2,AN92,IF($Z$64=3,AM92,0))</f>
        <v>0</v>
      </c>
      <c r="M91" s="507"/>
      <c r="N91" s="221"/>
      <c r="O91" s="221"/>
      <c r="P91" s="221"/>
      <c r="Q91" s="222"/>
      <c r="R91" s="570">
        <f t="shared" si="8"/>
        <v>0</v>
      </c>
      <c r="S91" s="569"/>
      <c r="T91" s="518" t="e">
        <f>R91/$Q$393</f>
        <v>#DIV/0!</v>
      </c>
      <c r="W91" s="153"/>
      <c r="X91" s="153"/>
      <c r="Y91" s="153"/>
      <c r="Z91" s="154"/>
      <c r="AA91" s="154"/>
      <c r="AB91" s="154"/>
      <c r="AC91" s="154"/>
      <c r="AD91" s="154"/>
      <c r="AE91" s="154"/>
      <c r="AF91" s="154"/>
      <c r="AG91" s="154"/>
      <c r="AH91" s="154"/>
      <c r="AI91" s="195" t="s">
        <v>533</v>
      </c>
      <c r="AJ91" s="195" t="s">
        <v>330</v>
      </c>
      <c r="AK91" s="328">
        <v>5.8</v>
      </c>
      <c r="AL91" s="328">
        <v>23</v>
      </c>
      <c r="AM91" s="406">
        <f>AK91*AL91</f>
        <v>133.4</v>
      </c>
      <c r="AN91" s="406">
        <f>AM91/1.1023</f>
        <v>121.01968611085911</v>
      </c>
      <c r="AO91" s="153"/>
      <c r="AP91" s="153"/>
      <c r="AQ91" s="153"/>
      <c r="AR91" s="153"/>
      <c r="AS91" s="153"/>
      <c r="AT91" s="269"/>
      <c r="AU91" s="153"/>
      <c r="AV91" s="153"/>
    </row>
    <row r="92" spans="2:48" ht="12.75" customHeight="1">
      <c r="B92" s="65"/>
      <c r="C92" s="122" t="s">
        <v>535</v>
      </c>
      <c r="D92" s="123"/>
      <c r="E92" s="123"/>
      <c r="F92" s="236"/>
      <c r="G92" s="379"/>
      <c r="H92" s="551"/>
      <c r="I92" s="98"/>
      <c r="J92" s="99"/>
      <c r="K92" s="100"/>
      <c r="L92" s="505">
        <f>IF($Z$64=2,AN93,IF($Z$64=3,AM93,0))</f>
        <v>0</v>
      </c>
      <c r="M92" s="508"/>
      <c r="N92" s="217"/>
      <c r="O92" s="217"/>
      <c r="P92" s="217"/>
      <c r="Q92" s="218"/>
      <c r="R92" s="570">
        <f t="shared" si="8"/>
        <v>0</v>
      </c>
      <c r="S92" s="569"/>
      <c r="T92" s="518" t="e">
        <f>R92/$Q$393</f>
        <v>#DIV/0!</v>
      </c>
      <c r="W92" s="153"/>
      <c r="X92" s="153"/>
      <c r="Y92" s="153"/>
      <c r="Z92" s="154"/>
      <c r="AA92" s="154"/>
      <c r="AB92" s="154"/>
      <c r="AC92" s="154"/>
      <c r="AD92" s="154"/>
      <c r="AE92" s="154"/>
      <c r="AF92" s="154"/>
      <c r="AG92" s="154"/>
      <c r="AH92" s="154"/>
      <c r="AI92" s="175" t="s">
        <v>534</v>
      </c>
      <c r="AJ92" s="195" t="s">
        <v>541</v>
      </c>
      <c r="AK92" s="328">
        <v>15</v>
      </c>
      <c r="AL92" s="328">
        <v>296</v>
      </c>
      <c r="AM92" s="406">
        <f>AK92*AL92</f>
        <v>4440</v>
      </c>
      <c r="AN92" s="406">
        <f>AM92/1.1023</f>
        <v>4027.9415767032565</v>
      </c>
      <c r="AO92" s="153"/>
      <c r="AP92" s="153"/>
      <c r="AQ92" s="153"/>
      <c r="AR92" s="153"/>
      <c r="AS92" s="153"/>
      <c r="AT92" s="269"/>
      <c r="AU92" s="153"/>
      <c r="AV92" s="153"/>
    </row>
    <row r="93" spans="2:40" ht="12.75" customHeight="1">
      <c r="B93" s="65"/>
      <c r="C93" s="25"/>
      <c r="D93" s="25"/>
      <c r="E93" s="25"/>
      <c r="F93" s="23"/>
      <c r="G93" s="23"/>
      <c r="H93" s="23"/>
      <c r="I93" s="23"/>
      <c r="J93" s="23"/>
      <c r="K93" s="23"/>
      <c r="L93" s="23"/>
      <c r="M93" s="23"/>
      <c r="N93" s="23"/>
      <c r="O93" s="24"/>
      <c r="P93" s="24"/>
      <c r="Q93" s="24"/>
      <c r="R93" s="24"/>
      <c r="S93" s="18"/>
      <c r="T93" s="7"/>
      <c r="AI93" s="195" t="s">
        <v>535</v>
      </c>
      <c r="AJ93" s="195" t="s">
        <v>330</v>
      </c>
      <c r="AK93" s="328">
        <v>55</v>
      </c>
      <c r="AL93" s="328">
        <v>23</v>
      </c>
      <c r="AM93" s="406">
        <f>AK93*AL93</f>
        <v>1265</v>
      </c>
      <c r="AN93" s="406">
        <f>AM93/1.1023</f>
        <v>1147.6004717409053</v>
      </c>
    </row>
    <row r="94" spans="2:20" ht="12.75" customHeight="1">
      <c r="B94" s="65"/>
      <c r="C94" s="25"/>
      <c r="D94" s="25"/>
      <c r="E94" s="25"/>
      <c r="F94" s="23"/>
      <c r="G94" s="23"/>
      <c r="H94" s="23"/>
      <c r="I94" s="23"/>
      <c r="J94" s="23"/>
      <c r="K94" s="23"/>
      <c r="L94" s="23"/>
      <c r="M94" s="23"/>
      <c r="N94" s="23"/>
      <c r="O94" s="378"/>
      <c r="P94" s="24"/>
      <c r="Q94" s="24"/>
      <c r="R94" s="24"/>
      <c r="S94" s="18"/>
      <c r="T94" s="7"/>
    </row>
    <row r="95" spans="2:20" ht="12.75" customHeight="1">
      <c r="B95" s="68" t="s">
        <v>548</v>
      </c>
      <c r="C95" s="25"/>
      <c r="D95" s="25"/>
      <c r="E95" s="25"/>
      <c r="F95" s="23"/>
      <c r="G95" s="23"/>
      <c r="H95" s="23"/>
      <c r="I95" s="23"/>
      <c r="J95" s="23"/>
      <c r="K95" s="23"/>
      <c r="L95" s="23"/>
      <c r="M95" s="23"/>
      <c r="N95" s="23"/>
      <c r="O95" s="378"/>
      <c r="P95" s="24"/>
      <c r="Q95" s="24"/>
      <c r="R95" s="24"/>
      <c r="S95" s="18"/>
      <c r="T95" s="7"/>
    </row>
    <row r="96" spans="2:20" ht="12.75" customHeight="1">
      <c r="B96" s="65"/>
      <c r="C96" s="25"/>
      <c r="D96" s="25"/>
      <c r="E96" s="25"/>
      <c r="F96" s="23"/>
      <c r="G96" s="23"/>
      <c r="H96" s="23"/>
      <c r="I96" s="23"/>
      <c r="J96" s="23"/>
      <c r="K96" s="23"/>
      <c r="L96" s="23"/>
      <c r="M96" s="23"/>
      <c r="N96" s="23"/>
      <c r="O96" s="378"/>
      <c r="P96" s="24"/>
      <c r="Q96" s="24"/>
      <c r="R96" s="24"/>
      <c r="S96" s="18"/>
      <c r="T96" s="7"/>
    </row>
    <row r="97" spans="2:20" ht="12.75" customHeight="1">
      <c r="B97" s="65"/>
      <c r="C97" s="25"/>
      <c r="D97" s="25"/>
      <c r="E97" s="25"/>
      <c r="F97" s="23"/>
      <c r="G97" s="23"/>
      <c r="H97" s="23"/>
      <c r="I97" s="23"/>
      <c r="J97" s="23"/>
      <c r="K97" s="23"/>
      <c r="L97" s="23"/>
      <c r="M97" s="23"/>
      <c r="N97" s="23"/>
      <c r="O97" s="378"/>
      <c r="P97" s="24"/>
      <c r="Q97" s="24"/>
      <c r="R97" s="24"/>
      <c r="S97" s="18"/>
      <c r="T97" s="7"/>
    </row>
    <row r="98" spans="2:41" ht="12.75" customHeight="1">
      <c r="B98" s="68" t="s">
        <v>549</v>
      </c>
      <c r="C98" s="25"/>
      <c r="D98" s="25"/>
      <c r="E98" s="25"/>
      <c r="F98" s="23"/>
      <c r="G98" s="23"/>
      <c r="H98" s="23"/>
      <c r="I98" s="23"/>
      <c r="J98" s="23"/>
      <c r="K98" s="23"/>
      <c r="L98" s="23"/>
      <c r="M98" s="23"/>
      <c r="N98" s="23"/>
      <c r="O98" s="24"/>
      <c r="P98" s="24"/>
      <c r="Q98" s="24"/>
      <c r="R98" s="24"/>
      <c r="S98" s="18"/>
      <c r="T98" s="7"/>
      <c r="W98" s="163"/>
      <c r="X98" s="164"/>
      <c r="Y98" s="164"/>
      <c r="Z98" s="164"/>
      <c r="AA98" s="164"/>
      <c r="AB98" s="164"/>
      <c r="AC98" s="164"/>
      <c r="AD98" s="164"/>
      <c r="AE98" s="164"/>
      <c r="AF98" s="164"/>
      <c r="AG98" s="164"/>
      <c r="AH98" s="151"/>
      <c r="AM98" s="25"/>
      <c r="AN98" s="25"/>
      <c r="AO98" s="25"/>
    </row>
    <row r="99" spans="2:41" ht="12.75" customHeight="1">
      <c r="B99" s="65"/>
      <c r="C99" s="18"/>
      <c r="D99" s="18"/>
      <c r="E99" s="18"/>
      <c r="F99" s="23"/>
      <c r="G99" s="23"/>
      <c r="H99" s="23"/>
      <c r="I99" s="23"/>
      <c r="J99" s="23"/>
      <c r="K99" s="23"/>
      <c r="L99" s="23"/>
      <c r="M99" s="23"/>
      <c r="N99" s="23"/>
      <c r="O99" s="24"/>
      <c r="P99" s="24"/>
      <c r="Q99" s="24"/>
      <c r="R99" s="24"/>
      <c r="S99" s="18"/>
      <c r="T99" s="7"/>
      <c r="W99" s="147"/>
      <c r="X99" s="153"/>
      <c r="Y99" s="153"/>
      <c r="Z99" s="153"/>
      <c r="AA99" s="154"/>
      <c r="AB99" s="574" t="s">
        <v>332</v>
      </c>
      <c r="AC99" s="575"/>
      <c r="AD99" s="575"/>
      <c r="AE99" s="575"/>
      <c r="AF99" s="575"/>
      <c r="AG99" s="576"/>
      <c r="AH99" s="152"/>
      <c r="AM99" s="25"/>
      <c r="AN99" s="25"/>
      <c r="AO99" s="25"/>
    </row>
    <row r="100" spans="2:41" ht="12.75" customHeight="1">
      <c r="B100" s="65"/>
      <c r="C100" s="388" t="s">
        <v>339</v>
      </c>
      <c r="D100" s="23"/>
      <c r="E100" s="23"/>
      <c r="F100" s="23"/>
      <c r="G100" s="23"/>
      <c r="H100" s="23"/>
      <c r="I100" s="23"/>
      <c r="J100" s="23"/>
      <c r="K100" s="23"/>
      <c r="L100" s="23"/>
      <c r="M100" s="23"/>
      <c r="N100" s="23"/>
      <c r="O100" s="24"/>
      <c r="P100" s="24"/>
      <c r="Q100" s="24"/>
      <c r="R100" s="24"/>
      <c r="S100" s="18"/>
      <c r="T100" s="632" t="s">
        <v>583</v>
      </c>
      <c r="W100" s="147"/>
      <c r="X100" s="153"/>
      <c r="Y100" s="153"/>
      <c r="Z100" s="153"/>
      <c r="AA100" s="153"/>
      <c r="AB100" s="309" t="s">
        <v>333</v>
      </c>
      <c r="AC100" s="310" t="s">
        <v>334</v>
      </c>
      <c r="AD100" s="309" t="s">
        <v>335</v>
      </c>
      <c r="AE100" s="309" t="s">
        <v>336</v>
      </c>
      <c r="AF100" s="309" t="s">
        <v>337</v>
      </c>
      <c r="AG100" s="311" t="s">
        <v>338</v>
      </c>
      <c r="AH100" s="152"/>
      <c r="AM100" s="25"/>
      <c r="AN100" s="25"/>
      <c r="AO100" s="25"/>
    </row>
    <row r="101" spans="2:41" ht="12.75" customHeight="1">
      <c r="B101" s="65"/>
      <c r="C101" s="275" t="s">
        <v>44</v>
      </c>
      <c r="D101" s="31"/>
      <c r="E101" s="31"/>
      <c r="F101" s="31"/>
      <c r="G101" s="31"/>
      <c r="H101" s="17" t="s">
        <v>206</v>
      </c>
      <c r="I101" s="39"/>
      <c r="J101" s="17" t="s">
        <v>340</v>
      </c>
      <c r="K101" s="23"/>
      <c r="L101" s="39" t="s">
        <v>80</v>
      </c>
      <c r="M101" s="23"/>
      <c r="N101" s="23"/>
      <c r="O101" s="24"/>
      <c r="P101" s="24"/>
      <c r="Q101" s="24"/>
      <c r="R101" s="39" t="s">
        <v>190</v>
      </c>
      <c r="S101" s="18"/>
      <c r="T101" s="544"/>
      <c r="W101" s="147"/>
      <c r="X101" s="153"/>
      <c r="Y101" s="153"/>
      <c r="Z101" s="312" t="s">
        <v>341</v>
      </c>
      <c r="AA101" s="333"/>
      <c r="AB101" s="147"/>
      <c r="AC101" s="313"/>
      <c r="AD101" s="153"/>
      <c r="AE101" s="156"/>
      <c r="AF101" s="153"/>
      <c r="AG101" s="156"/>
      <c r="AH101" s="152"/>
      <c r="AM101" s="25"/>
      <c r="AN101" s="25"/>
      <c r="AO101" s="25"/>
    </row>
    <row r="102" spans="2:41" ht="12.75" customHeight="1">
      <c r="B102" s="65"/>
      <c r="C102" s="580" t="s">
        <v>401</v>
      </c>
      <c r="D102" s="573"/>
      <c r="E102" s="573"/>
      <c r="F102" s="83"/>
      <c r="G102" s="84"/>
      <c r="H102" s="549"/>
      <c r="I102" s="92"/>
      <c r="J102" s="93"/>
      <c r="K102" s="94"/>
      <c r="L102" s="294">
        <f>IF($X$104=1,AB102,IF($X$104=2,AC102,IF($X$104=3,AD102,IF($X$104=4,AE102,IF($X$104=5,AF102,IF($X$104=6,AG102,0))))))</f>
        <v>0.4647122908062235</v>
      </c>
      <c r="M102" s="349"/>
      <c r="N102" s="349"/>
      <c r="O102" s="349"/>
      <c r="P102" s="349"/>
      <c r="Q102" s="350"/>
      <c r="R102" s="570">
        <f>H102*L102/1000</f>
        <v>0</v>
      </c>
      <c r="S102" s="569"/>
      <c r="T102" s="518" t="e">
        <f aca="true" t="shared" si="9" ref="T102:T110">R102/$Q$393</f>
        <v>#DIV/0!</v>
      </c>
      <c r="W102" s="147"/>
      <c r="X102" s="153" t="s">
        <v>544</v>
      </c>
      <c r="Y102" s="153"/>
      <c r="Z102" s="578" t="s">
        <v>401</v>
      </c>
      <c r="AA102" s="579"/>
      <c r="AB102" s="360">
        <v>0.28876672516387464</v>
      </c>
      <c r="AC102" s="307">
        <v>0.4647122908062235</v>
      </c>
      <c r="AD102" s="308">
        <v>9.387188274285714</v>
      </c>
      <c r="AE102" s="259">
        <v>2.480102582374033</v>
      </c>
      <c r="AF102" s="259">
        <v>394.26190752</v>
      </c>
      <c r="AG102" s="308">
        <v>75.05461784123358</v>
      </c>
      <c r="AH102" s="152"/>
      <c r="AI102" s="372" t="s">
        <v>418</v>
      </c>
      <c r="AM102" s="25"/>
      <c r="AN102" s="25"/>
      <c r="AO102" s="25"/>
    </row>
    <row r="103" spans="2:41" ht="12.75" customHeight="1">
      <c r="B103" s="65"/>
      <c r="C103" s="580" t="s">
        <v>402</v>
      </c>
      <c r="D103" s="573"/>
      <c r="E103" s="573"/>
      <c r="F103" s="83"/>
      <c r="G103" s="84"/>
      <c r="H103" s="549"/>
      <c r="I103" s="280"/>
      <c r="J103" s="281"/>
      <c r="K103" s="282"/>
      <c r="L103" s="278">
        <f aca="true" t="shared" si="10" ref="L103:L131">IF($X$104=1,AB103,IF($X$104=2,AC103,IF($X$104=3,AD103,IF($X$104=4,AE103,IF($X$104=5,AF103,IF($X$104=6,AG103,0))))))</f>
        <v>0.44670322370674886</v>
      </c>
      <c r="M103" s="351"/>
      <c r="N103" s="352"/>
      <c r="O103" s="352"/>
      <c r="P103" s="352"/>
      <c r="Q103" s="353"/>
      <c r="R103" s="570">
        <f aca="true" t="shared" si="11" ref="R103:R127">H103*L103/1000</f>
        <v>0</v>
      </c>
      <c r="S103" s="569"/>
      <c r="T103" s="518" t="e">
        <f t="shared" si="9"/>
        <v>#DIV/0!</v>
      </c>
      <c r="W103" s="147"/>
      <c r="X103" s="153" t="s">
        <v>343</v>
      </c>
      <c r="Y103" s="153"/>
      <c r="Z103" s="578" t="s">
        <v>402</v>
      </c>
      <c r="AA103" s="579"/>
      <c r="AB103" s="360">
        <v>0.27757610371388114</v>
      </c>
      <c r="AC103" s="307">
        <v>0.44670322370674886</v>
      </c>
      <c r="AD103" s="308">
        <v>9.313762214285713</v>
      </c>
      <c r="AE103" s="259">
        <v>2.460703359124363</v>
      </c>
      <c r="AF103" s="259">
        <v>391.178013</v>
      </c>
      <c r="AG103" s="308">
        <v>74.46754483152485</v>
      </c>
      <c r="AH103" s="152"/>
      <c r="AI103" s="372" t="s">
        <v>419</v>
      </c>
      <c r="AM103" s="25"/>
      <c r="AN103" s="25"/>
      <c r="AO103" s="25"/>
    </row>
    <row r="104" spans="2:41" ht="12.75" customHeight="1">
      <c r="B104" s="65"/>
      <c r="C104" s="580" t="s">
        <v>403</v>
      </c>
      <c r="D104" s="573"/>
      <c r="E104" s="358"/>
      <c r="F104" s="83"/>
      <c r="G104" s="84"/>
      <c r="H104" s="549"/>
      <c r="I104" s="283"/>
      <c r="J104" s="281"/>
      <c r="K104" s="282"/>
      <c r="L104" s="278">
        <f t="shared" si="10"/>
        <v>0.44238012370674884</v>
      </c>
      <c r="M104" s="351"/>
      <c r="N104" s="352"/>
      <c r="O104" s="352"/>
      <c r="P104" s="352"/>
      <c r="Q104" s="353"/>
      <c r="R104" s="570">
        <f t="shared" si="11"/>
        <v>0</v>
      </c>
      <c r="S104" s="569"/>
      <c r="T104" s="518" t="e">
        <f t="shared" si="9"/>
        <v>#DIV/0!</v>
      </c>
      <c r="W104" s="147"/>
      <c r="X104" s="244">
        <v>2</v>
      </c>
      <c r="Y104" s="153"/>
      <c r="Z104" s="578" t="s">
        <v>403</v>
      </c>
      <c r="AA104" s="579"/>
      <c r="AB104" s="360">
        <v>0.27488978046774926</v>
      </c>
      <c r="AC104" s="307">
        <v>0.44238012370674884</v>
      </c>
      <c r="AD104" s="308">
        <v>9.223625579285715</v>
      </c>
      <c r="AE104" s="259">
        <v>2.436889188714852</v>
      </c>
      <c r="AF104" s="259">
        <v>387.39227433</v>
      </c>
      <c r="AG104" s="308">
        <v>73.74686356938892</v>
      </c>
      <c r="AH104" s="152"/>
      <c r="AI104" s="373" t="s">
        <v>420</v>
      </c>
      <c r="AM104" s="25"/>
      <c r="AN104" s="25"/>
      <c r="AO104" s="25"/>
    </row>
    <row r="105" spans="2:41" ht="12.75" customHeight="1">
      <c r="B105" s="65"/>
      <c r="C105" s="580" t="s">
        <v>404</v>
      </c>
      <c r="D105" s="573"/>
      <c r="E105" s="358"/>
      <c r="F105" s="83"/>
      <c r="G105" s="84"/>
      <c r="H105" s="549"/>
      <c r="I105" s="283"/>
      <c r="J105" s="96"/>
      <c r="K105" s="97"/>
      <c r="L105" s="278">
        <f t="shared" si="10"/>
        <v>0.44020492370674885</v>
      </c>
      <c r="M105" s="351"/>
      <c r="N105" s="352"/>
      <c r="O105" s="352"/>
      <c r="P105" s="352"/>
      <c r="Q105" s="353"/>
      <c r="R105" s="570">
        <f t="shared" si="11"/>
        <v>0</v>
      </c>
      <c r="S105" s="569"/>
      <c r="T105" s="518" t="e">
        <f t="shared" si="9"/>
        <v>#DIV/0!</v>
      </c>
      <c r="W105" s="147"/>
      <c r="X105" s="153"/>
      <c r="Y105" s="153"/>
      <c r="Z105" s="578" t="s">
        <v>404</v>
      </c>
      <c r="AA105" s="579"/>
      <c r="AB105" s="360">
        <v>0.27353813689601</v>
      </c>
      <c r="AC105" s="307">
        <v>0.44020492370674885</v>
      </c>
      <c r="AD105" s="308">
        <v>9.178272659285714</v>
      </c>
      <c r="AE105" s="259">
        <v>2.42490691130402</v>
      </c>
      <c r="AF105" s="259">
        <v>385.48745169</v>
      </c>
      <c r="AG105" s="308">
        <v>73.38424741861793</v>
      </c>
      <c r="AH105" s="152"/>
      <c r="AI105" s="372" t="s">
        <v>421</v>
      </c>
      <c r="AM105" s="25"/>
      <c r="AN105" s="25"/>
      <c r="AO105" s="25"/>
    </row>
    <row r="106" spans="2:41" ht="12.75" customHeight="1">
      <c r="B106" s="65"/>
      <c r="C106" s="580" t="s">
        <v>405</v>
      </c>
      <c r="D106" s="573"/>
      <c r="E106" s="358"/>
      <c r="F106" s="83"/>
      <c r="G106" s="84"/>
      <c r="H106" s="549"/>
      <c r="I106" s="283"/>
      <c r="J106" s="96"/>
      <c r="K106" s="97"/>
      <c r="L106" s="278">
        <f t="shared" si="10"/>
        <v>0.427221319269103</v>
      </c>
      <c r="M106" s="351"/>
      <c r="N106" s="352"/>
      <c r="O106" s="352"/>
      <c r="P106" s="352"/>
      <c r="Q106" s="353"/>
      <c r="R106" s="570">
        <f t="shared" si="11"/>
        <v>0</v>
      </c>
      <c r="S106" s="569"/>
      <c r="T106" s="518" t="e">
        <f t="shared" si="9"/>
        <v>#DIV/0!</v>
      </c>
      <c r="W106" s="147"/>
      <c r="X106" s="153"/>
      <c r="Y106" s="153"/>
      <c r="Z106" s="578" t="s">
        <v>405</v>
      </c>
      <c r="AA106" s="579"/>
      <c r="AB106" s="360">
        <v>0.26547027854912264</v>
      </c>
      <c r="AC106" s="307">
        <v>0.427221319269103</v>
      </c>
      <c r="AD106" s="308">
        <v>9.185258364285714</v>
      </c>
      <c r="AE106" s="259">
        <v>2.426752540101906</v>
      </c>
      <c r="AF106" s="259">
        <v>385.7808513</v>
      </c>
      <c r="AG106" s="308">
        <v>73.44010114220445</v>
      </c>
      <c r="AH106" s="152"/>
      <c r="AI106" s="372" t="s">
        <v>422</v>
      </c>
      <c r="AM106" s="25"/>
      <c r="AN106" s="25"/>
      <c r="AO106" s="25"/>
    </row>
    <row r="107" spans="2:41" ht="12.75" customHeight="1">
      <c r="B107" s="65"/>
      <c r="C107" s="580" t="s">
        <v>406</v>
      </c>
      <c r="D107" s="573"/>
      <c r="E107" s="358"/>
      <c r="F107" s="83"/>
      <c r="G107" s="84"/>
      <c r="H107" s="546"/>
      <c r="I107" s="283"/>
      <c r="J107" s="96"/>
      <c r="K107" s="97"/>
      <c r="L107" s="278">
        <f t="shared" si="10"/>
        <v>0.4068513235108065</v>
      </c>
      <c r="M107" s="351"/>
      <c r="N107" s="352"/>
      <c r="O107" s="352"/>
      <c r="P107" s="352"/>
      <c r="Q107" s="353"/>
      <c r="R107" s="570">
        <f t="shared" si="11"/>
        <v>0</v>
      </c>
      <c r="S107" s="569"/>
      <c r="T107" s="518" t="e">
        <f t="shared" si="9"/>
        <v>#DIV/0!</v>
      </c>
      <c r="W107" s="147"/>
      <c r="X107" s="153"/>
      <c r="Y107" s="153"/>
      <c r="Z107" s="578" t="s">
        <v>406</v>
      </c>
      <c r="AA107" s="579"/>
      <c r="AB107" s="360">
        <v>0.2528126039338883</v>
      </c>
      <c r="AC107" s="307">
        <v>0.4068513235108065</v>
      </c>
      <c r="AD107" s="308">
        <v>9.188059055952381</v>
      </c>
      <c r="AE107" s="259">
        <v>2.4274924850600743</v>
      </c>
      <c r="AF107" s="259">
        <v>385.89848035</v>
      </c>
      <c r="AG107" s="308">
        <v>73.4624938796878</v>
      </c>
      <c r="AH107" s="152"/>
      <c r="AI107" s="372" t="s">
        <v>423</v>
      </c>
      <c r="AM107" s="25"/>
      <c r="AN107" s="25"/>
      <c r="AO107" s="25"/>
    </row>
    <row r="108" spans="2:41" ht="12.75" customHeight="1">
      <c r="B108" s="65"/>
      <c r="C108" s="580" t="s">
        <v>407</v>
      </c>
      <c r="D108" s="573"/>
      <c r="E108" s="358"/>
      <c r="F108" s="83"/>
      <c r="G108" s="84"/>
      <c r="H108" s="552"/>
      <c r="I108" s="283"/>
      <c r="J108" s="96"/>
      <c r="K108" s="97"/>
      <c r="L108" s="278">
        <f t="shared" si="10"/>
        <v>0.4057466235108065</v>
      </c>
      <c r="M108" s="351"/>
      <c r="N108" s="352"/>
      <c r="O108" s="352"/>
      <c r="P108" s="352"/>
      <c r="Q108" s="352"/>
      <c r="R108" s="570">
        <f>H108*L108/1000</f>
        <v>0</v>
      </c>
      <c r="S108" s="571"/>
      <c r="T108" s="518" t="e">
        <f t="shared" si="9"/>
        <v>#DIV/0!</v>
      </c>
      <c r="W108" s="147"/>
      <c r="X108" s="153"/>
      <c r="Y108" s="153"/>
      <c r="Z108" s="578" t="s">
        <v>407</v>
      </c>
      <c r="AA108" s="579"/>
      <c r="AB108" s="360">
        <v>0.25212615641012026</v>
      </c>
      <c r="AC108" s="307">
        <v>0.4057466235108065</v>
      </c>
      <c r="AD108" s="308">
        <v>9.163111247619048</v>
      </c>
      <c r="AE108" s="259">
        <v>2.4209012543247153</v>
      </c>
      <c r="AF108" s="259">
        <v>384.8506724</v>
      </c>
      <c r="AG108" s="259">
        <v>73.26302539501238</v>
      </c>
      <c r="AH108" s="152"/>
      <c r="AI108" s="372" t="s">
        <v>424</v>
      </c>
      <c r="AM108" s="25"/>
      <c r="AN108" s="25"/>
      <c r="AO108" s="25"/>
    </row>
    <row r="109" spans="2:41" ht="12.75" customHeight="1">
      <c r="B109" s="65"/>
      <c r="C109" s="580" t="s">
        <v>408</v>
      </c>
      <c r="D109" s="573"/>
      <c r="E109" s="358"/>
      <c r="F109" s="83"/>
      <c r="G109" s="84"/>
      <c r="H109" s="552"/>
      <c r="I109" s="283"/>
      <c r="J109" s="96"/>
      <c r="K109" s="97"/>
      <c r="L109" s="278">
        <f t="shared" si="10"/>
        <v>0.4044620235108065</v>
      </c>
      <c r="M109" s="351"/>
      <c r="N109" s="352"/>
      <c r="O109" s="352"/>
      <c r="P109" s="352"/>
      <c r="Q109" s="352"/>
      <c r="R109" s="570">
        <f>H109*L109/1000</f>
        <v>0</v>
      </c>
      <c r="S109" s="571"/>
      <c r="T109" s="518" t="e">
        <f t="shared" si="9"/>
        <v>#DIV/0!</v>
      </c>
      <c r="W109" s="147"/>
      <c r="X109" s="153"/>
      <c r="Y109" s="153"/>
      <c r="Z109" s="578" t="s">
        <v>408</v>
      </c>
      <c r="AA109" s="579"/>
      <c r="AB109" s="360">
        <v>0.25132792115255487</v>
      </c>
      <c r="AC109" s="307">
        <v>0.4044620235108065</v>
      </c>
      <c r="AD109" s="308">
        <v>9.134100697619047</v>
      </c>
      <c r="AE109" s="259">
        <v>2.4132366440208846</v>
      </c>
      <c r="AF109" s="259">
        <v>383.6322293</v>
      </c>
      <c r="AG109" s="259">
        <v>73.03107353893013</v>
      </c>
      <c r="AH109" s="152"/>
      <c r="AI109" s="372" t="s">
        <v>425</v>
      </c>
      <c r="AM109" s="25"/>
      <c r="AN109" s="25"/>
      <c r="AO109" s="25"/>
    </row>
    <row r="110" spans="2:41" ht="12.75" customHeight="1">
      <c r="B110" s="65"/>
      <c r="C110" s="580" t="s">
        <v>481</v>
      </c>
      <c r="D110" s="573"/>
      <c r="E110" s="573"/>
      <c r="F110" s="83"/>
      <c r="G110" s="84"/>
      <c r="H110" s="553"/>
      <c r="I110" s="283"/>
      <c r="J110" s="96"/>
      <c r="K110" s="97"/>
      <c r="L110" s="278">
        <f t="shared" si="10"/>
        <v>0.38421591468812877</v>
      </c>
      <c r="M110" s="351"/>
      <c r="N110" s="352"/>
      <c r="O110" s="352"/>
      <c r="P110" s="352"/>
      <c r="Q110" s="352"/>
      <c r="R110" s="570">
        <f>H110*L110/1000</f>
        <v>0</v>
      </c>
      <c r="S110" s="571"/>
      <c r="T110" s="518" t="e">
        <f t="shared" si="9"/>
        <v>#DIV/0!</v>
      </c>
      <c r="W110" s="147"/>
      <c r="X110" s="153"/>
      <c r="Y110" s="153"/>
      <c r="Z110" s="578" t="s">
        <v>409</v>
      </c>
      <c r="AA110" s="579"/>
      <c r="AB110" s="360">
        <v>0.23874722841491877</v>
      </c>
      <c r="AC110" s="307">
        <v>0.38421591468812877</v>
      </c>
      <c r="AD110" s="308">
        <v>9.09310998095238</v>
      </c>
      <c r="AE110" s="259">
        <v>2.4024068641882117</v>
      </c>
      <c r="AF110" s="259">
        <v>381.9106192</v>
      </c>
      <c r="AG110" s="259">
        <v>72.7033350847135</v>
      </c>
      <c r="AH110" s="152"/>
      <c r="AI110" s="372" t="s">
        <v>426</v>
      </c>
      <c r="AM110" s="25"/>
      <c r="AN110" s="25"/>
      <c r="AO110" s="25"/>
    </row>
    <row r="111" spans="2:41" ht="12.75" customHeight="1">
      <c r="B111" s="65"/>
      <c r="C111" s="275" t="s">
        <v>344</v>
      </c>
      <c r="D111" s="31"/>
      <c r="E111" s="31"/>
      <c r="F111" s="31"/>
      <c r="G111" s="31"/>
      <c r="H111" s="285"/>
      <c r="I111" s="283"/>
      <c r="J111" s="96"/>
      <c r="K111" s="97"/>
      <c r="L111" s="380"/>
      <c r="M111" s="351"/>
      <c r="N111" s="352"/>
      <c r="O111" s="352"/>
      <c r="P111" s="352"/>
      <c r="Q111" s="353"/>
      <c r="R111" s="24"/>
      <c r="S111" s="18"/>
      <c r="T111" s="7"/>
      <c r="W111" s="147"/>
      <c r="X111" s="153"/>
      <c r="Y111" s="153"/>
      <c r="Z111" s="314" t="s">
        <v>345</v>
      </c>
      <c r="AA111" s="337"/>
      <c r="AB111" s="147"/>
      <c r="AC111" s="313"/>
      <c r="AD111" s="153"/>
      <c r="AE111" s="156"/>
      <c r="AF111" s="153"/>
      <c r="AG111" s="156"/>
      <c r="AH111" s="152"/>
      <c r="AI111" s="372" t="s">
        <v>427</v>
      </c>
      <c r="AM111" s="25"/>
      <c r="AN111" s="25"/>
      <c r="AO111" s="25"/>
    </row>
    <row r="112" spans="2:41" ht="12.75" customHeight="1">
      <c r="B112" s="65"/>
      <c r="C112" s="396" t="s">
        <v>432</v>
      </c>
      <c r="D112" s="102"/>
      <c r="E112" s="102"/>
      <c r="F112" s="83"/>
      <c r="G112" s="84"/>
      <c r="H112" s="554"/>
      <c r="I112" s="383" t="s">
        <v>346</v>
      </c>
      <c r="J112" s="281"/>
      <c r="K112" s="282"/>
      <c r="L112" s="278">
        <f t="shared" si="10"/>
        <v>0.5832076555456964</v>
      </c>
      <c r="M112" s="351"/>
      <c r="N112" s="352"/>
      <c r="O112" s="352"/>
      <c r="P112" s="352"/>
      <c r="Q112" s="353"/>
      <c r="R112" s="570">
        <f t="shared" si="11"/>
        <v>0</v>
      </c>
      <c r="S112" s="569"/>
      <c r="T112" s="518" t="e">
        <f aca="true" t="shared" si="12" ref="T112:T120">R112/$Q$393</f>
        <v>#DIV/0!</v>
      </c>
      <c r="W112" s="147"/>
      <c r="X112" s="153"/>
      <c r="Y112" s="153"/>
      <c r="Z112" s="195" t="s">
        <v>432</v>
      </c>
      <c r="AA112" s="334"/>
      <c r="AB112" s="259">
        <v>0.36239834433958645</v>
      </c>
      <c r="AC112" s="307">
        <v>0.5832076555456964</v>
      </c>
      <c r="AD112" s="259">
        <v>9.389643254285714</v>
      </c>
      <c r="AE112" s="259">
        <v>2.4807511900358556</v>
      </c>
      <c r="AF112" s="259">
        <v>394.36501668</v>
      </c>
      <c r="AG112" s="308">
        <v>75.07424646487722</v>
      </c>
      <c r="AH112" s="152"/>
      <c r="AI112" s="372" t="s">
        <v>428</v>
      </c>
      <c r="AM112" s="25"/>
      <c r="AN112" s="25"/>
      <c r="AO112" s="25"/>
    </row>
    <row r="113" spans="2:41" ht="12.75" customHeight="1">
      <c r="B113" s="65"/>
      <c r="C113" s="396" t="s">
        <v>402</v>
      </c>
      <c r="D113" s="102"/>
      <c r="E113" s="102"/>
      <c r="F113" s="83"/>
      <c r="G113" s="84"/>
      <c r="H113" s="549"/>
      <c r="I113" s="283"/>
      <c r="J113" s="281"/>
      <c r="K113" s="282"/>
      <c r="L113" s="278">
        <f t="shared" si="10"/>
        <v>0.5598085134706136</v>
      </c>
      <c r="M113" s="351"/>
      <c r="N113" s="352"/>
      <c r="O113" s="352"/>
      <c r="P113" s="352"/>
      <c r="Q113" s="353"/>
      <c r="R113" s="570">
        <f t="shared" si="11"/>
        <v>0</v>
      </c>
      <c r="S113" s="569"/>
      <c r="T113" s="518" t="e">
        <f t="shared" si="12"/>
        <v>#DIV/0!</v>
      </c>
      <c r="W113" s="147"/>
      <c r="X113" s="153"/>
      <c r="Y113" s="153"/>
      <c r="Z113" s="195" t="s">
        <v>402</v>
      </c>
      <c r="AA113" s="335"/>
      <c r="AB113" s="259">
        <v>0.34785839400398527</v>
      </c>
      <c r="AC113" s="307">
        <v>0.5598085134706136</v>
      </c>
      <c r="AD113" s="259">
        <v>9.320811749285713</v>
      </c>
      <c r="AE113" s="259">
        <v>2.4625658518588414</v>
      </c>
      <c r="AF113" s="259">
        <v>391.47409347</v>
      </c>
      <c r="AG113" s="308">
        <v>74.52390890348373</v>
      </c>
      <c r="AH113" s="152"/>
      <c r="AM113" s="25"/>
      <c r="AN113" s="25"/>
      <c r="AO113" s="25"/>
    </row>
    <row r="114" spans="2:41" ht="12.75" customHeight="1">
      <c r="B114" s="65"/>
      <c r="C114" s="396" t="s">
        <v>403</v>
      </c>
      <c r="D114" s="102"/>
      <c r="E114" s="102"/>
      <c r="F114" s="83"/>
      <c r="G114" s="84"/>
      <c r="H114" s="549"/>
      <c r="I114" s="283"/>
      <c r="J114" s="96"/>
      <c r="K114" s="97"/>
      <c r="L114" s="278">
        <f t="shared" si="10"/>
        <v>0.5540518134706135</v>
      </c>
      <c r="M114" s="351" t="s">
        <v>342</v>
      </c>
      <c r="N114" s="352"/>
      <c r="O114" s="352"/>
      <c r="P114" s="352"/>
      <c r="Q114" s="353"/>
      <c r="R114" s="570">
        <f t="shared" si="11"/>
        <v>0</v>
      </c>
      <c r="S114" s="569"/>
      <c r="T114" s="518" t="e">
        <f t="shared" si="12"/>
        <v>#DIV/0!</v>
      </c>
      <c r="W114" s="147"/>
      <c r="X114" s="153"/>
      <c r="Y114" s="153"/>
      <c r="Z114" s="195" t="s">
        <v>403</v>
      </c>
      <c r="AA114" s="335"/>
      <c r="AB114" s="259">
        <v>0.34428124866128973</v>
      </c>
      <c r="AC114" s="307">
        <v>0.5540518134706135</v>
      </c>
      <c r="AD114" s="259">
        <v>9.224962694285715</v>
      </c>
      <c r="AE114" s="259">
        <v>2.4372424555576524</v>
      </c>
      <c r="AF114" s="259">
        <v>387.44843316000004</v>
      </c>
      <c r="AG114" s="308">
        <v>73.75755438035408</v>
      </c>
      <c r="AH114" s="152"/>
      <c r="AM114" s="25"/>
      <c r="AN114" s="25"/>
      <c r="AO114" s="25"/>
    </row>
    <row r="115" spans="2:41" ht="12.75" customHeight="1">
      <c r="B115" s="65"/>
      <c r="C115" s="396" t="s">
        <v>404</v>
      </c>
      <c r="D115" s="102"/>
      <c r="E115" s="102"/>
      <c r="F115" s="83"/>
      <c r="G115" s="84"/>
      <c r="H115" s="549"/>
      <c r="I115" s="283"/>
      <c r="J115" s="96"/>
      <c r="K115" s="97"/>
      <c r="L115" s="278">
        <f t="shared" si="10"/>
        <v>0.5511871134706136</v>
      </c>
      <c r="M115" s="351"/>
      <c r="N115" s="352"/>
      <c r="O115" s="352"/>
      <c r="P115" s="352"/>
      <c r="Q115" s="353"/>
      <c r="R115" s="570">
        <f t="shared" si="11"/>
        <v>0</v>
      </c>
      <c r="S115" s="569"/>
      <c r="T115" s="518" t="e">
        <f t="shared" si="12"/>
        <v>#DIV/0!</v>
      </c>
      <c r="W115" s="147"/>
      <c r="X115" s="153"/>
      <c r="Y115" s="153"/>
      <c r="Z115" s="195" t="s">
        <v>404</v>
      </c>
      <c r="AA115" s="335"/>
      <c r="AB115" s="259">
        <v>0.34250115793861524</v>
      </c>
      <c r="AC115" s="307">
        <v>0.5511871134706136</v>
      </c>
      <c r="AD115" s="259">
        <v>9.177265439285714</v>
      </c>
      <c r="AE115" s="259">
        <v>2.4246408029816946</v>
      </c>
      <c r="AF115" s="259">
        <v>385.44514845000003</v>
      </c>
      <c r="AG115" s="308">
        <v>73.37619426042262</v>
      </c>
      <c r="AH115" s="152"/>
      <c r="AM115" s="25"/>
      <c r="AN115" s="25"/>
      <c r="AO115" s="25"/>
    </row>
    <row r="116" spans="2:41" ht="12.75" customHeight="1">
      <c r="B116" s="65"/>
      <c r="C116" s="396" t="s">
        <v>405</v>
      </c>
      <c r="D116" s="102"/>
      <c r="E116" s="102"/>
      <c r="F116" s="83"/>
      <c r="G116" s="84"/>
      <c r="H116" s="549"/>
      <c r="I116" s="280"/>
      <c r="J116" s="96"/>
      <c r="K116" s="97"/>
      <c r="L116" s="278">
        <f>IF($X$104=1,AB116,IF($X$104=2,AC116,IF($X$104=3,AD116,IF($X$104=4,AE116,IF($X$104=5,AF116,IF($X$104=6,AG116,0))))))</f>
        <v>0.5341532740863788</v>
      </c>
      <c r="M116" s="351"/>
      <c r="N116" s="352"/>
      <c r="O116" s="352"/>
      <c r="P116" s="352"/>
      <c r="Q116" s="353"/>
      <c r="R116" s="570">
        <f t="shared" si="11"/>
        <v>0</v>
      </c>
      <c r="S116" s="569"/>
      <c r="T116" s="518" t="e">
        <f t="shared" si="12"/>
        <v>#DIV/0!</v>
      </c>
      <c r="W116" s="147"/>
      <c r="X116" s="153"/>
      <c r="Y116" s="153"/>
      <c r="Z116" s="195" t="s">
        <v>405</v>
      </c>
      <c r="AA116" s="335"/>
      <c r="AB116" s="259">
        <v>0.3319165314648473</v>
      </c>
      <c r="AC116" s="307">
        <v>0.5341532740863788</v>
      </c>
      <c r="AD116" s="259">
        <v>9.187436314285714</v>
      </c>
      <c r="AE116" s="259">
        <v>2.4273279562181544</v>
      </c>
      <c r="AF116" s="259">
        <v>385.87232520000003</v>
      </c>
      <c r="AG116" s="308">
        <v>73.4575147915477</v>
      </c>
      <c r="AH116" s="152"/>
      <c r="AM116" s="25"/>
      <c r="AN116" s="25"/>
      <c r="AO116" s="25"/>
    </row>
    <row r="117" spans="2:41" ht="12.75" customHeight="1">
      <c r="B117" s="65"/>
      <c r="C117" s="396" t="s">
        <v>406</v>
      </c>
      <c r="D117" s="102"/>
      <c r="E117" s="102"/>
      <c r="F117" s="83"/>
      <c r="G117" s="84"/>
      <c r="H117" s="549"/>
      <c r="I117" s="280"/>
      <c r="J117" s="96"/>
      <c r="K117" s="97"/>
      <c r="L117" s="278">
        <f t="shared" si="10"/>
        <v>0.5324848455134058</v>
      </c>
      <c r="M117" s="351"/>
      <c r="N117" s="352"/>
      <c r="O117" s="352"/>
      <c r="P117" s="352"/>
      <c r="Q117" s="353"/>
      <c r="R117" s="570">
        <f t="shared" si="11"/>
        <v>0</v>
      </c>
      <c r="S117" s="569"/>
      <c r="T117" s="518" t="e">
        <f t="shared" si="12"/>
        <v>#DIV/0!</v>
      </c>
      <c r="W117" s="147"/>
      <c r="X117" s="153"/>
      <c r="Y117" s="153"/>
      <c r="Z117" s="195" t="s">
        <v>406</v>
      </c>
      <c r="AA117" s="336"/>
      <c r="AB117" s="259">
        <v>0.33087978966843096</v>
      </c>
      <c r="AC117" s="398">
        <v>0.5324848455134058</v>
      </c>
      <c r="AD117" s="259">
        <v>9.164064191285714</v>
      </c>
      <c r="AE117" s="259">
        <v>2.421153022796754</v>
      </c>
      <c r="AF117" s="259">
        <v>384.89069603400003</v>
      </c>
      <c r="AG117" s="308">
        <v>73.27064459051971</v>
      </c>
      <c r="AH117" s="152"/>
      <c r="AM117" s="25"/>
      <c r="AN117" s="25"/>
      <c r="AO117" s="25"/>
    </row>
    <row r="118" spans="2:41" ht="12.75" customHeight="1">
      <c r="B118" s="65"/>
      <c r="C118" s="396" t="s">
        <v>407</v>
      </c>
      <c r="D118" s="102"/>
      <c r="E118" s="102"/>
      <c r="F118" s="83"/>
      <c r="G118" s="84"/>
      <c r="H118" s="555"/>
      <c r="I118" s="280"/>
      <c r="J118" s="96"/>
      <c r="K118" s="97"/>
      <c r="L118" s="278">
        <f t="shared" si="10"/>
        <v>0.5308746455134058</v>
      </c>
      <c r="M118" s="351"/>
      <c r="N118" s="352"/>
      <c r="O118" s="352"/>
      <c r="P118" s="352"/>
      <c r="Q118" s="353"/>
      <c r="R118" s="570">
        <f>H118*L118/1000</f>
        <v>0</v>
      </c>
      <c r="S118" s="569"/>
      <c r="T118" s="518" t="e">
        <f t="shared" si="12"/>
        <v>#DIV/0!</v>
      </c>
      <c r="W118" s="147"/>
      <c r="X118" s="153"/>
      <c r="Y118" s="153"/>
      <c r="Z118" s="195" t="s">
        <v>407</v>
      </c>
      <c r="AA118" s="336"/>
      <c r="AB118" s="360">
        <v>0.32987923041906786</v>
      </c>
      <c r="AC118" s="307">
        <v>0.5308746455134058</v>
      </c>
      <c r="AD118" s="308">
        <v>9.136352649285714</v>
      </c>
      <c r="AE118" s="259">
        <v>2.41383161143612</v>
      </c>
      <c r="AF118" s="259">
        <v>383.72681127</v>
      </c>
      <c r="AG118" s="259">
        <v>73.04907886350657</v>
      </c>
      <c r="AH118" s="152"/>
      <c r="AM118" s="25"/>
      <c r="AN118" s="25"/>
      <c r="AO118" s="25"/>
    </row>
    <row r="119" spans="2:41" ht="12.75" customHeight="1">
      <c r="B119" s="65"/>
      <c r="C119" s="396" t="s">
        <v>408</v>
      </c>
      <c r="D119" s="102"/>
      <c r="E119" s="102"/>
      <c r="F119" s="83"/>
      <c r="G119" s="84"/>
      <c r="H119" s="555"/>
      <c r="I119" s="280"/>
      <c r="J119" s="96"/>
      <c r="K119" s="97"/>
      <c r="L119" s="278">
        <f t="shared" si="10"/>
        <v>0.5314508455134058</v>
      </c>
      <c r="M119" s="351"/>
      <c r="N119" s="352"/>
      <c r="O119" s="352"/>
      <c r="P119" s="352"/>
      <c r="Q119" s="353"/>
      <c r="R119" s="570">
        <f>H119*L119/1000</f>
        <v>0</v>
      </c>
      <c r="S119" s="569"/>
      <c r="T119" s="518" t="e">
        <f t="shared" si="12"/>
        <v>#DIV/0!</v>
      </c>
      <c r="W119" s="147"/>
      <c r="X119" s="153"/>
      <c r="Y119" s="153"/>
      <c r="Z119" s="195" t="s">
        <v>408</v>
      </c>
      <c r="AA119" s="336"/>
      <c r="AB119" s="360">
        <v>0.33023727428907346</v>
      </c>
      <c r="AC119" s="307">
        <v>0.5314508455134058</v>
      </c>
      <c r="AD119" s="308">
        <v>9.146269051285714</v>
      </c>
      <c r="AE119" s="259">
        <v>2.4164515327042837</v>
      </c>
      <c r="AF119" s="259">
        <v>384.14330015400003</v>
      </c>
      <c r="AG119" s="259">
        <v>73.12836477327241</v>
      </c>
      <c r="AH119" s="152"/>
      <c r="AM119" s="25"/>
      <c r="AN119" s="25"/>
      <c r="AO119" s="25"/>
    </row>
    <row r="120" spans="2:41" ht="12.75" customHeight="1">
      <c r="B120" s="65"/>
      <c r="C120" s="397" t="s">
        <v>482</v>
      </c>
      <c r="D120" s="48"/>
      <c r="E120" s="48"/>
      <c r="F120" s="31"/>
      <c r="G120" s="277"/>
      <c r="H120" s="555"/>
      <c r="I120" s="280"/>
      <c r="J120" s="96"/>
      <c r="K120" s="97"/>
      <c r="L120" s="278">
        <f t="shared" si="10"/>
        <v>0.5267126649410984</v>
      </c>
      <c r="M120" s="351"/>
      <c r="N120" s="352"/>
      <c r="O120" s="352"/>
      <c r="P120" s="352"/>
      <c r="Q120" s="353"/>
      <c r="R120" s="570">
        <f>H120*L120/1000</f>
        <v>0</v>
      </c>
      <c r="S120" s="569"/>
      <c r="T120" s="518" t="e">
        <f t="shared" si="12"/>
        <v>#DIV/0!</v>
      </c>
      <c r="W120" s="147"/>
      <c r="X120" s="153"/>
      <c r="Y120" s="153"/>
      <c r="Z120" s="175" t="s">
        <v>433</v>
      </c>
      <c r="AA120" s="336"/>
      <c r="AB120" s="360">
        <v>0.3272930248810653</v>
      </c>
      <c r="AC120" s="307">
        <v>0.5267126649410984</v>
      </c>
      <c r="AD120" s="308">
        <v>9.069992090285714</v>
      </c>
      <c r="AE120" s="259">
        <v>2.396299099150783</v>
      </c>
      <c r="AF120" s="259">
        <v>380.939667792</v>
      </c>
      <c r="AG120" s="259">
        <v>72.51849758081096</v>
      </c>
      <c r="AH120" s="152"/>
      <c r="AM120" s="25"/>
      <c r="AN120" s="25"/>
      <c r="AO120" s="25"/>
    </row>
    <row r="121" spans="2:41" ht="12.75" customHeight="1">
      <c r="B121" s="65"/>
      <c r="C121" s="391" t="s">
        <v>347</v>
      </c>
      <c r="D121" s="83"/>
      <c r="E121" s="83"/>
      <c r="F121" s="83"/>
      <c r="G121" s="83"/>
      <c r="H121" s="236"/>
      <c r="I121" s="280"/>
      <c r="J121" s="96"/>
      <c r="K121" s="97"/>
      <c r="L121" s="286"/>
      <c r="M121" s="351"/>
      <c r="N121" s="352"/>
      <c r="O121" s="352"/>
      <c r="P121" s="352"/>
      <c r="Q121" s="353"/>
      <c r="R121" s="24"/>
      <c r="S121" s="18"/>
      <c r="T121" s="7"/>
      <c r="W121" s="147"/>
      <c r="X121" s="153"/>
      <c r="Y121" s="153"/>
      <c r="Z121" s="314" t="s">
        <v>348</v>
      </c>
      <c r="AA121" s="337"/>
      <c r="AB121" s="147"/>
      <c r="AC121" s="313"/>
      <c r="AD121" s="153"/>
      <c r="AE121" s="156"/>
      <c r="AF121" s="153"/>
      <c r="AG121" s="156"/>
      <c r="AH121" s="152"/>
      <c r="AM121" s="25"/>
      <c r="AN121" s="25"/>
      <c r="AO121" s="25"/>
    </row>
    <row r="122" spans="2:41" ht="12.75" customHeight="1">
      <c r="B122" s="65"/>
      <c r="C122" s="396" t="s">
        <v>434</v>
      </c>
      <c r="D122" s="102"/>
      <c r="E122" s="102"/>
      <c r="F122" s="83"/>
      <c r="G122" s="84"/>
      <c r="H122" s="554"/>
      <c r="I122" s="95"/>
      <c r="J122" s="96"/>
      <c r="K122" s="97"/>
      <c r="L122" s="278">
        <f t="shared" si="10"/>
        <v>1.4943939523809522</v>
      </c>
      <c r="M122" s="351"/>
      <c r="N122" s="352"/>
      <c r="O122" s="352"/>
      <c r="P122" s="352"/>
      <c r="Q122" s="353"/>
      <c r="R122" s="570">
        <f t="shared" si="11"/>
        <v>0</v>
      </c>
      <c r="S122" s="569"/>
      <c r="T122" s="518" t="e">
        <f aca="true" t="shared" si="13" ref="T122:T131">R122/$Q$393</f>
        <v>#DIV/0!</v>
      </c>
      <c r="W122" s="147"/>
      <c r="X122" s="153"/>
      <c r="Y122" s="153"/>
      <c r="Z122" s="195" t="s">
        <v>434</v>
      </c>
      <c r="AA122" s="334"/>
      <c r="AB122" s="259">
        <v>0.9285987400614878</v>
      </c>
      <c r="AC122" s="307">
        <v>1.4943939523809522</v>
      </c>
      <c r="AD122" s="259">
        <v>8.966363714285714</v>
      </c>
      <c r="AE122" s="259">
        <v>2.3689204000754858</v>
      </c>
      <c r="AF122" s="259">
        <v>376.58727600000003</v>
      </c>
      <c r="AG122" s="308">
        <v>71.68994403198172</v>
      </c>
      <c r="AH122" s="152"/>
      <c r="AM122" s="25"/>
      <c r="AN122" s="25"/>
      <c r="AO122" s="25"/>
    </row>
    <row r="123" spans="2:41" ht="12.75" customHeight="1">
      <c r="B123" s="65"/>
      <c r="C123" s="396" t="s">
        <v>435</v>
      </c>
      <c r="D123" s="102"/>
      <c r="E123" s="102"/>
      <c r="F123" s="83"/>
      <c r="G123" s="84"/>
      <c r="H123" s="549"/>
      <c r="I123" s="95"/>
      <c r="J123" s="96"/>
      <c r="K123" s="97"/>
      <c r="L123" s="278">
        <f t="shared" si="10"/>
        <v>1.5023932523809522</v>
      </c>
      <c r="M123" s="351"/>
      <c r="N123" s="352"/>
      <c r="O123" s="352"/>
      <c r="P123" s="352"/>
      <c r="Q123" s="353"/>
      <c r="R123" s="570">
        <f t="shared" si="11"/>
        <v>0</v>
      </c>
      <c r="S123" s="569"/>
      <c r="T123" s="518" t="e">
        <f t="shared" si="13"/>
        <v>#DIV/0!</v>
      </c>
      <c r="W123" s="147"/>
      <c r="X123" s="153"/>
      <c r="Y123" s="153"/>
      <c r="Z123" s="195" t="s">
        <v>435</v>
      </c>
      <c r="AA123" s="335"/>
      <c r="AB123" s="259">
        <v>0.9335694105393353</v>
      </c>
      <c r="AC123" s="307">
        <v>1.5023932523809522</v>
      </c>
      <c r="AD123" s="259">
        <v>9.014359514285713</v>
      </c>
      <c r="AE123" s="259">
        <v>2.381600928477071</v>
      </c>
      <c r="AF123" s="259">
        <v>378.6030996</v>
      </c>
      <c r="AG123" s="308">
        <v>72.07369114791548</v>
      </c>
      <c r="AH123" s="152"/>
      <c r="AM123" s="25"/>
      <c r="AN123" s="25"/>
      <c r="AO123" s="25"/>
    </row>
    <row r="124" spans="2:41" ht="12.75" customHeight="1">
      <c r="B124" s="65"/>
      <c r="C124" s="396" t="s">
        <v>436</v>
      </c>
      <c r="D124" s="102"/>
      <c r="E124" s="102"/>
      <c r="F124" s="83"/>
      <c r="G124" s="84"/>
      <c r="H124" s="549"/>
      <c r="I124" s="95"/>
      <c r="J124" s="96"/>
      <c r="K124" s="97"/>
      <c r="L124" s="278">
        <f t="shared" si="10"/>
        <v>1.5045117523809524</v>
      </c>
      <c r="M124" s="351"/>
      <c r="N124" s="352"/>
      <c r="O124" s="352"/>
      <c r="P124" s="352"/>
      <c r="Q124" s="353"/>
      <c r="R124" s="570">
        <f t="shared" si="11"/>
        <v>0</v>
      </c>
      <c r="S124" s="569"/>
      <c r="T124" s="518" t="e">
        <f t="shared" si="13"/>
        <v>#DIV/0!</v>
      </c>
      <c r="W124" s="147"/>
      <c r="X124" s="153"/>
      <c r="Y124" s="153"/>
      <c r="Z124" s="195" t="s">
        <v>436</v>
      </c>
      <c r="AA124" s="335"/>
      <c r="AB124" s="259">
        <v>0.9348858214012008</v>
      </c>
      <c r="AC124" s="307">
        <v>1.5045117523809524</v>
      </c>
      <c r="AD124" s="259">
        <v>9.027070514285715</v>
      </c>
      <c r="AE124" s="259">
        <v>2.38495918475184</v>
      </c>
      <c r="AF124" s="259">
        <v>379.1369616</v>
      </c>
      <c r="AG124" s="308">
        <v>72.1753210736722</v>
      </c>
      <c r="AH124" s="152"/>
      <c r="AM124" s="25"/>
      <c r="AN124" s="25"/>
      <c r="AO124" s="25"/>
    </row>
    <row r="125" spans="2:41" ht="12.75" customHeight="1">
      <c r="B125" s="65"/>
      <c r="C125" s="396" t="s">
        <v>437</v>
      </c>
      <c r="D125" s="102"/>
      <c r="E125" s="102"/>
      <c r="F125" s="83"/>
      <c r="G125" s="84"/>
      <c r="H125" s="549"/>
      <c r="I125" s="95"/>
      <c r="J125" s="96"/>
      <c r="K125" s="97"/>
      <c r="L125" s="278">
        <f t="shared" si="10"/>
        <v>1.5095025523809522</v>
      </c>
      <c r="M125" s="351"/>
      <c r="N125" s="352"/>
      <c r="O125" s="352"/>
      <c r="P125" s="352"/>
      <c r="Q125" s="353"/>
      <c r="R125" s="570">
        <f t="shared" si="11"/>
        <v>0</v>
      </c>
      <c r="S125" s="569"/>
      <c r="T125" s="518" t="e">
        <f t="shared" si="13"/>
        <v>#DIV/0!</v>
      </c>
      <c r="W125" s="147"/>
      <c r="X125" s="153"/>
      <c r="Y125" s="153"/>
      <c r="Z125" s="195" t="s">
        <v>437</v>
      </c>
      <c r="AA125" s="335"/>
      <c r="AB125" s="259">
        <v>0.9379870455359177</v>
      </c>
      <c r="AC125" s="307">
        <v>1.5095025523809522</v>
      </c>
      <c r="AD125" s="259">
        <v>9.057015314285714</v>
      </c>
      <c r="AE125" s="259">
        <v>2.3928706246461595</v>
      </c>
      <c r="AF125" s="259">
        <v>380.3946432</v>
      </c>
      <c r="AG125" s="308">
        <v>72.41474266133638</v>
      </c>
      <c r="AH125" s="152"/>
      <c r="AM125" s="25"/>
      <c r="AN125" s="25"/>
      <c r="AO125" s="25"/>
    </row>
    <row r="126" spans="2:41" ht="12.75" customHeight="1">
      <c r="B126" s="65"/>
      <c r="C126" s="396" t="s">
        <v>404</v>
      </c>
      <c r="D126" s="102"/>
      <c r="E126" s="102"/>
      <c r="F126" s="83"/>
      <c r="G126" s="84"/>
      <c r="H126" s="549"/>
      <c r="I126" s="95"/>
      <c r="J126" s="96"/>
      <c r="K126" s="97"/>
      <c r="L126" s="278">
        <f t="shared" si="10"/>
        <v>1.5209796523809522</v>
      </c>
      <c r="M126" s="351"/>
      <c r="N126" s="352"/>
      <c r="O126" s="352"/>
      <c r="P126" s="352"/>
      <c r="Q126" s="353"/>
      <c r="R126" s="570">
        <f t="shared" si="11"/>
        <v>0</v>
      </c>
      <c r="S126" s="569"/>
      <c r="T126" s="518" t="e">
        <f t="shared" si="13"/>
        <v>#DIV/0!</v>
      </c>
      <c r="W126" s="147"/>
      <c r="X126" s="153"/>
      <c r="Y126" s="153"/>
      <c r="Z126" s="195" t="s">
        <v>404</v>
      </c>
      <c r="AA126" s="335"/>
      <c r="AB126" s="259">
        <v>0.9451187798303314</v>
      </c>
      <c r="AC126" s="307">
        <v>1.5209796523809522</v>
      </c>
      <c r="AD126" s="259">
        <v>9.125877914285715</v>
      </c>
      <c r="AE126" s="259">
        <v>2.41106417814682</v>
      </c>
      <c r="AF126" s="259">
        <v>383.2868724</v>
      </c>
      <c r="AG126" s="308">
        <v>72.96532884066248</v>
      </c>
      <c r="AH126" s="152"/>
      <c r="AM126" s="25"/>
      <c r="AN126" s="25"/>
      <c r="AO126" s="25"/>
    </row>
    <row r="127" spans="2:41" ht="12.75" customHeight="1">
      <c r="B127" s="65"/>
      <c r="C127" s="396" t="s">
        <v>405</v>
      </c>
      <c r="D127" s="102"/>
      <c r="E127" s="102"/>
      <c r="F127" s="83"/>
      <c r="G127" s="84"/>
      <c r="H127" s="546"/>
      <c r="I127" s="95"/>
      <c r="J127" s="96"/>
      <c r="K127" s="97"/>
      <c r="L127" s="278">
        <f t="shared" si="10"/>
        <v>1.5215241523809522</v>
      </c>
      <c r="M127" s="351"/>
      <c r="N127" s="352"/>
      <c r="O127" s="352"/>
      <c r="P127" s="352"/>
      <c r="Q127" s="353"/>
      <c r="R127" s="570">
        <f t="shared" si="11"/>
        <v>0</v>
      </c>
      <c r="S127" s="569"/>
      <c r="T127" s="518" t="e">
        <f t="shared" si="13"/>
        <v>#DIV/0!</v>
      </c>
      <c r="W127" s="147"/>
      <c r="X127" s="153"/>
      <c r="Y127" s="153"/>
      <c r="Z127" s="195" t="s">
        <v>405</v>
      </c>
      <c r="AA127" s="335"/>
      <c r="AB127" s="259">
        <v>0.9454571256949931</v>
      </c>
      <c r="AC127" s="398">
        <v>1.5215241523809522</v>
      </c>
      <c r="AD127" s="259">
        <v>9.129144914285714</v>
      </c>
      <c r="AE127" s="259">
        <v>2.4119273221362523</v>
      </c>
      <c r="AF127" s="259">
        <v>383.4240864</v>
      </c>
      <c r="AG127" s="308">
        <v>72.99144991433467</v>
      </c>
      <c r="AH127" s="152"/>
      <c r="AM127" s="25"/>
      <c r="AN127" s="25"/>
      <c r="AO127" s="25"/>
    </row>
    <row r="128" spans="2:41" ht="12.75" customHeight="1">
      <c r="B128" s="65"/>
      <c r="C128" s="396" t="s">
        <v>406</v>
      </c>
      <c r="D128" s="102"/>
      <c r="E128" s="102"/>
      <c r="F128" s="83"/>
      <c r="G128" s="84"/>
      <c r="H128" s="551"/>
      <c r="I128" s="95"/>
      <c r="J128" s="96"/>
      <c r="K128" s="97"/>
      <c r="L128" s="278">
        <f t="shared" si="10"/>
        <v>1.5213927523809523</v>
      </c>
      <c r="M128" s="351"/>
      <c r="N128" s="352"/>
      <c r="O128" s="352"/>
      <c r="P128" s="352"/>
      <c r="Q128" s="353"/>
      <c r="R128" s="570">
        <f>H128*L128/1000</f>
        <v>0</v>
      </c>
      <c r="S128" s="569"/>
      <c r="T128" s="518" t="e">
        <f t="shared" si="13"/>
        <v>#DIV/0!</v>
      </c>
      <c r="W128" s="147"/>
      <c r="X128" s="153"/>
      <c r="Y128" s="153"/>
      <c r="Z128" s="195" t="s">
        <v>406</v>
      </c>
      <c r="AA128" s="335"/>
      <c r="AB128" s="360">
        <v>0.9453754752879838</v>
      </c>
      <c r="AC128" s="307">
        <v>1.5213927523809523</v>
      </c>
      <c r="AD128" s="308">
        <v>9.128356514285715</v>
      </c>
      <c r="AE128" s="259">
        <v>2.4117190262313644</v>
      </c>
      <c r="AF128" s="259">
        <v>383.3909736</v>
      </c>
      <c r="AG128" s="259">
        <v>72.98514631639064</v>
      </c>
      <c r="AH128" s="152"/>
      <c r="AM128" s="25"/>
      <c r="AN128" s="25"/>
      <c r="AO128" s="25"/>
    </row>
    <row r="129" spans="2:41" ht="12.75" customHeight="1">
      <c r="B129" s="65"/>
      <c r="C129" s="396" t="s">
        <v>407</v>
      </c>
      <c r="D129" s="102"/>
      <c r="E129" s="102"/>
      <c r="F129" s="83"/>
      <c r="G129" s="84"/>
      <c r="H129" s="551"/>
      <c r="I129" s="95"/>
      <c r="J129" s="96"/>
      <c r="K129" s="97"/>
      <c r="L129" s="278">
        <f t="shared" si="10"/>
        <v>1.5198934523809522</v>
      </c>
      <c r="M129" s="351"/>
      <c r="N129" s="352"/>
      <c r="O129" s="352"/>
      <c r="P129" s="352"/>
      <c r="Q129" s="353"/>
      <c r="R129" s="570">
        <f>H129*L129/1000</f>
        <v>0</v>
      </c>
      <c r="S129" s="569"/>
      <c r="T129" s="518" t="e">
        <f t="shared" si="13"/>
        <v>#DIV/0!</v>
      </c>
      <c r="W129" s="147"/>
      <c r="X129" s="153"/>
      <c r="Y129" s="153"/>
      <c r="Z129" s="195" t="s">
        <v>407</v>
      </c>
      <c r="AA129" s="335"/>
      <c r="AB129" s="360">
        <v>0.9444438279879155</v>
      </c>
      <c r="AC129" s="307">
        <v>1.5198934523809522</v>
      </c>
      <c r="AD129" s="308">
        <v>9.119360714285714</v>
      </c>
      <c r="AE129" s="259">
        <v>2.409342328741272</v>
      </c>
      <c r="AF129" s="259">
        <v>383.01315</v>
      </c>
      <c r="AG129" s="259">
        <v>72.91322101656196</v>
      </c>
      <c r="AH129" s="152"/>
      <c r="AM129" s="25"/>
      <c r="AN129" s="25"/>
      <c r="AO129" s="25"/>
    </row>
    <row r="130" spans="2:41" ht="12.75" customHeight="1">
      <c r="B130" s="65"/>
      <c r="C130" s="396" t="s">
        <v>408</v>
      </c>
      <c r="D130" s="102"/>
      <c r="E130" s="102"/>
      <c r="F130" s="83"/>
      <c r="G130" s="84"/>
      <c r="H130" s="551"/>
      <c r="I130" s="95"/>
      <c r="J130" s="96"/>
      <c r="K130" s="97"/>
      <c r="L130" s="278">
        <f t="shared" si="10"/>
        <v>1.5178860523809523</v>
      </c>
      <c r="M130" s="351"/>
      <c r="N130" s="352"/>
      <c r="O130" s="352"/>
      <c r="P130" s="352"/>
      <c r="Q130" s="353"/>
      <c r="R130" s="570">
        <f>H130*L130/1000</f>
        <v>0</v>
      </c>
      <c r="S130" s="569"/>
      <c r="T130" s="518" t="e">
        <f t="shared" si="13"/>
        <v>#DIV/0!</v>
      </c>
      <c r="W130" s="147"/>
      <c r="X130" s="153"/>
      <c r="Y130" s="153"/>
      <c r="Z130" s="195" t="s">
        <v>408</v>
      </c>
      <c r="AA130" s="335"/>
      <c r="AB130" s="360">
        <v>0.9431964533529811</v>
      </c>
      <c r="AC130" s="307">
        <v>1.5178860523809523</v>
      </c>
      <c r="AD130" s="308">
        <v>9.107316314285715</v>
      </c>
      <c r="AE130" s="259">
        <v>2.406160188714852</v>
      </c>
      <c r="AF130" s="259">
        <v>382.5072852</v>
      </c>
      <c r="AG130" s="259">
        <v>72.8169208452313</v>
      </c>
      <c r="AH130" s="152"/>
      <c r="AM130" s="25"/>
      <c r="AN130" s="25"/>
      <c r="AO130" s="25"/>
    </row>
    <row r="131" spans="2:41" ht="12.75" customHeight="1">
      <c r="B131" s="65"/>
      <c r="C131" s="396" t="s">
        <v>482</v>
      </c>
      <c r="D131" s="102"/>
      <c r="E131" s="102"/>
      <c r="F131" s="83"/>
      <c r="G131" s="84"/>
      <c r="H131" s="551"/>
      <c r="I131" s="95"/>
      <c r="J131" s="96"/>
      <c r="K131" s="97"/>
      <c r="L131" s="278">
        <f t="shared" si="10"/>
        <v>1.5187154523809523</v>
      </c>
      <c r="M131" s="450"/>
      <c r="N131" s="438"/>
      <c r="O131" s="438"/>
      <c r="P131" s="438"/>
      <c r="Q131" s="439"/>
      <c r="R131" s="570">
        <f>H131*L131/1000</f>
        <v>0</v>
      </c>
      <c r="S131" s="569"/>
      <c r="T131" s="518" t="e">
        <f t="shared" si="13"/>
        <v>#DIV/0!</v>
      </c>
      <c r="W131" s="147"/>
      <c r="X131" s="153"/>
      <c r="Y131" s="153"/>
      <c r="Z131" s="195" t="s">
        <v>433</v>
      </c>
      <c r="AA131" s="335"/>
      <c r="AB131" s="360">
        <v>0.9437118327104657</v>
      </c>
      <c r="AC131" s="307">
        <v>1.5187154523809523</v>
      </c>
      <c r="AD131" s="308">
        <v>9.112292714285713</v>
      </c>
      <c r="AE131" s="259">
        <v>2.4074749575391583</v>
      </c>
      <c r="AF131" s="259">
        <v>382.716294</v>
      </c>
      <c r="AG131" s="259">
        <v>72.8567093089663</v>
      </c>
      <c r="AH131" s="152"/>
      <c r="AM131" s="25"/>
      <c r="AN131" s="25"/>
      <c r="AO131" s="25"/>
    </row>
    <row r="132" spans="2:41" ht="12.75" customHeight="1">
      <c r="B132" s="65"/>
      <c r="C132" s="287"/>
      <c r="D132" s="23"/>
      <c r="E132" s="23"/>
      <c r="F132" s="23"/>
      <c r="G132" s="23"/>
      <c r="H132" s="23"/>
      <c r="I132" s="24"/>
      <c r="J132" s="24"/>
      <c r="K132" s="24"/>
      <c r="L132" s="288"/>
      <c r="M132" s="457"/>
      <c r="N132" s="457"/>
      <c r="O132" s="457"/>
      <c r="P132" s="457"/>
      <c r="Q132" s="457"/>
      <c r="R132" s="24"/>
      <c r="S132" s="24"/>
      <c r="T132" s="7"/>
      <c r="W132" s="147"/>
      <c r="X132" s="153"/>
      <c r="Y132" s="153"/>
      <c r="Z132" s="332"/>
      <c r="AA132" s="324"/>
      <c r="AB132" s="317"/>
      <c r="AC132" s="318"/>
      <c r="AD132" s="319"/>
      <c r="AE132" s="320"/>
      <c r="AF132" s="319"/>
      <c r="AG132" s="320"/>
      <c r="AH132" s="152"/>
      <c r="AM132" s="25"/>
      <c r="AN132" s="25"/>
      <c r="AO132" s="25"/>
    </row>
    <row r="133" spans="2:41" ht="12.75" customHeight="1">
      <c r="B133" s="65"/>
      <c r="C133" s="389" t="s">
        <v>349</v>
      </c>
      <c r="D133" s="18"/>
      <c r="E133" s="18"/>
      <c r="F133" s="18"/>
      <c r="G133" s="18"/>
      <c r="H133" s="23"/>
      <c r="I133" s="24"/>
      <c r="J133" s="24"/>
      <c r="K133" s="24"/>
      <c r="L133" s="286"/>
      <c r="M133" s="457"/>
      <c r="N133" s="457"/>
      <c r="O133" s="457"/>
      <c r="P133" s="457"/>
      <c r="Q133" s="457"/>
      <c r="R133" s="24"/>
      <c r="S133" s="18"/>
      <c r="T133" s="7"/>
      <c r="W133" s="147"/>
      <c r="X133" s="153" t="s">
        <v>545</v>
      </c>
      <c r="Y133" s="153"/>
      <c r="Z133" s="332"/>
      <c r="AA133" s="324"/>
      <c r="AB133" s="317"/>
      <c r="AC133" s="318"/>
      <c r="AD133" s="319"/>
      <c r="AE133" s="320"/>
      <c r="AF133" s="319"/>
      <c r="AG133" s="320"/>
      <c r="AH133" s="152"/>
      <c r="AM133" s="25"/>
      <c r="AN133" s="25"/>
      <c r="AO133" s="25"/>
    </row>
    <row r="134" spans="2:41" ht="12.75" customHeight="1">
      <c r="B134" s="65"/>
      <c r="C134" s="289" t="s">
        <v>44</v>
      </c>
      <c r="D134" s="18"/>
      <c r="E134" s="18"/>
      <c r="F134" s="18"/>
      <c r="G134" s="18"/>
      <c r="H134" s="285"/>
      <c r="I134" s="24"/>
      <c r="J134" s="24"/>
      <c r="K134" s="24"/>
      <c r="L134" s="286"/>
      <c r="M134" s="500"/>
      <c r="N134" s="500"/>
      <c r="O134" s="500"/>
      <c r="P134" s="500"/>
      <c r="Q134" s="500"/>
      <c r="R134" s="24"/>
      <c r="S134" s="18"/>
      <c r="T134" s="7"/>
      <c r="W134" s="147"/>
      <c r="X134" s="34">
        <v>2</v>
      </c>
      <c r="Y134" s="153"/>
      <c r="Z134" s="312" t="s">
        <v>350</v>
      </c>
      <c r="AA134" s="333"/>
      <c r="AB134" s="147"/>
      <c r="AC134" s="313"/>
      <c r="AD134" s="153"/>
      <c r="AE134" s="156"/>
      <c r="AF134" s="153"/>
      <c r="AG134" s="156"/>
      <c r="AH134" s="152"/>
      <c r="AM134" s="25"/>
      <c r="AN134" s="25"/>
      <c r="AO134" s="25"/>
    </row>
    <row r="135" spans="2:41" ht="12.75" customHeight="1">
      <c r="B135" s="65"/>
      <c r="C135" s="580" t="s">
        <v>484</v>
      </c>
      <c r="D135" s="573"/>
      <c r="E135" s="573"/>
      <c r="F135" s="573"/>
      <c r="G135" s="84"/>
      <c r="H135" s="553"/>
      <c r="I135" s="92"/>
      <c r="J135" s="93"/>
      <c r="K135" s="94"/>
      <c r="L135" s="278">
        <f>IF($X$134=1,AB135,IF($X$134=2,AC135,IF($X$134=3,AD135,IF($X$134=4,AE135,IF($X$134=5,AF135,IF($X$134=6,AG135,0))))))</f>
        <v>0.38634319166666664</v>
      </c>
      <c r="M135" s="351"/>
      <c r="N135" s="352"/>
      <c r="O135" s="352"/>
      <c r="P135" s="352"/>
      <c r="Q135" s="353"/>
      <c r="R135" s="570">
        <f>H135*L135/1000</f>
        <v>0</v>
      </c>
      <c r="S135" s="569"/>
      <c r="T135" s="518" t="e">
        <f>R135/$Q$393</f>
        <v>#DIV/0!</v>
      </c>
      <c r="W135" s="147"/>
      <c r="X135" s="153"/>
      <c r="Y135" s="153"/>
      <c r="Z135" s="321" t="s">
        <v>443</v>
      </c>
      <c r="AA135" s="334"/>
      <c r="AB135" s="259">
        <v>0.24006909318751424</v>
      </c>
      <c r="AC135" s="307">
        <v>0.38634319166666664</v>
      </c>
      <c r="AD135" s="259">
        <v>9.2722366</v>
      </c>
      <c r="AE135" s="259">
        <v>2.449732258916777</v>
      </c>
      <c r="AF135" s="259">
        <v>389.4339372</v>
      </c>
      <c r="AG135" s="308">
        <v>74.1355296402056</v>
      </c>
      <c r="AH135" s="152"/>
      <c r="AM135" s="25"/>
      <c r="AN135" s="25"/>
      <c r="AO135" s="25"/>
    </row>
    <row r="136" spans="2:41" ht="12.75" customHeight="1">
      <c r="B136" s="65"/>
      <c r="C136" s="289" t="s">
        <v>344</v>
      </c>
      <c r="D136" s="18"/>
      <c r="E136" s="18"/>
      <c r="F136" s="18"/>
      <c r="G136" s="18"/>
      <c r="H136" s="285"/>
      <c r="I136" s="95"/>
      <c r="J136" s="96"/>
      <c r="K136" s="97"/>
      <c r="L136" s="286"/>
      <c r="M136" s="351"/>
      <c r="N136" s="352"/>
      <c r="O136" s="352"/>
      <c r="P136" s="352"/>
      <c r="Q136" s="353"/>
      <c r="R136" s="24"/>
      <c r="S136" s="18"/>
      <c r="T136" s="7"/>
      <c r="W136" s="147"/>
      <c r="X136" s="153"/>
      <c r="Y136" s="153"/>
      <c r="Z136" s="314" t="s">
        <v>351</v>
      </c>
      <c r="AA136" s="337"/>
      <c r="AB136" s="147"/>
      <c r="AC136" s="313"/>
      <c r="AD136" s="153"/>
      <c r="AE136" s="156"/>
      <c r="AF136" s="153"/>
      <c r="AG136" s="156"/>
      <c r="AH136" s="152"/>
      <c r="AM136" s="25"/>
      <c r="AN136" s="25"/>
      <c r="AO136" s="25"/>
    </row>
    <row r="137" spans="2:41" ht="12.75" customHeight="1">
      <c r="B137" s="65"/>
      <c r="C137" s="580" t="s">
        <v>484</v>
      </c>
      <c r="D137" s="573"/>
      <c r="E137" s="573"/>
      <c r="F137" s="573"/>
      <c r="G137" s="84"/>
      <c r="H137" s="553"/>
      <c r="I137" s="95"/>
      <c r="J137" s="96"/>
      <c r="K137" s="97"/>
      <c r="L137" s="278">
        <f>IF($X$134=1,AB137,IF($X$134=2,AC137,IF($X$134=3,AD137,IF($X$134=4,AE137,IF($X$134=5,AF137,IF($X$134=6,AG137,0))))))</f>
        <v>0.6198331666666667</v>
      </c>
      <c r="M137" s="351"/>
      <c r="N137" s="352"/>
      <c r="O137" s="352"/>
      <c r="P137" s="352"/>
      <c r="Q137" s="353"/>
      <c r="R137" s="570">
        <f>H137*L137/1000</f>
        <v>0</v>
      </c>
      <c r="S137" s="569"/>
      <c r="T137" s="518" t="e">
        <f>R137/$Q$393</f>
        <v>#DIV/0!</v>
      </c>
      <c r="W137" s="147"/>
      <c r="X137" s="153"/>
      <c r="Y137" s="153"/>
      <c r="Z137" s="321" t="s">
        <v>443</v>
      </c>
      <c r="AA137" s="334"/>
      <c r="AB137" s="259">
        <v>0.38515700408044906</v>
      </c>
      <c r="AC137" s="307">
        <v>0.6198331666666667</v>
      </c>
      <c r="AD137" s="259">
        <v>9.2974975</v>
      </c>
      <c r="AE137" s="259">
        <v>2.4564062087186262</v>
      </c>
      <c r="AF137" s="259">
        <v>390.49489500000004</v>
      </c>
      <c r="AG137" s="308">
        <v>74.33750142775557</v>
      </c>
      <c r="AH137" s="152"/>
      <c r="AM137" s="25"/>
      <c r="AN137" s="25"/>
      <c r="AO137" s="25"/>
    </row>
    <row r="138" spans="2:41" ht="12.75" customHeight="1">
      <c r="B138" s="65"/>
      <c r="C138" s="289" t="s">
        <v>347</v>
      </c>
      <c r="D138" s="18"/>
      <c r="E138" s="18"/>
      <c r="F138" s="18"/>
      <c r="G138" s="18"/>
      <c r="H138" s="285"/>
      <c r="I138" s="383" t="s">
        <v>346</v>
      </c>
      <c r="J138" s="96"/>
      <c r="K138" s="97"/>
      <c r="L138" s="286"/>
      <c r="M138" s="351"/>
      <c r="N138" s="352"/>
      <c r="O138" s="352"/>
      <c r="P138" s="352"/>
      <c r="Q138" s="353"/>
      <c r="R138" s="24"/>
      <c r="S138" s="18"/>
      <c r="T138" s="7"/>
      <c r="W138" s="147"/>
      <c r="X138" s="153"/>
      <c r="Y138" s="153"/>
      <c r="Z138" s="314" t="s">
        <v>352</v>
      </c>
      <c r="AA138" s="337"/>
      <c r="AB138" s="147"/>
      <c r="AC138" s="313"/>
      <c r="AD138" s="153"/>
      <c r="AE138" s="156"/>
      <c r="AF138" s="153"/>
      <c r="AG138" s="156"/>
      <c r="AH138" s="152"/>
      <c r="AM138" s="25"/>
      <c r="AN138" s="25"/>
      <c r="AO138" s="25"/>
    </row>
    <row r="139" spans="2:41" ht="12.75" customHeight="1">
      <c r="B139" s="65"/>
      <c r="C139" s="399" t="s">
        <v>438</v>
      </c>
      <c r="D139" s="400"/>
      <c r="E139" s="400"/>
      <c r="F139" s="111"/>
      <c r="G139" s="232"/>
      <c r="H139" s="555"/>
      <c r="I139" s="95"/>
      <c r="J139" s="96"/>
      <c r="K139" s="97"/>
      <c r="L139" s="278">
        <f>IF($X$134=1,AB139,IF($X$134=2,AC139,IF($X$134=3,AD139,IF($X$134=4,AE139,IF($X$134=5,AF139,IF($X$134=6,AG139,0))))))</f>
        <v>1.3235150285714286</v>
      </c>
      <c r="M139" s="351"/>
      <c r="N139" s="352"/>
      <c r="O139" s="352"/>
      <c r="P139" s="352"/>
      <c r="Q139" s="353"/>
      <c r="R139" s="570">
        <f>H139*L139/1000</f>
        <v>0</v>
      </c>
      <c r="S139" s="569"/>
      <c r="T139" s="518" t="e">
        <f>R139/$Q$393</f>
        <v>#DIV/0!</v>
      </c>
      <c r="W139" s="147"/>
      <c r="X139" s="153"/>
      <c r="Y139" s="153"/>
      <c r="Z139" s="403" t="s">
        <v>438</v>
      </c>
      <c r="AA139" s="334"/>
      <c r="AB139" s="259">
        <v>0.8224165963906224</v>
      </c>
      <c r="AC139" s="307">
        <v>1.3235150285714286</v>
      </c>
      <c r="AD139" s="259">
        <v>9.2646052</v>
      </c>
      <c r="AE139" s="259">
        <v>2.447716036988111</v>
      </c>
      <c r="AF139" s="259">
        <v>389.1134184</v>
      </c>
      <c r="AG139" s="308">
        <v>74.07451330668191</v>
      </c>
      <c r="AH139" s="152"/>
      <c r="AM139" s="25"/>
      <c r="AN139" s="25"/>
      <c r="AO139" s="25"/>
    </row>
    <row r="140" spans="2:41" ht="12.75" customHeight="1">
      <c r="B140" s="65"/>
      <c r="C140" s="401" t="s">
        <v>439</v>
      </c>
      <c r="D140" s="402"/>
      <c r="E140" s="402"/>
      <c r="F140" s="111"/>
      <c r="G140" s="232"/>
      <c r="H140" s="555"/>
      <c r="I140" s="95"/>
      <c r="J140" s="96"/>
      <c r="K140" s="97"/>
      <c r="L140" s="278">
        <f>IF($X$134=1,AB140,IF($X$134=2,AC140,IF($X$134=3,AD140,IF($X$134=4,AE140,IF($X$134=5,AF140,IF($X$134=6,AG140,0))))))</f>
        <v>1.3231447285714286</v>
      </c>
      <c r="M140" s="351" t="s">
        <v>342</v>
      </c>
      <c r="N140" s="352"/>
      <c r="O140" s="352"/>
      <c r="P140" s="352"/>
      <c r="Q140" s="353"/>
      <c r="R140" s="570">
        <f>H140*L140/1000</f>
        <v>0</v>
      </c>
      <c r="S140" s="569"/>
      <c r="T140" s="518" t="e">
        <f>R140/$Q$393</f>
        <v>#DIV/0!</v>
      </c>
      <c r="W140" s="147"/>
      <c r="X140" s="153"/>
      <c r="Y140" s="153"/>
      <c r="Z140" s="146" t="s">
        <v>439</v>
      </c>
      <c r="AA140" s="335"/>
      <c r="AB140" s="259">
        <v>0.8221864963471253</v>
      </c>
      <c r="AC140" s="307">
        <v>1.3231447285714286</v>
      </c>
      <c r="AD140" s="259">
        <v>9.2620131</v>
      </c>
      <c r="AE140" s="259">
        <v>2.4470312021136067</v>
      </c>
      <c r="AF140" s="259">
        <v>389.00455020000004</v>
      </c>
      <c r="AG140" s="308">
        <v>74.05378834951456</v>
      </c>
      <c r="AH140" s="152"/>
      <c r="AM140" s="25"/>
      <c r="AN140" s="25"/>
      <c r="AO140" s="25"/>
    </row>
    <row r="141" spans="2:41" ht="12.75" customHeight="1">
      <c r="B141" s="65"/>
      <c r="C141" s="396" t="s">
        <v>483</v>
      </c>
      <c r="D141" s="102"/>
      <c r="E141" s="102"/>
      <c r="F141" s="83"/>
      <c r="G141" s="84"/>
      <c r="H141" s="548"/>
      <c r="I141" s="95"/>
      <c r="J141" s="96"/>
      <c r="K141" s="97"/>
      <c r="L141" s="278">
        <f>IF($X$134=1,AB141,IF($X$134=2,AC141,IF($X$134=3,AD141,IF($X$134=4,AE141,IF($X$134=5,AF141,IF($X$134=6,AG141,0))))))</f>
        <v>1.3227744285714287</v>
      </c>
      <c r="M141" s="351"/>
      <c r="N141" s="352"/>
      <c r="O141" s="352"/>
      <c r="P141" s="352"/>
      <c r="Q141" s="353"/>
      <c r="R141" s="570">
        <f>H141*L141/1000</f>
        <v>0</v>
      </c>
      <c r="S141" s="569"/>
      <c r="T141" s="518" t="e">
        <f>R141/$Q$393</f>
        <v>#DIV/0!</v>
      </c>
      <c r="W141" s="147"/>
      <c r="X141" s="153"/>
      <c r="Y141" s="153"/>
      <c r="Z141" s="195" t="s">
        <v>440</v>
      </c>
      <c r="AA141" s="336"/>
      <c r="AB141" s="259">
        <v>0.821956396303628</v>
      </c>
      <c r="AC141" s="307">
        <v>1.3227744285714287</v>
      </c>
      <c r="AD141" s="259">
        <v>9.259421</v>
      </c>
      <c r="AE141" s="259">
        <v>2.446346367239102</v>
      </c>
      <c r="AF141" s="259">
        <v>388.895682</v>
      </c>
      <c r="AG141" s="308">
        <v>74.03306339234723</v>
      </c>
      <c r="AH141" s="152"/>
      <c r="AM141" s="25"/>
      <c r="AN141" s="25"/>
      <c r="AO141" s="25"/>
    </row>
    <row r="142" spans="2:41" ht="12.75" customHeight="1">
      <c r="B142" s="65"/>
      <c r="C142" s="384"/>
      <c r="D142" s="18"/>
      <c r="E142" s="18"/>
      <c r="F142" s="18"/>
      <c r="G142" s="18"/>
      <c r="H142" s="23"/>
      <c r="I142" s="95"/>
      <c r="J142" s="96"/>
      <c r="K142" s="97"/>
      <c r="L142" s="286"/>
      <c r="M142" s="351"/>
      <c r="N142" s="352"/>
      <c r="O142" s="352"/>
      <c r="P142" s="352"/>
      <c r="Q142" s="353"/>
      <c r="R142" s="24"/>
      <c r="S142" s="18"/>
      <c r="T142" s="7"/>
      <c r="W142" s="147"/>
      <c r="X142" s="153"/>
      <c r="Y142" s="153"/>
      <c r="Z142" s="315"/>
      <c r="AA142" s="336"/>
      <c r="AB142" s="147"/>
      <c r="AC142" s="313"/>
      <c r="AD142" s="153"/>
      <c r="AE142" s="156"/>
      <c r="AF142" s="153"/>
      <c r="AG142" s="156"/>
      <c r="AH142" s="152"/>
      <c r="AM142" s="25"/>
      <c r="AN142" s="25"/>
      <c r="AO142" s="25"/>
    </row>
    <row r="143" spans="2:41" ht="12.75" customHeight="1">
      <c r="B143" s="65"/>
      <c r="C143" s="389" t="s">
        <v>353</v>
      </c>
      <c r="D143" s="18"/>
      <c r="E143" s="18"/>
      <c r="F143" s="18"/>
      <c r="G143" s="18"/>
      <c r="H143" s="285"/>
      <c r="I143" s="95"/>
      <c r="J143" s="96"/>
      <c r="K143" s="97"/>
      <c r="L143" s="286"/>
      <c r="M143" s="351"/>
      <c r="N143" s="352"/>
      <c r="O143" s="352"/>
      <c r="P143" s="352"/>
      <c r="Q143" s="353"/>
      <c r="R143" s="24"/>
      <c r="S143" s="18"/>
      <c r="T143" s="7"/>
      <c r="W143" s="147"/>
      <c r="X143" s="153"/>
      <c r="Y143" s="153"/>
      <c r="Z143" s="312" t="s">
        <v>353</v>
      </c>
      <c r="AA143" s="333"/>
      <c r="AB143" s="147"/>
      <c r="AC143" s="313"/>
      <c r="AD143" s="153"/>
      <c r="AE143" s="156"/>
      <c r="AF143" s="153"/>
      <c r="AG143" s="156"/>
      <c r="AH143" s="152"/>
      <c r="AM143" s="25"/>
      <c r="AN143" s="25"/>
      <c r="AO143" s="25"/>
    </row>
    <row r="144" spans="2:41" ht="12.75" customHeight="1">
      <c r="B144" s="65"/>
      <c r="C144" s="401" t="s">
        <v>441</v>
      </c>
      <c r="D144" s="402"/>
      <c r="E144" s="402"/>
      <c r="F144" s="111"/>
      <c r="G144" s="232"/>
      <c r="H144" s="555"/>
      <c r="I144" s="95"/>
      <c r="J144" s="96"/>
      <c r="K144" s="96"/>
      <c r="L144" s="294">
        <f>IF($X$134=1,AB144,IF($X$134=2,AC144,IF($X$134=3,AD144,IF($X$134=4,AE144,IF($X$134=5,AF144,IF($X$134=6,AG144,0))))))</f>
        <v>0.15954755523809525</v>
      </c>
      <c r="M144" s="351"/>
      <c r="N144" s="352"/>
      <c r="O144" s="352"/>
      <c r="P144" s="352"/>
      <c r="Q144" s="353"/>
      <c r="R144" s="570">
        <f>H144*L144/1000</f>
        <v>0</v>
      </c>
      <c r="S144" s="569"/>
      <c r="T144" s="518" t="e">
        <f>R144/$Q$393</f>
        <v>#DIV/0!</v>
      </c>
      <c r="W144" s="147"/>
      <c r="X144" s="153"/>
      <c r="Y144" s="153"/>
      <c r="Z144" s="146" t="s">
        <v>441</v>
      </c>
      <c r="AA144" s="334"/>
      <c r="AB144" s="259">
        <v>0.09914096516379496</v>
      </c>
      <c r="AC144" s="307">
        <v>0.15954755523809525</v>
      </c>
      <c r="AD144" s="259">
        <v>9.572853314285714</v>
      </c>
      <c r="AE144" s="259">
        <v>2.529155433100585</v>
      </c>
      <c r="AF144" s="259">
        <v>402.0598392</v>
      </c>
      <c r="AG144" s="308">
        <v>76.53908989149058</v>
      </c>
      <c r="AH144" s="152"/>
      <c r="AM144" s="25"/>
      <c r="AN144" s="25"/>
      <c r="AO144" s="25"/>
    </row>
    <row r="145" spans="2:41" ht="12.75" customHeight="1">
      <c r="B145" s="65"/>
      <c r="C145" s="396" t="s">
        <v>485</v>
      </c>
      <c r="D145" s="102"/>
      <c r="E145" s="102"/>
      <c r="F145" s="83"/>
      <c r="G145" s="84"/>
      <c r="H145" s="555"/>
      <c r="I145" s="95"/>
      <c r="J145" s="96"/>
      <c r="K145" s="96"/>
      <c r="L145" s="294">
        <f>IF($X$134=1,AB145,IF($X$134=2,AC145,IF($X$134=3,AD145,IF($X$134=4,AE145,IF($X$134=5,AF145,IF($X$134=6,AG145,0))))))</f>
        <v>0.15473595523809525</v>
      </c>
      <c r="M145" s="450"/>
      <c r="N145" s="438"/>
      <c r="O145" s="438"/>
      <c r="P145" s="438"/>
      <c r="Q145" s="439"/>
      <c r="R145" s="570">
        <f>H145*L145/1000</f>
        <v>0</v>
      </c>
      <c r="S145" s="569"/>
      <c r="T145" s="518" t="e">
        <f>R145/$Q$393</f>
        <v>#DIV/0!</v>
      </c>
      <c r="W145" s="147"/>
      <c r="X145" s="153"/>
      <c r="Y145" s="153"/>
      <c r="Z145" s="195" t="s">
        <v>442</v>
      </c>
      <c r="AA145" s="336"/>
      <c r="AB145" s="259">
        <v>0.09615109379114847</v>
      </c>
      <c r="AC145" s="307">
        <v>0.15473595523809525</v>
      </c>
      <c r="AD145" s="259">
        <v>9.284157314285714</v>
      </c>
      <c r="AE145" s="259">
        <v>2.452881721079449</v>
      </c>
      <c r="AF145" s="259">
        <v>389.9346072</v>
      </c>
      <c r="AG145" s="308">
        <v>74.23084089091948</v>
      </c>
      <c r="AH145" s="152"/>
      <c r="AM145" s="25"/>
      <c r="AN145" s="25"/>
      <c r="AO145" s="25"/>
    </row>
    <row r="146" spans="2:41" ht="12.75" customHeight="1">
      <c r="B146" s="65"/>
      <c r="C146" s="384"/>
      <c r="D146" s="18"/>
      <c r="E146" s="18"/>
      <c r="F146" s="18"/>
      <c r="G146" s="18"/>
      <c r="H146" s="382"/>
      <c r="I146" s="23"/>
      <c r="J146" s="23"/>
      <c r="K146" s="23"/>
      <c r="L146" s="286"/>
      <c r="M146" s="520"/>
      <c r="N146" s="520"/>
      <c r="O146" s="520"/>
      <c r="P146" s="520"/>
      <c r="Q146" s="520"/>
      <c r="R146" s="24"/>
      <c r="S146" s="18"/>
      <c r="T146" s="633" t="s">
        <v>583</v>
      </c>
      <c r="W146" s="147"/>
      <c r="X146" s="153"/>
      <c r="Y146" s="153"/>
      <c r="Z146" s="315"/>
      <c r="AA146" s="336"/>
      <c r="AB146" s="147"/>
      <c r="AC146" s="313"/>
      <c r="AD146" s="153"/>
      <c r="AE146" s="156"/>
      <c r="AF146" s="153"/>
      <c r="AG146" s="156"/>
      <c r="AH146" s="152"/>
      <c r="AM146" s="25"/>
      <c r="AN146" s="25"/>
      <c r="AO146" s="25"/>
    </row>
    <row r="147" spans="2:41" ht="12.75" customHeight="1">
      <c r="B147" s="65"/>
      <c r="C147" s="390" t="s">
        <v>546</v>
      </c>
      <c r="D147" s="31"/>
      <c r="E147" s="31"/>
      <c r="F147" s="31"/>
      <c r="G147" s="31"/>
      <c r="H147" s="386" t="s">
        <v>206</v>
      </c>
      <c r="I147" s="46"/>
      <c r="J147" s="386" t="s">
        <v>340</v>
      </c>
      <c r="K147" s="285"/>
      <c r="L147" s="39" t="s">
        <v>80</v>
      </c>
      <c r="M147" s="385"/>
      <c r="N147" s="385"/>
      <c r="O147" s="385"/>
      <c r="P147" s="385"/>
      <c r="Q147" s="385"/>
      <c r="R147" s="39" t="s">
        <v>190</v>
      </c>
      <c r="S147" s="18"/>
      <c r="T147" s="544"/>
      <c r="W147" s="147"/>
      <c r="X147" s="153"/>
      <c r="Y147" s="153"/>
      <c r="Z147" s="312" t="s">
        <v>354</v>
      </c>
      <c r="AA147" s="333"/>
      <c r="AB147" s="147"/>
      <c r="AC147" s="313"/>
      <c r="AD147" s="153"/>
      <c r="AE147" s="156"/>
      <c r="AF147" s="153"/>
      <c r="AG147" s="156"/>
      <c r="AH147" s="152"/>
      <c r="AM147" s="25"/>
      <c r="AN147" s="25"/>
      <c r="AO147" s="25"/>
    </row>
    <row r="148" spans="2:41" ht="12.75" customHeight="1">
      <c r="B148" s="65"/>
      <c r="C148" s="276" t="s">
        <v>355</v>
      </c>
      <c r="D148" s="31"/>
      <c r="E148" s="31"/>
      <c r="F148" s="31"/>
      <c r="G148" s="277"/>
      <c r="H148" s="554"/>
      <c r="I148" s="95"/>
      <c r="J148" s="96"/>
      <c r="K148" s="97"/>
      <c r="L148" s="278">
        <f>IF($X$159=1,AB148,IF($X$159=2,AC148,IF($X$159=3,AD148,IF($X$159=4,AE148,IF($X$159=5,AF148,IF($X$159=6,AG148,0))))))</f>
        <v>0.29835565341110953</v>
      </c>
      <c r="M148" s="348"/>
      <c r="N148" s="349"/>
      <c r="O148" s="349"/>
      <c r="P148" s="349"/>
      <c r="Q148" s="350"/>
      <c r="R148" s="570">
        <f>H148*L148/1000</f>
        <v>0</v>
      </c>
      <c r="S148" s="569"/>
      <c r="T148" s="518" t="e">
        <f>R148/$Q$393</f>
        <v>#DIV/0!</v>
      </c>
      <c r="W148" s="147"/>
      <c r="X148" s="153"/>
      <c r="Y148" s="153"/>
      <c r="Z148" s="321" t="s">
        <v>355</v>
      </c>
      <c r="AA148" s="334"/>
      <c r="AB148" s="259">
        <v>0.185389608</v>
      </c>
      <c r="AC148" s="307">
        <v>0.29835565341110953</v>
      </c>
      <c r="AD148" s="259">
        <v>13.093410474783713</v>
      </c>
      <c r="AE148" s="259">
        <v>2.908023552200967</v>
      </c>
      <c r="AF148" s="259">
        <v>462.33794049377514</v>
      </c>
      <c r="AG148" s="308">
        <v>73.5387212492087</v>
      </c>
      <c r="AH148" s="152"/>
      <c r="AM148" s="25"/>
      <c r="AN148" s="25"/>
      <c r="AO148" s="25"/>
    </row>
    <row r="149" spans="2:41" ht="12.75" customHeight="1">
      <c r="B149" s="65"/>
      <c r="C149" s="279" t="s">
        <v>356</v>
      </c>
      <c r="D149" s="83"/>
      <c r="E149" s="83"/>
      <c r="F149" s="83"/>
      <c r="G149" s="84"/>
      <c r="H149" s="549"/>
      <c r="I149" s="95"/>
      <c r="J149" s="96"/>
      <c r="K149" s="97"/>
      <c r="L149" s="278">
        <f>IF($X$159=1,AB149,IF($X$159=2,AC149,IF($X$159=3,AD149,IF($X$159=4,AE149,IF($X$159=5,AF149,IF($X$159=6,AG149,0))))))</f>
        <v>2.054409822076206</v>
      </c>
      <c r="M149" s="351"/>
      <c r="N149" s="352"/>
      <c r="O149" s="352"/>
      <c r="P149" s="352"/>
      <c r="Q149" s="353"/>
      <c r="R149" s="570">
        <f>H149*L149/1000</f>
        <v>0</v>
      </c>
      <c r="S149" s="569"/>
      <c r="T149" s="518" t="e">
        <f>R149/$Q$393</f>
        <v>#DIV/0!</v>
      </c>
      <c r="W149" s="147"/>
      <c r="X149" s="153"/>
      <c r="Y149" s="153"/>
      <c r="Z149" s="322" t="s">
        <v>356</v>
      </c>
      <c r="AA149" s="335"/>
      <c r="AB149" s="259">
        <v>1.27655108</v>
      </c>
      <c r="AC149" s="307">
        <v>2.054409822076206</v>
      </c>
      <c r="AD149" s="259">
        <v>12.924342046845327</v>
      </c>
      <c r="AE149" s="259">
        <v>2.8704737502356745</v>
      </c>
      <c r="AF149" s="259">
        <v>456.36801012871916</v>
      </c>
      <c r="AG149" s="308">
        <v>72.58915382992193</v>
      </c>
      <c r="AH149" s="152"/>
      <c r="AM149" s="25"/>
      <c r="AN149" s="25"/>
      <c r="AO149" s="25"/>
    </row>
    <row r="150" spans="2:41" ht="12.75" customHeight="1">
      <c r="B150" s="65"/>
      <c r="C150" s="284" t="s">
        <v>357</v>
      </c>
      <c r="D150" s="111"/>
      <c r="E150" s="111"/>
      <c r="F150" s="111"/>
      <c r="G150" s="232"/>
      <c r="H150" s="546"/>
      <c r="I150" s="95"/>
      <c r="J150" s="96"/>
      <c r="K150" s="97"/>
      <c r="L150" s="278">
        <f>IF($X$159=1,AB150,IF($X$159=2,AC150,IF($X$159=3,AD150,IF($X$159=4,AE150,IF($X$159=5,AF150,IF($X$159=6,AG150,0))))))</f>
        <v>0.5931254695180654</v>
      </c>
      <c r="M150" s="351"/>
      <c r="N150" s="352"/>
      <c r="O150" s="352"/>
      <c r="P150" s="352"/>
      <c r="Q150" s="353"/>
      <c r="R150" s="570">
        <f>H150*L150/1000</f>
        <v>0</v>
      </c>
      <c r="S150" s="569"/>
      <c r="T150" s="518" t="e">
        <f>R150/$Q$393</f>
        <v>#DIV/0!</v>
      </c>
      <c r="W150" s="147"/>
      <c r="X150" s="153"/>
      <c r="Y150" s="153"/>
      <c r="Z150" s="323" t="s">
        <v>357</v>
      </c>
      <c r="AA150" s="336"/>
      <c r="AB150" s="259">
        <v>0.36855108000000003</v>
      </c>
      <c r="AC150" s="307">
        <v>0.5931254695180654</v>
      </c>
      <c r="AD150" s="259">
        <v>0</v>
      </c>
      <c r="AE150" s="259">
        <v>0</v>
      </c>
      <c r="AF150" s="259">
        <v>0</v>
      </c>
      <c r="AG150" s="308">
        <v>0</v>
      </c>
      <c r="AH150" s="152"/>
      <c r="AM150" s="25"/>
      <c r="AN150" s="25"/>
      <c r="AO150" s="25"/>
    </row>
    <row r="151" spans="2:41" ht="12.75" customHeight="1">
      <c r="B151" s="65"/>
      <c r="C151" s="290"/>
      <c r="D151" s="111"/>
      <c r="E151" s="111"/>
      <c r="F151" s="111"/>
      <c r="G151" s="111"/>
      <c r="H151" s="23"/>
      <c r="I151" s="95"/>
      <c r="J151" s="96"/>
      <c r="K151" s="97"/>
      <c r="L151" s="286"/>
      <c r="M151" s="351"/>
      <c r="N151" s="352"/>
      <c r="O151" s="352"/>
      <c r="P151" s="352"/>
      <c r="Q151" s="353"/>
      <c r="R151" s="24"/>
      <c r="S151" s="18"/>
      <c r="T151" s="7"/>
      <c r="W151" s="147"/>
      <c r="X151" s="153"/>
      <c r="Y151" s="153"/>
      <c r="Z151" s="315"/>
      <c r="AA151" s="336"/>
      <c r="AB151" s="147"/>
      <c r="AC151" s="313"/>
      <c r="AD151" s="153"/>
      <c r="AE151" s="156"/>
      <c r="AF151" s="153"/>
      <c r="AG151" s="156"/>
      <c r="AH151" s="152"/>
      <c r="AM151" s="25"/>
      <c r="AN151" s="25"/>
      <c r="AO151" s="25"/>
    </row>
    <row r="152" spans="2:41" ht="12.75" customHeight="1">
      <c r="B152" s="65"/>
      <c r="C152" s="390" t="s">
        <v>547</v>
      </c>
      <c r="D152" s="31"/>
      <c r="E152" s="31"/>
      <c r="F152" s="31"/>
      <c r="G152" s="31"/>
      <c r="H152" s="285"/>
      <c r="I152" s="96"/>
      <c r="J152" s="96"/>
      <c r="K152" s="97"/>
      <c r="L152" s="286"/>
      <c r="M152" s="351"/>
      <c r="N152" s="352"/>
      <c r="O152" s="352"/>
      <c r="P152" s="352"/>
      <c r="Q152" s="353"/>
      <c r="R152" s="24"/>
      <c r="S152" s="18"/>
      <c r="T152" s="7"/>
      <c r="W152" s="147"/>
      <c r="X152" s="153"/>
      <c r="Y152" s="153"/>
      <c r="Z152" s="312" t="s">
        <v>358</v>
      </c>
      <c r="AA152" s="333"/>
      <c r="AB152" s="147"/>
      <c r="AC152" s="313"/>
      <c r="AD152" s="153"/>
      <c r="AE152" s="156"/>
      <c r="AF152" s="153"/>
      <c r="AG152" s="156"/>
      <c r="AH152" s="152"/>
      <c r="AM152" s="25"/>
      <c r="AN152" s="25"/>
      <c r="AO152" s="25"/>
    </row>
    <row r="153" spans="2:41" ht="12.75" customHeight="1">
      <c r="B153" s="65"/>
      <c r="C153" s="276" t="s">
        <v>355</v>
      </c>
      <c r="D153" s="31"/>
      <c r="E153" s="31"/>
      <c r="F153" s="31"/>
      <c r="G153" s="277"/>
      <c r="H153" s="549"/>
      <c r="I153" s="96"/>
      <c r="J153" s="96"/>
      <c r="K153" s="97"/>
      <c r="L153" s="278">
        <f>IF($X$159=1,AB153,IF($X$159=2,AC153,IF($X$159=3,AD153,IF($X$159=4,AE153,IF($X$159=5,AF153,IF($X$159=6,AG153,0))))))</f>
        <v>0.013903689310398544</v>
      </c>
      <c r="M153" s="351"/>
      <c r="N153" s="352"/>
      <c r="O153" s="352"/>
      <c r="P153" s="352"/>
      <c r="Q153" s="353"/>
      <c r="R153" s="570">
        <f>H153*L153/1000</f>
        <v>0</v>
      </c>
      <c r="S153" s="569"/>
      <c r="T153" s="518" t="e">
        <f>R153/$Q$393</f>
        <v>#DIV/0!</v>
      </c>
      <c r="W153" s="147"/>
      <c r="X153" s="153"/>
      <c r="Y153" s="153"/>
      <c r="Z153" s="321" t="s">
        <v>355</v>
      </c>
      <c r="AA153" s="334"/>
      <c r="AB153" s="259">
        <v>0.008639352000000001</v>
      </c>
      <c r="AC153" s="307">
        <v>0.013903689310398544</v>
      </c>
      <c r="AD153" s="259">
        <v>0</v>
      </c>
      <c r="AE153" s="259">
        <v>0</v>
      </c>
      <c r="AF153" s="259">
        <v>0</v>
      </c>
      <c r="AG153" s="308">
        <v>0</v>
      </c>
      <c r="AH153" s="152"/>
      <c r="AM153" s="25"/>
      <c r="AN153" s="25"/>
      <c r="AO153" s="25"/>
    </row>
    <row r="154" spans="2:41" ht="12.75" customHeight="1">
      <c r="B154" s="65"/>
      <c r="C154" s="279" t="s">
        <v>356</v>
      </c>
      <c r="D154" s="83"/>
      <c r="E154" s="83"/>
      <c r="F154" s="83"/>
      <c r="G154" s="84"/>
      <c r="H154" s="549"/>
      <c r="I154" s="95"/>
      <c r="J154" s="96"/>
      <c r="K154" s="97"/>
      <c r="L154" s="278">
        <f>IF($X$159=1,AB154,IF($X$159=2,AC154,IF($X$159=3,AD154,IF($X$159=4,AE154,IF($X$159=5,AF154,IF($X$159=6,AG154,0))))))</f>
        <v>2.567712305529607</v>
      </c>
      <c r="M154" s="351"/>
      <c r="N154" s="352"/>
      <c r="O154" s="352"/>
      <c r="P154" s="352"/>
      <c r="Q154" s="353"/>
      <c r="R154" s="570">
        <f>H154*L154/1000</f>
        <v>0</v>
      </c>
      <c r="S154" s="569"/>
      <c r="T154" s="518" t="e">
        <f>R154/$Q$393</f>
        <v>#DIV/0!</v>
      </c>
      <c r="W154" s="147"/>
      <c r="X154" s="153"/>
      <c r="Y154" s="153"/>
      <c r="Z154" s="322" t="s">
        <v>356</v>
      </c>
      <c r="AA154" s="335"/>
      <c r="AB154" s="259">
        <v>1.5955024560000002</v>
      </c>
      <c r="AC154" s="307">
        <v>2.567712305529607</v>
      </c>
      <c r="AD154" s="259">
        <v>0</v>
      </c>
      <c r="AE154" s="259">
        <v>0</v>
      </c>
      <c r="AF154" s="259">
        <v>0</v>
      </c>
      <c r="AG154" s="308">
        <v>0</v>
      </c>
      <c r="AH154" s="152"/>
      <c r="AM154" s="25"/>
      <c r="AN154" s="25"/>
      <c r="AO154" s="25"/>
    </row>
    <row r="155" spans="2:41" ht="12.75" customHeight="1">
      <c r="B155" s="65"/>
      <c r="C155" s="284" t="s">
        <v>357</v>
      </c>
      <c r="D155" s="111"/>
      <c r="E155" s="111"/>
      <c r="F155" s="111"/>
      <c r="G155" s="232"/>
      <c r="H155" s="546"/>
      <c r="I155" s="383" t="s">
        <v>346</v>
      </c>
      <c r="J155" s="96"/>
      <c r="K155" s="96"/>
      <c r="L155" s="278">
        <f>IF($X$159=1,AB155,IF($X$159=2,AC155,IF($X$159=3,AD155,IF($X$159=4,AE155,IF($X$159=5,AF155,IF($X$159=6,AG155,0))))))</f>
        <v>3.1991852238943195</v>
      </c>
      <c r="M155" s="351"/>
      <c r="N155" s="352"/>
      <c r="O155" s="352"/>
      <c r="P155" s="352"/>
      <c r="Q155" s="353"/>
      <c r="R155" s="570">
        <f>H155*L155/1000</f>
        <v>0</v>
      </c>
      <c r="S155" s="569"/>
      <c r="T155" s="518" t="e">
        <f>R155/$Q$393</f>
        <v>#DIV/0!</v>
      </c>
      <c r="W155" s="147"/>
      <c r="X155" s="153"/>
      <c r="Y155" s="153"/>
      <c r="Z155" s="323" t="s">
        <v>357</v>
      </c>
      <c r="AA155" s="336"/>
      <c r="AB155" s="259">
        <v>1.9878815360000002</v>
      </c>
      <c r="AC155" s="307">
        <v>3.1991852238943195</v>
      </c>
      <c r="AD155" s="259">
        <v>0</v>
      </c>
      <c r="AE155" s="259">
        <v>0</v>
      </c>
      <c r="AF155" s="259">
        <v>0</v>
      </c>
      <c r="AG155" s="308">
        <v>0</v>
      </c>
      <c r="AH155" s="152"/>
      <c r="AM155" s="25"/>
      <c r="AN155" s="25"/>
      <c r="AO155" s="25"/>
    </row>
    <row r="156" spans="2:41" ht="12.75" customHeight="1">
      <c r="B156" s="65"/>
      <c r="C156" s="290"/>
      <c r="D156" s="111"/>
      <c r="E156" s="111"/>
      <c r="F156" s="111"/>
      <c r="G156" s="111"/>
      <c r="H156" s="23"/>
      <c r="I156" s="383"/>
      <c r="J156" s="96"/>
      <c r="K156" s="96"/>
      <c r="L156" s="23"/>
      <c r="M156" s="95"/>
      <c r="N156" s="96"/>
      <c r="O156" s="96"/>
      <c r="P156" s="96"/>
      <c r="Q156" s="97"/>
      <c r="R156" s="24"/>
      <c r="S156" s="18"/>
      <c r="T156" s="7"/>
      <c r="W156" s="147"/>
      <c r="X156" s="153"/>
      <c r="Y156" s="153"/>
      <c r="Z156" s="315"/>
      <c r="AA156" s="336"/>
      <c r="AB156" s="147"/>
      <c r="AC156" s="313"/>
      <c r="AD156" s="153"/>
      <c r="AE156" s="156"/>
      <c r="AF156" s="153"/>
      <c r="AG156" s="156"/>
      <c r="AH156" s="152"/>
      <c r="AM156" s="25"/>
      <c r="AN156" s="25"/>
      <c r="AO156" s="25"/>
    </row>
    <row r="157" spans="2:41" ht="12.75" customHeight="1">
      <c r="B157" s="65"/>
      <c r="C157" s="390" t="s">
        <v>359</v>
      </c>
      <c r="D157" s="31"/>
      <c r="E157" s="31"/>
      <c r="F157" s="31"/>
      <c r="G157" s="31"/>
      <c r="I157" s="96"/>
      <c r="J157" s="96"/>
      <c r="K157" s="96"/>
      <c r="L157" s="23"/>
      <c r="M157" s="538" t="s">
        <v>342</v>
      </c>
      <c r="N157" s="566"/>
      <c r="O157" s="96"/>
      <c r="P157" s="96"/>
      <c r="Q157" s="97"/>
      <c r="R157" s="24"/>
      <c r="S157" s="18"/>
      <c r="T157" s="7"/>
      <c r="W157" s="147"/>
      <c r="X157" s="153" t="s">
        <v>360</v>
      </c>
      <c r="Y157" s="153"/>
      <c r="Z157" s="312" t="s">
        <v>359</v>
      </c>
      <c r="AA157" s="333"/>
      <c r="AB157" s="147"/>
      <c r="AC157" s="313"/>
      <c r="AD157" s="153"/>
      <c r="AE157" s="156"/>
      <c r="AF157" s="153"/>
      <c r="AG157" s="156"/>
      <c r="AH157" s="152"/>
      <c r="AM157" s="25"/>
      <c r="AN157" s="25"/>
      <c r="AO157" s="25"/>
    </row>
    <row r="158" spans="2:41" ht="12.75" customHeight="1">
      <c r="B158" s="65"/>
      <c r="C158" s="276" t="s">
        <v>355</v>
      </c>
      <c r="D158" s="31"/>
      <c r="E158" s="31"/>
      <c r="F158" s="31"/>
      <c r="G158" s="277"/>
      <c r="H158" s="549"/>
      <c r="I158" s="281"/>
      <c r="J158" s="281"/>
      <c r="K158" s="281"/>
      <c r="L158" s="278">
        <f>IF($X$159=1,AB158,IF($X$159=2,AC158,IF($X$159=3,AD158,IF($X$159=4,AE158,IF($X$159=5,AF158,IF($X$159=6,AG158,0))))))</f>
        <v>0.6496697709796626</v>
      </c>
      <c r="M158" s="366"/>
      <c r="N158" s="367"/>
      <c r="O158" s="367"/>
      <c r="P158" s="367"/>
      <c r="Q158" s="368"/>
      <c r="R158" s="570">
        <f>H158*L158/1000</f>
        <v>0</v>
      </c>
      <c r="S158" s="569"/>
      <c r="T158" s="518" t="e">
        <f>R158/$Q$393</f>
        <v>#DIV/0!</v>
      </c>
      <c r="W158" s="147"/>
      <c r="X158" s="153" t="s">
        <v>343</v>
      </c>
      <c r="Y158" s="153"/>
      <c r="Z158" s="321" t="s">
        <v>355</v>
      </c>
      <c r="AA158" s="334"/>
      <c r="AB158" s="259">
        <v>0.40368608</v>
      </c>
      <c r="AC158" s="307">
        <v>0.6496697709796626</v>
      </c>
      <c r="AD158" s="259">
        <v>0.001721511188014349</v>
      </c>
      <c r="AE158" s="259">
        <v>591.8970246887529</v>
      </c>
      <c r="AF158" s="259">
        <v>60.78782443553492</v>
      </c>
      <c r="AG158" s="308">
        <v>59.189702468875296</v>
      </c>
      <c r="AH158" s="152"/>
      <c r="AM158" s="25"/>
      <c r="AN158" s="25"/>
      <c r="AO158" s="25"/>
    </row>
    <row r="159" spans="2:41" ht="12.75" customHeight="1">
      <c r="B159" s="65"/>
      <c r="C159" s="279" t="s">
        <v>356</v>
      </c>
      <c r="D159" s="83"/>
      <c r="E159" s="83"/>
      <c r="F159" s="83"/>
      <c r="G159" s="84"/>
      <c r="H159" s="556"/>
      <c r="I159" s="96"/>
      <c r="J159" s="96"/>
      <c r="K159" s="97"/>
      <c r="L159" s="387">
        <f>IF($X$159=1,AB159,IF($X$159=2,AC159,IF($X$159=3,AD159,IF($X$159=4,AE159,IF($X$159=5,AF159,IF($X$159=6,AG159,0))))))</f>
        <v>13.012300769811032</v>
      </c>
      <c r="M159" s="366"/>
      <c r="N159" s="367"/>
      <c r="O159" s="367"/>
      <c r="P159" s="367"/>
      <c r="Q159" s="368"/>
      <c r="R159" s="570">
        <f>H159*L159/1000</f>
        <v>0</v>
      </c>
      <c r="S159" s="569"/>
      <c r="T159" s="518" t="e">
        <f>R159/$Q$393</f>
        <v>#DIV/0!</v>
      </c>
      <c r="W159" s="147"/>
      <c r="X159" s="244">
        <v>2</v>
      </c>
      <c r="Y159" s="153"/>
      <c r="Z159" s="322" t="s">
        <v>356</v>
      </c>
      <c r="AA159" s="335"/>
      <c r="AB159" s="259">
        <v>8.085468839999999</v>
      </c>
      <c r="AC159" s="307">
        <v>13.012300769811032</v>
      </c>
      <c r="AD159" s="259">
        <v>0.001721511188014349</v>
      </c>
      <c r="AE159" s="259">
        <v>591.8970246887529</v>
      </c>
      <c r="AF159" s="259">
        <v>60.78782443553492</v>
      </c>
      <c r="AG159" s="308">
        <v>59.189702468875296</v>
      </c>
      <c r="AH159" s="152"/>
      <c r="AM159" s="25"/>
      <c r="AN159" s="25"/>
      <c r="AO159" s="25"/>
    </row>
    <row r="160" spans="2:41" ht="12.75" customHeight="1">
      <c r="B160" s="65"/>
      <c r="C160" s="284" t="s">
        <v>357</v>
      </c>
      <c r="D160" s="111"/>
      <c r="E160" s="111"/>
      <c r="F160" s="111"/>
      <c r="G160" s="232"/>
      <c r="H160" s="551"/>
      <c r="I160" s="95"/>
      <c r="J160" s="96"/>
      <c r="K160" s="97"/>
      <c r="L160" s="387">
        <f>IF($X$159=1,AB160,IF($X$159=2,AC160,IF($X$159=3,AD160,IF($X$159=4,AE160,IF($X$159=5,AF160,IF($X$159=6,AG160,0))))))</f>
        <v>8.537402100868558</v>
      </c>
      <c r="M160" s="366"/>
      <c r="N160" s="367"/>
      <c r="O160" s="367"/>
      <c r="P160" s="367"/>
      <c r="Q160" s="368"/>
      <c r="R160" s="570">
        <f>H160*L160/1000</f>
        <v>0</v>
      </c>
      <c r="S160" s="569"/>
      <c r="T160" s="518" t="e">
        <f>R160/$Q$393</f>
        <v>#DIV/0!</v>
      </c>
      <c r="W160" s="147"/>
      <c r="X160" s="153"/>
      <c r="Y160" s="153"/>
      <c r="Z160" s="323" t="s">
        <v>357</v>
      </c>
      <c r="AA160" s="336"/>
      <c r="AB160" s="259">
        <v>5.30489572</v>
      </c>
      <c r="AC160" s="307">
        <v>8.537402100868558</v>
      </c>
      <c r="AD160" s="259">
        <v>0</v>
      </c>
      <c r="AE160" s="259">
        <v>0</v>
      </c>
      <c r="AF160" s="259">
        <v>0</v>
      </c>
      <c r="AG160" s="308">
        <v>0</v>
      </c>
      <c r="AH160" s="152"/>
      <c r="AM160" s="25"/>
      <c r="AN160" s="25"/>
      <c r="AO160" s="25"/>
    </row>
    <row r="161" spans="2:41" ht="12.75" customHeight="1">
      <c r="B161" s="65"/>
      <c r="C161" s="290"/>
      <c r="D161" s="111"/>
      <c r="E161" s="111"/>
      <c r="F161" s="111"/>
      <c r="G161" s="111"/>
      <c r="H161" s="23"/>
      <c r="I161" s="95"/>
      <c r="J161" s="96"/>
      <c r="K161" s="97"/>
      <c r="L161" s="286"/>
      <c r="M161" s="366"/>
      <c r="N161" s="367"/>
      <c r="O161" s="367"/>
      <c r="P161" s="367"/>
      <c r="Q161" s="368"/>
      <c r="R161" s="24"/>
      <c r="S161" s="18"/>
      <c r="T161" s="7"/>
      <c r="W161" s="147"/>
      <c r="X161" s="153"/>
      <c r="Y161" s="153"/>
      <c r="Z161" s="315"/>
      <c r="AA161" s="336"/>
      <c r="AB161" s="147"/>
      <c r="AC161" s="313"/>
      <c r="AD161" s="153"/>
      <c r="AE161" s="156"/>
      <c r="AF161" s="153"/>
      <c r="AG161" s="156"/>
      <c r="AH161" s="152"/>
      <c r="AM161" s="25"/>
      <c r="AN161" s="25"/>
      <c r="AO161" s="25"/>
    </row>
    <row r="162" spans="2:41" ht="12.75" customHeight="1">
      <c r="B162" s="65"/>
      <c r="C162" s="390" t="s">
        <v>361</v>
      </c>
      <c r="D162" s="31"/>
      <c r="E162" s="31"/>
      <c r="F162" s="31"/>
      <c r="G162" s="31"/>
      <c r="H162" s="285"/>
      <c r="I162" s="96"/>
      <c r="J162" s="96"/>
      <c r="K162" s="97"/>
      <c r="L162" s="286"/>
      <c r="M162" s="366"/>
      <c r="N162" s="367"/>
      <c r="O162" s="367"/>
      <c r="P162" s="367"/>
      <c r="Q162" s="368"/>
      <c r="R162" s="24"/>
      <c r="S162" s="18"/>
      <c r="T162" s="7"/>
      <c r="W162" s="147"/>
      <c r="X162" s="153"/>
      <c r="Y162" s="153"/>
      <c r="Z162" s="312" t="s">
        <v>361</v>
      </c>
      <c r="AA162" s="333"/>
      <c r="AB162" s="317"/>
      <c r="AC162" s="318"/>
      <c r="AD162" s="319"/>
      <c r="AE162" s="320"/>
      <c r="AF162" s="319"/>
      <c r="AG162" s="320"/>
      <c r="AH162" s="152"/>
      <c r="AM162" s="25"/>
      <c r="AN162" s="25"/>
      <c r="AO162" s="25"/>
    </row>
    <row r="163" spans="2:41" ht="12.75" customHeight="1">
      <c r="B163" s="65"/>
      <c r="C163" s="295" t="s">
        <v>356</v>
      </c>
      <c r="D163" s="18"/>
      <c r="E163" s="18"/>
      <c r="F163" s="18"/>
      <c r="G163" s="238"/>
      <c r="H163" s="551"/>
      <c r="I163" s="95"/>
      <c r="J163" s="281"/>
      <c r="K163" s="282"/>
      <c r="L163" s="387">
        <f>IF($X$159=1,AB163,IF($X$159=2,AC163,IF($X$159=3,AD163,IF($X$159=4,AE163,IF($X$159=5,AF163,IF($X$159=6,AG163,0))))))</f>
        <v>12.791766683641171</v>
      </c>
      <c r="M163" s="366"/>
      <c r="N163" s="367"/>
      <c r="O163" s="367"/>
      <c r="P163" s="367"/>
      <c r="Q163" s="368"/>
      <c r="R163" s="570">
        <f>H163*L163/1000</f>
        <v>0</v>
      </c>
      <c r="S163" s="569"/>
      <c r="T163" s="518" t="e">
        <f>R163/$Q$393</f>
        <v>#DIV/0!</v>
      </c>
      <c r="W163" s="147"/>
      <c r="X163" s="153"/>
      <c r="Y163" s="153"/>
      <c r="Z163" s="325" t="s">
        <v>356</v>
      </c>
      <c r="AA163" s="338"/>
      <c r="AB163" s="259">
        <v>7.948435312000002</v>
      </c>
      <c r="AC163" s="307">
        <v>12.791766683641171</v>
      </c>
      <c r="AD163" s="259">
        <v>0</v>
      </c>
      <c r="AE163" s="259">
        <v>0</v>
      </c>
      <c r="AF163" s="259">
        <v>0</v>
      </c>
      <c r="AG163" s="308">
        <v>0</v>
      </c>
      <c r="AH163" s="152"/>
      <c r="AM163" s="25"/>
      <c r="AN163" s="25"/>
      <c r="AO163" s="25"/>
    </row>
    <row r="164" spans="2:41" ht="12.75" customHeight="1">
      <c r="B164" s="65"/>
      <c r="C164" s="290"/>
      <c r="D164" s="111"/>
      <c r="E164" s="111"/>
      <c r="F164" s="111"/>
      <c r="G164" s="111"/>
      <c r="H164" s="23"/>
      <c r="I164" s="95"/>
      <c r="J164" s="96"/>
      <c r="K164" s="97"/>
      <c r="L164" s="286"/>
      <c r="M164" s="366"/>
      <c r="N164" s="367"/>
      <c r="O164" s="367"/>
      <c r="P164" s="367"/>
      <c r="Q164" s="368"/>
      <c r="R164" s="24"/>
      <c r="S164" s="18"/>
      <c r="T164" s="7"/>
      <c r="W164" s="147"/>
      <c r="X164" s="153"/>
      <c r="Y164" s="153"/>
      <c r="Z164" s="315"/>
      <c r="AA164" s="336"/>
      <c r="AB164" s="147"/>
      <c r="AC164" s="313"/>
      <c r="AD164" s="153"/>
      <c r="AE164" s="156"/>
      <c r="AF164" s="153"/>
      <c r="AG164" s="156"/>
      <c r="AH164" s="152"/>
      <c r="AM164" s="25"/>
      <c r="AN164" s="25"/>
      <c r="AO164" s="25"/>
    </row>
    <row r="165" spans="2:41" ht="12.75" customHeight="1">
      <c r="B165" s="65"/>
      <c r="C165" s="390" t="s">
        <v>362</v>
      </c>
      <c r="D165" s="31"/>
      <c r="E165" s="31"/>
      <c r="F165" s="31"/>
      <c r="G165" s="31"/>
      <c r="H165" s="285"/>
      <c r="I165" s="95"/>
      <c r="J165" s="96"/>
      <c r="K165" s="97"/>
      <c r="L165" s="286"/>
      <c r="M165" s="366"/>
      <c r="N165" s="367"/>
      <c r="O165" s="367"/>
      <c r="P165" s="367"/>
      <c r="Q165" s="368"/>
      <c r="R165" s="24"/>
      <c r="S165" s="18"/>
      <c r="T165" s="7"/>
      <c r="W165" s="147"/>
      <c r="X165" s="153"/>
      <c r="Y165" s="153"/>
      <c r="Z165" s="312" t="s">
        <v>362</v>
      </c>
      <c r="AA165" s="333"/>
      <c r="AB165" s="147"/>
      <c r="AC165" s="313"/>
      <c r="AD165" s="153"/>
      <c r="AE165" s="156"/>
      <c r="AF165" s="153"/>
      <c r="AG165" s="156"/>
      <c r="AH165" s="152"/>
      <c r="AM165" s="25"/>
      <c r="AN165" s="25"/>
      <c r="AO165" s="25"/>
    </row>
    <row r="166" spans="2:41" ht="12.75" customHeight="1">
      <c r="B166" s="65"/>
      <c r="C166" s="276" t="s">
        <v>355</v>
      </c>
      <c r="D166" s="31"/>
      <c r="E166" s="31"/>
      <c r="F166" s="31"/>
      <c r="G166" s="277"/>
      <c r="H166" s="556"/>
      <c r="I166" s="95"/>
      <c r="J166" s="96"/>
      <c r="K166" s="97"/>
      <c r="L166" s="387">
        <f>IF($X$159=1,AB166,IF($X$159=2,AC166,IF($X$159=3,AD166,IF($X$159=4,AE166,IF($X$159=5,AF166,IF($X$159=6,AG166,0))))))</f>
        <v>0.6628917807956568</v>
      </c>
      <c r="M166" s="366"/>
      <c r="N166" s="367"/>
      <c r="O166" s="367"/>
      <c r="P166" s="367"/>
      <c r="Q166" s="368"/>
      <c r="R166" s="570">
        <f>H166*L166/1000</f>
        <v>0</v>
      </c>
      <c r="S166" s="569"/>
      <c r="T166" s="518" t="e">
        <f>R166/$Q$393</f>
        <v>#DIV/0!</v>
      </c>
      <c r="W166" s="147"/>
      <c r="X166" s="153"/>
      <c r="Y166" s="153"/>
      <c r="Z166" s="321" t="s">
        <v>355</v>
      </c>
      <c r="AA166" s="334"/>
      <c r="AB166" s="259">
        <v>0.411901856</v>
      </c>
      <c r="AC166" s="307">
        <v>0.6628917807956568</v>
      </c>
      <c r="AD166" s="259">
        <v>0.00729278308779731</v>
      </c>
      <c r="AE166" s="259">
        <v>665.7522684110573</v>
      </c>
      <c r="AF166" s="259">
        <v>257.51352711148695</v>
      </c>
      <c r="AG166" s="308">
        <v>66.57522684110573</v>
      </c>
      <c r="AH166" s="152"/>
      <c r="AM166" s="25"/>
      <c r="AN166" s="25"/>
      <c r="AO166" s="25"/>
    </row>
    <row r="167" spans="2:41" ht="12.75" customHeight="1">
      <c r="B167" s="65"/>
      <c r="C167" s="284" t="s">
        <v>356</v>
      </c>
      <c r="D167" s="111"/>
      <c r="E167" s="111"/>
      <c r="F167" s="111"/>
      <c r="G167" s="232"/>
      <c r="H167" s="551"/>
      <c r="I167" s="98"/>
      <c r="J167" s="99"/>
      <c r="K167" s="100"/>
      <c r="L167" s="387">
        <f>IF($X$159=1,AB167,IF($X$159=2,AC167,IF($X$159=3,AD167,IF($X$159=4,AE167,IF($X$159=5,AF167,IF($X$159=6,AG167,0))))))</f>
        <v>1.1867634957881987</v>
      </c>
      <c r="M167" s="369"/>
      <c r="N167" s="370"/>
      <c r="O167" s="370"/>
      <c r="P167" s="370"/>
      <c r="Q167" s="371"/>
      <c r="R167" s="570">
        <f>H167*L167/1000</f>
        <v>0</v>
      </c>
      <c r="S167" s="569"/>
      <c r="T167" s="518" t="e">
        <f>R167/$Q$393</f>
        <v>#DIV/0!</v>
      </c>
      <c r="W167" s="147"/>
      <c r="X167" s="153"/>
      <c r="Y167" s="153"/>
      <c r="Z167" s="323" t="s">
        <v>356</v>
      </c>
      <c r="AA167" s="336"/>
      <c r="AB167" s="259">
        <v>0.7374206480000001</v>
      </c>
      <c r="AC167" s="307">
        <v>1.1867634957881987</v>
      </c>
      <c r="AD167" s="259">
        <v>0.00729278308779731</v>
      </c>
      <c r="AE167" s="259">
        <v>665.7522684110573</v>
      </c>
      <c r="AF167" s="259">
        <v>257.51352711148695</v>
      </c>
      <c r="AG167" s="308">
        <v>66.57522684110573</v>
      </c>
      <c r="AH167" s="152"/>
      <c r="AM167" s="25"/>
      <c r="AN167" s="25"/>
      <c r="AO167" s="25"/>
    </row>
    <row r="168" spans="2:41" ht="12.75" customHeight="1">
      <c r="B168" s="65"/>
      <c r="C168" s="290"/>
      <c r="D168" s="111"/>
      <c r="E168" s="111"/>
      <c r="F168" s="111"/>
      <c r="G168" s="111"/>
      <c r="H168" s="23"/>
      <c r="L168" s="286"/>
      <c r="M168" s="23"/>
      <c r="N168" s="23"/>
      <c r="O168" s="24"/>
      <c r="P168" s="24"/>
      <c r="Q168" s="24"/>
      <c r="R168" s="24"/>
      <c r="S168" s="18"/>
      <c r="T168" s="633" t="s">
        <v>583</v>
      </c>
      <c r="W168" s="147"/>
      <c r="X168" s="153"/>
      <c r="Y168" s="153"/>
      <c r="Z168" s="315"/>
      <c r="AA168" s="336"/>
      <c r="AB168" s="147"/>
      <c r="AC168" s="313"/>
      <c r="AD168" s="153"/>
      <c r="AE168" s="156"/>
      <c r="AF168" s="153"/>
      <c r="AG168" s="156"/>
      <c r="AH168" s="152"/>
      <c r="AM168" s="25"/>
      <c r="AN168" s="25"/>
      <c r="AO168" s="25"/>
    </row>
    <row r="169" spans="2:41" ht="12.75" customHeight="1">
      <c r="B169" s="65"/>
      <c r="C169" s="390" t="s">
        <v>363</v>
      </c>
      <c r="D169" s="31"/>
      <c r="E169" s="31"/>
      <c r="F169" s="31"/>
      <c r="G169" s="31"/>
      <c r="H169" s="17" t="s">
        <v>206</v>
      </c>
      <c r="I169" s="39"/>
      <c r="J169" s="17" t="s">
        <v>340</v>
      </c>
      <c r="K169" s="23"/>
      <c r="L169" s="39" t="s">
        <v>80</v>
      </c>
      <c r="M169" s="23"/>
      <c r="N169" s="23"/>
      <c r="O169" s="24"/>
      <c r="P169" s="24"/>
      <c r="Q169" s="24"/>
      <c r="R169" s="39" t="s">
        <v>190</v>
      </c>
      <c r="S169" s="18"/>
      <c r="T169" s="544"/>
      <c r="W169" s="147"/>
      <c r="X169" s="316" t="s">
        <v>363</v>
      </c>
      <c r="Y169" s="153"/>
      <c r="Z169" s="312" t="s">
        <v>363</v>
      </c>
      <c r="AA169" s="333"/>
      <c r="AB169" s="147"/>
      <c r="AC169" s="313"/>
      <c r="AD169" s="153"/>
      <c r="AE169" s="156"/>
      <c r="AF169" s="153"/>
      <c r="AG169" s="156"/>
      <c r="AH169" s="152"/>
      <c r="AM169" s="25"/>
      <c r="AN169" s="25"/>
      <c r="AO169" s="25"/>
    </row>
    <row r="170" spans="2:41" ht="12.75" customHeight="1">
      <c r="B170" s="65"/>
      <c r="C170" s="276" t="s">
        <v>364</v>
      </c>
      <c r="D170" s="31"/>
      <c r="E170" s="31"/>
      <c r="F170" s="31"/>
      <c r="G170" s="277"/>
      <c r="H170" s="549"/>
      <c r="I170" s="281"/>
      <c r="J170" s="292"/>
      <c r="K170" s="293"/>
      <c r="L170" s="294">
        <f aca="true" t="shared" si="14" ref="L170:L176">IF($X$171=1,AB170,IF($X$171=2,AC170,IF($X$171=3,AD170,IF($X$171=4,AE170,IF($X$171=5,AF170,IF($X$171=6,AG170,0))))))</f>
        <v>5.33014733003586</v>
      </c>
      <c r="M170" s="612" t="s">
        <v>342</v>
      </c>
      <c r="N170" s="563"/>
      <c r="O170" s="563"/>
      <c r="P170" s="563"/>
      <c r="Q170" s="564"/>
      <c r="R170" s="570">
        <f aca="true" t="shared" si="15" ref="R170:R176">H170*L170/1000</f>
        <v>0</v>
      </c>
      <c r="S170" s="569"/>
      <c r="T170" s="518" t="e">
        <f aca="true" t="shared" si="16" ref="T170:T176">R170/$Q$393</f>
        <v>#DIV/0!</v>
      </c>
      <c r="W170" s="147"/>
      <c r="X170" s="153" t="s">
        <v>343</v>
      </c>
      <c r="Y170" s="153"/>
      <c r="Z170" s="321" t="s">
        <v>364</v>
      </c>
      <c r="AA170" s="334"/>
      <c r="AB170" s="259">
        <v>3.312</v>
      </c>
      <c r="AC170" s="307">
        <v>5.33014733003586</v>
      </c>
      <c r="AD170" s="259">
        <v>14.577455564465076</v>
      </c>
      <c r="AE170" s="259">
        <v>3.237627369451865</v>
      </c>
      <c r="AF170" s="259">
        <v>514.7406625870436</v>
      </c>
      <c r="AG170" s="308">
        <v>81.87381304072588</v>
      </c>
      <c r="AH170" s="152"/>
      <c r="AM170" s="25"/>
      <c r="AN170" s="25"/>
      <c r="AO170" s="25"/>
    </row>
    <row r="171" spans="2:41" ht="12.75" customHeight="1">
      <c r="B171" s="65"/>
      <c r="C171" s="279" t="s">
        <v>365</v>
      </c>
      <c r="D171" s="83"/>
      <c r="E171" s="83"/>
      <c r="F171" s="83"/>
      <c r="G171" s="84"/>
      <c r="H171" s="556"/>
      <c r="I171" s="383" t="s">
        <v>346</v>
      </c>
      <c r="J171" s="96"/>
      <c r="K171" s="97"/>
      <c r="L171" s="294">
        <f t="shared" si="14"/>
        <v>5.332186690753439</v>
      </c>
      <c r="M171" s="565"/>
      <c r="N171" s="566"/>
      <c r="O171" s="566"/>
      <c r="P171" s="566"/>
      <c r="Q171" s="567"/>
      <c r="R171" s="570">
        <f t="shared" si="15"/>
        <v>0</v>
      </c>
      <c r="S171" s="569"/>
      <c r="T171" s="518" t="e">
        <f t="shared" si="16"/>
        <v>#DIV/0!</v>
      </c>
      <c r="W171" s="147"/>
      <c r="X171" s="244">
        <v>2</v>
      </c>
      <c r="Y171" s="153"/>
      <c r="Z171" s="322" t="s">
        <v>365</v>
      </c>
      <c r="AA171" s="335"/>
      <c r="AB171" s="259">
        <v>3.3132672000000003</v>
      </c>
      <c r="AC171" s="307">
        <v>5.332186690753439</v>
      </c>
      <c r="AD171" s="259">
        <v>14.101824748836465</v>
      </c>
      <c r="AE171" s="259">
        <v>3.1319905976830182</v>
      </c>
      <c r="AF171" s="259">
        <v>497.94578915382994</v>
      </c>
      <c r="AG171" s="308">
        <v>79.20244777379195</v>
      </c>
      <c r="AH171" s="152"/>
      <c r="AM171" s="25"/>
      <c r="AN171" s="25"/>
      <c r="AO171" s="25"/>
    </row>
    <row r="172" spans="2:41" ht="12.75" customHeight="1">
      <c r="B172" s="65"/>
      <c r="C172" s="279" t="s">
        <v>366</v>
      </c>
      <c r="D172" s="83"/>
      <c r="E172" s="83"/>
      <c r="F172" s="83"/>
      <c r="G172" s="84"/>
      <c r="H172" s="556"/>
      <c r="I172" s="95"/>
      <c r="J172" s="96"/>
      <c r="K172" s="97"/>
      <c r="L172" s="294">
        <f t="shared" si="14"/>
        <v>5.349716953083335</v>
      </c>
      <c r="M172" s="565"/>
      <c r="N172" s="566"/>
      <c r="O172" s="566"/>
      <c r="P172" s="566"/>
      <c r="Q172" s="567"/>
      <c r="R172" s="570">
        <f t="shared" si="15"/>
        <v>0</v>
      </c>
      <c r="S172" s="569"/>
      <c r="T172" s="518" t="e">
        <f t="shared" si="16"/>
        <v>#DIV/0!</v>
      </c>
      <c r="W172" s="147"/>
      <c r="X172" s="153"/>
      <c r="Y172" s="153"/>
      <c r="Z172" s="322" t="s">
        <v>366</v>
      </c>
      <c r="AA172" s="335"/>
      <c r="AB172" s="259">
        <v>3.32416</v>
      </c>
      <c r="AC172" s="307">
        <v>5.349716953083335</v>
      </c>
      <c r="AD172" s="259">
        <v>14.104382566297364</v>
      </c>
      <c r="AE172" s="259">
        <v>3.132558684464751</v>
      </c>
      <c r="AF172" s="259">
        <v>498.0361075669973</v>
      </c>
      <c r="AG172" s="308">
        <v>79.21681367377084</v>
      </c>
      <c r="AH172" s="152"/>
      <c r="AM172" s="25"/>
      <c r="AN172" s="25"/>
      <c r="AO172" s="25"/>
    </row>
    <row r="173" spans="2:41" ht="12.75" customHeight="1">
      <c r="B173" s="65"/>
      <c r="C173" s="279" t="s">
        <v>367</v>
      </c>
      <c r="D173" s="83"/>
      <c r="E173" s="83"/>
      <c r="F173" s="83"/>
      <c r="G173" s="84"/>
      <c r="H173" s="556"/>
      <c r="I173" s="383"/>
      <c r="J173" s="96"/>
      <c r="K173" s="97"/>
      <c r="L173" s="294">
        <f t="shared" si="14"/>
        <v>5.5250195763822925</v>
      </c>
      <c r="M173" s="565"/>
      <c r="N173" s="566"/>
      <c r="O173" s="566"/>
      <c r="P173" s="566"/>
      <c r="Q173" s="567"/>
      <c r="R173" s="570">
        <f t="shared" si="15"/>
        <v>0</v>
      </c>
      <c r="S173" s="569"/>
      <c r="T173" s="518" t="e">
        <f t="shared" si="16"/>
        <v>#DIV/0!</v>
      </c>
      <c r="W173" s="147"/>
      <c r="X173" s="153"/>
      <c r="Y173" s="153"/>
      <c r="Z173" s="322" t="s">
        <v>367</v>
      </c>
      <c r="AA173" s="335"/>
      <c r="AB173" s="259">
        <v>3.433088</v>
      </c>
      <c r="AC173" s="307">
        <v>5.5250195763822925</v>
      </c>
      <c r="AD173" s="259">
        <v>14.11717165360186</v>
      </c>
      <c r="AE173" s="259">
        <v>3.1353991183734142</v>
      </c>
      <c r="AF173" s="259">
        <v>498.48769963283394</v>
      </c>
      <c r="AG173" s="308">
        <v>79.28864317366533</v>
      </c>
      <c r="AH173" s="152"/>
      <c r="AM173" s="25"/>
      <c r="AN173" s="25"/>
      <c r="AO173" s="25"/>
    </row>
    <row r="174" spans="2:41" ht="12.75" customHeight="1">
      <c r="B174" s="65"/>
      <c r="C174" s="279" t="s">
        <v>368</v>
      </c>
      <c r="D174" s="83"/>
      <c r="E174" s="83"/>
      <c r="F174" s="83"/>
      <c r="G174" s="84"/>
      <c r="H174" s="556"/>
      <c r="I174" s="283"/>
      <c r="J174" s="96"/>
      <c r="K174" s="97"/>
      <c r="L174" s="294">
        <f t="shared" si="14"/>
        <v>5.288361034928699</v>
      </c>
      <c r="M174" s="565"/>
      <c r="N174" s="566"/>
      <c r="O174" s="566"/>
      <c r="P174" s="566"/>
      <c r="Q174" s="567"/>
      <c r="R174" s="570">
        <f t="shared" si="15"/>
        <v>0</v>
      </c>
      <c r="S174" s="569"/>
      <c r="T174" s="518" t="e">
        <f t="shared" si="16"/>
        <v>#DIV/0!</v>
      </c>
      <c r="W174" s="147"/>
      <c r="X174" s="153"/>
      <c r="Y174" s="153"/>
      <c r="Z174" s="322" t="s">
        <v>368</v>
      </c>
      <c r="AA174" s="335"/>
      <c r="AB174" s="259">
        <v>3.2860351999999997</v>
      </c>
      <c r="AC174" s="307">
        <v>5.288361034928699</v>
      </c>
      <c r="AD174" s="259">
        <v>14.099266931375567</v>
      </c>
      <c r="AE174" s="259">
        <v>3.1314225109012854</v>
      </c>
      <c r="AF174" s="259">
        <v>497.8554707406626</v>
      </c>
      <c r="AG174" s="308">
        <v>79.18808187381305</v>
      </c>
      <c r="AH174" s="152"/>
      <c r="AM174" s="25"/>
      <c r="AN174" s="25"/>
      <c r="AO174" s="25"/>
    </row>
    <row r="175" spans="2:41" ht="12.75" customHeight="1">
      <c r="B175" s="65"/>
      <c r="C175" s="279" t="s">
        <v>369</v>
      </c>
      <c r="D175" s="83"/>
      <c r="E175" s="83"/>
      <c r="F175" s="83"/>
      <c r="G175" s="84"/>
      <c r="H175" s="556"/>
      <c r="I175" s="95"/>
      <c r="J175" s="281"/>
      <c r="K175" s="282"/>
      <c r="L175" s="294">
        <f t="shared" si="14"/>
        <v>5.067824257935666</v>
      </c>
      <c r="M175" s="565"/>
      <c r="N175" s="566"/>
      <c r="O175" s="566"/>
      <c r="P175" s="566"/>
      <c r="Q175" s="567"/>
      <c r="R175" s="570">
        <f t="shared" si="15"/>
        <v>0</v>
      </c>
      <c r="S175" s="569"/>
      <c r="T175" s="518" t="e">
        <f t="shared" si="16"/>
        <v>#DIV/0!</v>
      </c>
      <c r="W175" s="147"/>
      <c r="X175" s="153"/>
      <c r="Y175" s="153"/>
      <c r="Z175" s="322" t="s">
        <v>369</v>
      </c>
      <c r="AA175" s="335"/>
      <c r="AB175" s="259">
        <v>3.149</v>
      </c>
      <c r="AC175" s="307">
        <v>5.067824257935666</v>
      </c>
      <c r="AD175" s="259">
        <v>12.333631905465287</v>
      </c>
      <c r="AE175" s="259">
        <v>2.7392780616131125</v>
      </c>
      <c r="AF175" s="259">
        <v>435.5096011816839</v>
      </c>
      <c r="AG175" s="308">
        <v>76.80945347119645</v>
      </c>
      <c r="AH175" s="152"/>
      <c r="AM175" s="25"/>
      <c r="AN175" s="25"/>
      <c r="AO175" s="25"/>
    </row>
    <row r="176" spans="2:41" ht="12.75" customHeight="1">
      <c r="B176" s="65"/>
      <c r="C176" s="279" t="s">
        <v>370</v>
      </c>
      <c r="D176" s="83"/>
      <c r="E176" s="83"/>
      <c r="F176" s="83"/>
      <c r="G176" s="84"/>
      <c r="H176" s="551"/>
      <c r="I176" s="95"/>
      <c r="J176" s="96"/>
      <c r="K176" s="97"/>
      <c r="L176" s="294">
        <f t="shared" si="14"/>
        <v>6.261836483722921</v>
      </c>
      <c r="M176" s="542"/>
      <c r="N176" s="543"/>
      <c r="O176" s="543"/>
      <c r="P176" s="543"/>
      <c r="Q176" s="544"/>
      <c r="R176" s="570">
        <f t="shared" si="15"/>
        <v>0</v>
      </c>
      <c r="S176" s="569"/>
      <c r="T176" s="518" t="e">
        <f t="shared" si="16"/>
        <v>#DIV/0!</v>
      </c>
      <c r="W176" s="147"/>
      <c r="X176" s="153"/>
      <c r="Y176" s="153"/>
      <c r="Z176" s="322" t="s">
        <v>370</v>
      </c>
      <c r="AA176" s="335"/>
      <c r="AB176" s="259">
        <v>3.8909248</v>
      </c>
      <c r="AC176" s="307">
        <v>6.261836483722921</v>
      </c>
      <c r="AD176" s="259">
        <v>10.930498302843976</v>
      </c>
      <c r="AE176" s="259">
        <v>2.4276445440383285</v>
      </c>
      <c r="AF176" s="259">
        <v>385.9639231230217</v>
      </c>
      <c r="AG176" s="308">
        <v>76.45878033340367</v>
      </c>
      <c r="AH176" s="152"/>
      <c r="AM176" s="25"/>
      <c r="AN176" s="25"/>
      <c r="AO176" s="25"/>
    </row>
    <row r="177" spans="2:41" ht="12.75" customHeight="1">
      <c r="B177" s="65"/>
      <c r="C177" s="23"/>
      <c r="D177" s="23"/>
      <c r="E177" s="23"/>
      <c r="F177" s="23"/>
      <c r="G177" s="23"/>
      <c r="H177" s="23"/>
      <c r="I177" s="24"/>
      <c r="J177" s="24"/>
      <c r="K177" s="24"/>
      <c r="L177" s="23"/>
      <c r="M177" s="24"/>
      <c r="N177" s="24"/>
      <c r="O177" s="24"/>
      <c r="P177" s="24"/>
      <c r="Q177" s="24"/>
      <c r="R177" s="24"/>
      <c r="S177" s="18"/>
      <c r="T177" s="7"/>
      <c r="W177" s="166"/>
      <c r="X177" s="167"/>
      <c r="Y177" s="167"/>
      <c r="Z177" s="167"/>
      <c r="AA177" s="167"/>
      <c r="AB177" s="162"/>
      <c r="AC177" s="162"/>
      <c r="AD177" s="162"/>
      <c r="AE177" s="162"/>
      <c r="AF177" s="162"/>
      <c r="AG177" s="162"/>
      <c r="AH177" s="158"/>
      <c r="AM177" s="25"/>
      <c r="AN177" s="25"/>
      <c r="AO177" s="25"/>
    </row>
    <row r="178" spans="2:41" ht="12.75" customHeight="1">
      <c r="B178" s="65"/>
      <c r="C178" s="23"/>
      <c r="D178" s="23"/>
      <c r="E178" s="23"/>
      <c r="F178" s="23"/>
      <c r="G178" s="23"/>
      <c r="H178" s="23"/>
      <c r="I178" s="24"/>
      <c r="J178" s="24"/>
      <c r="K178" s="24"/>
      <c r="L178" s="23"/>
      <c r="M178" s="24"/>
      <c r="N178" s="24"/>
      <c r="O178" s="24"/>
      <c r="P178" s="24"/>
      <c r="Q178" s="24"/>
      <c r="R178" s="24"/>
      <c r="S178" s="18"/>
      <c r="T178" s="7"/>
      <c r="AM178" s="25"/>
      <c r="AN178" s="25"/>
      <c r="AO178" s="25"/>
    </row>
    <row r="179" spans="2:41" ht="12.75" customHeight="1">
      <c r="B179" s="68" t="s">
        <v>550</v>
      </c>
      <c r="C179" s="23"/>
      <c r="D179" s="23"/>
      <c r="E179" s="23"/>
      <c r="F179" s="23"/>
      <c r="G179" s="23"/>
      <c r="H179" s="23"/>
      <c r="I179" s="24"/>
      <c r="J179" s="24"/>
      <c r="K179" s="24"/>
      <c r="L179" s="23"/>
      <c r="M179" s="24"/>
      <c r="N179" s="24"/>
      <c r="O179" s="24"/>
      <c r="P179" s="24"/>
      <c r="Q179" s="24"/>
      <c r="R179" s="24"/>
      <c r="S179" s="18"/>
      <c r="T179" s="7"/>
      <c r="AM179" s="25"/>
      <c r="AN179" s="25"/>
      <c r="AO179" s="25"/>
    </row>
    <row r="180" spans="2:41" ht="12.75" customHeight="1">
      <c r="B180" s="65"/>
      <c r="C180" s="23"/>
      <c r="D180" s="23"/>
      <c r="E180" s="23"/>
      <c r="F180" s="23"/>
      <c r="G180" s="23"/>
      <c r="H180" s="23"/>
      <c r="I180" s="24"/>
      <c r="J180" s="24"/>
      <c r="K180" s="24"/>
      <c r="L180" s="23"/>
      <c r="M180" s="24"/>
      <c r="N180" s="24"/>
      <c r="O180" s="24"/>
      <c r="P180" s="24"/>
      <c r="Q180" s="24"/>
      <c r="R180" s="24"/>
      <c r="S180" s="18"/>
      <c r="T180" s="632" t="s">
        <v>583</v>
      </c>
      <c r="W180" s="153"/>
      <c r="X180" s="153"/>
      <c r="Y180" s="153"/>
      <c r="Z180" s="153"/>
      <c r="AA180" s="153"/>
      <c r="AB180" s="574" t="s">
        <v>332</v>
      </c>
      <c r="AC180" s="575"/>
      <c r="AD180" s="575"/>
      <c r="AE180" s="575"/>
      <c r="AF180" s="575"/>
      <c r="AG180" s="576"/>
      <c r="AH180" s="154"/>
      <c r="AM180" s="25"/>
      <c r="AN180" s="25"/>
      <c r="AO180" s="25"/>
    </row>
    <row r="181" spans="2:41" ht="12.75" customHeight="1">
      <c r="B181" s="65"/>
      <c r="C181" s="389" t="s">
        <v>500</v>
      </c>
      <c r="D181" s="23"/>
      <c r="E181" s="23"/>
      <c r="F181" s="23"/>
      <c r="G181" s="23"/>
      <c r="H181" s="17" t="s">
        <v>206</v>
      </c>
      <c r="I181" s="24"/>
      <c r="J181" s="17" t="s">
        <v>340</v>
      </c>
      <c r="K181" s="24"/>
      <c r="L181" s="39" t="s">
        <v>80</v>
      </c>
      <c r="M181" s="24"/>
      <c r="N181" s="24"/>
      <c r="O181" s="24"/>
      <c r="P181" s="24"/>
      <c r="Q181" s="24"/>
      <c r="R181" s="39" t="s">
        <v>190</v>
      </c>
      <c r="S181" s="18"/>
      <c r="T181" s="544"/>
      <c r="W181" s="153"/>
      <c r="X181" s="153"/>
      <c r="Y181" s="153"/>
      <c r="Z181" s="471" t="s">
        <v>500</v>
      </c>
      <c r="AA181" s="153"/>
      <c r="AB181" s="309" t="s">
        <v>517</v>
      </c>
      <c r="AC181" s="310" t="s">
        <v>338</v>
      </c>
      <c r="AD181" s="475" t="s">
        <v>518</v>
      </c>
      <c r="AE181" s="309" t="s">
        <v>337</v>
      </c>
      <c r="AF181" s="309" t="s">
        <v>516</v>
      </c>
      <c r="AG181" s="309" t="s">
        <v>336</v>
      </c>
      <c r="AH181" s="154"/>
      <c r="AM181" s="25"/>
      <c r="AN181" s="25"/>
      <c r="AO181" s="25"/>
    </row>
    <row r="182" spans="2:41" ht="12.75" customHeight="1">
      <c r="B182" s="65"/>
      <c r="C182" s="279" t="s">
        <v>501</v>
      </c>
      <c r="D182" s="236"/>
      <c r="E182" s="236"/>
      <c r="F182" s="236"/>
      <c r="G182" s="379"/>
      <c r="H182" s="546"/>
      <c r="I182" s="465"/>
      <c r="J182" s="465"/>
      <c r="K182" s="465"/>
      <c r="L182" s="470">
        <f>IF($X$193=1,AD182,IF($X$193=2,AE182,IF($X$193=3,AC182,IF($X$193=4,AF182,IF($X$193=5,AG182,0)))))</f>
        <v>8.23284</v>
      </c>
      <c r="M182" s="92"/>
      <c r="N182" s="93"/>
      <c r="O182" s="93"/>
      <c r="P182" s="93"/>
      <c r="Q182" s="94"/>
      <c r="R182" s="570">
        <f>(L182*H182)/1000</f>
        <v>0</v>
      </c>
      <c r="S182" s="569"/>
      <c r="T182" s="518" t="e">
        <f>R182/$Q$393</f>
        <v>#DIV/0!</v>
      </c>
      <c r="W182" s="153"/>
      <c r="X182" s="153"/>
      <c r="Y182" s="153"/>
      <c r="Z182" s="472" t="s">
        <v>501</v>
      </c>
      <c r="AA182" s="193"/>
      <c r="AB182" s="173">
        <v>18.15</v>
      </c>
      <c r="AC182" s="173">
        <v>68.5</v>
      </c>
      <c r="AD182" s="173">
        <f>AB182*0.4536</f>
        <v>8.23284</v>
      </c>
      <c r="AE182" s="173">
        <f>AD182*42</f>
        <v>345.77927999999997</v>
      </c>
      <c r="AF182" s="173"/>
      <c r="AG182" s="173"/>
      <c r="AH182" s="154"/>
      <c r="AM182" s="25"/>
      <c r="AN182" s="25"/>
      <c r="AO182" s="25"/>
    </row>
    <row r="183" spans="2:41" ht="12.75" customHeight="1">
      <c r="B183" s="65"/>
      <c r="C183" s="276" t="s">
        <v>502</v>
      </c>
      <c r="D183" s="23"/>
      <c r="E183" s="23"/>
      <c r="F183" s="23"/>
      <c r="G183" s="71"/>
      <c r="H183" s="551"/>
      <c r="I183" s="464"/>
      <c r="J183" s="465"/>
      <c r="K183" s="466"/>
      <c r="L183" s="479"/>
      <c r="M183" s="95"/>
      <c r="N183" s="96"/>
      <c r="O183" s="96"/>
      <c r="P183" s="96"/>
      <c r="Q183" s="97"/>
      <c r="R183" s="577"/>
      <c r="S183" s="569"/>
      <c r="T183" s="7"/>
      <c r="W183" s="153"/>
      <c r="X183" s="153"/>
      <c r="Y183" s="153"/>
      <c r="Z183" s="473" t="s">
        <v>502</v>
      </c>
      <c r="AA183" s="156"/>
      <c r="AB183" s="173" t="s">
        <v>521</v>
      </c>
      <c r="AC183" s="173" t="s">
        <v>521</v>
      </c>
      <c r="AD183" s="173" t="s">
        <v>521</v>
      </c>
      <c r="AE183" s="173" t="s">
        <v>521</v>
      </c>
      <c r="AF183" s="173" t="s">
        <v>521</v>
      </c>
      <c r="AG183" s="173" t="s">
        <v>521</v>
      </c>
      <c r="AH183" s="154"/>
      <c r="AM183" s="25"/>
      <c r="AN183" s="25"/>
      <c r="AO183" s="25"/>
    </row>
    <row r="184" spans="2:41" ht="12.75" customHeight="1">
      <c r="B184" s="65"/>
      <c r="C184" s="276" t="s">
        <v>503</v>
      </c>
      <c r="D184" s="236"/>
      <c r="E184" s="236"/>
      <c r="F184" s="236"/>
      <c r="G184" s="379"/>
      <c r="H184" s="551"/>
      <c r="I184" s="464"/>
      <c r="J184" s="465"/>
      <c r="K184" s="466"/>
      <c r="L184" s="470">
        <f aca="true" t="shared" si="17" ref="L184:L198">IF($X$193=1,AD184,IF($X$193=2,AE184,IF($X$193=3,AC184,IF($X$193=4,AF184,IF($X$193=5,AG184,"")))))</f>
        <v>0</v>
      </c>
      <c r="M184" s="95"/>
      <c r="N184" s="96"/>
      <c r="O184" s="96"/>
      <c r="P184" s="96"/>
      <c r="Q184" s="97"/>
      <c r="R184" s="570">
        <f aca="true" t="shared" si="18" ref="R184:R198">(L184*H184)/1000</f>
        <v>0</v>
      </c>
      <c r="S184" s="569"/>
      <c r="T184" s="518" t="e">
        <f aca="true" t="shared" si="19" ref="T184:T189">R184/$Q$393</f>
        <v>#DIV/0!</v>
      </c>
      <c r="W184" s="153"/>
      <c r="X184" s="153"/>
      <c r="Y184" s="153"/>
      <c r="Z184" s="472" t="s">
        <v>503</v>
      </c>
      <c r="AA184" s="193"/>
      <c r="AB184" s="173">
        <v>0</v>
      </c>
      <c r="AC184" s="173">
        <v>0</v>
      </c>
      <c r="AD184" s="173">
        <f aca="true" t="shared" si="20" ref="AD184:AD198">AB184*0.4536</f>
        <v>0</v>
      </c>
      <c r="AE184" s="173">
        <f aca="true" t="shared" si="21" ref="AE184:AE198">AD184*42</f>
        <v>0</v>
      </c>
      <c r="AF184" s="173"/>
      <c r="AG184" s="173"/>
      <c r="AH184" s="154"/>
      <c r="AM184" s="25"/>
      <c r="AN184" s="25"/>
      <c r="AO184" s="25"/>
    </row>
    <row r="185" spans="2:41" ht="12.75" customHeight="1">
      <c r="B185" s="65"/>
      <c r="C185" s="276" t="s">
        <v>504</v>
      </c>
      <c r="D185" s="23"/>
      <c r="E185" s="23"/>
      <c r="F185" s="23"/>
      <c r="G185" s="71"/>
      <c r="H185" s="551"/>
      <c r="I185" s="383" t="s">
        <v>515</v>
      </c>
      <c r="J185" s="465"/>
      <c r="K185" s="466"/>
      <c r="L185" s="470">
        <f t="shared" si="17"/>
        <v>8.033256</v>
      </c>
      <c r="M185" s="95"/>
      <c r="N185" s="96"/>
      <c r="O185" s="96"/>
      <c r="P185" s="96"/>
      <c r="Q185" s="97"/>
      <c r="R185" s="570">
        <f t="shared" si="18"/>
        <v>0</v>
      </c>
      <c r="S185" s="569"/>
      <c r="T185" s="518" t="e">
        <f t="shared" si="19"/>
        <v>#DIV/0!</v>
      </c>
      <c r="W185" s="153"/>
      <c r="X185" s="153"/>
      <c r="Y185" s="153"/>
      <c r="Z185" s="473" t="s">
        <v>504</v>
      </c>
      <c r="AA185" s="156"/>
      <c r="AB185" s="173">
        <v>17.71</v>
      </c>
      <c r="AC185" s="173">
        <v>59.17</v>
      </c>
      <c r="AD185" s="173">
        <f t="shared" si="20"/>
        <v>8.033256</v>
      </c>
      <c r="AE185" s="173">
        <f t="shared" si="21"/>
        <v>337.396752</v>
      </c>
      <c r="AF185" s="173"/>
      <c r="AG185" s="173"/>
      <c r="AH185" s="154"/>
      <c r="AM185" s="25"/>
      <c r="AN185" s="25"/>
      <c r="AO185" s="25"/>
    </row>
    <row r="186" spans="2:41" ht="12.75" customHeight="1">
      <c r="B186" s="65"/>
      <c r="C186" s="276" t="s">
        <v>543</v>
      </c>
      <c r="D186" s="236"/>
      <c r="E186" s="236"/>
      <c r="F186" s="236"/>
      <c r="G186" s="379"/>
      <c r="H186" s="551"/>
      <c r="I186" s="464"/>
      <c r="J186" s="465"/>
      <c r="K186" s="466"/>
      <c r="L186" s="470">
        <f t="shared" si="17"/>
        <v>9.040248</v>
      </c>
      <c r="M186" s="95"/>
      <c r="N186" s="96"/>
      <c r="O186" s="96"/>
      <c r="P186" s="96"/>
      <c r="Q186" s="97"/>
      <c r="R186" s="570">
        <f t="shared" si="18"/>
        <v>0</v>
      </c>
      <c r="S186" s="569"/>
      <c r="T186" s="518" t="e">
        <f t="shared" si="19"/>
        <v>#DIV/0!</v>
      </c>
      <c r="W186" s="153"/>
      <c r="X186" s="153"/>
      <c r="Y186" s="153"/>
      <c r="Z186" s="472" t="s">
        <v>503</v>
      </c>
      <c r="AA186" s="193"/>
      <c r="AB186" s="173">
        <v>19.93</v>
      </c>
      <c r="AC186" s="173">
        <v>65.86</v>
      </c>
      <c r="AD186" s="173">
        <f t="shared" si="20"/>
        <v>9.040248</v>
      </c>
      <c r="AE186" s="173">
        <f t="shared" si="21"/>
        <v>379.690416</v>
      </c>
      <c r="AF186" s="173"/>
      <c r="AG186" s="173"/>
      <c r="AH186" s="154"/>
      <c r="AM186" s="25"/>
      <c r="AN186" s="25"/>
      <c r="AO186" s="25"/>
    </row>
    <row r="187" spans="2:41" ht="12.75" customHeight="1">
      <c r="B187" s="65"/>
      <c r="C187" s="276" t="s">
        <v>505</v>
      </c>
      <c r="D187" s="23"/>
      <c r="E187" s="23"/>
      <c r="F187" s="23"/>
      <c r="G187" s="71"/>
      <c r="H187" s="551"/>
      <c r="I187" s="464"/>
      <c r="J187" s="465"/>
      <c r="K187" s="466"/>
      <c r="L187" s="470">
        <f t="shared" si="17"/>
        <v>9.543744</v>
      </c>
      <c r="M187" s="95"/>
      <c r="N187" s="96"/>
      <c r="O187" s="96"/>
      <c r="P187" s="96"/>
      <c r="Q187" s="97"/>
      <c r="R187" s="570">
        <f t="shared" si="18"/>
        <v>0</v>
      </c>
      <c r="S187" s="569"/>
      <c r="T187" s="518" t="e">
        <f t="shared" si="19"/>
        <v>#DIV/0!</v>
      </c>
      <c r="W187" s="153"/>
      <c r="X187" s="153"/>
      <c r="Y187" s="153"/>
      <c r="Z187" s="473" t="s">
        <v>505</v>
      </c>
      <c r="AA187" s="156"/>
      <c r="AB187" s="173">
        <v>21.04</v>
      </c>
      <c r="AC187" s="173">
        <v>69.16</v>
      </c>
      <c r="AD187" s="173">
        <f t="shared" si="20"/>
        <v>9.543744</v>
      </c>
      <c r="AE187" s="173">
        <f t="shared" si="21"/>
        <v>400.837248</v>
      </c>
      <c r="AF187" s="173"/>
      <c r="AG187" s="173"/>
      <c r="AH187" s="154"/>
      <c r="AM187" s="25"/>
      <c r="AN187" s="25"/>
      <c r="AO187" s="25"/>
    </row>
    <row r="188" spans="2:41" ht="12.75" customHeight="1">
      <c r="B188" s="65"/>
      <c r="C188" s="276" t="s">
        <v>506</v>
      </c>
      <c r="D188" s="236"/>
      <c r="E188" s="236"/>
      <c r="F188" s="236"/>
      <c r="G188" s="379"/>
      <c r="H188" s="551"/>
      <c r="I188" s="464"/>
      <c r="J188" s="465"/>
      <c r="K188" s="466"/>
      <c r="L188" s="470">
        <f t="shared" si="17"/>
        <v>9.843119999999999</v>
      </c>
      <c r="M188" s="95"/>
      <c r="N188" s="96"/>
      <c r="O188" s="96"/>
      <c r="P188" s="96"/>
      <c r="Q188" s="97"/>
      <c r="R188" s="570">
        <f t="shared" si="18"/>
        <v>0</v>
      </c>
      <c r="S188" s="569"/>
      <c r="T188" s="518" t="e">
        <f t="shared" si="19"/>
        <v>#DIV/0!</v>
      </c>
      <c r="W188" s="153"/>
      <c r="X188" s="153"/>
      <c r="Y188" s="153"/>
      <c r="Z188" s="472" t="s">
        <v>506</v>
      </c>
      <c r="AA188" s="193"/>
      <c r="AB188" s="173">
        <v>21.7</v>
      </c>
      <c r="AC188" s="173">
        <v>71.12</v>
      </c>
      <c r="AD188" s="173">
        <f t="shared" si="20"/>
        <v>9.843119999999999</v>
      </c>
      <c r="AE188" s="173">
        <f t="shared" si="21"/>
        <v>413.41103999999996</v>
      </c>
      <c r="AF188" s="173"/>
      <c r="AG188" s="173"/>
      <c r="AH188" s="154"/>
      <c r="AM188" s="25"/>
      <c r="AN188" s="25"/>
      <c r="AO188" s="25"/>
    </row>
    <row r="189" spans="2:41" ht="12.75" customHeight="1">
      <c r="B189" s="65"/>
      <c r="C189" s="279" t="s">
        <v>507</v>
      </c>
      <c r="D189" s="236"/>
      <c r="E189" s="236"/>
      <c r="F189" s="236"/>
      <c r="G189" s="379"/>
      <c r="H189" s="551"/>
      <c r="I189" s="477"/>
      <c r="J189" s="465"/>
      <c r="K189" s="466"/>
      <c r="L189" s="470">
        <f t="shared" si="17"/>
        <v>10.047239999999999</v>
      </c>
      <c r="M189" s="95"/>
      <c r="N189" s="96"/>
      <c r="O189" s="96"/>
      <c r="P189" s="96"/>
      <c r="Q189" s="97"/>
      <c r="R189" s="570">
        <f t="shared" si="18"/>
        <v>0</v>
      </c>
      <c r="S189" s="569"/>
      <c r="T189" s="518" t="e">
        <f t="shared" si="19"/>
        <v>#DIV/0!</v>
      </c>
      <c r="W189" s="153"/>
      <c r="X189" s="153"/>
      <c r="Y189" s="153"/>
      <c r="Z189" s="473" t="s">
        <v>507</v>
      </c>
      <c r="AA189" s="156"/>
      <c r="AB189" s="173">
        <v>22.15</v>
      </c>
      <c r="AC189" s="173">
        <v>72.43</v>
      </c>
      <c r="AD189" s="173">
        <f t="shared" si="20"/>
        <v>10.047239999999999</v>
      </c>
      <c r="AE189" s="173">
        <f t="shared" si="21"/>
        <v>421.98407999999995</v>
      </c>
      <c r="AF189" s="173"/>
      <c r="AG189" s="173"/>
      <c r="AH189" s="154"/>
      <c r="AM189" s="25"/>
      <c r="AN189" s="25"/>
      <c r="AO189" s="25"/>
    </row>
    <row r="190" spans="2:41" ht="12.75" customHeight="1">
      <c r="B190" s="65"/>
      <c r="C190" s="295" t="s">
        <v>508</v>
      </c>
      <c r="D190" s="23"/>
      <c r="E190" s="23"/>
      <c r="F190" s="23"/>
      <c r="G190" s="71"/>
      <c r="H190" s="551"/>
      <c r="I190" s="464"/>
      <c r="J190" s="465"/>
      <c r="K190" s="466"/>
      <c r="L190" s="479"/>
      <c r="M190" s="521" t="s">
        <v>331</v>
      </c>
      <c r="N190" s="96"/>
      <c r="O190" s="96"/>
      <c r="P190" s="96"/>
      <c r="Q190" s="97"/>
      <c r="R190" s="577"/>
      <c r="S190" s="569"/>
      <c r="T190" s="7"/>
      <c r="W190" s="153"/>
      <c r="X190" s="153"/>
      <c r="Y190" s="153"/>
      <c r="Z190" s="472" t="s">
        <v>508</v>
      </c>
      <c r="AA190" s="193"/>
      <c r="AB190" s="173" t="s">
        <v>521</v>
      </c>
      <c r="AC190" s="173" t="s">
        <v>521</v>
      </c>
      <c r="AD190" s="173" t="s">
        <v>521</v>
      </c>
      <c r="AE190" s="173" t="s">
        <v>521</v>
      </c>
      <c r="AF190" s="173" t="s">
        <v>521</v>
      </c>
      <c r="AG190" s="173" t="s">
        <v>521</v>
      </c>
      <c r="AH190" s="154"/>
      <c r="AM190" s="25"/>
      <c r="AN190" s="25"/>
      <c r="AO190" s="25"/>
    </row>
    <row r="191" spans="2:41" ht="12.75" customHeight="1">
      <c r="B191" s="65"/>
      <c r="C191" s="279" t="s">
        <v>509</v>
      </c>
      <c r="D191" s="236"/>
      <c r="E191" s="236"/>
      <c r="F191" s="236"/>
      <c r="G191" s="379"/>
      <c r="H191" s="551"/>
      <c r="I191" s="464"/>
      <c r="J191" s="465"/>
      <c r="K191" s="466"/>
      <c r="L191" s="470">
        <f t="shared" si="17"/>
        <v>0</v>
      </c>
      <c r="M191" s="95"/>
      <c r="N191" s="96"/>
      <c r="O191" s="96"/>
      <c r="P191" s="96"/>
      <c r="Q191" s="97"/>
      <c r="R191" s="570">
        <f t="shared" si="18"/>
        <v>0</v>
      </c>
      <c r="S191" s="569"/>
      <c r="T191" s="518" t="e">
        <f aca="true" t="shared" si="22" ref="T191:T198">R191/$Q$393</f>
        <v>#DIV/0!</v>
      </c>
      <c r="W191" s="153"/>
      <c r="X191" s="153" t="s">
        <v>519</v>
      </c>
      <c r="Y191" s="153"/>
      <c r="Z191" s="473" t="s">
        <v>509</v>
      </c>
      <c r="AA191" s="156"/>
      <c r="AB191" s="173">
        <v>0</v>
      </c>
      <c r="AC191" s="173">
        <v>0</v>
      </c>
      <c r="AD191" s="173">
        <f t="shared" si="20"/>
        <v>0</v>
      </c>
      <c r="AE191" s="173">
        <f t="shared" si="21"/>
        <v>0</v>
      </c>
      <c r="AF191" s="173"/>
      <c r="AG191" s="173"/>
      <c r="AH191" s="154"/>
      <c r="AM191" s="25"/>
      <c r="AN191" s="25"/>
      <c r="AO191" s="25"/>
    </row>
    <row r="192" spans="2:41" ht="12.75" customHeight="1">
      <c r="B192" s="65"/>
      <c r="C192" s="295" t="s">
        <v>510</v>
      </c>
      <c r="D192" s="23"/>
      <c r="E192" s="23"/>
      <c r="F192" s="23"/>
      <c r="G192" s="71"/>
      <c r="H192" s="551"/>
      <c r="I192" s="464"/>
      <c r="J192" s="465"/>
      <c r="K192" s="466"/>
      <c r="L192" s="470">
        <f t="shared" si="17"/>
        <v>1.31544</v>
      </c>
      <c r="M192" s="95"/>
      <c r="N192" s="96"/>
      <c r="O192" s="96"/>
      <c r="P192" s="96"/>
      <c r="Q192" s="97"/>
      <c r="R192" s="570">
        <f t="shared" si="18"/>
        <v>0</v>
      </c>
      <c r="S192" s="569"/>
      <c r="T192" s="518" t="e">
        <f t="shared" si="22"/>
        <v>#DIV/0!</v>
      </c>
      <c r="W192" s="153"/>
      <c r="X192" s="476" t="s">
        <v>520</v>
      </c>
      <c r="Y192" s="153"/>
      <c r="Z192" s="472" t="s">
        <v>510</v>
      </c>
      <c r="AA192" s="193"/>
      <c r="AB192" s="173">
        <v>2.9</v>
      </c>
      <c r="AC192" s="173">
        <v>14.59</v>
      </c>
      <c r="AD192" s="173">
        <f t="shared" si="20"/>
        <v>1.31544</v>
      </c>
      <c r="AE192" s="173">
        <f t="shared" si="21"/>
        <v>55.24848</v>
      </c>
      <c r="AF192" s="173"/>
      <c r="AG192" s="173"/>
      <c r="AH192" s="154"/>
      <c r="AM192" s="25"/>
      <c r="AN192" s="25"/>
      <c r="AO192" s="25"/>
    </row>
    <row r="193" spans="2:41" ht="12.75" customHeight="1">
      <c r="B193" s="65"/>
      <c r="C193" s="279" t="s">
        <v>511</v>
      </c>
      <c r="D193" s="236"/>
      <c r="E193" s="236"/>
      <c r="F193" s="236"/>
      <c r="G193" s="379"/>
      <c r="H193" s="551"/>
      <c r="I193" s="464"/>
      <c r="J193" s="465"/>
      <c r="K193" s="466"/>
      <c r="L193" s="470">
        <f t="shared" si="17"/>
        <v>7.897176</v>
      </c>
      <c r="M193" s="95"/>
      <c r="N193" s="96"/>
      <c r="O193" s="96"/>
      <c r="P193" s="96"/>
      <c r="Q193" s="97"/>
      <c r="R193" s="570">
        <f t="shared" si="18"/>
        <v>0</v>
      </c>
      <c r="S193" s="569"/>
      <c r="T193" s="518" t="e">
        <f t="shared" si="22"/>
        <v>#DIV/0!</v>
      </c>
      <c r="W193" s="153"/>
      <c r="X193" s="34">
        <v>1</v>
      </c>
      <c r="Y193" s="153"/>
      <c r="Z193" s="474" t="s">
        <v>511</v>
      </c>
      <c r="AA193" s="270"/>
      <c r="AB193" s="173">
        <v>17.41</v>
      </c>
      <c r="AC193" s="173">
        <v>65.29</v>
      </c>
      <c r="AD193" s="173">
        <f t="shared" si="20"/>
        <v>7.897176</v>
      </c>
      <c r="AE193" s="173">
        <f t="shared" si="21"/>
        <v>331.681392</v>
      </c>
      <c r="AF193" s="173"/>
      <c r="AG193" s="173"/>
      <c r="AH193" s="154"/>
      <c r="AM193" s="25"/>
      <c r="AN193" s="25"/>
      <c r="AO193" s="25"/>
    </row>
    <row r="194" spans="2:41" ht="12.75" customHeight="1">
      <c r="B194" s="65"/>
      <c r="C194" s="295" t="s">
        <v>512</v>
      </c>
      <c r="D194" s="23"/>
      <c r="E194" s="23"/>
      <c r="F194" s="23"/>
      <c r="G194" s="71"/>
      <c r="H194" s="551"/>
      <c r="I194" s="464"/>
      <c r="J194" s="465"/>
      <c r="K194" s="466"/>
      <c r="L194" s="470">
        <f t="shared" si="17"/>
        <v>8.781696</v>
      </c>
      <c r="M194" s="95"/>
      <c r="N194" s="96"/>
      <c r="O194" s="96"/>
      <c r="P194" s="96"/>
      <c r="Q194" s="97"/>
      <c r="R194" s="570">
        <f t="shared" si="18"/>
        <v>0</v>
      </c>
      <c r="S194" s="569"/>
      <c r="T194" s="518" t="e">
        <f t="shared" si="22"/>
        <v>#DIV/0!</v>
      </c>
      <c r="W194" s="153"/>
      <c r="X194" s="153"/>
      <c r="Y194" s="153"/>
      <c r="Z194" s="472" t="s">
        <v>512</v>
      </c>
      <c r="AA194" s="193"/>
      <c r="AB194" s="173">
        <v>19.36</v>
      </c>
      <c r="AC194" s="173">
        <v>70.21</v>
      </c>
      <c r="AD194" s="173">
        <f t="shared" si="20"/>
        <v>8.781696</v>
      </c>
      <c r="AE194" s="173">
        <f t="shared" si="21"/>
        <v>368.831232</v>
      </c>
      <c r="AF194" s="173"/>
      <c r="AG194" s="173"/>
      <c r="AH194" s="154"/>
      <c r="AM194" s="25"/>
      <c r="AN194" s="25"/>
      <c r="AO194" s="25"/>
    </row>
    <row r="195" spans="2:41" ht="12.75" customHeight="1">
      <c r="B195" s="65"/>
      <c r="C195" s="279" t="s">
        <v>513</v>
      </c>
      <c r="D195" s="236"/>
      <c r="E195" s="236"/>
      <c r="F195" s="236"/>
      <c r="G195" s="379"/>
      <c r="H195" s="551"/>
      <c r="I195" s="464"/>
      <c r="J195" s="465"/>
      <c r="K195" s="466"/>
      <c r="L195" s="470">
        <f t="shared" si="17"/>
        <v>9.471168</v>
      </c>
      <c r="M195" s="95"/>
      <c r="N195" s="96"/>
      <c r="O195" s="96"/>
      <c r="P195" s="96"/>
      <c r="Q195" s="97"/>
      <c r="R195" s="570">
        <f t="shared" si="18"/>
        <v>0</v>
      </c>
      <c r="S195" s="569"/>
      <c r="T195" s="518" t="e">
        <f t="shared" si="22"/>
        <v>#DIV/0!</v>
      </c>
      <c r="W195" s="153"/>
      <c r="X195" s="153"/>
      <c r="Y195" s="153"/>
      <c r="Z195" s="473" t="s">
        <v>513</v>
      </c>
      <c r="AA195" s="156"/>
      <c r="AB195" s="173">
        <v>20.88</v>
      </c>
      <c r="AC195" s="173">
        <v>70.17</v>
      </c>
      <c r="AD195" s="173">
        <f t="shared" si="20"/>
        <v>9.471168</v>
      </c>
      <c r="AE195" s="173">
        <f t="shared" si="21"/>
        <v>397.789056</v>
      </c>
      <c r="AF195" s="173"/>
      <c r="AG195" s="173"/>
      <c r="AH195" s="154"/>
      <c r="AM195" s="25"/>
      <c r="AN195" s="25"/>
      <c r="AO195" s="25"/>
    </row>
    <row r="196" spans="2:41" ht="12.75" customHeight="1">
      <c r="B196" s="65"/>
      <c r="C196" s="295" t="s">
        <v>212</v>
      </c>
      <c r="D196" s="23"/>
      <c r="E196" s="23"/>
      <c r="F196" s="23"/>
      <c r="G196" s="71"/>
      <c r="H196" s="551"/>
      <c r="I196" s="464"/>
      <c r="J196" s="465"/>
      <c r="K196" s="466"/>
      <c r="L196" s="478">
        <f t="shared" si="17"/>
        <v>0</v>
      </c>
      <c r="M196" s="95"/>
      <c r="N196" s="96"/>
      <c r="O196" s="96"/>
      <c r="P196" s="96"/>
      <c r="Q196" s="97"/>
      <c r="R196" s="570">
        <f>(L196*H196)/1000</f>
        <v>0</v>
      </c>
      <c r="S196" s="569"/>
      <c r="T196" s="518" t="e">
        <f t="shared" si="22"/>
        <v>#DIV/0!</v>
      </c>
      <c r="W196" s="153"/>
      <c r="X196" s="153"/>
      <c r="Y196" s="153"/>
      <c r="Z196" s="472" t="s">
        <v>212</v>
      </c>
      <c r="AA196" s="193"/>
      <c r="AB196" s="173"/>
      <c r="AC196" s="173">
        <v>52.8</v>
      </c>
      <c r="AD196" s="173"/>
      <c r="AE196" s="173"/>
      <c r="AF196" s="173">
        <v>119.9</v>
      </c>
      <c r="AG196" s="173">
        <v>0.004</v>
      </c>
      <c r="AH196" s="154"/>
      <c r="AM196" s="25"/>
      <c r="AN196" s="25"/>
      <c r="AO196" s="25"/>
    </row>
    <row r="197" spans="2:34" ht="12.75" customHeight="1">
      <c r="B197" s="65"/>
      <c r="C197" s="279" t="s">
        <v>29</v>
      </c>
      <c r="D197" s="83"/>
      <c r="E197" s="83"/>
      <c r="F197" s="236"/>
      <c r="G197" s="379"/>
      <c r="H197" s="551"/>
      <c r="I197" s="464"/>
      <c r="J197" s="465"/>
      <c r="K197" s="466"/>
      <c r="L197" s="470">
        <f t="shared" si="17"/>
        <v>5.7153599999999996</v>
      </c>
      <c r="M197" s="95"/>
      <c r="N197" s="96"/>
      <c r="O197" s="96"/>
      <c r="P197" s="96"/>
      <c r="Q197" s="97"/>
      <c r="R197" s="570">
        <f t="shared" si="18"/>
        <v>0</v>
      </c>
      <c r="S197" s="569"/>
      <c r="T197" s="518" t="e">
        <f t="shared" si="22"/>
        <v>#DIV/0!</v>
      </c>
      <c r="W197" s="153"/>
      <c r="X197" s="153"/>
      <c r="Y197" s="153"/>
      <c r="Z197" s="473" t="s">
        <v>29</v>
      </c>
      <c r="AA197" s="156"/>
      <c r="AB197" s="173">
        <v>12.6</v>
      </c>
      <c r="AC197" s="173">
        <v>62.76</v>
      </c>
      <c r="AD197" s="173">
        <f t="shared" si="20"/>
        <v>5.7153599999999996</v>
      </c>
      <c r="AE197" s="173">
        <f t="shared" si="21"/>
        <v>240.04511999999997</v>
      </c>
      <c r="AF197" s="173"/>
      <c r="AG197" s="173"/>
      <c r="AH197" s="154"/>
    </row>
    <row r="198" spans="2:34" ht="12.75" customHeight="1">
      <c r="B198" s="65"/>
      <c r="C198" s="279" t="s">
        <v>514</v>
      </c>
      <c r="D198" s="123"/>
      <c r="E198" s="123"/>
      <c r="F198" s="236"/>
      <c r="G198" s="379"/>
      <c r="H198" s="551"/>
      <c r="I198" s="467"/>
      <c r="J198" s="468"/>
      <c r="K198" s="469"/>
      <c r="L198" s="470">
        <f t="shared" si="17"/>
        <v>11.6802</v>
      </c>
      <c r="M198" s="98"/>
      <c r="N198" s="99"/>
      <c r="O198" s="99"/>
      <c r="P198" s="99"/>
      <c r="Q198" s="100"/>
      <c r="R198" s="570">
        <f t="shared" si="18"/>
        <v>0</v>
      </c>
      <c r="S198" s="569"/>
      <c r="T198" s="518" t="e">
        <f t="shared" si="22"/>
        <v>#DIV/0!</v>
      </c>
      <c r="W198" s="153"/>
      <c r="X198" s="153"/>
      <c r="Y198" s="153"/>
      <c r="Z198" s="472" t="s">
        <v>514</v>
      </c>
      <c r="AA198" s="193"/>
      <c r="AB198" s="173">
        <v>25.75</v>
      </c>
      <c r="AC198" s="173">
        <v>78.02</v>
      </c>
      <c r="AD198" s="173">
        <f t="shared" si="20"/>
        <v>11.6802</v>
      </c>
      <c r="AE198" s="173">
        <f t="shared" si="21"/>
        <v>490.5684</v>
      </c>
      <c r="AF198" s="173"/>
      <c r="AG198" s="173"/>
      <c r="AH198" s="154"/>
    </row>
    <row r="199" spans="2:20" ht="12.75" customHeight="1">
      <c r="B199" s="68"/>
      <c r="D199" s="22"/>
      <c r="E199" s="22"/>
      <c r="F199" s="23"/>
      <c r="G199" s="23"/>
      <c r="H199" s="23"/>
      <c r="I199" s="23"/>
      <c r="J199" s="23"/>
      <c r="K199" s="24"/>
      <c r="L199" s="24"/>
      <c r="M199" s="24"/>
      <c r="N199" s="24"/>
      <c r="O199" s="24"/>
      <c r="P199" s="24"/>
      <c r="Q199" s="24"/>
      <c r="R199" s="24"/>
      <c r="S199" s="18"/>
      <c r="T199" s="7"/>
    </row>
    <row r="200" spans="2:20" ht="12.75" customHeight="1">
      <c r="B200" s="68"/>
      <c r="D200" s="22"/>
      <c r="E200" s="22"/>
      <c r="F200" s="23"/>
      <c r="G200" s="23"/>
      <c r="H200" s="23"/>
      <c r="I200" s="23"/>
      <c r="J200" s="23"/>
      <c r="K200" s="24"/>
      <c r="L200" s="24"/>
      <c r="M200" s="24"/>
      <c r="N200" s="24"/>
      <c r="O200" s="24"/>
      <c r="P200" s="24"/>
      <c r="Q200" s="24"/>
      <c r="R200" s="24"/>
      <c r="S200" s="18"/>
      <c r="T200" s="7"/>
    </row>
    <row r="201" spans="2:20" ht="12.75" customHeight="1">
      <c r="B201" s="68" t="s">
        <v>220</v>
      </c>
      <c r="D201" s="22"/>
      <c r="E201" s="22"/>
      <c r="F201" s="23"/>
      <c r="G201" s="23"/>
      <c r="H201" s="23"/>
      <c r="I201" s="23"/>
      <c r="J201" s="23"/>
      <c r="K201" s="24"/>
      <c r="L201" s="24"/>
      <c r="M201" s="24"/>
      <c r="N201" s="24"/>
      <c r="O201" s="24"/>
      <c r="P201" s="24"/>
      <c r="Q201" s="24"/>
      <c r="R201" s="24"/>
      <c r="S201" s="18"/>
      <c r="T201" s="7"/>
    </row>
    <row r="202" spans="2:20" ht="12.75" customHeight="1">
      <c r="B202" s="65"/>
      <c r="C202" s="39"/>
      <c r="D202" s="39"/>
      <c r="E202" s="39"/>
      <c r="F202" s="39"/>
      <c r="G202" s="17"/>
      <c r="S202" s="39"/>
      <c r="T202" s="632" t="s">
        <v>583</v>
      </c>
    </row>
    <row r="203" spans="2:20" ht="12.75" customHeight="1">
      <c r="B203" s="65"/>
      <c r="C203" s="33" t="s">
        <v>37</v>
      </c>
      <c r="D203" s="48"/>
      <c r="E203" s="48"/>
      <c r="F203" s="48"/>
      <c r="G203" s="18"/>
      <c r="H203" s="17" t="s">
        <v>206</v>
      </c>
      <c r="I203" s="38"/>
      <c r="J203" s="38"/>
      <c r="K203" s="38"/>
      <c r="L203" s="39" t="s">
        <v>80</v>
      </c>
      <c r="M203" s="39"/>
      <c r="N203" s="39"/>
      <c r="O203" s="39"/>
      <c r="P203" s="18"/>
      <c r="Q203" s="39"/>
      <c r="R203" s="39" t="s">
        <v>190</v>
      </c>
      <c r="S203" s="38"/>
      <c r="T203" s="544"/>
    </row>
    <row r="204" spans="2:20" ht="12.75" customHeight="1">
      <c r="B204" s="65"/>
      <c r="C204" s="104" t="s">
        <v>156</v>
      </c>
      <c r="D204" s="83"/>
      <c r="E204" s="83"/>
      <c r="F204" s="83"/>
      <c r="G204" s="84"/>
      <c r="H204" s="545"/>
      <c r="I204" s="36" t="s">
        <v>77</v>
      </c>
      <c r="J204" s="85"/>
      <c r="K204" s="113"/>
      <c r="L204" s="107">
        <v>14.65</v>
      </c>
      <c r="M204" s="182" t="s">
        <v>69</v>
      </c>
      <c r="N204" s="86"/>
      <c r="O204" s="86"/>
      <c r="P204" s="88"/>
      <c r="Q204" s="113"/>
      <c r="R204" s="570">
        <f>H204*L204</f>
        <v>0</v>
      </c>
      <c r="S204" s="571"/>
      <c r="T204" s="518" t="e">
        <f>R204/$Q$393</f>
        <v>#DIV/0!</v>
      </c>
    </row>
    <row r="205" spans="2:20" ht="12.75" customHeight="1">
      <c r="B205" s="65"/>
      <c r="C205" s="104" t="s">
        <v>157</v>
      </c>
      <c r="D205" s="83"/>
      <c r="E205" s="83"/>
      <c r="F205" s="83"/>
      <c r="G205" s="84"/>
      <c r="H205" s="545"/>
      <c r="I205" s="36" t="s">
        <v>79</v>
      </c>
      <c r="J205" s="85"/>
      <c r="K205" s="113"/>
      <c r="L205" s="108">
        <v>22200</v>
      </c>
      <c r="M205" s="182" t="s">
        <v>527</v>
      </c>
      <c r="N205" s="86"/>
      <c r="O205" s="86"/>
      <c r="P205" s="88"/>
      <c r="Q205" s="113"/>
      <c r="R205" s="570">
        <f>(H205*L205)/1000</f>
        <v>0</v>
      </c>
      <c r="S205" s="571"/>
      <c r="T205" s="518" t="e">
        <f>R205/$Q$393</f>
        <v>#DIV/0!</v>
      </c>
    </row>
    <row r="206" spans="2:20" ht="12.75" customHeight="1">
      <c r="B206" s="65"/>
      <c r="C206" s="38"/>
      <c r="D206" s="38"/>
      <c r="E206" s="38"/>
      <c r="F206" s="38"/>
      <c r="G206" s="38"/>
      <c r="H206" s="38"/>
      <c r="I206" s="38"/>
      <c r="J206" s="38"/>
      <c r="K206" s="38"/>
      <c r="L206" s="38"/>
      <c r="M206" s="38"/>
      <c r="N206" s="38"/>
      <c r="O206" s="38"/>
      <c r="P206" s="38"/>
      <c r="Q206" s="38"/>
      <c r="R206" s="38"/>
      <c r="S206" s="38"/>
      <c r="T206" s="7"/>
    </row>
    <row r="207" spans="2:20" ht="12.75" customHeight="1">
      <c r="B207" s="65"/>
      <c r="C207" s="33" t="s">
        <v>41</v>
      </c>
      <c r="D207" s="48"/>
      <c r="E207" s="48"/>
      <c r="F207" s="48"/>
      <c r="G207" s="18"/>
      <c r="H207" s="38"/>
      <c r="I207" s="38"/>
      <c r="J207" s="38"/>
      <c r="K207" s="38"/>
      <c r="L207" s="38"/>
      <c r="M207" s="38"/>
      <c r="N207" s="28"/>
      <c r="O207" s="28"/>
      <c r="P207" s="18"/>
      <c r="Q207" s="38"/>
      <c r="R207" s="38"/>
      <c r="S207" s="38"/>
      <c r="T207" s="7"/>
    </row>
    <row r="208" spans="2:20" ht="12.75" customHeight="1">
      <c r="B208" s="65"/>
      <c r="C208" s="104" t="s">
        <v>66</v>
      </c>
      <c r="D208" s="83"/>
      <c r="E208" s="83"/>
      <c r="F208" s="83"/>
      <c r="G208" s="84"/>
      <c r="H208" s="545"/>
      <c r="I208" s="562" t="s">
        <v>77</v>
      </c>
      <c r="J208" s="563"/>
      <c r="K208" s="564"/>
      <c r="L208" s="107">
        <v>0.75</v>
      </c>
      <c r="M208" s="562" t="s">
        <v>69</v>
      </c>
      <c r="N208" s="563"/>
      <c r="O208" s="563"/>
      <c r="P208" s="563"/>
      <c r="Q208" s="564"/>
      <c r="R208" s="570">
        <f>H208*L208</f>
        <v>0</v>
      </c>
      <c r="S208" s="571"/>
      <c r="T208" s="518" t="e">
        <f>R208/$Q$393</f>
        <v>#DIV/0!</v>
      </c>
    </row>
    <row r="209" spans="2:20" ht="12.75" customHeight="1">
      <c r="B209" s="65"/>
      <c r="C209" s="104" t="s">
        <v>67</v>
      </c>
      <c r="D209" s="83"/>
      <c r="E209" s="83"/>
      <c r="F209" s="83"/>
      <c r="G209" s="84"/>
      <c r="H209" s="545"/>
      <c r="I209" s="565"/>
      <c r="J209" s="566"/>
      <c r="K209" s="567"/>
      <c r="L209" s="107">
        <v>0.86</v>
      </c>
      <c r="M209" s="565"/>
      <c r="N209" s="566"/>
      <c r="O209" s="566"/>
      <c r="P209" s="566"/>
      <c r="Q209" s="567"/>
      <c r="R209" s="570">
        <f>H209*L209</f>
        <v>0</v>
      </c>
      <c r="S209" s="571"/>
      <c r="T209" s="518" t="e">
        <f>R209/$Q$393</f>
        <v>#DIV/0!</v>
      </c>
    </row>
    <row r="210" spans="2:20" ht="12.75" customHeight="1">
      <c r="B210" s="65"/>
      <c r="C210" s="104" t="s">
        <v>68</v>
      </c>
      <c r="D210" s="83"/>
      <c r="E210" s="83"/>
      <c r="F210" s="83"/>
      <c r="G210" s="84"/>
      <c r="H210" s="545"/>
      <c r="I210" s="542"/>
      <c r="J210" s="543"/>
      <c r="K210" s="544"/>
      <c r="L210" s="107">
        <v>0.59</v>
      </c>
      <c r="M210" s="542"/>
      <c r="N210" s="543"/>
      <c r="O210" s="543"/>
      <c r="P210" s="543"/>
      <c r="Q210" s="544"/>
      <c r="R210" s="570">
        <f>H210*L210</f>
        <v>0</v>
      </c>
      <c r="S210" s="571"/>
      <c r="T210" s="518" t="e">
        <f>R210/$Q$393</f>
        <v>#DIV/0!</v>
      </c>
    </row>
    <row r="211" spans="2:20" ht="12.75" customHeight="1">
      <c r="B211" s="65"/>
      <c r="C211" s="106"/>
      <c r="D211" s="18"/>
      <c r="E211" s="18"/>
      <c r="F211" s="18"/>
      <c r="G211" s="38"/>
      <c r="H211" s="38"/>
      <c r="I211" s="38"/>
      <c r="J211" s="38"/>
      <c r="K211" s="38"/>
      <c r="L211" s="38"/>
      <c r="M211" s="38"/>
      <c r="N211" s="28"/>
      <c r="O211" s="28"/>
      <c r="P211" s="18"/>
      <c r="Q211" s="28"/>
      <c r="R211" s="28"/>
      <c r="S211" s="28"/>
      <c r="T211" s="7"/>
    </row>
    <row r="212" spans="2:20" ht="12.75" customHeight="1">
      <c r="B212" s="65"/>
      <c r="C212" s="33" t="s">
        <v>72</v>
      </c>
      <c r="D212" s="49"/>
      <c r="E212" s="49"/>
      <c r="F212" s="48"/>
      <c r="G212" s="38"/>
      <c r="H212" s="38"/>
      <c r="I212" s="38"/>
      <c r="J212" s="38"/>
      <c r="K212" s="38"/>
      <c r="L212" s="38"/>
      <c r="M212" s="38"/>
      <c r="N212" s="28"/>
      <c r="O212" s="28"/>
      <c r="P212" s="18"/>
      <c r="Q212" s="28"/>
      <c r="R212" s="28"/>
      <c r="S212" s="28"/>
      <c r="T212" s="7"/>
    </row>
    <row r="213" spans="2:20" ht="12.75" customHeight="1">
      <c r="B213" s="65"/>
      <c r="C213" s="104" t="s">
        <v>73</v>
      </c>
      <c r="D213" s="83"/>
      <c r="E213" s="83"/>
      <c r="F213" s="83"/>
      <c r="G213" s="84"/>
      <c r="H213" s="545"/>
      <c r="I213" s="562" t="s">
        <v>381</v>
      </c>
      <c r="J213" s="563"/>
      <c r="K213" s="564"/>
      <c r="L213" s="109">
        <v>0.477</v>
      </c>
      <c r="M213" s="562" t="s">
        <v>75</v>
      </c>
      <c r="N213" s="563"/>
      <c r="O213" s="563"/>
      <c r="P213" s="563"/>
      <c r="Q213" s="564"/>
      <c r="R213" s="570">
        <f>H213*L213</f>
        <v>0</v>
      </c>
      <c r="S213" s="571"/>
      <c r="T213" s="518" t="e">
        <f>R213/$Q$393</f>
        <v>#DIV/0!</v>
      </c>
    </row>
    <row r="214" spans="2:20" ht="12.75" customHeight="1">
      <c r="B214" s="65"/>
      <c r="C214" s="104" t="s">
        <v>74</v>
      </c>
      <c r="D214" s="83"/>
      <c r="E214" s="83"/>
      <c r="F214" s="83"/>
      <c r="G214" s="84"/>
      <c r="H214" s="545"/>
      <c r="I214" s="542"/>
      <c r="J214" s="543"/>
      <c r="K214" s="544"/>
      <c r="L214" s="109">
        <v>0.44</v>
      </c>
      <c r="M214" s="542"/>
      <c r="N214" s="543"/>
      <c r="O214" s="543"/>
      <c r="P214" s="543"/>
      <c r="Q214" s="544"/>
      <c r="R214" s="570">
        <f>H214*L214</f>
        <v>0</v>
      </c>
      <c r="S214" s="571"/>
      <c r="T214" s="518" t="e">
        <f>R214/$Q$393</f>
        <v>#DIV/0!</v>
      </c>
    </row>
    <row r="215" spans="2:38" ht="12.75" customHeight="1">
      <c r="B215" s="65"/>
      <c r="C215" s="28"/>
      <c r="D215" s="28"/>
      <c r="E215" s="28"/>
      <c r="F215" s="28"/>
      <c r="G215" s="28"/>
      <c r="H215" s="28"/>
      <c r="I215" s="28"/>
      <c r="J215" s="28"/>
      <c r="K215" s="28"/>
      <c r="L215" s="28"/>
      <c r="M215" s="28"/>
      <c r="N215" s="28"/>
      <c r="O215" s="28"/>
      <c r="P215" s="28"/>
      <c r="Q215" s="28"/>
      <c r="R215" s="28"/>
      <c r="S215" s="28"/>
      <c r="T215" s="7"/>
      <c r="AL215"/>
    </row>
    <row r="216" spans="2:38" ht="12.75" customHeight="1">
      <c r="B216" s="65"/>
      <c r="C216" s="33" t="s">
        <v>259</v>
      </c>
      <c r="D216" s="48"/>
      <c r="E216" s="49"/>
      <c r="F216" s="38"/>
      <c r="G216" s="38"/>
      <c r="H216" s="38"/>
      <c r="I216" s="38"/>
      <c r="J216" s="38"/>
      <c r="K216" s="38"/>
      <c r="L216" s="38"/>
      <c r="M216" s="38"/>
      <c r="N216" s="38"/>
      <c r="O216" s="28"/>
      <c r="P216" s="18"/>
      <c r="Q216" s="28"/>
      <c r="R216" s="28"/>
      <c r="S216" s="28"/>
      <c r="T216" s="7"/>
      <c r="AL216"/>
    </row>
    <row r="217" spans="2:20" ht="12.75" customHeight="1">
      <c r="B217" s="65"/>
      <c r="C217" s="104" t="s">
        <v>81</v>
      </c>
      <c r="D217" s="83"/>
      <c r="E217" s="83"/>
      <c r="F217" s="83"/>
      <c r="G217" s="84"/>
      <c r="H217" s="545"/>
      <c r="I217" s="562" t="s">
        <v>381</v>
      </c>
      <c r="J217" s="563"/>
      <c r="K217" s="564"/>
      <c r="L217" s="29">
        <v>4560</v>
      </c>
      <c r="M217" s="562" t="s">
        <v>75</v>
      </c>
      <c r="N217" s="563"/>
      <c r="O217" s="563"/>
      <c r="P217" s="563"/>
      <c r="Q217" s="564"/>
      <c r="R217" s="570">
        <f aca="true" t="shared" si="23" ref="R217:R222">H217*L217</f>
        <v>0</v>
      </c>
      <c r="S217" s="571"/>
      <c r="T217" s="518" t="e">
        <f aca="true" t="shared" si="24" ref="T217:T222">R217/$Q$393</f>
        <v>#DIV/0!</v>
      </c>
    </row>
    <row r="218" spans="2:20" ht="12.75" customHeight="1">
      <c r="B218" s="65"/>
      <c r="C218" s="104" t="s">
        <v>82</v>
      </c>
      <c r="D218" s="83"/>
      <c r="E218" s="83"/>
      <c r="F218" s="83"/>
      <c r="G218" s="84"/>
      <c r="H218" s="545"/>
      <c r="I218" s="565"/>
      <c r="J218" s="566"/>
      <c r="K218" s="567"/>
      <c r="L218" s="29">
        <v>9163</v>
      </c>
      <c r="M218" s="565"/>
      <c r="N218" s="566"/>
      <c r="O218" s="566"/>
      <c r="P218" s="566"/>
      <c r="Q218" s="567"/>
      <c r="R218" s="570">
        <f t="shared" si="23"/>
        <v>0</v>
      </c>
      <c r="S218" s="571"/>
      <c r="T218" s="518" t="e">
        <f t="shared" si="24"/>
        <v>#DIV/0!</v>
      </c>
    </row>
    <row r="219" spans="2:20" ht="12.75" customHeight="1">
      <c r="B219" s="65"/>
      <c r="C219" s="104" t="s">
        <v>83</v>
      </c>
      <c r="D219" s="83"/>
      <c r="E219" s="83"/>
      <c r="F219" s="83"/>
      <c r="G219" s="84"/>
      <c r="H219" s="545"/>
      <c r="I219" s="565"/>
      <c r="J219" s="566"/>
      <c r="K219" s="567"/>
      <c r="L219" s="29">
        <v>3600</v>
      </c>
      <c r="M219" s="565"/>
      <c r="N219" s="566"/>
      <c r="O219" s="566"/>
      <c r="P219" s="566"/>
      <c r="Q219" s="567"/>
      <c r="R219" s="570">
        <f t="shared" si="23"/>
        <v>0</v>
      </c>
      <c r="S219" s="571"/>
      <c r="T219" s="518" t="e">
        <f t="shared" si="24"/>
        <v>#DIV/0!</v>
      </c>
    </row>
    <row r="220" spans="2:20" ht="12.75" customHeight="1">
      <c r="B220" s="65"/>
      <c r="C220" s="104" t="s">
        <v>84</v>
      </c>
      <c r="D220" s="83"/>
      <c r="E220" s="83"/>
      <c r="F220" s="83"/>
      <c r="G220" s="84"/>
      <c r="H220" s="545"/>
      <c r="I220" s="565"/>
      <c r="J220" s="566"/>
      <c r="K220" s="567"/>
      <c r="L220" s="29">
        <v>4128</v>
      </c>
      <c r="M220" s="565"/>
      <c r="N220" s="566"/>
      <c r="O220" s="566"/>
      <c r="P220" s="566"/>
      <c r="Q220" s="567"/>
      <c r="R220" s="570">
        <f t="shared" si="23"/>
        <v>0</v>
      </c>
      <c r="S220" s="571"/>
      <c r="T220" s="518" t="e">
        <f t="shared" si="24"/>
        <v>#DIV/0!</v>
      </c>
    </row>
    <row r="221" spans="2:20" ht="12.75" customHeight="1">
      <c r="B221" s="65"/>
      <c r="C221" s="104" t="s">
        <v>85</v>
      </c>
      <c r="D221" s="83"/>
      <c r="E221" s="83"/>
      <c r="F221" s="83"/>
      <c r="G221" s="84"/>
      <c r="H221" s="545"/>
      <c r="I221" s="565"/>
      <c r="J221" s="566"/>
      <c r="K221" s="567"/>
      <c r="L221" s="29">
        <v>3000</v>
      </c>
      <c r="M221" s="565"/>
      <c r="N221" s="566"/>
      <c r="O221" s="566"/>
      <c r="P221" s="566"/>
      <c r="Q221" s="567"/>
      <c r="R221" s="570">
        <f t="shared" si="23"/>
        <v>0</v>
      </c>
      <c r="S221" s="571"/>
      <c r="T221" s="518" t="e">
        <f t="shared" si="24"/>
        <v>#DIV/0!</v>
      </c>
    </row>
    <row r="222" spans="2:20" ht="12.75" customHeight="1">
      <c r="B222" s="65"/>
      <c r="C222" s="104" t="s">
        <v>86</v>
      </c>
      <c r="D222" s="83"/>
      <c r="E222" s="83"/>
      <c r="F222" s="83"/>
      <c r="G222" s="84"/>
      <c r="H222" s="545"/>
      <c r="I222" s="542"/>
      <c r="J222" s="543"/>
      <c r="K222" s="544"/>
      <c r="L222" s="29">
        <v>11000</v>
      </c>
      <c r="M222" s="542"/>
      <c r="N222" s="543"/>
      <c r="O222" s="543"/>
      <c r="P222" s="543"/>
      <c r="Q222" s="544"/>
      <c r="R222" s="570">
        <f t="shared" si="23"/>
        <v>0</v>
      </c>
      <c r="S222" s="571"/>
      <c r="T222" s="518" t="e">
        <f t="shared" si="24"/>
        <v>#DIV/0!</v>
      </c>
    </row>
    <row r="223" spans="2:20" ht="12.75" customHeight="1">
      <c r="B223" s="65"/>
      <c r="C223" s="27"/>
      <c r="D223" s="27"/>
      <c r="E223" s="27"/>
      <c r="F223" s="25"/>
      <c r="G223" s="25"/>
      <c r="H223" s="25"/>
      <c r="I223" s="25"/>
      <c r="J223" s="25"/>
      <c r="K223" s="25"/>
      <c r="L223" s="25"/>
      <c r="M223" s="25"/>
      <c r="N223" s="25"/>
      <c r="O223" s="25"/>
      <c r="P223" s="25"/>
      <c r="Q223" s="25"/>
      <c r="R223" s="18"/>
      <c r="S223" s="18"/>
      <c r="T223" s="7"/>
    </row>
    <row r="224" spans="2:20" ht="12.75" customHeight="1">
      <c r="B224" s="65"/>
      <c r="C224" s="26" t="s">
        <v>209</v>
      </c>
      <c r="D224" s="27"/>
      <c r="E224" s="27"/>
      <c r="F224" s="25"/>
      <c r="G224" s="25"/>
      <c r="H224" s="25"/>
      <c r="I224" s="25"/>
      <c r="J224" s="25"/>
      <c r="K224" s="25"/>
      <c r="L224" s="25"/>
      <c r="M224" s="25"/>
      <c r="N224" s="25"/>
      <c r="O224" s="25"/>
      <c r="P224" s="25"/>
      <c r="Q224" s="25"/>
      <c r="R224" s="18"/>
      <c r="S224" s="18"/>
      <c r="T224" s="7"/>
    </row>
    <row r="225" spans="2:20" ht="12.75" customHeight="1">
      <c r="B225" s="65"/>
      <c r="C225" s="104" t="s">
        <v>36</v>
      </c>
      <c r="D225" s="83"/>
      <c r="E225" s="83"/>
      <c r="F225" s="83"/>
      <c r="G225" s="84"/>
      <c r="H225" s="545"/>
      <c r="I225" s="562" t="s">
        <v>77</v>
      </c>
      <c r="J225" s="563"/>
      <c r="K225" s="564"/>
      <c r="L225" s="50">
        <v>24.86</v>
      </c>
      <c r="M225" s="562" t="s">
        <v>69</v>
      </c>
      <c r="N225" s="563"/>
      <c r="O225" s="563"/>
      <c r="P225" s="563"/>
      <c r="Q225" s="564"/>
      <c r="R225" s="570">
        <f aca="true" t="shared" si="25" ref="R225:R236">H225*L225</f>
        <v>0</v>
      </c>
      <c r="S225" s="571"/>
      <c r="T225" s="518" t="e">
        <f aca="true" t="shared" si="26" ref="T225:T240">R225/$Q$393</f>
        <v>#DIV/0!</v>
      </c>
    </row>
    <row r="226" spans="2:20" ht="12.75" customHeight="1">
      <c r="B226" s="65"/>
      <c r="C226" s="104" t="s">
        <v>120</v>
      </c>
      <c r="D226" s="83"/>
      <c r="E226" s="83"/>
      <c r="F226" s="83"/>
      <c r="G226" s="84"/>
      <c r="H226" s="545"/>
      <c r="I226" s="565"/>
      <c r="J226" s="566"/>
      <c r="K226" s="567"/>
      <c r="L226" s="50">
        <v>1.26</v>
      </c>
      <c r="M226" s="565"/>
      <c r="N226" s="566"/>
      <c r="O226" s="566"/>
      <c r="P226" s="566"/>
      <c r="Q226" s="567"/>
      <c r="R226" s="570">
        <f t="shared" si="25"/>
        <v>0</v>
      </c>
      <c r="S226" s="571"/>
      <c r="T226" s="518" t="e">
        <f t="shared" si="26"/>
        <v>#DIV/0!</v>
      </c>
    </row>
    <row r="227" spans="2:20" ht="12.75" customHeight="1">
      <c r="B227" s="65"/>
      <c r="C227" s="104" t="s">
        <v>65</v>
      </c>
      <c r="D227" s="83"/>
      <c r="E227" s="83"/>
      <c r="F227" s="83"/>
      <c r="G227" s="84"/>
      <c r="H227" s="545"/>
      <c r="I227" s="565"/>
      <c r="J227" s="566"/>
      <c r="K227" s="567"/>
      <c r="L227" s="50">
        <v>0.499</v>
      </c>
      <c r="M227" s="565"/>
      <c r="N227" s="566"/>
      <c r="O227" s="566"/>
      <c r="P227" s="566"/>
      <c r="Q227" s="567"/>
      <c r="R227" s="570">
        <f t="shared" si="25"/>
        <v>0</v>
      </c>
      <c r="S227" s="571"/>
      <c r="T227" s="518" t="e">
        <f t="shared" si="26"/>
        <v>#DIV/0!</v>
      </c>
    </row>
    <row r="228" spans="2:24" ht="12.75" customHeight="1">
      <c r="B228" s="65"/>
      <c r="C228" s="104" t="s">
        <v>38</v>
      </c>
      <c r="D228" s="83"/>
      <c r="F228" s="136" t="s">
        <v>242</v>
      </c>
      <c r="G228" s="84"/>
      <c r="H228" s="21"/>
      <c r="I228" s="565"/>
      <c r="J228" s="566"/>
      <c r="K228" s="567"/>
      <c r="L228" s="50"/>
      <c r="M228" s="565"/>
      <c r="N228" s="566"/>
      <c r="O228" s="566"/>
      <c r="P228" s="566"/>
      <c r="Q228" s="567"/>
      <c r="R228" s="570">
        <f t="shared" si="25"/>
        <v>0</v>
      </c>
      <c r="S228" s="571"/>
      <c r="T228" s="518" t="e">
        <f t="shared" si="26"/>
        <v>#DIV/0!</v>
      </c>
      <c r="X228" s="25"/>
    </row>
    <row r="229" spans="2:38" ht="12.75" customHeight="1">
      <c r="B229" s="65"/>
      <c r="C229" s="104" t="s">
        <v>39</v>
      </c>
      <c r="D229" s="83"/>
      <c r="E229" s="83"/>
      <c r="F229" s="83"/>
      <c r="G229" s="84"/>
      <c r="H229" s="545"/>
      <c r="I229" s="565"/>
      <c r="J229" s="566"/>
      <c r="K229" s="567"/>
      <c r="L229" s="50">
        <v>1.75</v>
      </c>
      <c r="M229" s="565"/>
      <c r="N229" s="566"/>
      <c r="O229" s="566"/>
      <c r="P229" s="566"/>
      <c r="Q229" s="567"/>
      <c r="R229" s="570">
        <f t="shared" si="25"/>
        <v>0</v>
      </c>
      <c r="S229" s="571"/>
      <c r="T229" s="518" t="e">
        <f t="shared" si="26"/>
        <v>#DIV/0!</v>
      </c>
      <c r="X229" s="25"/>
      <c r="AL229"/>
    </row>
    <row r="230" spans="2:38" ht="12.75" customHeight="1">
      <c r="B230" s="65"/>
      <c r="C230" s="104" t="s">
        <v>42</v>
      </c>
      <c r="D230" s="83"/>
      <c r="E230" s="83"/>
      <c r="F230" s="83"/>
      <c r="G230" s="84"/>
      <c r="H230" s="545"/>
      <c r="I230" s="565"/>
      <c r="J230" s="566"/>
      <c r="K230" s="567"/>
      <c r="L230" s="50">
        <v>0.046</v>
      </c>
      <c r="M230" s="565"/>
      <c r="N230" s="566"/>
      <c r="O230" s="566"/>
      <c r="P230" s="566"/>
      <c r="Q230" s="567"/>
      <c r="R230" s="570">
        <f t="shared" si="25"/>
        <v>0</v>
      </c>
      <c r="S230" s="571"/>
      <c r="T230" s="518" t="e">
        <f t="shared" si="26"/>
        <v>#DIV/0!</v>
      </c>
      <c r="X230" s="25"/>
      <c r="AL230"/>
    </row>
    <row r="231" spans="2:38" ht="12.75" customHeight="1">
      <c r="B231" s="65"/>
      <c r="C231" s="104" t="s">
        <v>576</v>
      </c>
      <c r="D231" s="83"/>
      <c r="E231" s="83"/>
      <c r="F231" s="83"/>
      <c r="G231" s="84"/>
      <c r="H231" s="545"/>
      <c r="I231" s="565"/>
      <c r="J231" s="566"/>
      <c r="K231" s="567"/>
      <c r="L231" s="50">
        <v>0.592</v>
      </c>
      <c r="M231" s="565"/>
      <c r="N231" s="566"/>
      <c r="O231" s="566"/>
      <c r="P231" s="566"/>
      <c r="Q231" s="567"/>
      <c r="R231" s="570">
        <f>H231*L231</f>
        <v>0</v>
      </c>
      <c r="S231" s="571"/>
      <c r="T231" s="518" t="e">
        <f t="shared" si="26"/>
        <v>#DIV/0!</v>
      </c>
      <c r="X231" s="25"/>
      <c r="AL231"/>
    </row>
    <row r="232" spans="2:42" ht="12.75" customHeight="1">
      <c r="B232" s="65"/>
      <c r="C232" s="104" t="s">
        <v>577</v>
      </c>
      <c r="D232" s="83"/>
      <c r="E232" s="83"/>
      <c r="F232" s="83"/>
      <c r="G232" s="84"/>
      <c r="H232" s="545"/>
      <c r="I232" s="565"/>
      <c r="J232" s="566"/>
      <c r="K232" s="567"/>
      <c r="L232" s="50">
        <v>2.812</v>
      </c>
      <c r="M232" s="565"/>
      <c r="N232" s="566"/>
      <c r="O232" s="566"/>
      <c r="P232" s="566"/>
      <c r="Q232" s="567"/>
      <c r="R232" s="570">
        <f t="shared" si="25"/>
        <v>0</v>
      </c>
      <c r="S232" s="571"/>
      <c r="T232" s="518" t="e">
        <f t="shared" si="26"/>
        <v>#DIV/0!</v>
      </c>
      <c r="X232" s="25"/>
      <c r="AO232" s="25"/>
      <c r="AP232" s="25"/>
    </row>
    <row r="233" spans="2:42" ht="12.75" customHeight="1">
      <c r="B233" s="65"/>
      <c r="C233" s="104" t="s">
        <v>70</v>
      </c>
      <c r="D233" s="83"/>
      <c r="E233" s="83"/>
      <c r="F233" s="83"/>
      <c r="G233" s="84"/>
      <c r="H233" s="545"/>
      <c r="I233" s="542"/>
      <c r="J233" s="543"/>
      <c r="K233" s="544"/>
      <c r="L233" s="32">
        <v>0.097</v>
      </c>
      <c r="M233" s="542"/>
      <c r="N233" s="543"/>
      <c r="O233" s="543"/>
      <c r="P233" s="543"/>
      <c r="Q233" s="544"/>
      <c r="R233" s="570">
        <f t="shared" si="25"/>
        <v>0</v>
      </c>
      <c r="S233" s="571"/>
      <c r="T233" s="518" t="e">
        <f t="shared" si="26"/>
        <v>#DIV/0!</v>
      </c>
      <c r="X233" s="25"/>
      <c r="AM233" s="25"/>
      <c r="AN233" s="25"/>
      <c r="AO233" s="25"/>
      <c r="AP233" s="25"/>
    </row>
    <row r="234" spans="2:42" ht="12.75" customHeight="1">
      <c r="B234" s="65"/>
      <c r="C234" s="104" t="s">
        <v>71</v>
      </c>
      <c r="D234" s="83"/>
      <c r="E234" s="83"/>
      <c r="F234" s="83"/>
      <c r="G234" s="84"/>
      <c r="H234" s="545"/>
      <c r="I234" s="36" t="s">
        <v>381</v>
      </c>
      <c r="J234" s="40"/>
      <c r="K234" s="185"/>
      <c r="L234" s="32">
        <v>0.415</v>
      </c>
      <c r="M234" s="36" t="s">
        <v>75</v>
      </c>
      <c r="N234" s="183"/>
      <c r="O234" s="183"/>
      <c r="P234" s="184"/>
      <c r="Q234" s="185"/>
      <c r="R234" s="570">
        <f t="shared" si="25"/>
        <v>0</v>
      </c>
      <c r="S234" s="571"/>
      <c r="T234" s="518" t="e">
        <f t="shared" si="26"/>
        <v>#DIV/0!</v>
      </c>
      <c r="X234" s="25"/>
      <c r="AM234" s="25"/>
      <c r="AN234" s="25"/>
      <c r="AO234" s="25"/>
      <c r="AP234" s="25"/>
    </row>
    <row r="235" spans="2:42" ht="12.75" customHeight="1">
      <c r="B235" s="65"/>
      <c r="C235" s="104" t="s">
        <v>43</v>
      </c>
      <c r="D235" s="83"/>
      <c r="E235" s="83"/>
      <c r="F235" s="83"/>
      <c r="G235" s="84"/>
      <c r="H235" s="545"/>
      <c r="I235" s="36" t="s">
        <v>79</v>
      </c>
      <c r="J235" s="40"/>
      <c r="K235" s="185"/>
      <c r="L235" s="29">
        <v>22200</v>
      </c>
      <c r="M235" s="36" t="s">
        <v>78</v>
      </c>
      <c r="N235" s="183"/>
      <c r="O235" s="183"/>
      <c r="P235" s="184"/>
      <c r="Q235" s="185"/>
      <c r="R235" s="570">
        <f t="shared" si="25"/>
        <v>0</v>
      </c>
      <c r="S235" s="571"/>
      <c r="T235" s="518" t="e">
        <f t="shared" si="26"/>
        <v>#DIV/0!</v>
      </c>
      <c r="X235" s="25"/>
      <c r="AM235" s="25"/>
      <c r="AN235" s="25"/>
      <c r="AO235" s="25"/>
      <c r="AP235" s="25"/>
    </row>
    <row r="236" spans="2:42" ht="12.75" customHeight="1">
      <c r="B236" s="65"/>
      <c r="C236" s="104" t="s">
        <v>28</v>
      </c>
      <c r="D236" s="83"/>
      <c r="E236" s="83"/>
      <c r="F236" s="83"/>
      <c r="G236" s="84"/>
      <c r="H236" s="545"/>
      <c r="I236" s="484" t="s">
        <v>77</v>
      </c>
      <c r="J236" s="485"/>
      <c r="K236" s="486"/>
      <c r="L236" s="497"/>
      <c r="M236" s="480" t="s">
        <v>69</v>
      </c>
      <c r="N236" s="482"/>
      <c r="O236" s="482"/>
      <c r="P236" s="483"/>
      <c r="Q236" s="487"/>
      <c r="R236" s="570">
        <f t="shared" si="25"/>
        <v>0</v>
      </c>
      <c r="S236" s="571"/>
      <c r="T236" s="518" t="e">
        <f t="shared" si="26"/>
        <v>#DIV/0!</v>
      </c>
      <c r="X236" s="25"/>
      <c r="AM236" s="25"/>
      <c r="AN236" s="25"/>
      <c r="AO236" s="25"/>
      <c r="AP236" s="25"/>
    </row>
    <row r="237" spans="2:42" ht="12.75" customHeight="1">
      <c r="B237" s="65"/>
      <c r="C237" s="104" t="s">
        <v>522</v>
      </c>
      <c r="D237" s="83"/>
      <c r="E237" s="83"/>
      <c r="F237" s="83"/>
      <c r="G237" s="84"/>
      <c r="H237" s="547"/>
      <c r="I237" s="562" t="s">
        <v>77</v>
      </c>
      <c r="J237" s="563"/>
      <c r="K237" s="564"/>
      <c r="L237" s="488">
        <v>253</v>
      </c>
      <c r="M237" s="562" t="s">
        <v>526</v>
      </c>
      <c r="N237" s="563"/>
      <c r="O237" s="563"/>
      <c r="P237" s="563"/>
      <c r="Q237" s="564"/>
      <c r="R237" s="570">
        <f>(L237*H237)/1000</f>
        <v>0</v>
      </c>
      <c r="S237" s="569"/>
      <c r="T237" s="518" t="e">
        <f t="shared" si="26"/>
        <v>#DIV/0!</v>
      </c>
      <c r="X237" s="25"/>
      <c r="AM237" s="25"/>
      <c r="AN237" s="25"/>
      <c r="AO237" s="25"/>
      <c r="AP237" s="25"/>
    </row>
    <row r="238" spans="2:42" ht="12.75" customHeight="1">
      <c r="B238" s="65"/>
      <c r="C238" s="104" t="s">
        <v>523</v>
      </c>
      <c r="D238" s="83"/>
      <c r="E238" s="83"/>
      <c r="F238" s="83"/>
      <c r="G238" s="84"/>
      <c r="H238" s="547"/>
      <c r="I238" s="565"/>
      <c r="J238" s="566"/>
      <c r="K238" s="567"/>
      <c r="L238" s="488">
        <v>23</v>
      </c>
      <c r="M238" s="565"/>
      <c r="N238" s="566"/>
      <c r="O238" s="566"/>
      <c r="P238" s="566"/>
      <c r="Q238" s="567"/>
      <c r="R238" s="570">
        <f>(L238*H238)/1000</f>
        <v>0</v>
      </c>
      <c r="S238" s="569"/>
      <c r="T238" s="518" t="e">
        <f t="shared" si="26"/>
        <v>#DIV/0!</v>
      </c>
      <c r="X238" s="25"/>
      <c r="AM238" s="25"/>
      <c r="AN238" s="25"/>
      <c r="AO238" s="25"/>
      <c r="AP238" s="25"/>
    </row>
    <row r="239" spans="2:42" ht="12.75" customHeight="1">
      <c r="B239" s="65"/>
      <c r="C239" s="104" t="s">
        <v>524</v>
      </c>
      <c r="D239" s="83"/>
      <c r="E239" s="83"/>
      <c r="F239" s="83"/>
      <c r="G239" s="84"/>
      <c r="H239" s="547"/>
      <c r="I239" s="565"/>
      <c r="J239" s="566"/>
      <c r="K239" s="567"/>
      <c r="L239" s="488">
        <v>9.2</v>
      </c>
      <c r="M239" s="565"/>
      <c r="N239" s="566"/>
      <c r="O239" s="566"/>
      <c r="P239" s="566"/>
      <c r="Q239" s="567"/>
      <c r="R239" s="570">
        <f>(L239*H239)/1000</f>
        <v>0</v>
      </c>
      <c r="S239" s="569"/>
      <c r="T239" s="518" t="e">
        <f t="shared" si="26"/>
        <v>#DIV/0!</v>
      </c>
      <c r="X239" s="25"/>
      <c r="AM239" s="25"/>
      <c r="AN239" s="25"/>
      <c r="AO239" s="25"/>
      <c r="AP239" s="25"/>
    </row>
    <row r="240" spans="2:42" ht="12.75" customHeight="1">
      <c r="B240" s="65"/>
      <c r="C240" s="104" t="s">
        <v>525</v>
      </c>
      <c r="D240" s="83"/>
      <c r="E240" s="83"/>
      <c r="F240" s="83"/>
      <c r="G240" s="84"/>
      <c r="H240" s="547"/>
      <c r="I240" s="542"/>
      <c r="J240" s="543"/>
      <c r="K240" s="544"/>
      <c r="L240" s="488">
        <v>92</v>
      </c>
      <c r="M240" s="542"/>
      <c r="N240" s="543"/>
      <c r="O240" s="543"/>
      <c r="P240" s="543"/>
      <c r="Q240" s="544"/>
      <c r="R240" s="570">
        <f>(L240*H240)/1000</f>
        <v>0</v>
      </c>
      <c r="S240" s="569"/>
      <c r="T240" s="518" t="e">
        <f t="shared" si="26"/>
        <v>#DIV/0!</v>
      </c>
      <c r="X240" s="25"/>
      <c r="AM240" s="25"/>
      <c r="AN240" s="25"/>
      <c r="AO240" s="25"/>
      <c r="AP240" s="25"/>
    </row>
    <row r="241" spans="2:40" ht="12.75" customHeight="1">
      <c r="B241" s="65"/>
      <c r="C241" s="522" t="s">
        <v>578</v>
      </c>
      <c r="D241" s="18"/>
      <c r="E241" s="18"/>
      <c r="F241" s="38"/>
      <c r="G241" s="38"/>
      <c r="H241" s="38"/>
      <c r="I241" s="38"/>
      <c r="J241" s="38"/>
      <c r="K241" s="38"/>
      <c r="L241" s="38"/>
      <c r="M241" s="38"/>
      <c r="N241" s="38"/>
      <c r="O241" s="28"/>
      <c r="P241" s="18"/>
      <c r="Q241" s="28"/>
      <c r="R241" s="18"/>
      <c r="S241" s="18"/>
      <c r="T241" s="7"/>
      <c r="X241" s="25"/>
      <c r="AM241" s="25"/>
      <c r="AN241" s="25"/>
    </row>
    <row r="242" spans="2:40" ht="12.75" customHeight="1">
      <c r="B242" s="65"/>
      <c r="C242" s="18"/>
      <c r="D242" s="18"/>
      <c r="E242" s="18"/>
      <c r="F242" s="38"/>
      <c r="G242" s="38"/>
      <c r="H242" s="38"/>
      <c r="I242" s="38"/>
      <c r="J242" s="38"/>
      <c r="K242" s="38"/>
      <c r="L242" s="38"/>
      <c r="M242" s="38"/>
      <c r="N242" s="38"/>
      <c r="O242" s="28"/>
      <c r="P242" s="18"/>
      <c r="Q242" s="28"/>
      <c r="R242" s="18"/>
      <c r="S242" s="18"/>
      <c r="T242" s="7"/>
      <c r="X242" s="25"/>
      <c r="AM242" s="25"/>
      <c r="AN242" s="25"/>
    </row>
    <row r="243" spans="2:39" ht="12.75" customHeight="1">
      <c r="B243" s="68" t="s">
        <v>389</v>
      </c>
      <c r="D243" s="27"/>
      <c r="E243" s="27"/>
      <c r="F243" s="25"/>
      <c r="G243" s="25"/>
      <c r="S243" s="18"/>
      <c r="T243" s="7"/>
      <c r="X243" s="25"/>
      <c r="AM243" s="25"/>
    </row>
    <row r="244" spans="2:39" ht="12.75" customHeight="1">
      <c r="B244" s="68"/>
      <c r="D244" s="27"/>
      <c r="E244" s="27"/>
      <c r="F244" s="25"/>
      <c r="G244" s="25"/>
      <c r="S244" s="18"/>
      <c r="T244" s="632" t="s">
        <v>583</v>
      </c>
      <c r="X244" s="25"/>
      <c r="AG244"/>
      <c r="AH244"/>
      <c r="AI244"/>
      <c r="AJ244"/>
      <c r="AK244"/>
      <c r="AL244"/>
      <c r="AM244" s="25"/>
    </row>
    <row r="245" spans="2:38" ht="12.75" customHeight="1">
      <c r="B245" s="65"/>
      <c r="C245" s="39"/>
      <c r="D245" s="39"/>
      <c r="E245" s="39"/>
      <c r="F245" s="25"/>
      <c r="G245" s="39"/>
      <c r="H245" s="17" t="s">
        <v>206</v>
      </c>
      <c r="I245" s="39"/>
      <c r="J245" s="39"/>
      <c r="K245" s="39"/>
      <c r="L245" s="17" t="s">
        <v>80</v>
      </c>
      <c r="M245" s="39"/>
      <c r="N245" s="39"/>
      <c r="O245" s="39"/>
      <c r="P245" s="18"/>
      <c r="Q245" s="39"/>
      <c r="R245" s="39" t="s">
        <v>190</v>
      </c>
      <c r="S245" s="18"/>
      <c r="T245" s="544"/>
      <c r="X245" s="25"/>
      <c r="AG245"/>
      <c r="AH245"/>
      <c r="AI245"/>
      <c r="AJ245"/>
      <c r="AK245"/>
      <c r="AL245"/>
    </row>
    <row r="246" spans="2:38" ht="24.75" customHeight="1">
      <c r="B246" s="65"/>
      <c r="C246" s="614" t="s">
        <v>176</v>
      </c>
      <c r="D246" s="573"/>
      <c r="E246" s="573"/>
      <c r="F246" s="573"/>
      <c r="G246" s="569"/>
      <c r="H246" s="547"/>
      <c r="I246" s="561" t="s">
        <v>89</v>
      </c>
      <c r="J246" s="573"/>
      <c r="K246" s="569"/>
      <c r="L246" s="263">
        <v>23</v>
      </c>
      <c r="M246" s="561" t="s">
        <v>88</v>
      </c>
      <c r="N246" s="573"/>
      <c r="O246" s="573"/>
      <c r="P246" s="573"/>
      <c r="Q246" s="569"/>
      <c r="R246" s="568">
        <f>H246*L246</f>
        <v>0</v>
      </c>
      <c r="S246" s="569"/>
      <c r="T246" s="518" t="e">
        <f>R246/$Q$393</f>
        <v>#DIV/0!</v>
      </c>
      <c r="W246" s="146"/>
      <c r="X246" s="150"/>
      <c r="Y246" s="150"/>
      <c r="Z246" s="150"/>
      <c r="AA246" s="150"/>
      <c r="AB246" s="150"/>
      <c r="AC246" s="151"/>
      <c r="AG246"/>
      <c r="AH246"/>
      <c r="AI246"/>
      <c r="AJ246"/>
      <c r="AK246"/>
      <c r="AL246"/>
    </row>
    <row r="247" spans="2:38" ht="26.25" customHeight="1">
      <c r="B247" s="65"/>
      <c r="C247" s="614" t="s">
        <v>87</v>
      </c>
      <c r="D247" s="573"/>
      <c r="E247" s="573"/>
      <c r="F247" s="573"/>
      <c r="G247" s="569"/>
      <c r="H247" s="547"/>
      <c r="I247" s="561" t="s">
        <v>197</v>
      </c>
      <c r="J247" s="573"/>
      <c r="K247" s="569"/>
      <c r="L247" s="264">
        <v>114.6</v>
      </c>
      <c r="M247" s="561" t="s">
        <v>193</v>
      </c>
      <c r="N247" s="573"/>
      <c r="O247" s="573"/>
      <c r="P247" s="573"/>
      <c r="Q247" s="569"/>
      <c r="R247" s="568">
        <f>H247*L247</f>
        <v>0</v>
      </c>
      <c r="S247" s="569"/>
      <c r="T247" s="518" t="e">
        <f>R247/$Q$393</f>
        <v>#DIV/0!</v>
      </c>
      <c r="W247" s="175"/>
      <c r="X247" s="621" t="str">
        <f>B251</f>
        <v>PROCESS EMISSIONS: Coal Mine Methane - Surface Mines and Post-Mining Operations</v>
      </c>
      <c r="Y247" s="621"/>
      <c r="Z247" s="621"/>
      <c r="AA247" s="621"/>
      <c r="AB247" s="621"/>
      <c r="AC247" s="152"/>
      <c r="AG247"/>
      <c r="AH247"/>
      <c r="AI247"/>
      <c r="AJ247"/>
      <c r="AK247"/>
      <c r="AL247"/>
    </row>
    <row r="248" spans="2:38" ht="28.5" customHeight="1">
      <c r="B248" s="65"/>
      <c r="C248" s="614" t="s">
        <v>76</v>
      </c>
      <c r="D248" s="573"/>
      <c r="E248" s="573"/>
      <c r="F248" s="573"/>
      <c r="G248" s="569"/>
      <c r="H248" s="547"/>
      <c r="I248" s="561" t="s">
        <v>144</v>
      </c>
      <c r="J248" s="573"/>
      <c r="K248" s="569"/>
      <c r="L248" s="265">
        <f>1.66666666666667*23</f>
        <v>38.333333333333414</v>
      </c>
      <c r="M248" s="561" t="s">
        <v>90</v>
      </c>
      <c r="N248" s="573"/>
      <c r="O248" s="573"/>
      <c r="P248" s="573"/>
      <c r="Q248" s="569"/>
      <c r="R248" s="568">
        <f>H248*L248</f>
        <v>0</v>
      </c>
      <c r="S248" s="569"/>
      <c r="T248" s="518" t="e">
        <f>R248/$Q$393</f>
        <v>#DIV/0!</v>
      </c>
      <c r="W248" s="147"/>
      <c r="X248" s="621"/>
      <c r="Y248" s="621"/>
      <c r="Z248" s="621"/>
      <c r="AA248" s="621"/>
      <c r="AB248" s="621"/>
      <c r="AC248" s="152"/>
      <c r="AF248"/>
      <c r="AG248"/>
      <c r="AH248"/>
      <c r="AI248"/>
      <c r="AJ248"/>
      <c r="AK248"/>
      <c r="AL248"/>
    </row>
    <row r="249" spans="2:38" ht="12.75" customHeight="1">
      <c r="B249" s="65"/>
      <c r="C249" s="15"/>
      <c r="D249" s="15"/>
      <c r="E249" s="15"/>
      <c r="F249" s="15"/>
      <c r="G249" s="15"/>
      <c r="H249" s="15"/>
      <c r="I249" s="15"/>
      <c r="J249" s="15"/>
      <c r="K249" s="15"/>
      <c r="L249" s="15"/>
      <c r="M249" s="15"/>
      <c r="N249" s="15"/>
      <c r="O249" s="15"/>
      <c r="P249" s="15"/>
      <c r="Q249" s="15"/>
      <c r="R249" s="15"/>
      <c r="S249" s="15"/>
      <c r="T249" s="7"/>
      <c r="W249" s="147"/>
      <c r="X249" s="153" t="s">
        <v>194</v>
      </c>
      <c r="Y249" s="154"/>
      <c r="Z249" s="155" t="s">
        <v>383</v>
      </c>
      <c r="AA249" s="155"/>
      <c r="AB249" s="174" t="s">
        <v>223</v>
      </c>
      <c r="AC249" s="152"/>
      <c r="AF249"/>
      <c r="AG249"/>
      <c r="AH249"/>
      <c r="AI249"/>
      <c r="AJ249"/>
      <c r="AK249"/>
      <c r="AL249"/>
    </row>
    <row r="250" spans="2:38" ht="12.75" customHeight="1">
      <c r="B250" s="65"/>
      <c r="C250" s="15"/>
      <c r="D250" s="15"/>
      <c r="E250" s="15"/>
      <c r="F250" s="15"/>
      <c r="G250" s="15"/>
      <c r="H250" s="15"/>
      <c r="I250" s="15"/>
      <c r="J250" s="15"/>
      <c r="K250" s="15"/>
      <c r="L250" s="15"/>
      <c r="M250" s="15"/>
      <c r="N250" s="15"/>
      <c r="O250" s="15"/>
      <c r="P250" s="15"/>
      <c r="Q250" s="15"/>
      <c r="R250" s="15"/>
      <c r="S250" s="15"/>
      <c r="T250" s="7"/>
      <c r="W250" s="148" t="s">
        <v>195</v>
      </c>
      <c r="X250" s="173">
        <v>1</v>
      </c>
      <c r="Y250" s="159" t="s">
        <v>195</v>
      </c>
      <c r="Z250" s="173">
        <v>1</v>
      </c>
      <c r="AA250" s="154"/>
      <c r="AB250" s="20">
        <f aca="true" t="shared" si="27" ref="AB250:AB257">IF(X250=0,0,(Z250-2)*20+X250)</f>
        <v>-19</v>
      </c>
      <c r="AC250" s="152"/>
      <c r="AG250"/>
      <c r="AH250"/>
      <c r="AI250"/>
      <c r="AJ250"/>
      <c r="AK250"/>
      <c r="AL250"/>
    </row>
    <row r="251" spans="2:38" ht="12.75" customHeight="1">
      <c r="B251" s="68" t="s">
        <v>219</v>
      </c>
      <c r="D251" s="22"/>
      <c r="E251" s="22"/>
      <c r="F251" s="22"/>
      <c r="S251" s="1"/>
      <c r="T251" s="7"/>
      <c r="W251" s="147">
        <v>2</v>
      </c>
      <c r="X251" s="173">
        <v>1</v>
      </c>
      <c r="Y251" s="153">
        <v>2</v>
      </c>
      <c r="Z251" s="173">
        <v>1</v>
      </c>
      <c r="AA251" s="154"/>
      <c r="AB251" s="20">
        <f t="shared" si="27"/>
        <v>-19</v>
      </c>
      <c r="AC251" s="152"/>
      <c r="AF251"/>
      <c r="AG251"/>
      <c r="AH251"/>
      <c r="AI251"/>
      <c r="AJ251"/>
      <c r="AK251"/>
      <c r="AL251"/>
    </row>
    <row r="252" spans="2:38" ht="12.75" customHeight="1">
      <c r="B252" s="68"/>
      <c r="D252" s="22"/>
      <c r="E252" s="22"/>
      <c r="F252" s="22"/>
      <c r="S252" s="1"/>
      <c r="T252" s="7"/>
      <c r="W252" s="147">
        <v>3</v>
      </c>
      <c r="X252" s="173">
        <v>1</v>
      </c>
      <c r="Y252" s="153">
        <v>3</v>
      </c>
      <c r="Z252" s="173">
        <v>1</v>
      </c>
      <c r="AA252" s="154"/>
      <c r="AB252" s="20">
        <f t="shared" si="27"/>
        <v>-19</v>
      </c>
      <c r="AC252" s="152"/>
      <c r="AF252"/>
      <c r="AG252"/>
      <c r="AH252"/>
      <c r="AI252"/>
      <c r="AJ252"/>
      <c r="AK252"/>
      <c r="AL252"/>
    </row>
    <row r="253" spans="2:38" ht="23.25" customHeight="1">
      <c r="B253" s="66"/>
      <c r="D253" s="515" t="s">
        <v>145</v>
      </c>
      <c r="E253" s="527"/>
      <c r="F253" s="201"/>
      <c r="G253" s="201"/>
      <c r="H253" s="515" t="s">
        <v>382</v>
      </c>
      <c r="I253" s="481"/>
      <c r="J253" s="515"/>
      <c r="K253" s="516" t="s">
        <v>206</v>
      </c>
      <c r="L253" s="515"/>
      <c r="M253" s="516"/>
      <c r="N253" s="516" t="s">
        <v>80</v>
      </c>
      <c r="O253" s="481"/>
      <c r="P253" s="516"/>
      <c r="Q253" s="516"/>
      <c r="R253" s="515" t="s">
        <v>190</v>
      </c>
      <c r="S253" s="481"/>
      <c r="T253" s="519" t="s">
        <v>583</v>
      </c>
      <c r="W253" s="147">
        <v>4</v>
      </c>
      <c r="X253" s="173">
        <v>1</v>
      </c>
      <c r="Y253" s="153">
        <v>4</v>
      </c>
      <c r="Z253" s="173">
        <v>1</v>
      </c>
      <c r="AA253" s="154"/>
      <c r="AB253" s="20">
        <f t="shared" si="27"/>
        <v>-19</v>
      </c>
      <c r="AC253" s="152"/>
      <c r="AD253"/>
      <c r="AI253"/>
      <c r="AJ253"/>
      <c r="AK253"/>
      <c r="AL253"/>
    </row>
    <row r="254" spans="2:38" ht="20.25" customHeight="1">
      <c r="B254" s="66"/>
      <c r="C254" s="105"/>
      <c r="D254" s="110"/>
      <c r="E254" s="110"/>
      <c r="F254" s="5"/>
      <c r="G254" s="5"/>
      <c r="H254" s="5"/>
      <c r="I254" s="114"/>
      <c r="J254" s="115"/>
      <c r="K254" s="547"/>
      <c r="L254" s="596" t="s">
        <v>143</v>
      </c>
      <c r="M254" s="564"/>
      <c r="N254" s="498" t="e">
        <f aca="true" t="shared" si="28" ref="N254:N261">(IF(Z250&lt;=0,0,LOOKUP(AB250,$W$268:$W$364,$AB$268:$AB$364)))</f>
        <v>#N/A</v>
      </c>
      <c r="O254" s="597" t="s">
        <v>146</v>
      </c>
      <c r="P254" s="563"/>
      <c r="Q254" s="564"/>
      <c r="R254" s="619">
        <f aca="true" t="shared" si="29" ref="R254:R261">IF(AB250&lt;=0,0,K254*N254)</f>
        <v>0</v>
      </c>
      <c r="S254" s="569"/>
      <c r="T254" s="518" t="e">
        <f aca="true" t="shared" si="30" ref="T254:T261">R254/$Q$393</f>
        <v>#DIV/0!</v>
      </c>
      <c r="W254" s="147">
        <v>5</v>
      </c>
      <c r="X254" s="173">
        <v>1</v>
      </c>
      <c r="Y254" s="153">
        <v>5</v>
      </c>
      <c r="Z254" s="173">
        <v>1</v>
      </c>
      <c r="AA254" s="154"/>
      <c r="AB254" s="20">
        <f t="shared" si="27"/>
        <v>-19</v>
      </c>
      <c r="AC254" s="152"/>
      <c r="AD254"/>
      <c r="AE254"/>
      <c r="AF254"/>
      <c r="AG254"/>
      <c r="AH254"/>
      <c r="AI254"/>
      <c r="AJ254"/>
      <c r="AK254"/>
      <c r="AL254"/>
    </row>
    <row r="255" spans="2:38" ht="19.5" customHeight="1">
      <c r="B255" s="66"/>
      <c r="C255" s="116"/>
      <c r="D255" s="28"/>
      <c r="E255" s="28"/>
      <c r="F255" s="1"/>
      <c r="G255" s="1"/>
      <c r="H255" s="1"/>
      <c r="I255" s="15"/>
      <c r="J255" s="117"/>
      <c r="K255" s="547"/>
      <c r="L255" s="565"/>
      <c r="M255" s="567"/>
      <c r="N255" s="498" t="e">
        <f t="shared" si="28"/>
        <v>#N/A</v>
      </c>
      <c r="O255" s="565"/>
      <c r="P255" s="566"/>
      <c r="Q255" s="567"/>
      <c r="R255" s="619">
        <f t="shared" si="29"/>
        <v>0</v>
      </c>
      <c r="S255" s="569"/>
      <c r="T255" s="518" t="e">
        <f t="shared" si="30"/>
        <v>#DIV/0!</v>
      </c>
      <c r="W255" s="147">
        <v>6</v>
      </c>
      <c r="X255" s="173">
        <v>1</v>
      </c>
      <c r="Y255" s="153">
        <v>6</v>
      </c>
      <c r="Z255" s="173">
        <v>1</v>
      </c>
      <c r="AA255" s="154"/>
      <c r="AB255" s="20">
        <f t="shared" si="27"/>
        <v>-19</v>
      </c>
      <c r="AC255" s="152"/>
      <c r="AD255"/>
      <c r="AE255"/>
      <c r="AF255"/>
      <c r="AG255"/>
      <c r="AH255"/>
      <c r="AI255"/>
      <c r="AJ255"/>
      <c r="AK255"/>
      <c r="AL255"/>
    </row>
    <row r="256" spans="2:38" ht="20.25" customHeight="1">
      <c r="B256" s="66"/>
      <c r="C256" s="116"/>
      <c r="D256" s="28"/>
      <c r="E256" s="28"/>
      <c r="F256" s="28"/>
      <c r="G256" s="28"/>
      <c r="H256" s="1"/>
      <c r="I256" s="15"/>
      <c r="J256" s="117"/>
      <c r="K256" s="547"/>
      <c r="L256" s="565"/>
      <c r="M256" s="567"/>
      <c r="N256" s="498" t="e">
        <f t="shared" si="28"/>
        <v>#N/A</v>
      </c>
      <c r="O256" s="565"/>
      <c r="P256" s="566"/>
      <c r="Q256" s="567"/>
      <c r="R256" s="619">
        <f t="shared" si="29"/>
        <v>0</v>
      </c>
      <c r="S256" s="569"/>
      <c r="T256" s="518" t="e">
        <f t="shared" si="30"/>
        <v>#DIV/0!</v>
      </c>
      <c r="W256" s="147">
        <v>7</v>
      </c>
      <c r="X256" s="173">
        <v>1</v>
      </c>
      <c r="Y256" s="153">
        <v>7</v>
      </c>
      <c r="Z256" s="173">
        <v>1</v>
      </c>
      <c r="AA256" s="154"/>
      <c r="AB256" s="20">
        <f t="shared" si="27"/>
        <v>-19</v>
      </c>
      <c r="AC256" s="152"/>
      <c r="AD256"/>
      <c r="AE256"/>
      <c r="AF256"/>
      <c r="AG256"/>
      <c r="AH256"/>
      <c r="AI256"/>
      <c r="AJ256"/>
      <c r="AK256"/>
      <c r="AL256"/>
    </row>
    <row r="257" spans="2:38" ht="21" customHeight="1">
      <c r="B257" s="66"/>
      <c r="C257" s="116"/>
      <c r="D257" s="34"/>
      <c r="E257" s="1"/>
      <c r="F257" s="28"/>
      <c r="G257" s="28"/>
      <c r="H257" s="1"/>
      <c r="I257" s="15"/>
      <c r="J257" s="117"/>
      <c r="K257" s="547"/>
      <c r="L257" s="565"/>
      <c r="M257" s="567"/>
      <c r="N257" s="498" t="e">
        <f t="shared" si="28"/>
        <v>#N/A</v>
      </c>
      <c r="O257" s="565"/>
      <c r="P257" s="566"/>
      <c r="Q257" s="567"/>
      <c r="R257" s="619">
        <f t="shared" si="29"/>
        <v>0</v>
      </c>
      <c r="S257" s="569"/>
      <c r="T257" s="518" t="e">
        <f t="shared" si="30"/>
        <v>#DIV/0!</v>
      </c>
      <c r="W257" s="147">
        <v>8</v>
      </c>
      <c r="X257" s="173">
        <v>1</v>
      </c>
      <c r="Y257" s="153">
        <v>8</v>
      </c>
      <c r="Z257" s="173">
        <v>1</v>
      </c>
      <c r="AA257" s="154"/>
      <c r="AB257" s="20">
        <f t="shared" si="27"/>
        <v>-19</v>
      </c>
      <c r="AC257" s="152"/>
      <c r="AD257"/>
      <c r="AE257"/>
      <c r="AF257"/>
      <c r="AG257"/>
      <c r="AH257"/>
      <c r="AI257"/>
      <c r="AJ257"/>
      <c r="AK257"/>
      <c r="AL257"/>
    </row>
    <row r="258" spans="2:38" ht="20.25" customHeight="1">
      <c r="B258" s="66"/>
      <c r="C258" s="116"/>
      <c r="D258" s="34"/>
      <c r="E258" s="1"/>
      <c r="F258" s="28"/>
      <c r="G258" s="28"/>
      <c r="H258" s="1"/>
      <c r="I258" s="15"/>
      <c r="J258" s="117"/>
      <c r="K258" s="547"/>
      <c r="L258" s="565"/>
      <c r="M258" s="567"/>
      <c r="N258" s="498" t="e">
        <f t="shared" si="28"/>
        <v>#N/A</v>
      </c>
      <c r="O258" s="565"/>
      <c r="P258" s="566"/>
      <c r="Q258" s="567"/>
      <c r="R258" s="619">
        <f t="shared" si="29"/>
        <v>0</v>
      </c>
      <c r="S258" s="569"/>
      <c r="T258" s="518" t="e">
        <f t="shared" si="30"/>
        <v>#DIV/0!</v>
      </c>
      <c r="W258" s="147"/>
      <c r="X258" s="154"/>
      <c r="Y258" s="154"/>
      <c r="Z258" s="154"/>
      <c r="AA258" s="154"/>
      <c r="AB258" s="154"/>
      <c r="AC258" s="152"/>
      <c r="AD258"/>
      <c r="AE258"/>
      <c r="AF258"/>
      <c r="AG258"/>
      <c r="AH258"/>
      <c r="AI258"/>
      <c r="AJ258"/>
      <c r="AK258"/>
      <c r="AL258"/>
    </row>
    <row r="259" spans="2:38" ht="18.75" customHeight="1">
      <c r="B259" s="66"/>
      <c r="C259" s="116"/>
      <c r="D259" s="34"/>
      <c r="E259" s="1"/>
      <c r="F259" s="28"/>
      <c r="G259" s="28"/>
      <c r="H259" s="1"/>
      <c r="I259" s="15"/>
      <c r="J259" s="117"/>
      <c r="K259" s="547"/>
      <c r="L259" s="565"/>
      <c r="M259" s="567"/>
      <c r="N259" s="498" t="e">
        <f t="shared" si="28"/>
        <v>#N/A</v>
      </c>
      <c r="O259" s="565"/>
      <c r="P259" s="566"/>
      <c r="Q259" s="567"/>
      <c r="R259" s="619">
        <f t="shared" si="29"/>
        <v>0</v>
      </c>
      <c r="S259" s="569"/>
      <c r="T259" s="518" t="e">
        <f t="shared" si="30"/>
        <v>#DIV/0!</v>
      </c>
      <c r="W259" s="147">
        <v>1</v>
      </c>
      <c r="X259" s="615" t="s">
        <v>384</v>
      </c>
      <c r="Y259" s="618"/>
      <c r="Z259" s="154"/>
      <c r="AA259" s="153"/>
      <c r="AB259" s="153"/>
      <c r="AC259" s="156"/>
      <c r="AE259"/>
      <c r="AF259"/>
      <c r="AG259"/>
      <c r="AH259"/>
      <c r="AI259"/>
      <c r="AJ259"/>
      <c r="AK259"/>
      <c r="AL259"/>
    </row>
    <row r="260" spans="2:38" ht="21" customHeight="1">
      <c r="B260" s="66"/>
      <c r="C260" s="116"/>
      <c r="D260" s="34"/>
      <c r="E260" s="1"/>
      <c r="F260" s="28"/>
      <c r="G260" s="28"/>
      <c r="H260" s="1"/>
      <c r="I260" s="15"/>
      <c r="J260" s="117"/>
      <c r="K260" s="547"/>
      <c r="L260" s="565"/>
      <c r="M260" s="567"/>
      <c r="N260" s="498" t="e">
        <f t="shared" si="28"/>
        <v>#N/A</v>
      </c>
      <c r="O260" s="565"/>
      <c r="P260" s="566"/>
      <c r="Q260" s="567"/>
      <c r="R260" s="619">
        <f t="shared" si="29"/>
        <v>0</v>
      </c>
      <c r="S260" s="569"/>
      <c r="T260" s="518" t="e">
        <f t="shared" si="30"/>
        <v>#DIV/0!</v>
      </c>
      <c r="W260" s="147">
        <v>2</v>
      </c>
      <c r="X260" s="617" t="s">
        <v>140</v>
      </c>
      <c r="Y260" s="617"/>
      <c r="Z260" s="154"/>
      <c r="AA260" s="153"/>
      <c r="AB260" s="153"/>
      <c r="AC260" s="156"/>
      <c r="AD260" s="42"/>
      <c r="AG260"/>
      <c r="AH260"/>
      <c r="AI260"/>
      <c r="AJ260"/>
      <c r="AK260"/>
      <c r="AL260"/>
    </row>
    <row r="261" spans="2:38" ht="18.75" customHeight="1">
      <c r="B261" s="66"/>
      <c r="C261" s="118"/>
      <c r="D261" s="119"/>
      <c r="E261" s="8"/>
      <c r="F261" s="112"/>
      <c r="G261" s="112"/>
      <c r="H261" s="8"/>
      <c r="I261" s="120"/>
      <c r="J261" s="121"/>
      <c r="K261" s="547"/>
      <c r="L261" s="542"/>
      <c r="M261" s="544"/>
      <c r="N261" s="498" t="e">
        <f t="shared" si="28"/>
        <v>#N/A</v>
      </c>
      <c r="O261" s="542"/>
      <c r="P261" s="543"/>
      <c r="Q261" s="544"/>
      <c r="R261" s="619">
        <f t="shared" si="29"/>
        <v>0</v>
      </c>
      <c r="S261" s="569"/>
      <c r="T261" s="518" t="e">
        <f t="shared" si="30"/>
        <v>#DIV/0!</v>
      </c>
      <c r="W261" s="147">
        <v>3</v>
      </c>
      <c r="X261" s="617" t="s">
        <v>141</v>
      </c>
      <c r="Y261" s="617"/>
      <c r="Z261" s="154"/>
      <c r="AA261" s="153"/>
      <c r="AB261" s="153"/>
      <c r="AC261" s="156"/>
      <c r="AG261"/>
      <c r="AH261"/>
      <c r="AI261"/>
      <c r="AJ261"/>
      <c r="AK261"/>
      <c r="AL261"/>
    </row>
    <row r="262" spans="2:38" ht="12.75" customHeight="1">
      <c r="B262" s="66"/>
      <c r="D262" s="34"/>
      <c r="E262" s="1"/>
      <c r="F262" s="28"/>
      <c r="G262" s="28"/>
      <c r="H262" s="1"/>
      <c r="I262" s="15"/>
      <c r="K262" s="1"/>
      <c r="L262" s="1"/>
      <c r="M262" s="15"/>
      <c r="N262" s="28"/>
      <c r="O262" s="28"/>
      <c r="P262" s="28"/>
      <c r="Q262" s="28"/>
      <c r="R262" s="28"/>
      <c r="S262" s="28"/>
      <c r="T262" s="7"/>
      <c r="W262" s="147">
        <v>4</v>
      </c>
      <c r="X262" s="615" t="s">
        <v>121</v>
      </c>
      <c r="Y262" s="618"/>
      <c r="Z262" s="154"/>
      <c r="AA262" s="154"/>
      <c r="AB262" s="154"/>
      <c r="AC262" s="152"/>
      <c r="AG262"/>
      <c r="AH262"/>
      <c r="AI262"/>
      <c r="AJ262"/>
      <c r="AK262"/>
      <c r="AL262"/>
    </row>
    <row r="263" spans="2:38" ht="12.75" customHeight="1">
      <c r="B263" s="66"/>
      <c r="D263" s="34"/>
      <c r="E263" s="1"/>
      <c r="F263" s="28"/>
      <c r="G263" s="28"/>
      <c r="H263" s="1"/>
      <c r="I263" s="15"/>
      <c r="K263" s="1"/>
      <c r="L263" s="1"/>
      <c r="M263" s="15"/>
      <c r="N263" s="28"/>
      <c r="O263" s="28"/>
      <c r="P263" s="28"/>
      <c r="Q263" s="28"/>
      <c r="R263" s="28"/>
      <c r="S263" s="28"/>
      <c r="T263" s="7"/>
      <c r="W263" s="147">
        <v>5</v>
      </c>
      <c r="X263" s="617" t="s">
        <v>139</v>
      </c>
      <c r="Y263" s="617"/>
      <c r="Z263" s="154"/>
      <c r="AA263" s="154"/>
      <c r="AB263" s="154"/>
      <c r="AC263" s="152"/>
      <c r="AH263"/>
      <c r="AI263"/>
      <c r="AJ263"/>
      <c r="AK263"/>
      <c r="AL263"/>
    </row>
    <row r="264" spans="2:38" ht="12.75" customHeight="1">
      <c r="B264" s="68" t="s">
        <v>218</v>
      </c>
      <c r="D264" s="15"/>
      <c r="E264" s="15"/>
      <c r="S264" s="1"/>
      <c r="T264" s="7"/>
      <c r="W264" s="147">
        <v>6</v>
      </c>
      <c r="X264" s="617" t="s">
        <v>142</v>
      </c>
      <c r="Y264" s="617"/>
      <c r="Z264" s="154"/>
      <c r="AA264" s="154"/>
      <c r="AB264" s="154"/>
      <c r="AC264" s="152"/>
      <c r="AH264"/>
      <c r="AI264"/>
      <c r="AJ264"/>
      <c r="AK264"/>
      <c r="AL264"/>
    </row>
    <row r="265" spans="2:38" ht="12.75" customHeight="1">
      <c r="B265" s="65"/>
      <c r="C265" s="15"/>
      <c r="D265" s="1"/>
      <c r="E265" s="1"/>
      <c r="F265" s="45"/>
      <c r="G265" s="39"/>
      <c r="H265" s="39"/>
      <c r="I265" s="39"/>
      <c r="J265" s="39"/>
      <c r="K265" s="1"/>
      <c r="S265" s="39"/>
      <c r="T265" s="632" t="s">
        <v>583</v>
      </c>
      <c r="W265" s="147"/>
      <c r="X265" s="154"/>
      <c r="Y265" s="154"/>
      <c r="Z265" s="154"/>
      <c r="AA265" s="154"/>
      <c r="AB265" s="154"/>
      <c r="AC265" s="152"/>
      <c r="AH265"/>
      <c r="AI265"/>
      <c r="AJ265"/>
      <c r="AK265"/>
      <c r="AL265"/>
    </row>
    <row r="266" spans="2:51" ht="12.75" customHeight="1">
      <c r="B266" s="65"/>
      <c r="C266" s="33" t="s">
        <v>158</v>
      </c>
      <c r="D266" s="1"/>
      <c r="E266" s="1"/>
      <c r="F266" s="45"/>
      <c r="G266" s="17" t="s">
        <v>206</v>
      </c>
      <c r="H266" s="39"/>
      <c r="I266" s="17" t="s">
        <v>303</v>
      </c>
      <c r="J266" s="39"/>
      <c r="K266" s="1"/>
      <c r="L266" s="39" t="s">
        <v>80</v>
      </c>
      <c r="M266" s="39"/>
      <c r="N266" s="39"/>
      <c r="O266" s="39"/>
      <c r="P266" s="39"/>
      <c r="R266" s="39" t="s">
        <v>190</v>
      </c>
      <c r="S266" s="46"/>
      <c r="T266" s="544"/>
      <c r="W266" s="147"/>
      <c r="X266" s="160" t="s">
        <v>198</v>
      </c>
      <c r="Y266" s="137"/>
      <c r="Z266" s="137"/>
      <c r="AA266" s="137"/>
      <c r="AB266" s="160"/>
      <c r="AC266" s="157"/>
      <c r="AH266"/>
      <c r="AI266"/>
      <c r="AJ266"/>
      <c r="AK266"/>
      <c r="AL266"/>
      <c r="AO266" s="25"/>
      <c r="AP266" s="25"/>
      <c r="AQ266" s="25"/>
      <c r="AV266" s="25"/>
      <c r="AW266" s="25"/>
      <c r="AX266" s="25"/>
      <c r="AY266" s="25"/>
    </row>
    <row r="267" spans="2:51" ht="12.75" customHeight="1">
      <c r="B267" s="65"/>
      <c r="C267" s="79" t="s">
        <v>91</v>
      </c>
      <c r="D267" s="80"/>
      <c r="E267" s="80"/>
      <c r="F267" s="81"/>
      <c r="G267" s="545"/>
      <c r="H267" s="562" t="s">
        <v>164</v>
      </c>
      <c r="I267" s="563"/>
      <c r="J267" s="563"/>
      <c r="K267" s="564"/>
      <c r="L267" s="107">
        <v>0.009918</v>
      </c>
      <c r="M267" s="562" t="s">
        <v>109</v>
      </c>
      <c r="N267" s="563"/>
      <c r="O267" s="563"/>
      <c r="P267" s="563"/>
      <c r="Q267" s="564"/>
      <c r="R267" s="570">
        <f>G267*L267</f>
        <v>0</v>
      </c>
      <c r="S267" s="569"/>
      <c r="T267" s="518" t="e">
        <f>R267/$Q$393</f>
        <v>#DIV/0!</v>
      </c>
      <c r="W267" s="147">
        <v>1</v>
      </c>
      <c r="X267" s="36" t="s">
        <v>196</v>
      </c>
      <c r="Y267" s="40"/>
      <c r="Z267" s="40"/>
      <c r="AA267" s="37"/>
      <c r="AB267" s="154"/>
      <c r="AC267" s="157"/>
      <c r="AH267"/>
      <c r="AI267"/>
      <c r="AJ267"/>
      <c r="AK267"/>
      <c r="AL267"/>
      <c r="AO267" s="25"/>
      <c r="AP267" s="25"/>
      <c r="AQ267" s="25"/>
      <c r="AR267" s="25"/>
      <c r="AS267" s="25"/>
      <c r="AT267" s="25"/>
      <c r="AU267" s="25"/>
      <c r="AV267" s="25"/>
      <c r="AW267" s="25"/>
      <c r="AX267" s="25"/>
      <c r="AY267" s="25"/>
    </row>
    <row r="268" spans="2:51" ht="12.75" customHeight="1">
      <c r="B268" s="65"/>
      <c r="C268" s="79" t="s">
        <v>92</v>
      </c>
      <c r="D268" s="80"/>
      <c r="E268" s="80"/>
      <c r="F268" s="81"/>
      <c r="G268" s="545"/>
      <c r="H268" s="542"/>
      <c r="I268" s="543"/>
      <c r="J268" s="543"/>
      <c r="K268" s="544"/>
      <c r="L268" s="107">
        <v>11.93013</v>
      </c>
      <c r="M268" s="542"/>
      <c r="N268" s="543"/>
      <c r="O268" s="543"/>
      <c r="P268" s="543"/>
      <c r="Q268" s="544"/>
      <c r="R268" s="570">
        <f>G268*L268</f>
        <v>0</v>
      </c>
      <c r="S268" s="569"/>
      <c r="T268" s="518" t="e">
        <f>R268/$Q$393</f>
        <v>#DIV/0!</v>
      </c>
      <c r="W268" s="147">
        <f>W267+1</f>
        <v>2</v>
      </c>
      <c r="X268" s="36" t="s">
        <v>122</v>
      </c>
      <c r="Y268" s="40"/>
      <c r="Z268" s="40"/>
      <c r="AA268" s="40"/>
      <c r="AB268" s="43">
        <v>0.572033</v>
      </c>
      <c r="AC268" s="157"/>
      <c r="AH268"/>
      <c r="AI268"/>
      <c r="AJ268"/>
      <c r="AK268"/>
      <c r="AL268"/>
      <c r="AO268" s="25"/>
      <c r="AP268" s="25"/>
      <c r="AQ268" s="25"/>
      <c r="AR268" s="25"/>
      <c r="AS268" s="25"/>
      <c r="AT268" s="25"/>
      <c r="AU268" s="25"/>
      <c r="AV268" s="25"/>
      <c r="AW268" s="25"/>
      <c r="AX268" s="25"/>
      <c r="AY268" s="25"/>
    </row>
    <row r="269" spans="2:51" ht="12.75" customHeight="1">
      <c r="B269" s="65"/>
      <c r="C269" s="79" t="s">
        <v>93</v>
      </c>
      <c r="D269" s="80"/>
      <c r="E269" s="80"/>
      <c r="F269" s="81"/>
      <c r="G269" s="545"/>
      <c r="H269" s="36" t="s">
        <v>165</v>
      </c>
      <c r="I269" s="186"/>
      <c r="J269" s="186"/>
      <c r="K269" s="187"/>
      <c r="L269" s="107">
        <v>1.47248</v>
      </c>
      <c r="M269" s="36" t="s">
        <v>110</v>
      </c>
      <c r="N269" s="183"/>
      <c r="O269" s="183"/>
      <c r="P269" s="183"/>
      <c r="Q269" s="187"/>
      <c r="R269" s="570">
        <f>G269*L269</f>
        <v>0</v>
      </c>
      <c r="S269" s="569"/>
      <c r="T269" s="518" t="e">
        <f>R269/$Q$393</f>
        <v>#DIV/0!</v>
      </c>
      <c r="W269" s="147">
        <f>W268+1</f>
        <v>3</v>
      </c>
      <c r="X269" s="36" t="s">
        <v>123</v>
      </c>
      <c r="Y269" s="40"/>
      <c r="Z269" s="40"/>
      <c r="AA269" s="40"/>
      <c r="AB269" s="43">
        <v>0.239389</v>
      </c>
      <c r="AC269" s="157"/>
      <c r="AH269"/>
      <c r="AI269"/>
      <c r="AJ269"/>
      <c r="AK269"/>
      <c r="AL269"/>
      <c r="AO269" s="25"/>
      <c r="AP269" s="25"/>
      <c r="AQ269" s="25"/>
      <c r="AR269" s="25"/>
      <c r="AS269" s="25"/>
      <c r="AT269" s="25"/>
      <c r="AU269" s="25"/>
      <c r="AV269" s="25"/>
      <c r="AW269" s="25"/>
      <c r="AX269" s="25"/>
      <c r="AY269" s="25"/>
    </row>
    <row r="270" spans="2:51" ht="12.75" customHeight="1">
      <c r="B270" s="65"/>
      <c r="C270" s="47"/>
      <c r="D270" s="1"/>
      <c r="E270" s="1"/>
      <c r="F270" s="45"/>
      <c r="G270" s="30"/>
      <c r="H270" s="38"/>
      <c r="I270" s="1"/>
      <c r="J270" s="1"/>
      <c r="K270" s="1"/>
      <c r="L270" s="207"/>
      <c r="M270" s="38"/>
      <c r="N270" s="28"/>
      <c r="O270" s="28"/>
      <c r="P270" s="1"/>
      <c r="T270" s="7"/>
      <c r="W270" s="147">
        <f>W269+1</f>
        <v>4</v>
      </c>
      <c r="X270" s="36" t="s">
        <v>124</v>
      </c>
      <c r="Y270" s="40"/>
      <c r="Z270" s="40"/>
      <c r="AA270" s="40"/>
      <c r="AB270" s="43">
        <v>0.239389</v>
      </c>
      <c r="AC270" s="157"/>
      <c r="AH270"/>
      <c r="AI270"/>
      <c r="AJ270"/>
      <c r="AK270"/>
      <c r="AL270"/>
      <c r="AO270" s="25"/>
      <c r="AP270" s="25"/>
      <c r="AQ270" s="25"/>
      <c r="AR270" s="25"/>
      <c r="AS270" s="25"/>
      <c r="AT270" s="25"/>
      <c r="AU270" s="25"/>
      <c r="AV270" s="25"/>
      <c r="AW270" s="25"/>
      <c r="AX270" s="25"/>
      <c r="AY270" s="25"/>
    </row>
    <row r="271" spans="2:51" ht="12.75" customHeight="1">
      <c r="B271" s="65"/>
      <c r="C271" s="33" t="s">
        <v>159</v>
      </c>
      <c r="D271" s="1"/>
      <c r="E271" s="1"/>
      <c r="F271" s="45"/>
      <c r="G271" s="39"/>
      <c r="H271" s="39"/>
      <c r="I271" s="39"/>
      <c r="J271" s="39"/>
      <c r="K271" s="1"/>
      <c r="L271" s="208"/>
      <c r="M271" s="39"/>
      <c r="N271" s="39"/>
      <c r="O271" s="39"/>
      <c r="P271" s="39"/>
      <c r="R271" s="39"/>
      <c r="S271" s="46"/>
      <c r="T271" s="7"/>
      <c r="W271" s="147">
        <f aca="true" t="shared" si="31" ref="W271:W334">W270+1</f>
        <v>5</v>
      </c>
      <c r="X271" s="36" t="s">
        <v>125</v>
      </c>
      <c r="Y271" s="40"/>
      <c r="Z271" s="40"/>
      <c r="AA271" s="40"/>
      <c r="AB271" s="43">
        <v>0.239389</v>
      </c>
      <c r="AC271" s="157"/>
      <c r="AH271"/>
      <c r="AI271"/>
      <c r="AJ271"/>
      <c r="AK271"/>
      <c r="AL271"/>
      <c r="AO271" s="25"/>
      <c r="AP271" s="25"/>
      <c r="AQ271" s="25"/>
      <c r="AR271" s="25"/>
      <c r="AS271" s="25"/>
      <c r="AT271" s="25"/>
      <c r="AU271" s="25"/>
      <c r="AV271" s="25"/>
      <c r="AW271" s="25"/>
      <c r="AX271" s="25"/>
      <c r="AY271" s="25"/>
    </row>
    <row r="272" spans="2:47" ht="12.75" customHeight="1">
      <c r="B272" s="65"/>
      <c r="C272" s="79" t="s">
        <v>159</v>
      </c>
      <c r="D272" s="80"/>
      <c r="E272" s="80"/>
      <c r="F272" s="82" t="s">
        <v>94</v>
      </c>
      <c r="G272" s="545"/>
      <c r="H272" s="562" t="s">
        <v>169</v>
      </c>
      <c r="I272" s="563"/>
      <c r="J272" s="563"/>
      <c r="K272" s="564"/>
      <c r="L272" s="50">
        <v>63.345</v>
      </c>
      <c r="M272" s="562" t="s">
        <v>111</v>
      </c>
      <c r="N272" s="563"/>
      <c r="O272" s="563"/>
      <c r="P272" s="563"/>
      <c r="Q272" s="564"/>
      <c r="R272" s="570">
        <f>G272*L272</f>
        <v>0</v>
      </c>
      <c r="S272" s="569"/>
      <c r="T272" s="518" t="e">
        <f>R272/$Q$393</f>
        <v>#DIV/0!</v>
      </c>
      <c r="W272" s="147">
        <f t="shared" si="31"/>
        <v>6</v>
      </c>
      <c r="X272" s="36" t="s">
        <v>126</v>
      </c>
      <c r="Y272" s="40"/>
      <c r="Z272" s="40"/>
      <c r="AA272" s="40"/>
      <c r="AB272" s="43">
        <v>0.29515</v>
      </c>
      <c r="AC272" s="157"/>
      <c r="AH272"/>
      <c r="AI272"/>
      <c r="AJ272"/>
      <c r="AK272"/>
      <c r="AL272"/>
      <c r="AR272" s="25"/>
      <c r="AS272" s="25"/>
      <c r="AT272" s="25"/>
      <c r="AU272" s="25"/>
    </row>
    <row r="273" spans="2:38" ht="12.75" customHeight="1">
      <c r="B273" s="65"/>
      <c r="C273" s="79" t="s">
        <v>159</v>
      </c>
      <c r="D273" s="80"/>
      <c r="E273" s="80"/>
      <c r="F273" s="82" t="s">
        <v>95</v>
      </c>
      <c r="G273" s="545"/>
      <c r="H273" s="542"/>
      <c r="I273" s="543"/>
      <c r="J273" s="543"/>
      <c r="K273" s="544"/>
      <c r="L273" s="107">
        <v>2.059216</v>
      </c>
      <c r="M273" s="542"/>
      <c r="N273" s="543"/>
      <c r="O273" s="543"/>
      <c r="P273" s="543"/>
      <c r="Q273" s="544"/>
      <c r="R273" s="570">
        <f>G273*L273</f>
        <v>0</v>
      </c>
      <c r="S273" s="569"/>
      <c r="T273" s="518" t="e">
        <f>R273/$Q$393</f>
        <v>#DIV/0!</v>
      </c>
      <c r="W273" s="147">
        <f t="shared" si="31"/>
        <v>7</v>
      </c>
      <c r="X273" s="36" t="s">
        <v>127</v>
      </c>
      <c r="Y273" s="40"/>
      <c r="Z273" s="40"/>
      <c r="AA273" s="40"/>
      <c r="AB273" s="43">
        <v>0.32976</v>
      </c>
      <c r="AC273" s="157"/>
      <c r="AH273"/>
      <c r="AI273"/>
      <c r="AJ273"/>
      <c r="AK273"/>
      <c r="AL273"/>
    </row>
    <row r="274" spans="2:38" ht="12.75" customHeight="1">
      <c r="B274" s="65"/>
      <c r="C274" s="33"/>
      <c r="D274" s="1"/>
      <c r="E274" s="1"/>
      <c r="F274" s="45"/>
      <c r="G274" s="30"/>
      <c r="H274" s="38"/>
      <c r="I274" s="1"/>
      <c r="J274" s="1"/>
      <c r="K274" s="1"/>
      <c r="L274" s="207"/>
      <c r="M274" s="38"/>
      <c r="N274" s="28"/>
      <c r="O274" s="28"/>
      <c r="P274" s="28"/>
      <c r="R274" s="45"/>
      <c r="S274" s="45"/>
      <c r="T274" s="7"/>
      <c r="W274" s="147">
        <f t="shared" si="31"/>
        <v>8</v>
      </c>
      <c r="X274" s="36" t="s">
        <v>128</v>
      </c>
      <c r="Y274" s="40"/>
      <c r="Z274" s="40"/>
      <c r="AA274" s="40"/>
      <c r="AB274" s="43">
        <v>0.318223</v>
      </c>
      <c r="AC274" s="157"/>
      <c r="AH274"/>
      <c r="AI274"/>
      <c r="AJ274"/>
      <c r="AK274"/>
      <c r="AL274"/>
    </row>
    <row r="275" spans="2:38" ht="12.75" customHeight="1">
      <c r="B275" s="65"/>
      <c r="C275" s="33" t="s">
        <v>160</v>
      </c>
      <c r="D275" s="1"/>
      <c r="E275" s="1"/>
      <c r="F275" s="45"/>
      <c r="G275" s="39"/>
      <c r="H275" s="39"/>
      <c r="I275" s="39"/>
      <c r="J275" s="39"/>
      <c r="K275" s="1"/>
      <c r="L275" s="208"/>
      <c r="M275" s="39"/>
      <c r="N275" s="39"/>
      <c r="O275" s="39"/>
      <c r="P275" s="39"/>
      <c r="R275" s="39"/>
      <c r="S275" s="46"/>
      <c r="T275" s="7"/>
      <c r="W275" s="147">
        <f t="shared" si="31"/>
        <v>9</v>
      </c>
      <c r="X275" s="36" t="s">
        <v>129</v>
      </c>
      <c r="Y275" s="40"/>
      <c r="Z275" s="40"/>
      <c r="AA275" s="40"/>
      <c r="AB275" s="43">
        <v>0.153824</v>
      </c>
      <c r="AC275" s="157"/>
      <c r="AH275"/>
      <c r="AI275"/>
      <c r="AJ275"/>
      <c r="AK275"/>
      <c r="AL275"/>
    </row>
    <row r="276" spans="2:38" ht="12.75" customHeight="1">
      <c r="B276" s="65"/>
      <c r="C276" s="76" t="s">
        <v>96</v>
      </c>
      <c r="D276" s="5"/>
      <c r="E276" s="6"/>
      <c r="F276" s="82" t="s">
        <v>94</v>
      </c>
      <c r="G276" s="557"/>
      <c r="H276" s="562" t="s">
        <v>170</v>
      </c>
      <c r="I276" s="563"/>
      <c r="J276" s="563"/>
      <c r="K276" s="564"/>
      <c r="L276" s="107">
        <v>20.267</v>
      </c>
      <c r="M276" s="596" t="s">
        <v>112</v>
      </c>
      <c r="N276" s="563"/>
      <c r="O276" s="563"/>
      <c r="P276" s="563"/>
      <c r="Q276" s="564"/>
      <c r="R276" s="570">
        <f aca="true" t="shared" si="32" ref="R276:R282">G276*L276</f>
        <v>0</v>
      </c>
      <c r="S276" s="569"/>
      <c r="T276" s="518" t="e">
        <f aca="true" t="shared" si="33" ref="T276:T282">R276/$Q$393</f>
        <v>#DIV/0!</v>
      </c>
      <c r="W276" s="147">
        <f t="shared" si="31"/>
        <v>10</v>
      </c>
      <c r="X276" s="36" t="s">
        <v>130</v>
      </c>
      <c r="Y276" s="40"/>
      <c r="Z276" s="40"/>
      <c r="AA276" s="40"/>
      <c r="AB276" s="43">
        <v>0.070182</v>
      </c>
      <c r="AC276" s="157"/>
      <c r="AH276"/>
      <c r="AI276"/>
      <c r="AJ276"/>
      <c r="AK276"/>
      <c r="AL276"/>
    </row>
    <row r="277" spans="2:38" ht="12.75" customHeight="1">
      <c r="B277" s="65"/>
      <c r="C277" s="78"/>
      <c r="D277" s="8"/>
      <c r="E277" s="9"/>
      <c r="F277" s="82" t="s">
        <v>95</v>
      </c>
      <c r="G277" s="557"/>
      <c r="H277" s="565"/>
      <c r="I277" s="566"/>
      <c r="J277" s="566"/>
      <c r="K277" s="567"/>
      <c r="L277" s="107">
        <v>2.4064</v>
      </c>
      <c r="M277" s="565"/>
      <c r="N277" s="566"/>
      <c r="O277" s="566"/>
      <c r="P277" s="566"/>
      <c r="Q277" s="567"/>
      <c r="R277" s="570">
        <f t="shared" si="32"/>
        <v>0</v>
      </c>
      <c r="S277" s="569"/>
      <c r="T277" s="518" t="e">
        <f t="shared" si="33"/>
        <v>#DIV/0!</v>
      </c>
      <c r="W277" s="147">
        <f t="shared" si="31"/>
        <v>11</v>
      </c>
      <c r="X277" s="36" t="s">
        <v>135</v>
      </c>
      <c r="Y277" s="40"/>
      <c r="Z277" s="40"/>
      <c r="AA277" s="40"/>
      <c r="AB277" s="43">
        <v>0.318223</v>
      </c>
      <c r="AC277" s="157"/>
      <c r="AH277"/>
      <c r="AI277"/>
      <c r="AJ277"/>
      <c r="AK277"/>
      <c r="AL277"/>
    </row>
    <row r="278" spans="2:34" ht="12.75" customHeight="1">
      <c r="B278" s="65"/>
      <c r="C278" s="76" t="s">
        <v>97</v>
      </c>
      <c r="D278" s="5"/>
      <c r="E278" s="6"/>
      <c r="F278" s="82" t="s">
        <v>94</v>
      </c>
      <c r="G278" s="557"/>
      <c r="H278" s="565"/>
      <c r="I278" s="566"/>
      <c r="J278" s="566"/>
      <c r="K278" s="567"/>
      <c r="L278" s="107">
        <v>4.876</v>
      </c>
      <c r="M278" s="565"/>
      <c r="N278" s="566"/>
      <c r="O278" s="566"/>
      <c r="P278" s="566"/>
      <c r="Q278" s="567"/>
      <c r="R278" s="570">
        <f t="shared" si="32"/>
        <v>0</v>
      </c>
      <c r="S278" s="569"/>
      <c r="T278" s="518" t="e">
        <f t="shared" si="33"/>
        <v>#DIV/0!</v>
      </c>
      <c r="W278" s="147">
        <f t="shared" si="31"/>
        <v>12</v>
      </c>
      <c r="X278" s="36" t="s">
        <v>131</v>
      </c>
      <c r="Y278" s="40"/>
      <c r="Z278" s="40"/>
      <c r="AA278" s="40"/>
      <c r="AB278" s="43">
        <v>0.318223</v>
      </c>
      <c r="AC278" s="157"/>
      <c r="AH278"/>
    </row>
    <row r="279" spans="2:34" ht="12.75" customHeight="1">
      <c r="B279" s="65"/>
      <c r="C279" s="78"/>
      <c r="D279" s="8"/>
      <c r="E279" s="9"/>
      <c r="F279" s="82" t="s">
        <v>95</v>
      </c>
      <c r="G279" s="557"/>
      <c r="H279" s="565"/>
      <c r="I279" s="566"/>
      <c r="J279" s="566"/>
      <c r="K279" s="567"/>
      <c r="L279" s="107">
        <v>5.282984</v>
      </c>
      <c r="M279" s="565"/>
      <c r="N279" s="566"/>
      <c r="O279" s="566"/>
      <c r="P279" s="566"/>
      <c r="Q279" s="567"/>
      <c r="R279" s="570">
        <f t="shared" si="32"/>
        <v>0</v>
      </c>
      <c r="S279" s="569"/>
      <c r="T279" s="518" t="e">
        <f t="shared" si="33"/>
        <v>#DIV/0!</v>
      </c>
      <c r="W279" s="147">
        <f t="shared" si="31"/>
        <v>13</v>
      </c>
      <c r="X279" s="36" t="s">
        <v>132</v>
      </c>
      <c r="Y279" s="40"/>
      <c r="Z279" s="40"/>
      <c r="AA279" s="40"/>
      <c r="AB279" s="43">
        <v>0.053838</v>
      </c>
      <c r="AC279" s="157"/>
      <c r="AH279"/>
    </row>
    <row r="280" spans="2:34" ht="12.75" customHeight="1">
      <c r="B280" s="65"/>
      <c r="C280" s="79" t="s">
        <v>192</v>
      </c>
      <c r="D280" s="80"/>
      <c r="E280" s="80"/>
      <c r="F280" s="81"/>
      <c r="G280" s="557"/>
      <c r="H280" s="565"/>
      <c r="I280" s="566"/>
      <c r="J280" s="566"/>
      <c r="K280" s="567"/>
      <c r="L280" s="107">
        <v>71</v>
      </c>
      <c r="M280" s="565"/>
      <c r="N280" s="566"/>
      <c r="O280" s="566"/>
      <c r="P280" s="566"/>
      <c r="Q280" s="567"/>
      <c r="R280" s="570">
        <f t="shared" si="32"/>
        <v>0</v>
      </c>
      <c r="S280" s="569"/>
      <c r="T280" s="518" t="e">
        <f t="shared" si="33"/>
        <v>#DIV/0!</v>
      </c>
      <c r="W280" s="147">
        <f t="shared" si="31"/>
        <v>14</v>
      </c>
      <c r="X280" s="36" t="s">
        <v>136</v>
      </c>
      <c r="Y280" s="40"/>
      <c r="Z280" s="40"/>
      <c r="AA280" s="40"/>
      <c r="AB280" s="43">
        <v>0.32976</v>
      </c>
      <c r="AC280" s="157"/>
      <c r="AH280"/>
    </row>
    <row r="281" spans="2:29" ht="12.75" customHeight="1">
      <c r="B281" s="65"/>
      <c r="C281" s="76" t="s">
        <v>98</v>
      </c>
      <c r="D281" s="5"/>
      <c r="E281" s="6"/>
      <c r="F281" s="82" t="s">
        <v>94</v>
      </c>
      <c r="G281" s="557"/>
      <c r="H281" s="565"/>
      <c r="I281" s="566"/>
      <c r="J281" s="566"/>
      <c r="K281" s="567"/>
      <c r="L281" s="107">
        <v>0.2303</v>
      </c>
      <c r="M281" s="565"/>
      <c r="N281" s="566"/>
      <c r="O281" s="566"/>
      <c r="P281" s="566"/>
      <c r="Q281" s="567"/>
      <c r="R281" s="570">
        <f t="shared" si="32"/>
        <v>0</v>
      </c>
      <c r="S281" s="569"/>
      <c r="T281" s="518" t="e">
        <f t="shared" si="33"/>
        <v>#DIV/0!</v>
      </c>
      <c r="W281" s="147">
        <f t="shared" si="31"/>
        <v>15</v>
      </c>
      <c r="X281" s="36" t="s">
        <v>137</v>
      </c>
      <c r="Y281" s="40"/>
      <c r="Z281" s="40"/>
      <c r="AA281" s="40"/>
      <c r="AB281" s="43">
        <v>0.716243</v>
      </c>
      <c r="AC281" s="157"/>
    </row>
    <row r="282" spans="2:29" ht="12.75" customHeight="1">
      <c r="B282" s="65"/>
      <c r="C282" s="78"/>
      <c r="D282" s="8"/>
      <c r="E282" s="9"/>
      <c r="F282" s="82" t="s">
        <v>95</v>
      </c>
      <c r="G282" s="557"/>
      <c r="H282" s="542"/>
      <c r="I282" s="543"/>
      <c r="J282" s="543"/>
      <c r="K282" s="544"/>
      <c r="L282" s="107">
        <v>1.116152</v>
      </c>
      <c r="M282" s="542"/>
      <c r="N282" s="543"/>
      <c r="O282" s="543"/>
      <c r="P282" s="543"/>
      <c r="Q282" s="544"/>
      <c r="R282" s="570">
        <f t="shared" si="32"/>
        <v>0</v>
      </c>
      <c r="S282" s="569"/>
      <c r="T282" s="518" t="e">
        <f t="shared" si="33"/>
        <v>#DIV/0!</v>
      </c>
      <c r="W282" s="147">
        <f t="shared" si="31"/>
        <v>16</v>
      </c>
      <c r="X282" s="36" t="s">
        <v>138</v>
      </c>
      <c r="Y282" s="40"/>
      <c r="Z282" s="40"/>
      <c r="AA282" s="40"/>
      <c r="AB282" s="43">
        <v>0.318223</v>
      </c>
      <c r="AC282" s="157"/>
    </row>
    <row r="283" spans="2:38" ht="12.75" customHeight="1">
      <c r="B283" s="65"/>
      <c r="C283" s="47"/>
      <c r="D283" s="1"/>
      <c r="E283" s="1"/>
      <c r="F283" s="45"/>
      <c r="G283" s="30"/>
      <c r="H283" s="38"/>
      <c r="I283" s="1"/>
      <c r="J283" s="1"/>
      <c r="K283" s="1"/>
      <c r="L283" s="207"/>
      <c r="M283" s="38"/>
      <c r="N283" s="28"/>
      <c r="O283" s="28"/>
      <c r="P283" s="28"/>
      <c r="R283" s="45"/>
      <c r="S283" s="45"/>
      <c r="T283" s="7"/>
      <c r="W283" s="147">
        <f t="shared" si="31"/>
        <v>17</v>
      </c>
      <c r="X283" s="36" t="s">
        <v>133</v>
      </c>
      <c r="Y283" s="40"/>
      <c r="Z283" s="40"/>
      <c r="AA283" s="40"/>
      <c r="AB283" s="43">
        <v>0.053838</v>
      </c>
      <c r="AC283" s="157"/>
      <c r="AL283"/>
    </row>
    <row r="284" spans="2:38" ht="12.75" customHeight="1">
      <c r="B284" s="65"/>
      <c r="C284" s="33" t="s">
        <v>161</v>
      </c>
      <c r="D284" s="1"/>
      <c r="E284" s="1"/>
      <c r="F284" s="45"/>
      <c r="G284" s="39"/>
      <c r="H284" s="39"/>
      <c r="I284" s="39"/>
      <c r="J284" s="39"/>
      <c r="K284" s="1"/>
      <c r="L284" s="208"/>
      <c r="M284" s="39"/>
      <c r="N284" s="39"/>
      <c r="O284" s="39"/>
      <c r="P284" s="39"/>
      <c r="R284" s="39"/>
      <c r="S284" s="46"/>
      <c r="T284" s="7"/>
      <c r="W284" s="147">
        <f t="shared" si="31"/>
        <v>18</v>
      </c>
      <c r="X284" s="36" t="s">
        <v>134</v>
      </c>
      <c r="Y284" s="40"/>
      <c r="Z284" s="40"/>
      <c r="AA284" s="40"/>
      <c r="AB284" s="43">
        <v>0.053838</v>
      </c>
      <c r="AC284" s="157"/>
      <c r="AL284"/>
    </row>
    <row r="285" spans="2:38" ht="12.75" customHeight="1">
      <c r="B285" s="65"/>
      <c r="C285" s="76" t="s">
        <v>99</v>
      </c>
      <c r="D285" s="5"/>
      <c r="E285" s="6"/>
      <c r="F285" s="82" t="s">
        <v>94</v>
      </c>
      <c r="G285" s="558"/>
      <c r="H285" s="562" t="s">
        <v>166</v>
      </c>
      <c r="I285" s="563"/>
      <c r="J285" s="563"/>
      <c r="K285" s="564"/>
      <c r="L285" s="107">
        <v>57.516</v>
      </c>
      <c r="M285" s="562" t="s">
        <v>113</v>
      </c>
      <c r="N285" s="563"/>
      <c r="O285" s="563"/>
      <c r="P285" s="563"/>
      <c r="Q285" s="564"/>
      <c r="R285" s="570">
        <f>G285*L285</f>
        <v>0</v>
      </c>
      <c r="S285" s="569"/>
      <c r="T285" s="518" t="e">
        <f>R285/$Q$393</f>
        <v>#DIV/0!</v>
      </c>
      <c r="W285" s="147"/>
      <c r="X285" s="161"/>
      <c r="Y285" s="161"/>
      <c r="Z285" s="161"/>
      <c r="AA285" s="161"/>
      <c r="AB285" s="154"/>
      <c r="AC285" s="152"/>
      <c r="AL285"/>
    </row>
    <row r="286" spans="2:38" ht="12.75" customHeight="1">
      <c r="B286" s="65"/>
      <c r="C286" s="78"/>
      <c r="D286" s="8"/>
      <c r="E286" s="9"/>
      <c r="F286" s="82" t="s">
        <v>100</v>
      </c>
      <c r="G286" s="558"/>
      <c r="H286" s="542"/>
      <c r="I286" s="543"/>
      <c r="J286" s="543"/>
      <c r="K286" s="544"/>
      <c r="L286" s="107">
        <v>23.0085</v>
      </c>
      <c r="M286" s="542"/>
      <c r="N286" s="543"/>
      <c r="O286" s="543"/>
      <c r="P286" s="543"/>
      <c r="Q286" s="544"/>
      <c r="R286" s="570">
        <f>G286*L286</f>
        <v>0</v>
      </c>
      <c r="S286" s="569"/>
      <c r="T286" s="518" t="e">
        <f>R286/$Q$393</f>
        <v>#DIV/0!</v>
      </c>
      <c r="W286" s="147"/>
      <c r="X286" s="160" t="s">
        <v>199</v>
      </c>
      <c r="Y286" s="154"/>
      <c r="Z286" s="154"/>
      <c r="AA286" s="154"/>
      <c r="AB286" s="154"/>
      <c r="AC286" s="152"/>
      <c r="AL286"/>
    </row>
    <row r="287" spans="2:38" ht="12.75" customHeight="1">
      <c r="B287" s="65"/>
      <c r="C287" s="79" t="s">
        <v>101</v>
      </c>
      <c r="D287" s="80"/>
      <c r="E287" s="80"/>
      <c r="F287" s="81"/>
      <c r="G287" s="558"/>
      <c r="H287" s="615" t="s">
        <v>171</v>
      </c>
      <c r="I287" s="573"/>
      <c r="J287" s="573"/>
      <c r="K287" s="569"/>
      <c r="L287" s="107">
        <v>53.245</v>
      </c>
      <c r="M287" s="36" t="s">
        <v>114</v>
      </c>
      <c r="N287" s="183"/>
      <c r="O287" s="183"/>
      <c r="P287" s="183"/>
      <c r="Q287" s="187"/>
      <c r="R287" s="570">
        <f>G287*L287</f>
        <v>0</v>
      </c>
      <c r="S287" s="569"/>
      <c r="T287" s="518" t="e">
        <f>R287/$Q$393</f>
        <v>#DIV/0!</v>
      </c>
      <c r="W287" s="147">
        <v>21</v>
      </c>
      <c r="X287" s="36" t="s">
        <v>196</v>
      </c>
      <c r="Y287" s="40"/>
      <c r="Z287" s="40"/>
      <c r="AA287" s="37"/>
      <c r="AB287" s="154"/>
      <c r="AC287" s="152"/>
      <c r="AL287"/>
    </row>
    <row r="288" spans="2:38" ht="12.75" customHeight="1">
      <c r="B288" s="65"/>
      <c r="C288" s="47"/>
      <c r="D288" s="1"/>
      <c r="E288" s="1"/>
      <c r="F288" s="45"/>
      <c r="G288" s="45"/>
      <c r="H288" s="45"/>
      <c r="I288" s="45"/>
      <c r="J288" s="45"/>
      <c r="K288" s="1"/>
      <c r="L288" s="207"/>
      <c r="M288" s="45"/>
      <c r="N288" s="45"/>
      <c r="O288" s="45"/>
      <c r="P288" s="45"/>
      <c r="R288" s="45"/>
      <c r="S288" s="45"/>
      <c r="T288" s="7"/>
      <c r="W288" s="147">
        <f t="shared" si="31"/>
        <v>22</v>
      </c>
      <c r="X288" s="36" t="s">
        <v>122</v>
      </c>
      <c r="Y288" s="40"/>
      <c r="Z288" s="40"/>
      <c r="AA288" s="40"/>
      <c r="AB288" s="43">
        <v>1.330578</v>
      </c>
      <c r="AC288" s="152"/>
      <c r="AL288"/>
    </row>
    <row r="289" spans="2:38" ht="12.75" customHeight="1">
      <c r="B289" s="65"/>
      <c r="C289" s="33" t="s">
        <v>162</v>
      </c>
      <c r="D289" s="1"/>
      <c r="E289" s="1"/>
      <c r="F289" s="45"/>
      <c r="G289" s="39"/>
      <c r="H289" s="39"/>
      <c r="I289" s="39"/>
      <c r="J289" s="39"/>
      <c r="K289" s="1"/>
      <c r="L289" s="208"/>
      <c r="M289" s="39"/>
      <c r="N289" s="39"/>
      <c r="O289" s="39"/>
      <c r="P289" s="39"/>
      <c r="R289" s="39"/>
      <c r="S289" s="46"/>
      <c r="T289" s="7"/>
      <c r="W289" s="147">
        <f t="shared" si="31"/>
        <v>23</v>
      </c>
      <c r="X289" s="36" t="s">
        <v>123</v>
      </c>
      <c r="Y289" s="40"/>
      <c r="Z289" s="40"/>
      <c r="AA289" s="40"/>
      <c r="AB289" s="43">
        <v>1.315195</v>
      </c>
      <c r="AC289" s="152"/>
      <c r="AL289"/>
    </row>
    <row r="290" spans="2:38" ht="12.75" customHeight="1">
      <c r="B290" s="65"/>
      <c r="C290" s="79" t="s">
        <v>162</v>
      </c>
      <c r="D290" s="80"/>
      <c r="E290" s="80"/>
      <c r="F290" s="81"/>
      <c r="G290" s="547"/>
      <c r="H290" s="36" t="s">
        <v>167</v>
      </c>
      <c r="I290" s="87"/>
      <c r="J290" s="87"/>
      <c r="K290" s="90"/>
      <c r="L290" s="107">
        <v>14.145</v>
      </c>
      <c r="M290" s="36" t="s">
        <v>115</v>
      </c>
      <c r="N290" s="86"/>
      <c r="O290" s="86"/>
      <c r="P290" s="86"/>
      <c r="Q290" s="90"/>
      <c r="R290" s="570">
        <f>G290*L290</f>
        <v>0</v>
      </c>
      <c r="S290" s="569"/>
      <c r="T290" s="518" t="e">
        <f>R290/$Q$393</f>
        <v>#DIV/0!</v>
      </c>
      <c r="W290" s="147">
        <f t="shared" si="31"/>
        <v>24</v>
      </c>
      <c r="X290" s="36" t="s">
        <v>124</v>
      </c>
      <c r="Y290" s="40"/>
      <c r="Z290" s="40"/>
      <c r="AA290" s="40"/>
      <c r="AB290" s="43">
        <v>3.836947</v>
      </c>
      <c r="AC290" s="152"/>
      <c r="AL290"/>
    </row>
    <row r="291" spans="2:38" ht="12.75" customHeight="1">
      <c r="B291" s="65"/>
      <c r="C291" s="47"/>
      <c r="D291" s="1"/>
      <c r="E291" s="1"/>
      <c r="F291" s="45"/>
      <c r="G291" s="30"/>
      <c r="H291" s="38"/>
      <c r="I291" s="1"/>
      <c r="J291" s="1"/>
      <c r="K291" s="1"/>
      <c r="L291" s="207"/>
      <c r="M291" s="38"/>
      <c r="N291" s="28"/>
      <c r="O291" s="28"/>
      <c r="P291" s="28"/>
      <c r="R291" s="45"/>
      <c r="S291" s="45"/>
      <c r="T291" s="7"/>
      <c r="W291" s="147">
        <f t="shared" si="31"/>
        <v>25</v>
      </c>
      <c r="X291" s="36" t="s">
        <v>125</v>
      </c>
      <c r="Y291" s="40"/>
      <c r="Z291" s="40"/>
      <c r="AA291" s="40"/>
      <c r="AB291" s="43">
        <v>0.5903</v>
      </c>
      <c r="AC291" s="152"/>
      <c r="AL291"/>
    </row>
    <row r="292" spans="2:38" ht="12.75" customHeight="1">
      <c r="B292" s="65"/>
      <c r="C292" s="33" t="s">
        <v>542</v>
      </c>
      <c r="D292" s="1"/>
      <c r="E292" s="1"/>
      <c r="F292" s="45"/>
      <c r="G292" s="39"/>
      <c r="H292" s="39"/>
      <c r="I292" s="39"/>
      <c r="J292" s="39"/>
      <c r="K292" s="1"/>
      <c r="L292" s="208"/>
      <c r="M292" s="39"/>
      <c r="N292" s="39"/>
      <c r="O292" s="39"/>
      <c r="P292" s="39"/>
      <c r="R292" s="39"/>
      <c r="S292" s="46"/>
      <c r="T292" s="7"/>
      <c r="W292" s="147">
        <f t="shared" si="31"/>
        <v>26</v>
      </c>
      <c r="X292" s="36" t="s">
        <v>126</v>
      </c>
      <c r="Y292" s="40"/>
      <c r="Z292" s="40"/>
      <c r="AA292" s="40"/>
      <c r="AB292" s="43">
        <v>2.564054</v>
      </c>
      <c r="AC292" s="152"/>
      <c r="AL292"/>
    </row>
    <row r="293" spans="2:38" ht="12.75" customHeight="1">
      <c r="B293" s="65"/>
      <c r="C293" s="79" t="s">
        <v>204</v>
      </c>
      <c r="D293" s="80"/>
      <c r="E293" s="80"/>
      <c r="F293" s="81"/>
      <c r="G293" s="547"/>
      <c r="H293" s="562" t="s">
        <v>168</v>
      </c>
      <c r="I293" s="563"/>
      <c r="J293" s="563"/>
      <c r="K293" s="564"/>
      <c r="L293" s="107">
        <v>2.5372</v>
      </c>
      <c r="M293" s="539" t="s">
        <v>116</v>
      </c>
      <c r="N293" s="573"/>
      <c r="O293" s="573"/>
      <c r="P293" s="573"/>
      <c r="Q293" s="569"/>
      <c r="R293" s="570">
        <f>G293*L293</f>
        <v>0</v>
      </c>
      <c r="S293" s="569"/>
      <c r="T293" s="518" t="e">
        <f>R293/$Q$393</f>
        <v>#DIV/0!</v>
      </c>
      <c r="W293" s="147">
        <f t="shared" si="31"/>
        <v>27</v>
      </c>
      <c r="X293" s="36" t="s">
        <v>127</v>
      </c>
      <c r="Y293" s="40"/>
      <c r="Z293" s="40"/>
      <c r="AA293" s="40"/>
      <c r="AB293" s="43">
        <v>0.61818</v>
      </c>
      <c r="AC293" s="152"/>
      <c r="AL293"/>
    </row>
    <row r="294" spans="2:38" ht="12.75" customHeight="1">
      <c r="B294" s="65"/>
      <c r="C294" s="79" t="s">
        <v>102</v>
      </c>
      <c r="D294" s="80"/>
      <c r="E294" s="80"/>
      <c r="F294" s="81"/>
      <c r="G294" s="547"/>
      <c r="H294" s="542"/>
      <c r="I294" s="543"/>
      <c r="J294" s="543"/>
      <c r="K294" s="544"/>
      <c r="L294" s="107">
        <v>0.430651</v>
      </c>
      <c r="M294" s="36" t="s">
        <v>117</v>
      </c>
      <c r="N294" s="86"/>
      <c r="O294" s="86"/>
      <c r="P294" s="86"/>
      <c r="Q294" s="90"/>
      <c r="R294" s="570">
        <f>G294*L294</f>
        <v>0</v>
      </c>
      <c r="S294" s="569"/>
      <c r="T294" s="518" t="e">
        <f>R294/$Q$393</f>
        <v>#DIV/0!</v>
      </c>
      <c r="W294" s="147">
        <f t="shared" si="31"/>
        <v>28</v>
      </c>
      <c r="X294" s="36" t="s">
        <v>128</v>
      </c>
      <c r="Y294" s="40"/>
      <c r="Z294" s="40"/>
      <c r="AA294" s="40"/>
      <c r="AB294" s="43">
        <v>1.88819</v>
      </c>
      <c r="AC294" s="152"/>
      <c r="AL294"/>
    </row>
    <row r="295" spans="2:38" ht="12.75" customHeight="1">
      <c r="B295" s="65"/>
      <c r="C295" s="47"/>
      <c r="D295" s="1"/>
      <c r="E295" s="1"/>
      <c r="F295" s="45"/>
      <c r="G295" s="30"/>
      <c r="H295" s="38"/>
      <c r="I295" s="1"/>
      <c r="J295" s="1"/>
      <c r="K295" s="1"/>
      <c r="L295" s="207"/>
      <c r="M295" s="38"/>
      <c r="N295" s="28"/>
      <c r="O295" s="28"/>
      <c r="P295" s="28"/>
      <c r="R295" s="45"/>
      <c r="S295" s="45"/>
      <c r="T295" s="7"/>
      <c r="W295" s="147">
        <f t="shared" si="31"/>
        <v>29</v>
      </c>
      <c r="X295" s="36" t="s">
        <v>129</v>
      </c>
      <c r="Y295" s="40"/>
      <c r="Z295" s="40"/>
      <c r="AA295" s="40"/>
      <c r="AB295" s="43">
        <v>0.955632</v>
      </c>
      <c r="AC295" s="152"/>
      <c r="AL295"/>
    </row>
    <row r="296" spans="2:38" ht="12.75" customHeight="1">
      <c r="B296" s="65"/>
      <c r="C296" s="33" t="s">
        <v>163</v>
      </c>
      <c r="D296" s="1"/>
      <c r="E296" s="1"/>
      <c r="F296" s="45"/>
      <c r="G296" s="39"/>
      <c r="H296" s="39"/>
      <c r="I296" s="39"/>
      <c r="J296" s="39"/>
      <c r="K296" s="1"/>
      <c r="L296" s="208"/>
      <c r="M296" s="39"/>
      <c r="N296" s="39"/>
      <c r="O296" s="39"/>
      <c r="P296" s="39"/>
      <c r="R296" s="39"/>
      <c r="S296" s="46"/>
      <c r="T296" s="7"/>
      <c r="W296" s="147">
        <f t="shared" si="31"/>
        <v>30</v>
      </c>
      <c r="X296" s="36" t="s">
        <v>130</v>
      </c>
      <c r="Y296" s="40"/>
      <c r="Z296" s="40"/>
      <c r="AA296" s="40"/>
      <c r="AB296" s="43">
        <v>1.007547</v>
      </c>
      <c r="AC296" s="152"/>
      <c r="AL296"/>
    </row>
    <row r="297" spans="2:38" ht="12.75" customHeight="1">
      <c r="B297" s="65"/>
      <c r="C297" s="76" t="s">
        <v>103</v>
      </c>
      <c r="D297" s="5"/>
      <c r="E297" s="6"/>
      <c r="F297" s="82" t="s">
        <v>94</v>
      </c>
      <c r="G297" s="557"/>
      <c r="H297" s="562" t="s">
        <v>168</v>
      </c>
      <c r="I297" s="563"/>
      <c r="J297" s="563"/>
      <c r="K297" s="564"/>
      <c r="L297" s="107">
        <v>33.62</v>
      </c>
      <c r="M297" s="562" t="s">
        <v>205</v>
      </c>
      <c r="N297" s="563"/>
      <c r="O297" s="563"/>
      <c r="P297" s="563"/>
      <c r="Q297" s="564"/>
      <c r="R297" s="570">
        <f aca="true" t="shared" si="34" ref="R297:R306">G297*L297</f>
        <v>0</v>
      </c>
      <c r="S297" s="569"/>
      <c r="T297" s="518" t="e">
        <f aca="true" t="shared" si="35" ref="T297:T306">R297/$Q$393</f>
        <v>#DIV/0!</v>
      </c>
      <c r="W297" s="147">
        <f t="shared" si="31"/>
        <v>31</v>
      </c>
      <c r="X297" s="36" t="s">
        <v>135</v>
      </c>
      <c r="Y297" s="40"/>
      <c r="Z297" s="40"/>
      <c r="AA297" s="40"/>
      <c r="AB297" s="43">
        <v>2.376581</v>
      </c>
      <c r="AC297" s="152"/>
      <c r="AL297"/>
    </row>
    <row r="298" spans="2:38" ht="12.75" customHeight="1">
      <c r="B298" s="65"/>
      <c r="C298" s="77"/>
      <c r="D298" s="1"/>
      <c r="E298" s="7"/>
      <c r="F298" s="82" t="s">
        <v>100</v>
      </c>
      <c r="G298" s="557"/>
      <c r="H298" s="565"/>
      <c r="I298" s="566"/>
      <c r="J298" s="566"/>
      <c r="K298" s="567"/>
      <c r="L298" s="107">
        <v>31.775</v>
      </c>
      <c r="M298" s="565"/>
      <c r="N298" s="566"/>
      <c r="O298" s="566"/>
      <c r="P298" s="566"/>
      <c r="Q298" s="567"/>
      <c r="R298" s="570">
        <f t="shared" si="34"/>
        <v>0</v>
      </c>
      <c r="S298" s="569"/>
      <c r="T298" s="518" t="e">
        <f t="shared" si="35"/>
        <v>#DIV/0!</v>
      </c>
      <c r="W298" s="147">
        <f t="shared" si="31"/>
        <v>32</v>
      </c>
      <c r="X298" s="36" t="s">
        <v>131</v>
      </c>
      <c r="Y298" s="40"/>
      <c r="Z298" s="40"/>
      <c r="AA298" s="40"/>
      <c r="AB298" s="43">
        <v>1.229631</v>
      </c>
      <c r="AC298" s="152"/>
      <c r="AL298"/>
    </row>
    <row r="299" spans="2:38" ht="12.75" customHeight="1">
      <c r="B299" s="65"/>
      <c r="C299" s="78"/>
      <c r="D299" s="8"/>
      <c r="E299" s="9"/>
      <c r="F299" s="82" t="s">
        <v>95</v>
      </c>
      <c r="G299" s="557"/>
      <c r="H299" s="565"/>
      <c r="I299" s="566"/>
      <c r="J299" s="566"/>
      <c r="K299" s="567"/>
      <c r="L299" s="107">
        <v>70.35194</v>
      </c>
      <c r="M299" s="565"/>
      <c r="N299" s="566"/>
      <c r="O299" s="566"/>
      <c r="P299" s="566"/>
      <c r="Q299" s="567"/>
      <c r="R299" s="570">
        <f t="shared" si="34"/>
        <v>0</v>
      </c>
      <c r="S299" s="569"/>
      <c r="T299" s="518" t="e">
        <f t="shared" si="35"/>
        <v>#DIV/0!</v>
      </c>
      <c r="W299" s="147">
        <f t="shared" si="31"/>
        <v>33</v>
      </c>
      <c r="X299" s="36" t="s">
        <v>132</v>
      </c>
      <c r="Y299" s="40"/>
      <c r="Z299" s="40"/>
      <c r="AA299" s="40"/>
      <c r="AB299" s="43">
        <v>0.151901</v>
      </c>
      <c r="AC299" s="152"/>
      <c r="AL299"/>
    </row>
    <row r="300" spans="2:38" ht="12.75" customHeight="1">
      <c r="B300" s="65"/>
      <c r="C300" s="76" t="s">
        <v>104</v>
      </c>
      <c r="D300" s="5"/>
      <c r="E300" s="6"/>
      <c r="F300" s="82" t="s">
        <v>94</v>
      </c>
      <c r="G300" s="557"/>
      <c r="H300" s="565"/>
      <c r="I300" s="566"/>
      <c r="J300" s="566"/>
      <c r="K300" s="567"/>
      <c r="L300" s="107">
        <v>81.72</v>
      </c>
      <c r="M300" s="565"/>
      <c r="N300" s="566"/>
      <c r="O300" s="566"/>
      <c r="P300" s="566"/>
      <c r="Q300" s="567"/>
      <c r="R300" s="570">
        <f t="shared" si="34"/>
        <v>0</v>
      </c>
      <c r="S300" s="569"/>
      <c r="T300" s="518" t="e">
        <f t="shared" si="35"/>
        <v>#DIV/0!</v>
      </c>
      <c r="W300" s="147">
        <f t="shared" si="31"/>
        <v>34</v>
      </c>
      <c r="X300" s="36" t="s">
        <v>136</v>
      </c>
      <c r="Y300" s="40"/>
      <c r="Z300" s="40"/>
      <c r="AA300" s="40"/>
      <c r="AB300" s="43">
        <v>0.61818</v>
      </c>
      <c r="AC300" s="152"/>
      <c r="AL300"/>
    </row>
    <row r="301" spans="2:38" ht="12.75" customHeight="1">
      <c r="B301" s="65"/>
      <c r="C301" s="77"/>
      <c r="D301" s="1"/>
      <c r="E301" s="7"/>
      <c r="F301" s="82" t="s">
        <v>100</v>
      </c>
      <c r="G301" s="557"/>
      <c r="H301" s="565"/>
      <c r="I301" s="566"/>
      <c r="J301" s="566"/>
      <c r="K301" s="567"/>
      <c r="L301" s="107">
        <v>552.05</v>
      </c>
      <c r="M301" s="565"/>
      <c r="N301" s="566"/>
      <c r="O301" s="566"/>
      <c r="P301" s="566"/>
      <c r="Q301" s="567"/>
      <c r="R301" s="570">
        <f t="shared" si="34"/>
        <v>0</v>
      </c>
      <c r="S301" s="569"/>
      <c r="T301" s="518" t="e">
        <f t="shared" si="35"/>
        <v>#DIV/0!</v>
      </c>
      <c r="W301" s="147">
        <f t="shared" si="31"/>
        <v>35</v>
      </c>
      <c r="X301" s="36" t="s">
        <v>137</v>
      </c>
      <c r="Y301" s="40"/>
      <c r="Z301" s="40"/>
      <c r="AA301" s="40"/>
      <c r="AB301" s="43">
        <v>3.184157</v>
      </c>
      <c r="AC301" s="152"/>
      <c r="AL301"/>
    </row>
    <row r="302" spans="2:38" ht="12.75" customHeight="1">
      <c r="B302" s="65"/>
      <c r="C302" s="78"/>
      <c r="D302" s="8"/>
      <c r="E302" s="9"/>
      <c r="F302" s="82" t="s">
        <v>95</v>
      </c>
      <c r="G302" s="557"/>
      <c r="H302" s="565"/>
      <c r="I302" s="566"/>
      <c r="J302" s="566"/>
      <c r="K302" s="567"/>
      <c r="L302" s="107">
        <v>52.01116</v>
      </c>
      <c r="M302" s="565"/>
      <c r="N302" s="566"/>
      <c r="O302" s="566"/>
      <c r="P302" s="566"/>
      <c r="Q302" s="567"/>
      <c r="R302" s="570">
        <f t="shared" si="34"/>
        <v>0</v>
      </c>
      <c r="S302" s="569"/>
      <c r="T302" s="518" t="e">
        <f t="shared" si="35"/>
        <v>#DIV/0!</v>
      </c>
      <c r="W302" s="147">
        <f t="shared" si="31"/>
        <v>36</v>
      </c>
      <c r="X302" s="36" t="s">
        <v>138</v>
      </c>
      <c r="Y302" s="40"/>
      <c r="Z302" s="40"/>
      <c r="AA302" s="40"/>
      <c r="AB302" s="43">
        <v>1.229631</v>
      </c>
      <c r="AC302" s="152"/>
      <c r="AL302"/>
    </row>
    <row r="303" spans="2:38" ht="12.75" customHeight="1">
      <c r="B303" s="65"/>
      <c r="C303" s="76" t="s">
        <v>105</v>
      </c>
      <c r="D303" s="5"/>
      <c r="E303" s="6"/>
      <c r="F303" s="82" t="s">
        <v>94</v>
      </c>
      <c r="G303" s="557"/>
      <c r="H303" s="565"/>
      <c r="I303" s="566"/>
      <c r="J303" s="566"/>
      <c r="K303" s="567"/>
      <c r="L303" s="107">
        <v>2.42</v>
      </c>
      <c r="M303" s="565"/>
      <c r="N303" s="566"/>
      <c r="O303" s="566"/>
      <c r="P303" s="566"/>
      <c r="Q303" s="567"/>
      <c r="R303" s="570">
        <f t="shared" si="34"/>
        <v>0</v>
      </c>
      <c r="S303" s="569"/>
      <c r="T303" s="518" t="e">
        <f t="shared" si="35"/>
        <v>#DIV/0!</v>
      </c>
      <c r="W303" s="147">
        <f t="shared" si="31"/>
        <v>37</v>
      </c>
      <c r="X303" s="36" t="s">
        <v>133</v>
      </c>
      <c r="Y303" s="40"/>
      <c r="Z303" s="40"/>
      <c r="AA303" s="40"/>
      <c r="AB303" s="43">
        <v>1.53824</v>
      </c>
      <c r="AC303" s="152"/>
      <c r="AL303"/>
    </row>
    <row r="304" spans="2:38" ht="12.75" customHeight="1">
      <c r="B304" s="65"/>
      <c r="C304" s="77"/>
      <c r="D304" s="1"/>
      <c r="E304" s="7"/>
      <c r="F304" s="82" t="s">
        <v>100</v>
      </c>
      <c r="G304" s="557"/>
      <c r="H304" s="565"/>
      <c r="I304" s="566"/>
      <c r="J304" s="566"/>
      <c r="K304" s="567"/>
      <c r="L304" s="107">
        <v>23.12</v>
      </c>
      <c r="M304" s="565"/>
      <c r="N304" s="566"/>
      <c r="O304" s="566"/>
      <c r="P304" s="566"/>
      <c r="Q304" s="567"/>
      <c r="R304" s="570">
        <f t="shared" si="34"/>
        <v>0</v>
      </c>
      <c r="S304" s="569"/>
      <c r="T304" s="518" t="e">
        <f t="shared" si="35"/>
        <v>#DIV/0!</v>
      </c>
      <c r="W304" s="147">
        <f t="shared" si="31"/>
        <v>38</v>
      </c>
      <c r="X304" s="36" t="s">
        <v>134</v>
      </c>
      <c r="Y304" s="40"/>
      <c r="Z304" s="40"/>
      <c r="AA304" s="40"/>
      <c r="AB304" s="43">
        <v>0.454742</v>
      </c>
      <c r="AC304" s="152"/>
      <c r="AL304"/>
    </row>
    <row r="305" spans="2:38" ht="12.75" customHeight="1">
      <c r="B305" s="65"/>
      <c r="C305" s="78"/>
      <c r="D305" s="8"/>
      <c r="E305" s="9"/>
      <c r="F305" s="82" t="s">
        <v>95</v>
      </c>
      <c r="G305" s="557"/>
      <c r="H305" s="565"/>
      <c r="I305" s="566"/>
      <c r="J305" s="566"/>
      <c r="K305" s="567"/>
      <c r="L305" s="107">
        <v>24.09504</v>
      </c>
      <c r="M305" s="565"/>
      <c r="N305" s="566"/>
      <c r="O305" s="566"/>
      <c r="P305" s="566"/>
      <c r="Q305" s="567"/>
      <c r="R305" s="570">
        <f t="shared" si="34"/>
        <v>0</v>
      </c>
      <c r="S305" s="569"/>
      <c r="T305" s="518" t="e">
        <f t="shared" si="35"/>
        <v>#DIV/0!</v>
      </c>
      <c r="W305" s="147"/>
      <c r="X305" s="154"/>
      <c r="Y305" s="154"/>
      <c r="Z305" s="154"/>
      <c r="AA305" s="154"/>
      <c r="AB305" s="154"/>
      <c r="AC305" s="152"/>
      <c r="AL305"/>
    </row>
    <row r="306" spans="2:38" ht="12.75" customHeight="1">
      <c r="B306" s="65"/>
      <c r="C306" s="79" t="s">
        <v>106</v>
      </c>
      <c r="D306" s="80"/>
      <c r="E306" s="80"/>
      <c r="F306" s="81"/>
      <c r="G306" s="557"/>
      <c r="H306" s="542"/>
      <c r="I306" s="543"/>
      <c r="J306" s="543"/>
      <c r="K306" s="544"/>
      <c r="L306" s="107">
        <v>52.9</v>
      </c>
      <c r="M306" s="542"/>
      <c r="N306" s="543"/>
      <c r="O306" s="543"/>
      <c r="P306" s="543"/>
      <c r="Q306" s="544"/>
      <c r="R306" s="570">
        <f t="shared" si="34"/>
        <v>0</v>
      </c>
      <c r="S306" s="569"/>
      <c r="T306" s="518" t="e">
        <f t="shared" si="35"/>
        <v>#DIV/0!</v>
      </c>
      <c r="W306" s="147"/>
      <c r="X306" s="160" t="s">
        <v>200</v>
      </c>
      <c r="Y306" s="154"/>
      <c r="Z306" s="154"/>
      <c r="AA306" s="154"/>
      <c r="AB306" s="154"/>
      <c r="AC306" s="152"/>
      <c r="AL306"/>
    </row>
    <row r="307" spans="2:38" ht="21.75" customHeight="1">
      <c r="B307" s="65"/>
      <c r="C307" s="69" t="s">
        <v>390</v>
      </c>
      <c r="T307" s="7"/>
      <c r="W307" s="147">
        <v>41</v>
      </c>
      <c r="X307" s="36" t="s">
        <v>196</v>
      </c>
      <c r="Y307" s="40"/>
      <c r="Z307" s="40"/>
      <c r="AA307" s="37"/>
      <c r="AB307" s="154"/>
      <c r="AC307" s="152"/>
      <c r="AL307"/>
    </row>
    <row r="308" spans="2:38" ht="12.75" customHeight="1">
      <c r="B308" s="65"/>
      <c r="C308" s="79" t="s">
        <v>107</v>
      </c>
      <c r="D308" s="80"/>
      <c r="E308" s="80"/>
      <c r="F308" s="82"/>
      <c r="G308" s="557"/>
      <c r="H308" s="562" t="s">
        <v>168</v>
      </c>
      <c r="I308" s="563"/>
      <c r="J308" s="563"/>
      <c r="K308" s="564"/>
      <c r="L308" s="107">
        <v>0.12469</v>
      </c>
      <c r="M308" s="539" t="s">
        <v>118</v>
      </c>
      <c r="N308" s="573"/>
      <c r="O308" s="573"/>
      <c r="P308" s="573"/>
      <c r="Q308" s="569"/>
      <c r="R308" s="570">
        <f>G308*L308</f>
        <v>0</v>
      </c>
      <c r="S308" s="569"/>
      <c r="T308" s="518" t="e">
        <f>R308/$Q$393</f>
        <v>#DIV/0!</v>
      </c>
      <c r="W308" s="147">
        <f t="shared" si="31"/>
        <v>42</v>
      </c>
      <c r="X308" s="36" t="s">
        <v>122</v>
      </c>
      <c r="Y308" s="40"/>
      <c r="Z308" s="40"/>
      <c r="AA308" s="40"/>
      <c r="AB308" s="43">
        <v>1.144066</v>
      </c>
      <c r="AC308" s="152"/>
      <c r="AL308"/>
    </row>
    <row r="309" spans="2:38" ht="12.75" customHeight="1">
      <c r="B309" s="65"/>
      <c r="C309" s="79" t="s">
        <v>108</v>
      </c>
      <c r="D309" s="80"/>
      <c r="E309" s="80"/>
      <c r="F309" s="82" t="s">
        <v>100</v>
      </c>
      <c r="G309" s="557"/>
      <c r="H309" s="542"/>
      <c r="I309" s="543"/>
      <c r="J309" s="543"/>
      <c r="K309" s="544"/>
      <c r="L309" s="107">
        <v>0.5773</v>
      </c>
      <c r="M309" s="539" t="s">
        <v>119</v>
      </c>
      <c r="N309" s="573"/>
      <c r="O309" s="573"/>
      <c r="P309" s="573"/>
      <c r="Q309" s="569"/>
      <c r="R309" s="570">
        <f>G309*L309</f>
        <v>0</v>
      </c>
      <c r="S309" s="569"/>
      <c r="T309" s="518" t="e">
        <f>R309/$Q$393</f>
        <v>#DIV/0!</v>
      </c>
      <c r="W309" s="147">
        <f t="shared" si="31"/>
        <v>43</v>
      </c>
      <c r="X309" s="36" t="s">
        <v>123</v>
      </c>
      <c r="Y309" s="40"/>
      <c r="Z309" s="40"/>
      <c r="AA309" s="40"/>
      <c r="AB309" s="43">
        <v>0.478777</v>
      </c>
      <c r="AC309" s="152"/>
      <c r="AL309"/>
    </row>
    <row r="310" spans="2:38" ht="12.75" customHeight="1">
      <c r="B310" s="65"/>
      <c r="C310" s="15"/>
      <c r="D310" s="15"/>
      <c r="E310" s="15"/>
      <c r="G310" s="30"/>
      <c r="H310" s="38"/>
      <c r="S310" s="1"/>
      <c r="T310" s="7"/>
      <c r="W310" s="147">
        <f t="shared" si="31"/>
        <v>44</v>
      </c>
      <c r="X310" s="36" t="s">
        <v>124</v>
      </c>
      <c r="Y310" s="40"/>
      <c r="Z310" s="40"/>
      <c r="AA310" s="40"/>
      <c r="AB310" s="43">
        <v>0.478777</v>
      </c>
      <c r="AC310" s="152"/>
      <c r="AL310"/>
    </row>
    <row r="311" spans="2:38" ht="12.75" customHeight="1">
      <c r="B311" s="68" t="s">
        <v>217</v>
      </c>
      <c r="D311" s="34"/>
      <c r="E311" s="1"/>
      <c r="F311" s="28"/>
      <c r="G311" s="28"/>
      <c r="H311" s="1"/>
      <c r="I311" s="15"/>
      <c r="K311" s="1"/>
      <c r="L311" s="1"/>
      <c r="M311" s="15"/>
      <c r="N311" s="28"/>
      <c r="O311" s="28"/>
      <c r="P311" s="28"/>
      <c r="Q311" s="28"/>
      <c r="R311" s="28"/>
      <c r="S311" s="28"/>
      <c r="T311" s="7"/>
      <c r="W311" s="147">
        <f t="shared" si="31"/>
        <v>45</v>
      </c>
      <c r="X311" s="36" t="s">
        <v>125</v>
      </c>
      <c r="Y311" s="40"/>
      <c r="Z311" s="40"/>
      <c r="AA311" s="40"/>
      <c r="AB311" s="43">
        <v>0.478777</v>
      </c>
      <c r="AC311" s="152"/>
      <c r="AL311"/>
    </row>
    <row r="312" spans="2:38" ht="12.75" customHeight="1">
      <c r="B312" s="68"/>
      <c r="D312" s="34"/>
      <c r="E312" s="1"/>
      <c r="F312" s="28"/>
      <c r="G312" s="28"/>
      <c r="H312" s="1"/>
      <c r="I312" s="15"/>
      <c r="K312" s="1"/>
      <c r="L312" s="1"/>
      <c r="M312" s="15"/>
      <c r="N312" s="28"/>
      <c r="O312" s="28"/>
      <c r="P312" s="28"/>
      <c r="Q312" s="28"/>
      <c r="R312" s="28"/>
      <c r="S312" s="28"/>
      <c r="T312" s="632" t="s">
        <v>583</v>
      </c>
      <c r="W312" s="147">
        <f t="shared" si="31"/>
        <v>46</v>
      </c>
      <c r="X312" s="36" t="s">
        <v>126</v>
      </c>
      <c r="Y312" s="40"/>
      <c r="Z312" s="40"/>
      <c r="AA312" s="40"/>
      <c r="AB312" s="43">
        <v>0.5903</v>
      </c>
      <c r="AC312" s="152"/>
      <c r="AL312"/>
    </row>
    <row r="313" spans="2:38" ht="12.75" customHeight="1">
      <c r="B313" s="66"/>
      <c r="C313" s="26" t="s">
        <v>147</v>
      </c>
      <c r="D313" s="34"/>
      <c r="E313" s="1"/>
      <c r="F313" s="28"/>
      <c r="G313" s="17" t="s">
        <v>206</v>
      </c>
      <c r="H313" s="39"/>
      <c r="I313" s="39"/>
      <c r="J313" s="39"/>
      <c r="K313" s="1"/>
      <c r="L313" s="39" t="s">
        <v>80</v>
      </c>
      <c r="M313" s="39"/>
      <c r="N313" s="39"/>
      <c r="O313" s="39"/>
      <c r="P313" s="39"/>
      <c r="R313" s="39" t="s">
        <v>190</v>
      </c>
      <c r="S313" s="46"/>
      <c r="T313" s="544"/>
      <c r="W313" s="147">
        <f t="shared" si="31"/>
        <v>47</v>
      </c>
      <c r="X313" s="36" t="s">
        <v>127</v>
      </c>
      <c r="Y313" s="40"/>
      <c r="Z313" s="40"/>
      <c r="AA313" s="40"/>
      <c r="AB313" s="43">
        <v>0.65952</v>
      </c>
      <c r="AC313" s="152"/>
      <c r="AL313"/>
    </row>
    <row r="314" spans="2:38" ht="12.75" customHeight="1">
      <c r="B314" s="66"/>
      <c r="C314" s="125" t="s">
        <v>147</v>
      </c>
      <c r="D314" s="123"/>
      <c r="E314" s="123"/>
      <c r="F314" s="124"/>
      <c r="G314" s="547"/>
      <c r="H314" s="36" t="s">
        <v>172</v>
      </c>
      <c r="I314" s="85"/>
      <c r="J314" s="86"/>
      <c r="K314" s="113"/>
      <c r="L314" s="109">
        <v>0.073</v>
      </c>
      <c r="M314" s="36" t="s">
        <v>148</v>
      </c>
      <c r="N314" s="86"/>
      <c r="O314" s="86"/>
      <c r="P314" s="86"/>
      <c r="Q314" s="113"/>
      <c r="R314" s="570">
        <f>G314*L314*1000</f>
        <v>0</v>
      </c>
      <c r="S314" s="571"/>
      <c r="T314" s="518" t="e">
        <f>R314/$Q$393</f>
        <v>#DIV/0!</v>
      </c>
      <c r="W314" s="147">
        <f t="shared" si="31"/>
        <v>48</v>
      </c>
      <c r="X314" s="36" t="s">
        <v>128</v>
      </c>
      <c r="Y314" s="40"/>
      <c r="Z314" s="40"/>
      <c r="AA314" s="40"/>
      <c r="AB314" s="43">
        <v>0.636447</v>
      </c>
      <c r="AC314" s="152"/>
      <c r="AL314"/>
    </row>
    <row r="315" spans="2:38" ht="12.75" customHeight="1">
      <c r="B315" s="66"/>
      <c r="C315" s="22"/>
      <c r="D315" s="22"/>
      <c r="E315" s="22"/>
      <c r="F315" s="22"/>
      <c r="G315" s="30"/>
      <c r="H315" s="38"/>
      <c r="I315" s="38"/>
      <c r="J315" s="28"/>
      <c r="K315" s="28"/>
      <c r="L315" s="28"/>
      <c r="M315" s="28"/>
      <c r="N315" s="28"/>
      <c r="O315" s="28"/>
      <c r="P315" s="28"/>
      <c r="Q315" s="28"/>
      <c r="R315" s="28"/>
      <c r="S315" s="28"/>
      <c r="T315" s="7"/>
      <c r="W315" s="147">
        <f t="shared" si="31"/>
        <v>49</v>
      </c>
      <c r="X315" s="36" t="s">
        <v>129</v>
      </c>
      <c r="Y315" s="40"/>
      <c r="Z315" s="40"/>
      <c r="AA315" s="40"/>
      <c r="AB315" s="43">
        <v>0.307648</v>
      </c>
      <c r="AC315" s="152"/>
      <c r="AL315"/>
    </row>
    <row r="316" spans="2:38" ht="12.75" customHeight="1">
      <c r="B316" s="66"/>
      <c r="C316" s="26" t="s">
        <v>149</v>
      </c>
      <c r="D316" s="34"/>
      <c r="E316" s="1"/>
      <c r="F316" s="48"/>
      <c r="G316" s="39"/>
      <c r="H316" s="39"/>
      <c r="I316" s="39"/>
      <c r="J316" s="39"/>
      <c r="K316" s="1"/>
      <c r="L316" s="39"/>
      <c r="M316" s="39"/>
      <c r="N316" s="39"/>
      <c r="O316" s="39"/>
      <c r="P316" s="39"/>
      <c r="R316" s="39"/>
      <c r="S316" s="46"/>
      <c r="T316" s="7"/>
      <c r="W316" s="147">
        <f>W315+1</f>
        <v>50</v>
      </c>
      <c r="X316" s="36" t="s">
        <v>130</v>
      </c>
      <c r="Y316" s="40"/>
      <c r="Z316" s="40"/>
      <c r="AA316" s="40"/>
      <c r="AB316" s="43">
        <v>0.140364</v>
      </c>
      <c r="AC316" s="152"/>
      <c r="AL316"/>
    </row>
    <row r="317" spans="2:38" ht="12.75" customHeight="1">
      <c r="B317" s="66"/>
      <c r="C317" s="125" t="s">
        <v>150</v>
      </c>
      <c r="D317" s="123"/>
      <c r="E317" s="123"/>
      <c r="F317" s="124"/>
      <c r="G317" s="547"/>
      <c r="H317" s="562" t="s">
        <v>77</v>
      </c>
      <c r="I317" s="563"/>
      <c r="J317" s="563"/>
      <c r="K317" s="564"/>
      <c r="L317" s="107">
        <v>782</v>
      </c>
      <c r="M317" s="562" t="s">
        <v>75</v>
      </c>
      <c r="N317" s="563"/>
      <c r="O317" s="563"/>
      <c r="P317" s="563"/>
      <c r="Q317" s="564"/>
      <c r="R317" s="570">
        <f aca="true" t="shared" si="36" ref="R317:R324">G317*L317</f>
        <v>0</v>
      </c>
      <c r="S317" s="571"/>
      <c r="T317" s="518" t="e">
        <f>R317/$Q$393</f>
        <v>#DIV/0!</v>
      </c>
      <c r="W317" s="147">
        <f>W316+1</f>
        <v>51</v>
      </c>
      <c r="X317" s="36" t="s">
        <v>135</v>
      </c>
      <c r="Y317" s="40"/>
      <c r="Z317" s="40"/>
      <c r="AA317" s="40"/>
      <c r="AB317" s="43">
        <v>0.636447</v>
      </c>
      <c r="AC317" s="152"/>
      <c r="AL317"/>
    </row>
    <row r="318" spans="2:38" ht="12.75" customHeight="1">
      <c r="B318" s="66"/>
      <c r="C318" s="125" t="s">
        <v>151</v>
      </c>
      <c r="D318" s="123"/>
      <c r="E318" s="123"/>
      <c r="F318" s="124"/>
      <c r="G318" s="547"/>
      <c r="H318" s="565"/>
      <c r="I318" s="566"/>
      <c r="J318" s="566"/>
      <c r="K318" s="567"/>
      <c r="L318" s="107">
        <v>1225.9</v>
      </c>
      <c r="M318" s="565"/>
      <c r="N318" s="566"/>
      <c r="O318" s="566"/>
      <c r="P318" s="566"/>
      <c r="Q318" s="567"/>
      <c r="R318" s="570">
        <f t="shared" si="36"/>
        <v>0</v>
      </c>
      <c r="S318" s="571"/>
      <c r="T318" s="518" t="e">
        <f>R318/$Q$393</f>
        <v>#DIV/0!</v>
      </c>
      <c r="W318" s="147">
        <f t="shared" si="31"/>
        <v>52</v>
      </c>
      <c r="X318" s="36" t="s">
        <v>131</v>
      </c>
      <c r="Y318" s="40"/>
      <c r="Z318" s="40"/>
      <c r="AA318" s="40"/>
      <c r="AB318" s="43">
        <v>0.636447</v>
      </c>
      <c r="AC318" s="152"/>
      <c r="AL318"/>
    </row>
    <row r="319" spans="2:38" ht="12.75" customHeight="1">
      <c r="B319" s="66"/>
      <c r="C319" s="125" t="s">
        <v>152</v>
      </c>
      <c r="D319" s="123"/>
      <c r="E319" s="123"/>
      <c r="F319" s="124"/>
      <c r="G319" s="547"/>
      <c r="H319" s="565"/>
      <c r="I319" s="566"/>
      <c r="J319" s="566"/>
      <c r="K319" s="567"/>
      <c r="L319" s="107">
        <v>644</v>
      </c>
      <c r="M319" s="565"/>
      <c r="N319" s="566"/>
      <c r="O319" s="566"/>
      <c r="P319" s="566"/>
      <c r="Q319" s="567"/>
      <c r="R319" s="570">
        <f t="shared" si="36"/>
        <v>0</v>
      </c>
      <c r="S319" s="571"/>
      <c r="T319" s="518" t="e">
        <f>R319/$Q$393</f>
        <v>#DIV/0!</v>
      </c>
      <c r="W319" s="147">
        <f>W318+1</f>
        <v>53</v>
      </c>
      <c r="X319" s="36" t="s">
        <v>132</v>
      </c>
      <c r="Y319" s="40"/>
      <c r="Z319" s="40"/>
      <c r="AA319" s="40"/>
      <c r="AB319" s="43">
        <v>0.107677</v>
      </c>
      <c r="AC319" s="152"/>
      <c r="AL319"/>
    </row>
    <row r="320" spans="2:38" ht="12.75" customHeight="1">
      <c r="B320" s="66"/>
      <c r="C320" s="126" t="s">
        <v>153</v>
      </c>
      <c r="D320" s="127"/>
      <c r="E320" s="127"/>
      <c r="F320" s="128"/>
      <c r="G320" s="547"/>
      <c r="H320" s="565"/>
      <c r="I320" s="566"/>
      <c r="J320" s="566"/>
      <c r="K320" s="567"/>
      <c r="L320" s="107">
        <v>11.04</v>
      </c>
      <c r="M320" s="565"/>
      <c r="N320" s="566"/>
      <c r="O320" s="566"/>
      <c r="P320" s="566"/>
      <c r="Q320" s="567"/>
      <c r="R320" s="570">
        <f t="shared" si="36"/>
        <v>0</v>
      </c>
      <c r="S320" s="571"/>
      <c r="T320" s="518" t="e">
        <f>R320/$Q$393</f>
        <v>#DIV/0!</v>
      </c>
      <c r="W320" s="147">
        <f t="shared" si="31"/>
        <v>54</v>
      </c>
      <c r="X320" s="36" t="s">
        <v>136</v>
      </c>
      <c r="Y320" s="40"/>
      <c r="Z320" s="40"/>
      <c r="AA320" s="40"/>
      <c r="AB320" s="43">
        <v>0.65952</v>
      </c>
      <c r="AC320" s="152"/>
      <c r="AL320"/>
    </row>
    <row r="321" spans="2:38" ht="12.75" customHeight="1">
      <c r="B321" s="66"/>
      <c r="C321" s="125" t="s">
        <v>154</v>
      </c>
      <c r="D321" s="123"/>
      <c r="E321" s="123"/>
      <c r="F321" s="124"/>
      <c r="G321" s="547"/>
      <c r="H321" s="542"/>
      <c r="I321" s="543"/>
      <c r="J321" s="543"/>
      <c r="K321" s="544"/>
      <c r="L321" s="107">
        <v>2833.6</v>
      </c>
      <c r="M321" s="542"/>
      <c r="N321" s="543"/>
      <c r="O321" s="543"/>
      <c r="P321" s="543"/>
      <c r="Q321" s="544"/>
      <c r="R321" s="570">
        <f t="shared" si="36"/>
        <v>0</v>
      </c>
      <c r="S321" s="571"/>
      <c r="T321" s="518" t="e">
        <f>R321/$Q$393</f>
        <v>#DIV/0!</v>
      </c>
      <c r="W321" s="147">
        <f t="shared" si="31"/>
        <v>55</v>
      </c>
      <c r="X321" s="36" t="s">
        <v>137</v>
      </c>
      <c r="Y321" s="40"/>
      <c r="Z321" s="40"/>
      <c r="AA321" s="40"/>
      <c r="AB321" s="43">
        <v>1.432486</v>
      </c>
      <c r="AC321" s="152"/>
      <c r="AL321"/>
    </row>
    <row r="322" spans="2:38" ht="12.75" customHeight="1">
      <c r="B322" s="66"/>
      <c r="C322" s="1"/>
      <c r="D322" s="1"/>
      <c r="E322" s="1"/>
      <c r="F322" s="1"/>
      <c r="G322" s="1"/>
      <c r="H322" s="1"/>
      <c r="I322" s="1"/>
      <c r="J322" s="1"/>
      <c r="K322" s="1"/>
      <c r="L322" s="1"/>
      <c r="M322" s="1"/>
      <c r="N322" s="1"/>
      <c r="O322" s="1"/>
      <c r="P322" s="1"/>
      <c r="Q322" s="1"/>
      <c r="R322" s="1"/>
      <c r="S322" s="1"/>
      <c r="T322" s="7"/>
      <c r="W322" s="147">
        <f>W321+1</f>
        <v>56</v>
      </c>
      <c r="X322" s="36" t="s">
        <v>138</v>
      </c>
      <c r="Y322" s="40"/>
      <c r="Z322" s="40"/>
      <c r="AA322" s="40"/>
      <c r="AB322" s="43">
        <v>0.636447</v>
      </c>
      <c r="AC322" s="152"/>
      <c r="AL322"/>
    </row>
    <row r="323" spans="2:38" ht="12.75" customHeight="1">
      <c r="B323" s="66"/>
      <c r="C323" s="129" t="s">
        <v>155</v>
      </c>
      <c r="D323" s="1"/>
      <c r="E323" s="1"/>
      <c r="F323" s="1"/>
      <c r="G323" s="39"/>
      <c r="H323" s="39"/>
      <c r="I323" s="39"/>
      <c r="J323" s="39"/>
      <c r="K323" s="1"/>
      <c r="L323" s="39"/>
      <c r="M323" s="39"/>
      <c r="N323" s="39"/>
      <c r="O323" s="39"/>
      <c r="P323" s="39"/>
      <c r="R323" s="39"/>
      <c r="S323" s="46"/>
      <c r="T323" s="7"/>
      <c r="W323" s="147">
        <f t="shared" si="31"/>
        <v>57</v>
      </c>
      <c r="X323" s="36" t="s">
        <v>133</v>
      </c>
      <c r="Y323" s="40"/>
      <c r="Z323" s="40"/>
      <c r="AA323" s="40"/>
      <c r="AB323" s="43">
        <v>0.107677</v>
      </c>
      <c r="AC323" s="152"/>
      <c r="AL323"/>
    </row>
    <row r="324" spans="2:38" ht="12.75" customHeight="1">
      <c r="B324" s="66"/>
      <c r="C324" s="125" t="s">
        <v>155</v>
      </c>
      <c r="D324" s="123"/>
      <c r="E324" s="123"/>
      <c r="F324" s="124"/>
      <c r="G324" s="547"/>
      <c r="H324" s="36" t="s">
        <v>296</v>
      </c>
      <c r="I324" s="85"/>
      <c r="J324" s="86"/>
      <c r="K324" s="113"/>
      <c r="L324" s="107">
        <v>678.99</v>
      </c>
      <c r="M324" s="36" t="s">
        <v>297</v>
      </c>
      <c r="N324" s="86"/>
      <c r="O324" s="86"/>
      <c r="P324" s="86"/>
      <c r="Q324" s="113"/>
      <c r="R324" s="570">
        <f t="shared" si="36"/>
        <v>0</v>
      </c>
      <c r="S324" s="571"/>
      <c r="T324" s="518" t="e">
        <f>R324/$Q$393</f>
        <v>#DIV/0!</v>
      </c>
      <c r="W324" s="147">
        <f t="shared" si="31"/>
        <v>58</v>
      </c>
      <c r="X324" s="36" t="s">
        <v>134</v>
      </c>
      <c r="Y324" s="40"/>
      <c r="Z324" s="40"/>
      <c r="AA324" s="40"/>
      <c r="AB324" s="43">
        <v>0.107677</v>
      </c>
      <c r="AC324" s="152"/>
      <c r="AL324"/>
    </row>
    <row r="325" spans="2:38" ht="12.75" customHeight="1">
      <c r="B325" s="66"/>
      <c r="D325" s="34"/>
      <c r="E325" s="1"/>
      <c r="F325" s="28"/>
      <c r="G325" s="28"/>
      <c r="H325" s="1"/>
      <c r="I325" s="15"/>
      <c r="K325" s="28"/>
      <c r="L325" s="1"/>
      <c r="M325" s="1"/>
      <c r="N325" s="15"/>
      <c r="O325" s="28"/>
      <c r="P325" s="28"/>
      <c r="Q325" s="28"/>
      <c r="R325" s="28"/>
      <c r="S325" s="28"/>
      <c r="T325" s="7"/>
      <c r="W325" s="147"/>
      <c r="X325" s="154"/>
      <c r="Y325" s="154"/>
      <c r="Z325" s="154"/>
      <c r="AA325" s="154"/>
      <c r="AB325" s="160"/>
      <c r="AC325" s="152"/>
      <c r="AL325"/>
    </row>
    <row r="326" spans="2:38" ht="12.75" customHeight="1">
      <c r="B326" s="66"/>
      <c r="D326" s="34"/>
      <c r="E326" s="1"/>
      <c r="F326" s="28"/>
      <c r="G326" s="28"/>
      <c r="H326" s="1"/>
      <c r="I326" s="15"/>
      <c r="K326" s="1"/>
      <c r="L326" s="1"/>
      <c r="M326" s="15"/>
      <c r="N326" s="28"/>
      <c r="O326" s="28"/>
      <c r="P326" s="28"/>
      <c r="Q326" s="28"/>
      <c r="R326" s="28"/>
      <c r="S326" s="28"/>
      <c r="T326" s="7"/>
      <c r="W326" s="147"/>
      <c r="X326" s="160" t="s">
        <v>201</v>
      </c>
      <c r="Y326" s="154"/>
      <c r="Z326" s="154"/>
      <c r="AA326" s="154"/>
      <c r="AB326" s="154"/>
      <c r="AC326" s="152"/>
      <c r="AL326"/>
    </row>
    <row r="327" spans="2:38" ht="12.75" customHeight="1">
      <c r="B327" s="68" t="s">
        <v>221</v>
      </c>
      <c r="D327" s="34"/>
      <c r="E327" s="1"/>
      <c r="F327" s="28"/>
      <c r="G327" s="28"/>
      <c r="H327" s="1"/>
      <c r="I327" s="15"/>
      <c r="K327" s="1"/>
      <c r="L327" s="1"/>
      <c r="M327" s="15"/>
      <c r="N327" s="28"/>
      <c r="O327" s="28"/>
      <c r="P327" s="28"/>
      <c r="Q327" s="28"/>
      <c r="R327" s="28"/>
      <c r="S327" s="28"/>
      <c r="T327" s="7"/>
      <c r="W327" s="147">
        <v>61</v>
      </c>
      <c r="X327" s="36" t="s">
        <v>196</v>
      </c>
      <c r="Y327" s="40"/>
      <c r="Z327" s="40"/>
      <c r="AA327" s="37"/>
      <c r="AB327" s="154"/>
      <c r="AC327" s="152"/>
      <c r="AL327"/>
    </row>
    <row r="328" spans="2:38" ht="12.75" customHeight="1">
      <c r="B328" s="68"/>
      <c r="D328" s="34"/>
      <c r="E328" s="1"/>
      <c r="F328" s="28"/>
      <c r="G328" s="28"/>
      <c r="H328" s="1"/>
      <c r="I328" s="15"/>
      <c r="K328" s="1"/>
      <c r="L328" s="1"/>
      <c r="M328" s="15"/>
      <c r="N328" s="28"/>
      <c r="O328" s="28"/>
      <c r="P328" s="28"/>
      <c r="Q328" s="28"/>
      <c r="R328" s="28"/>
      <c r="S328" s="28"/>
      <c r="T328" s="632" t="s">
        <v>583</v>
      </c>
      <c r="W328" s="147">
        <f>W327+1</f>
        <v>62</v>
      </c>
      <c r="X328" s="36" t="s">
        <v>122</v>
      </c>
      <c r="Y328" s="40"/>
      <c r="Z328" s="40"/>
      <c r="AA328" s="40"/>
      <c r="AB328" s="43">
        <v>0.18555</v>
      </c>
      <c r="AC328" s="152"/>
      <c r="AL328"/>
    </row>
    <row r="329" spans="2:38" ht="12.75" customHeight="1">
      <c r="B329" s="66"/>
      <c r="D329" s="34"/>
      <c r="E329" s="1"/>
      <c r="F329" s="28"/>
      <c r="G329" s="17" t="s">
        <v>206</v>
      </c>
      <c r="H329" s="39"/>
      <c r="I329" s="39"/>
      <c r="J329" s="39"/>
      <c r="K329" s="1"/>
      <c r="L329" s="39" t="s">
        <v>80</v>
      </c>
      <c r="M329" s="39"/>
      <c r="N329" s="39"/>
      <c r="O329" s="39"/>
      <c r="P329" s="39"/>
      <c r="R329" s="39" t="s">
        <v>190</v>
      </c>
      <c r="S329" s="46"/>
      <c r="T329" s="544"/>
      <c r="W329" s="147">
        <f>W328+1</f>
        <v>63</v>
      </c>
      <c r="X329" s="36" t="s">
        <v>123</v>
      </c>
      <c r="Y329" s="40"/>
      <c r="Z329" s="40"/>
      <c r="AA329" s="40"/>
      <c r="AB329" s="43">
        <v>0.077873</v>
      </c>
      <c r="AC329" s="152"/>
      <c r="AL329"/>
    </row>
    <row r="330" spans="2:38" ht="25.5" customHeight="1">
      <c r="B330" s="66"/>
      <c r="C330" s="572" t="s">
        <v>391</v>
      </c>
      <c r="D330" s="573"/>
      <c r="E330" s="573"/>
      <c r="F330" s="569"/>
      <c r="G330" s="545"/>
      <c r="H330" s="503" t="s">
        <v>173</v>
      </c>
      <c r="I330" s="523"/>
      <c r="J330" s="524"/>
      <c r="K330" s="525"/>
      <c r="L330" s="264">
        <v>480</v>
      </c>
      <c r="M330" s="503" t="s">
        <v>174</v>
      </c>
      <c r="N330" s="524"/>
      <c r="O330" s="524"/>
      <c r="P330" s="524"/>
      <c r="Q330" s="525"/>
      <c r="R330" s="568">
        <f>G330*L330</f>
        <v>0</v>
      </c>
      <c r="S330" s="616"/>
      <c r="T330" s="526" t="e">
        <f>R330/$Q$393</f>
        <v>#DIV/0!</v>
      </c>
      <c r="W330" s="147">
        <f>W329+1</f>
        <v>64</v>
      </c>
      <c r="X330" s="36" t="s">
        <v>124</v>
      </c>
      <c r="Y330" s="40"/>
      <c r="Z330" s="40"/>
      <c r="AA330" s="40"/>
      <c r="AB330" s="43">
        <v>0.077873</v>
      </c>
      <c r="AC330" s="152"/>
      <c r="AL330"/>
    </row>
    <row r="331" spans="2:38" ht="12.75" customHeight="1">
      <c r="B331" s="66"/>
      <c r="D331" s="34"/>
      <c r="E331" s="1"/>
      <c r="F331" s="28"/>
      <c r="G331" s="28"/>
      <c r="H331" s="1"/>
      <c r="I331" s="15"/>
      <c r="K331" s="1"/>
      <c r="L331" s="1"/>
      <c r="M331" s="15"/>
      <c r="N331" s="28"/>
      <c r="O331" s="28"/>
      <c r="P331" s="28"/>
      <c r="Q331" s="28"/>
      <c r="R331" s="28"/>
      <c r="S331" s="28"/>
      <c r="T331" s="7"/>
      <c r="W331" s="147">
        <f t="shared" si="31"/>
        <v>65</v>
      </c>
      <c r="X331" s="36" t="s">
        <v>125</v>
      </c>
      <c r="Y331" s="40"/>
      <c r="Z331" s="40"/>
      <c r="AA331" s="40"/>
      <c r="AB331" s="43">
        <v>0.077873</v>
      </c>
      <c r="AC331" s="152"/>
      <c r="AL331"/>
    </row>
    <row r="332" spans="2:38" ht="12.75" customHeight="1">
      <c r="B332" s="66"/>
      <c r="D332" s="34"/>
      <c r="E332" s="1"/>
      <c r="F332" s="28"/>
      <c r="G332" s="28"/>
      <c r="H332" s="1"/>
      <c r="I332" s="15"/>
      <c r="K332" s="1"/>
      <c r="L332" s="1"/>
      <c r="M332" s="15"/>
      <c r="N332" s="28"/>
      <c r="O332" s="28"/>
      <c r="P332" s="28"/>
      <c r="Q332" s="28"/>
      <c r="R332" s="28"/>
      <c r="S332" s="28"/>
      <c r="T332" s="7"/>
      <c r="W332" s="147">
        <f t="shared" si="31"/>
        <v>66</v>
      </c>
      <c r="X332" s="36" t="s">
        <v>126</v>
      </c>
      <c r="Y332" s="40"/>
      <c r="Z332" s="40"/>
      <c r="AA332" s="40"/>
      <c r="AB332" s="43">
        <v>0.09614</v>
      </c>
      <c r="AC332" s="152"/>
      <c r="AL332"/>
    </row>
    <row r="333" spans="2:38" ht="12.75" customHeight="1">
      <c r="B333" s="68" t="s">
        <v>260</v>
      </c>
      <c r="D333" s="34"/>
      <c r="E333" s="1"/>
      <c r="F333" s="28"/>
      <c r="G333" s="28"/>
      <c r="H333" s="1"/>
      <c r="I333" s="15"/>
      <c r="K333" s="1"/>
      <c r="L333" s="1"/>
      <c r="M333" s="15"/>
      <c r="N333" s="28"/>
      <c r="O333" s="28"/>
      <c r="P333" s="28"/>
      <c r="Q333" s="28"/>
      <c r="R333" s="28"/>
      <c r="S333" s="28"/>
      <c r="T333" s="7"/>
      <c r="W333" s="147">
        <f t="shared" si="31"/>
        <v>67</v>
      </c>
      <c r="X333" s="36" t="s">
        <v>127</v>
      </c>
      <c r="Y333" s="40"/>
      <c r="Z333" s="40"/>
      <c r="AA333" s="40"/>
      <c r="AB333" s="43">
        <v>0.106715</v>
      </c>
      <c r="AC333" s="152"/>
      <c r="AL333"/>
    </row>
    <row r="334" spans="2:38" ht="12.75" customHeight="1">
      <c r="B334" s="65"/>
      <c r="C334" s="39"/>
      <c r="D334" s="39"/>
      <c r="E334" s="39"/>
      <c r="P334" s="17"/>
      <c r="Q334" s="17"/>
      <c r="R334" s="16"/>
      <c r="S334" s="1"/>
      <c r="T334" s="632" t="s">
        <v>583</v>
      </c>
      <c r="W334" s="147">
        <f t="shared" si="31"/>
        <v>68</v>
      </c>
      <c r="X334" s="36" t="s">
        <v>128</v>
      </c>
      <c r="Y334" s="40"/>
      <c r="Z334" s="40"/>
      <c r="AA334" s="40"/>
      <c r="AB334" s="43">
        <v>0.103831</v>
      </c>
      <c r="AC334" s="152"/>
      <c r="AL334"/>
    </row>
    <row r="335" spans="2:38" ht="12.75" customHeight="1">
      <c r="B335" s="65"/>
      <c r="C335" s="52" t="s">
        <v>5</v>
      </c>
      <c r="D335" s="52"/>
      <c r="E335" s="52"/>
      <c r="F335" s="53"/>
      <c r="H335" s="17" t="s">
        <v>206</v>
      </c>
      <c r="I335" s="39"/>
      <c r="J335" s="39"/>
      <c r="L335" s="39" t="s">
        <v>31</v>
      </c>
      <c r="M335" s="39"/>
      <c r="N335" s="39"/>
      <c r="O335" s="39"/>
      <c r="P335" s="19"/>
      <c r="Q335" s="19"/>
      <c r="R335" s="39" t="s">
        <v>190</v>
      </c>
      <c r="S335" s="1"/>
      <c r="T335" s="544"/>
      <c r="W335" s="147">
        <f aca="true" t="shared" si="37" ref="W335:W364">W334+1</f>
        <v>69</v>
      </c>
      <c r="X335" s="36" t="s">
        <v>129</v>
      </c>
      <c r="Y335" s="40"/>
      <c r="Z335" s="40"/>
      <c r="AA335" s="40"/>
      <c r="AB335" s="43">
        <v>0.049993</v>
      </c>
      <c r="AC335" s="152"/>
      <c r="AL335"/>
    </row>
    <row r="336" spans="2:38" ht="12.75" customHeight="1">
      <c r="B336" s="65"/>
      <c r="C336" s="130" t="s">
        <v>45</v>
      </c>
      <c r="D336" s="131"/>
      <c r="E336" s="131"/>
      <c r="F336" s="339"/>
      <c r="G336" s="340"/>
      <c r="H336" s="547"/>
      <c r="I336" s="597" t="s">
        <v>295</v>
      </c>
      <c r="J336" s="598"/>
      <c r="K336" s="599"/>
      <c r="L336" s="341">
        <v>12000</v>
      </c>
      <c r="M336" s="581" t="s">
        <v>75</v>
      </c>
      <c r="N336" s="582"/>
      <c r="O336" s="582"/>
      <c r="P336" s="582"/>
      <c r="Q336" s="583"/>
      <c r="R336" s="570">
        <f aca="true" t="shared" si="38" ref="R336:R350">H336*L336</f>
        <v>0</v>
      </c>
      <c r="S336" s="569"/>
      <c r="T336" s="518" t="e">
        <f aca="true" t="shared" si="39" ref="T336:T350">R336/$Q$393</f>
        <v>#DIV/0!</v>
      </c>
      <c r="W336" s="147">
        <f t="shared" si="37"/>
        <v>70</v>
      </c>
      <c r="X336" s="36" t="s">
        <v>130</v>
      </c>
      <c r="Y336" s="40"/>
      <c r="Z336" s="40"/>
      <c r="AA336" s="40"/>
      <c r="AB336" s="43">
        <v>0.023074</v>
      </c>
      <c r="AC336" s="152"/>
      <c r="AL336"/>
    </row>
    <row r="337" spans="2:38" ht="12.75" customHeight="1">
      <c r="B337" s="65"/>
      <c r="C337" s="130" t="s">
        <v>46</v>
      </c>
      <c r="D337" s="131"/>
      <c r="E337" s="131"/>
      <c r="F337" s="339"/>
      <c r="G337" s="340"/>
      <c r="H337" s="547"/>
      <c r="I337" s="600"/>
      <c r="J337" s="601"/>
      <c r="K337" s="602"/>
      <c r="L337" s="341">
        <v>3400</v>
      </c>
      <c r="M337" s="584"/>
      <c r="N337" s="585"/>
      <c r="O337" s="585"/>
      <c r="P337" s="585"/>
      <c r="Q337" s="586"/>
      <c r="R337" s="570">
        <f t="shared" si="38"/>
        <v>0</v>
      </c>
      <c r="S337" s="569"/>
      <c r="T337" s="518" t="e">
        <f t="shared" si="39"/>
        <v>#DIV/0!</v>
      </c>
      <c r="W337" s="147">
        <f t="shared" si="37"/>
        <v>71</v>
      </c>
      <c r="X337" s="36" t="s">
        <v>135</v>
      </c>
      <c r="Y337" s="40"/>
      <c r="Z337" s="40"/>
      <c r="AA337" s="40"/>
      <c r="AB337" s="43">
        <v>0.103831</v>
      </c>
      <c r="AC337" s="152"/>
      <c r="AL337"/>
    </row>
    <row r="338" spans="2:38" ht="12.75" customHeight="1">
      <c r="B338" s="65"/>
      <c r="C338" s="130" t="s">
        <v>51</v>
      </c>
      <c r="D338" s="131"/>
      <c r="E338" s="131"/>
      <c r="F338" s="339"/>
      <c r="G338" s="340"/>
      <c r="H338" s="547"/>
      <c r="I338" s="600"/>
      <c r="J338" s="601"/>
      <c r="K338" s="602"/>
      <c r="L338" s="341">
        <v>1100</v>
      </c>
      <c r="M338" s="584"/>
      <c r="N338" s="585"/>
      <c r="O338" s="585"/>
      <c r="P338" s="585"/>
      <c r="Q338" s="586"/>
      <c r="R338" s="570">
        <f t="shared" si="38"/>
        <v>0</v>
      </c>
      <c r="S338" s="569"/>
      <c r="T338" s="518" t="e">
        <f t="shared" si="39"/>
        <v>#DIV/0!</v>
      </c>
      <c r="W338" s="147">
        <f t="shared" si="37"/>
        <v>72</v>
      </c>
      <c r="X338" s="36" t="s">
        <v>131</v>
      </c>
      <c r="Y338" s="40"/>
      <c r="Z338" s="40"/>
      <c r="AA338" s="40"/>
      <c r="AB338" s="43">
        <v>0.103831</v>
      </c>
      <c r="AC338" s="152"/>
      <c r="AL338"/>
    </row>
    <row r="339" spans="2:38" ht="12.75" customHeight="1">
      <c r="B339" s="65"/>
      <c r="C339" s="130" t="s">
        <v>47</v>
      </c>
      <c r="D339" s="131"/>
      <c r="E339" s="131"/>
      <c r="F339" s="339"/>
      <c r="G339" s="340"/>
      <c r="H339" s="547"/>
      <c r="I339" s="600"/>
      <c r="J339" s="601"/>
      <c r="K339" s="602"/>
      <c r="L339" s="341">
        <v>1300</v>
      </c>
      <c r="M339" s="584"/>
      <c r="N339" s="585"/>
      <c r="O339" s="585"/>
      <c r="P339" s="585"/>
      <c r="Q339" s="586"/>
      <c r="R339" s="570">
        <f t="shared" si="38"/>
        <v>0</v>
      </c>
      <c r="S339" s="569"/>
      <c r="T339" s="518" t="e">
        <f t="shared" si="39"/>
        <v>#DIV/0!</v>
      </c>
      <c r="W339" s="147">
        <f t="shared" si="37"/>
        <v>73</v>
      </c>
      <c r="X339" s="36" t="s">
        <v>132</v>
      </c>
      <c r="Y339" s="40"/>
      <c r="Z339" s="40"/>
      <c r="AA339" s="40"/>
      <c r="AB339" s="43">
        <v>0.017305</v>
      </c>
      <c r="AC339" s="152"/>
      <c r="AL339"/>
    </row>
    <row r="340" spans="2:38" ht="12.75" customHeight="1">
      <c r="B340" s="65"/>
      <c r="C340" s="130" t="s">
        <v>52</v>
      </c>
      <c r="D340" s="131"/>
      <c r="E340" s="131"/>
      <c r="F340" s="339"/>
      <c r="G340" s="340"/>
      <c r="H340" s="547"/>
      <c r="I340" s="600"/>
      <c r="J340" s="601"/>
      <c r="K340" s="602"/>
      <c r="L340" s="341">
        <v>330</v>
      </c>
      <c r="M340" s="584"/>
      <c r="N340" s="585"/>
      <c r="O340" s="585"/>
      <c r="P340" s="585"/>
      <c r="Q340" s="586"/>
      <c r="R340" s="570">
        <f t="shared" si="38"/>
        <v>0</v>
      </c>
      <c r="S340" s="569"/>
      <c r="T340" s="518" t="e">
        <f t="shared" si="39"/>
        <v>#DIV/0!</v>
      </c>
      <c r="W340" s="147">
        <f t="shared" si="37"/>
        <v>74</v>
      </c>
      <c r="X340" s="36" t="s">
        <v>136</v>
      </c>
      <c r="Y340" s="40"/>
      <c r="Z340" s="40"/>
      <c r="AA340" s="40"/>
      <c r="AB340" s="43">
        <v>0.106715</v>
      </c>
      <c r="AC340" s="152"/>
      <c r="AL340"/>
    </row>
    <row r="341" spans="2:38" ht="12.75" customHeight="1">
      <c r="B341" s="65"/>
      <c r="C341" s="130" t="s">
        <v>50</v>
      </c>
      <c r="D341" s="131"/>
      <c r="E341" s="131"/>
      <c r="F341" s="339"/>
      <c r="G341" s="340"/>
      <c r="H341" s="547"/>
      <c r="I341" s="600"/>
      <c r="J341" s="601"/>
      <c r="K341" s="602"/>
      <c r="L341" s="341">
        <v>4300</v>
      </c>
      <c r="M341" s="584"/>
      <c r="N341" s="585"/>
      <c r="O341" s="585"/>
      <c r="P341" s="585"/>
      <c r="Q341" s="586"/>
      <c r="R341" s="570">
        <f t="shared" si="38"/>
        <v>0</v>
      </c>
      <c r="S341" s="569"/>
      <c r="T341" s="518" t="e">
        <f t="shared" si="39"/>
        <v>#DIV/0!</v>
      </c>
      <c r="W341" s="147">
        <f>W340+1</f>
        <v>75</v>
      </c>
      <c r="X341" s="36" t="s">
        <v>137</v>
      </c>
      <c r="Y341" s="40"/>
      <c r="Z341" s="40"/>
      <c r="AA341" s="40"/>
      <c r="AB341" s="43">
        <v>0.232659</v>
      </c>
      <c r="AC341" s="152"/>
      <c r="AL341"/>
    </row>
    <row r="342" spans="2:38" ht="12.75" customHeight="1">
      <c r="B342" s="65"/>
      <c r="C342" s="130" t="s">
        <v>53</v>
      </c>
      <c r="D342" s="131"/>
      <c r="E342" s="131"/>
      <c r="F342" s="339"/>
      <c r="G342" s="340"/>
      <c r="H342" s="547"/>
      <c r="I342" s="600"/>
      <c r="J342" s="601"/>
      <c r="K342" s="602"/>
      <c r="L342" s="341">
        <v>43</v>
      </c>
      <c r="M342" s="584"/>
      <c r="N342" s="585"/>
      <c r="O342" s="585"/>
      <c r="P342" s="585"/>
      <c r="Q342" s="586"/>
      <c r="R342" s="570">
        <f t="shared" si="38"/>
        <v>0</v>
      </c>
      <c r="S342" s="569"/>
      <c r="T342" s="518" t="e">
        <f t="shared" si="39"/>
        <v>#DIV/0!</v>
      </c>
      <c r="W342" s="147">
        <f t="shared" si="37"/>
        <v>76</v>
      </c>
      <c r="X342" s="36" t="s">
        <v>138</v>
      </c>
      <c r="Y342" s="40"/>
      <c r="Z342" s="40"/>
      <c r="AA342" s="40"/>
      <c r="AB342" s="43">
        <v>0.103831</v>
      </c>
      <c r="AC342" s="152"/>
      <c r="AL342"/>
    </row>
    <row r="343" spans="2:38" ht="12.75" customHeight="1">
      <c r="B343" s="65"/>
      <c r="C343" s="130" t="s">
        <v>48</v>
      </c>
      <c r="D343" s="131"/>
      <c r="E343" s="131"/>
      <c r="F343" s="339"/>
      <c r="G343" s="340"/>
      <c r="H343" s="547"/>
      <c r="I343" s="600"/>
      <c r="J343" s="601"/>
      <c r="K343" s="602"/>
      <c r="L343" s="341">
        <v>120</v>
      </c>
      <c r="M343" s="584"/>
      <c r="N343" s="585"/>
      <c r="O343" s="585"/>
      <c r="P343" s="585"/>
      <c r="Q343" s="586"/>
      <c r="R343" s="570">
        <f t="shared" si="38"/>
        <v>0</v>
      </c>
      <c r="S343" s="569"/>
      <c r="T343" s="518" t="e">
        <f t="shared" si="39"/>
        <v>#DIV/0!</v>
      </c>
      <c r="W343" s="147">
        <f t="shared" si="37"/>
        <v>77</v>
      </c>
      <c r="X343" s="36" t="s">
        <v>133</v>
      </c>
      <c r="Y343" s="40"/>
      <c r="Z343" s="40"/>
      <c r="AA343" s="40"/>
      <c r="AB343" s="43">
        <v>0.017305</v>
      </c>
      <c r="AC343" s="152"/>
      <c r="AL343"/>
    </row>
    <row r="344" spans="2:38" ht="12.75" customHeight="1">
      <c r="B344" s="65"/>
      <c r="C344" s="130" t="s">
        <v>54</v>
      </c>
      <c r="D344" s="131"/>
      <c r="E344" s="131"/>
      <c r="F344" s="339"/>
      <c r="G344" s="340"/>
      <c r="H344" s="547"/>
      <c r="I344" s="600"/>
      <c r="J344" s="601"/>
      <c r="K344" s="602"/>
      <c r="L344" s="341">
        <v>12</v>
      </c>
      <c r="M344" s="584"/>
      <c r="N344" s="585"/>
      <c r="O344" s="585"/>
      <c r="P344" s="585"/>
      <c r="Q344" s="586"/>
      <c r="R344" s="570">
        <f t="shared" si="38"/>
        <v>0</v>
      </c>
      <c r="S344" s="569"/>
      <c r="T344" s="518" t="e">
        <f t="shared" si="39"/>
        <v>#DIV/0!</v>
      </c>
      <c r="W344" s="147">
        <f t="shared" si="37"/>
        <v>78</v>
      </c>
      <c r="X344" s="36" t="s">
        <v>134</v>
      </c>
      <c r="Y344" s="40"/>
      <c r="Z344" s="40"/>
      <c r="AA344" s="40"/>
      <c r="AB344" s="43">
        <v>0.017305</v>
      </c>
      <c r="AC344" s="152"/>
      <c r="AL344"/>
    </row>
    <row r="345" spans="2:38" ht="12.75" customHeight="1">
      <c r="B345" s="65"/>
      <c r="C345" s="130" t="s">
        <v>49</v>
      </c>
      <c r="D345" s="131"/>
      <c r="E345" s="131"/>
      <c r="F345" s="339"/>
      <c r="G345" s="340"/>
      <c r="H345" s="547"/>
      <c r="I345" s="600"/>
      <c r="J345" s="601"/>
      <c r="K345" s="602"/>
      <c r="L345" s="341">
        <v>3500</v>
      </c>
      <c r="M345" s="584"/>
      <c r="N345" s="585"/>
      <c r="O345" s="585"/>
      <c r="P345" s="585"/>
      <c r="Q345" s="586"/>
      <c r="R345" s="570">
        <f t="shared" si="38"/>
        <v>0</v>
      </c>
      <c r="S345" s="569"/>
      <c r="T345" s="518" t="e">
        <f t="shared" si="39"/>
        <v>#DIV/0!</v>
      </c>
      <c r="W345" s="147"/>
      <c r="X345" s="154"/>
      <c r="Y345" s="154"/>
      <c r="Z345" s="154"/>
      <c r="AA345" s="154"/>
      <c r="AB345" s="160"/>
      <c r="AC345" s="152"/>
      <c r="AL345"/>
    </row>
    <row r="346" spans="2:38" ht="12.75" customHeight="1">
      <c r="B346" s="65"/>
      <c r="C346" s="130" t="s">
        <v>55</v>
      </c>
      <c r="D346" s="131"/>
      <c r="E346" s="131"/>
      <c r="F346" s="339"/>
      <c r="G346" s="340"/>
      <c r="H346" s="547"/>
      <c r="I346" s="600"/>
      <c r="J346" s="601"/>
      <c r="K346" s="602"/>
      <c r="L346" s="341">
        <v>1300</v>
      </c>
      <c r="M346" s="584"/>
      <c r="N346" s="585"/>
      <c r="O346" s="585"/>
      <c r="P346" s="585"/>
      <c r="Q346" s="586"/>
      <c r="R346" s="570">
        <f t="shared" si="38"/>
        <v>0</v>
      </c>
      <c r="S346" s="569"/>
      <c r="T346" s="518" t="e">
        <f t="shared" si="39"/>
        <v>#DIV/0!</v>
      </c>
      <c r="W346" s="147"/>
      <c r="X346" s="160" t="s">
        <v>202</v>
      </c>
      <c r="Y346" s="154"/>
      <c r="Z346" s="154"/>
      <c r="AA346" s="154"/>
      <c r="AB346" s="154"/>
      <c r="AC346" s="152"/>
      <c r="AL346"/>
    </row>
    <row r="347" spans="2:38" ht="12.75" customHeight="1">
      <c r="B347" s="65"/>
      <c r="C347" s="130" t="s">
        <v>56</v>
      </c>
      <c r="D347" s="131"/>
      <c r="E347" s="131"/>
      <c r="F347" s="339"/>
      <c r="G347" s="340"/>
      <c r="H347" s="547"/>
      <c r="I347" s="600"/>
      <c r="J347" s="601"/>
      <c r="K347" s="602"/>
      <c r="L347" s="341">
        <v>1200</v>
      </c>
      <c r="M347" s="584"/>
      <c r="N347" s="585"/>
      <c r="O347" s="585"/>
      <c r="P347" s="585"/>
      <c r="Q347" s="586"/>
      <c r="R347" s="570">
        <f t="shared" si="38"/>
        <v>0</v>
      </c>
      <c r="S347" s="569"/>
      <c r="T347" s="518" t="e">
        <f t="shared" si="39"/>
        <v>#DIV/0!</v>
      </c>
      <c r="W347" s="147">
        <v>81</v>
      </c>
      <c r="X347" s="36" t="s">
        <v>196</v>
      </c>
      <c r="Y347" s="40"/>
      <c r="Z347" s="40"/>
      <c r="AA347" s="37"/>
      <c r="AB347" s="154"/>
      <c r="AC347" s="152"/>
      <c r="AL347"/>
    </row>
    <row r="348" spans="2:38" ht="12.75" customHeight="1">
      <c r="B348" s="65"/>
      <c r="C348" s="130" t="s">
        <v>57</v>
      </c>
      <c r="D348" s="131"/>
      <c r="E348" s="131"/>
      <c r="F348" s="339"/>
      <c r="G348" s="340"/>
      <c r="H348" s="547"/>
      <c r="I348" s="600"/>
      <c r="J348" s="601"/>
      <c r="K348" s="602"/>
      <c r="L348" s="341">
        <v>9400</v>
      </c>
      <c r="M348" s="584"/>
      <c r="N348" s="585"/>
      <c r="O348" s="585"/>
      <c r="P348" s="585"/>
      <c r="Q348" s="586"/>
      <c r="R348" s="570">
        <f t="shared" si="38"/>
        <v>0</v>
      </c>
      <c r="S348" s="569"/>
      <c r="T348" s="518" t="e">
        <f t="shared" si="39"/>
        <v>#DIV/0!</v>
      </c>
      <c r="W348" s="147">
        <f t="shared" si="37"/>
        <v>82</v>
      </c>
      <c r="X348" s="36" t="s">
        <v>122</v>
      </c>
      <c r="Y348" s="40"/>
      <c r="Z348" s="40"/>
      <c r="AA348" s="40"/>
      <c r="AB348" s="43">
        <v>0.43263</v>
      </c>
      <c r="AC348" s="152"/>
      <c r="AL348"/>
    </row>
    <row r="349" spans="2:38" ht="12.75" customHeight="1">
      <c r="B349" s="65"/>
      <c r="C349" s="130" t="s">
        <v>58</v>
      </c>
      <c r="D349" s="131"/>
      <c r="E349" s="131"/>
      <c r="F349" s="339"/>
      <c r="G349" s="340"/>
      <c r="H349" s="547"/>
      <c r="I349" s="600"/>
      <c r="J349" s="601"/>
      <c r="K349" s="602"/>
      <c r="L349" s="341">
        <v>890</v>
      </c>
      <c r="M349" s="584"/>
      <c r="N349" s="585"/>
      <c r="O349" s="585"/>
      <c r="P349" s="585"/>
      <c r="Q349" s="586"/>
      <c r="R349" s="570">
        <f t="shared" si="38"/>
        <v>0</v>
      </c>
      <c r="S349" s="569"/>
      <c r="T349" s="518" t="e">
        <f t="shared" si="39"/>
        <v>#DIV/0!</v>
      </c>
      <c r="W349" s="147">
        <f t="shared" si="37"/>
        <v>83</v>
      </c>
      <c r="X349" s="36" t="s">
        <v>123</v>
      </c>
      <c r="Y349" s="40"/>
      <c r="Z349" s="40"/>
      <c r="AA349" s="40"/>
      <c r="AB349" s="43">
        <v>0.427823</v>
      </c>
      <c r="AC349" s="152"/>
      <c r="AL349"/>
    </row>
    <row r="350" spans="2:38" ht="12.75" customHeight="1">
      <c r="B350" s="65"/>
      <c r="C350" s="130" t="s">
        <v>59</v>
      </c>
      <c r="D350" s="131"/>
      <c r="E350" s="131"/>
      <c r="F350" s="339"/>
      <c r="G350" s="340"/>
      <c r="H350" s="547"/>
      <c r="I350" s="600"/>
      <c r="J350" s="601"/>
      <c r="K350" s="602"/>
      <c r="L350" s="342">
        <v>1500</v>
      </c>
      <c r="M350" s="584"/>
      <c r="N350" s="585"/>
      <c r="O350" s="585"/>
      <c r="P350" s="585"/>
      <c r="Q350" s="586"/>
      <c r="R350" s="570">
        <f t="shared" si="38"/>
        <v>0</v>
      </c>
      <c r="S350" s="569"/>
      <c r="T350" s="518" t="e">
        <f t="shared" si="39"/>
        <v>#DIV/0!</v>
      </c>
      <c r="W350" s="147">
        <f t="shared" si="37"/>
        <v>84</v>
      </c>
      <c r="X350" s="36" t="s">
        <v>124</v>
      </c>
      <c r="Y350" s="40"/>
      <c r="Z350" s="40"/>
      <c r="AA350" s="40"/>
      <c r="AB350" s="43">
        <v>1.246936</v>
      </c>
      <c r="AC350" s="152"/>
      <c r="AJ350"/>
      <c r="AK350"/>
      <c r="AL350"/>
    </row>
    <row r="351" spans="2:38" ht="12.75" customHeight="1">
      <c r="B351" s="65"/>
      <c r="C351" s="54"/>
      <c r="D351" s="54"/>
      <c r="E351" s="54"/>
      <c r="F351" s="53"/>
      <c r="G351" s="138"/>
      <c r="H351" s="138"/>
      <c r="I351" s="600"/>
      <c r="J351" s="601"/>
      <c r="K351" s="602"/>
      <c r="L351" s="110"/>
      <c r="M351" s="584"/>
      <c r="N351" s="585"/>
      <c r="O351" s="585"/>
      <c r="P351" s="585"/>
      <c r="Q351" s="586"/>
      <c r="R351" s="28"/>
      <c r="S351" s="28"/>
      <c r="T351" s="7"/>
      <c r="W351" s="147">
        <f t="shared" si="37"/>
        <v>85</v>
      </c>
      <c r="X351" s="36" t="s">
        <v>125</v>
      </c>
      <c r="Y351" s="40"/>
      <c r="Z351" s="40"/>
      <c r="AA351" s="40"/>
      <c r="AB351" s="43">
        <v>0.19228</v>
      </c>
      <c r="AC351" s="152"/>
      <c r="AJ351"/>
      <c r="AK351"/>
      <c r="AL351"/>
    </row>
    <row r="352" spans="2:38" ht="12.75" customHeight="1">
      <c r="B352" s="65"/>
      <c r="C352" s="52" t="s">
        <v>175</v>
      </c>
      <c r="D352" s="52"/>
      <c r="E352" s="52"/>
      <c r="F352" s="53"/>
      <c r="G352" s="42"/>
      <c r="H352" s="41"/>
      <c r="I352" s="600"/>
      <c r="J352" s="601"/>
      <c r="K352" s="602"/>
      <c r="L352" s="41"/>
      <c r="M352" s="584"/>
      <c r="N352" s="585"/>
      <c r="O352" s="585"/>
      <c r="P352" s="585"/>
      <c r="Q352" s="586"/>
      <c r="R352" s="39"/>
      <c r="S352" s="28"/>
      <c r="T352" s="7"/>
      <c r="W352" s="147">
        <f t="shared" si="37"/>
        <v>86</v>
      </c>
      <c r="X352" s="36" t="s">
        <v>126</v>
      </c>
      <c r="Y352" s="40"/>
      <c r="Z352" s="40"/>
      <c r="AA352" s="40"/>
      <c r="AB352" s="43">
        <v>0.833534</v>
      </c>
      <c r="AC352" s="152"/>
      <c r="AJ352"/>
      <c r="AK352"/>
      <c r="AL352"/>
    </row>
    <row r="353" spans="2:38" ht="12.75" customHeight="1">
      <c r="B353" s="65"/>
      <c r="C353" s="130" t="s">
        <v>60</v>
      </c>
      <c r="D353" s="131"/>
      <c r="E353" s="131"/>
      <c r="F353" s="339"/>
      <c r="G353" s="340"/>
      <c r="H353" s="547"/>
      <c r="I353" s="600"/>
      <c r="J353" s="601"/>
      <c r="K353" s="602"/>
      <c r="L353" s="343">
        <v>5700</v>
      </c>
      <c r="M353" s="584"/>
      <c r="N353" s="585"/>
      <c r="O353" s="585"/>
      <c r="P353" s="585"/>
      <c r="Q353" s="586"/>
      <c r="R353" s="570">
        <f>H353*L353</f>
        <v>0</v>
      </c>
      <c r="S353" s="569"/>
      <c r="T353" s="518" t="e">
        <f>R353/$Q$393</f>
        <v>#DIV/0!</v>
      </c>
      <c r="W353" s="147">
        <f t="shared" si="37"/>
        <v>87</v>
      </c>
      <c r="X353" s="36" t="s">
        <v>127</v>
      </c>
      <c r="Y353" s="40"/>
      <c r="Z353" s="40"/>
      <c r="AA353" s="40"/>
      <c r="AB353" s="43">
        <v>0.200933</v>
      </c>
      <c r="AC353" s="152"/>
      <c r="AJ353"/>
      <c r="AK353"/>
      <c r="AL353"/>
    </row>
    <row r="354" spans="2:38" ht="12.75" customHeight="1">
      <c r="B354" s="65"/>
      <c r="C354" s="130" t="s">
        <v>61</v>
      </c>
      <c r="D354" s="131"/>
      <c r="E354" s="131"/>
      <c r="F354" s="339"/>
      <c r="G354" s="340"/>
      <c r="H354" s="547"/>
      <c r="I354" s="600"/>
      <c r="J354" s="601"/>
      <c r="K354" s="602"/>
      <c r="L354" s="341">
        <v>11900</v>
      </c>
      <c r="M354" s="584"/>
      <c r="N354" s="585"/>
      <c r="O354" s="585"/>
      <c r="P354" s="585"/>
      <c r="Q354" s="586"/>
      <c r="R354" s="570">
        <f>H354*L354</f>
        <v>0</v>
      </c>
      <c r="S354" s="569"/>
      <c r="T354" s="518" t="e">
        <f>R354/$Q$393</f>
        <v>#DIV/0!</v>
      </c>
      <c r="W354" s="147">
        <f t="shared" si="37"/>
        <v>88</v>
      </c>
      <c r="X354" s="36" t="s">
        <v>128</v>
      </c>
      <c r="Y354" s="40"/>
      <c r="Z354" s="40"/>
      <c r="AA354" s="40"/>
      <c r="AB354" s="43">
        <v>0.613373</v>
      </c>
      <c r="AC354" s="152"/>
      <c r="AK354"/>
      <c r="AL354"/>
    </row>
    <row r="355" spans="2:38" ht="12.75" customHeight="1">
      <c r="B355" s="65"/>
      <c r="C355" s="130" t="s">
        <v>62</v>
      </c>
      <c r="D355" s="131"/>
      <c r="E355" s="131"/>
      <c r="F355" s="339"/>
      <c r="G355" s="340"/>
      <c r="H355" s="547"/>
      <c r="I355" s="600"/>
      <c r="J355" s="601"/>
      <c r="K355" s="602"/>
      <c r="L355" s="341">
        <v>10000</v>
      </c>
      <c r="M355" s="584"/>
      <c r="N355" s="585"/>
      <c r="O355" s="585"/>
      <c r="P355" s="585"/>
      <c r="Q355" s="586"/>
      <c r="R355" s="570">
        <f>H355*L355</f>
        <v>0</v>
      </c>
      <c r="S355" s="569"/>
      <c r="T355" s="518" t="e">
        <f>R355/$Q$393</f>
        <v>#DIV/0!</v>
      </c>
      <c r="W355" s="147">
        <f t="shared" si="37"/>
        <v>89</v>
      </c>
      <c r="X355" s="36" t="s">
        <v>129</v>
      </c>
      <c r="Y355" s="40"/>
      <c r="Z355" s="40"/>
      <c r="AA355" s="40"/>
      <c r="AB355" s="43">
        <v>0.310532</v>
      </c>
      <c r="AC355" s="152"/>
      <c r="AK355"/>
      <c r="AL355"/>
    </row>
    <row r="356" spans="2:38" ht="12.75" customHeight="1">
      <c r="B356" s="65"/>
      <c r="C356" s="130" t="s">
        <v>63</v>
      </c>
      <c r="D356" s="131"/>
      <c r="E356" s="131"/>
      <c r="F356" s="339"/>
      <c r="G356" s="340"/>
      <c r="H356" s="547"/>
      <c r="I356" s="600"/>
      <c r="J356" s="601"/>
      <c r="K356" s="602"/>
      <c r="L356" s="341">
        <v>8900</v>
      </c>
      <c r="M356" s="584"/>
      <c r="N356" s="585"/>
      <c r="O356" s="585"/>
      <c r="P356" s="585"/>
      <c r="Q356" s="586"/>
      <c r="R356" s="570">
        <f>H356*L356</f>
        <v>0</v>
      </c>
      <c r="S356" s="569"/>
      <c r="T356" s="518" t="e">
        <f>R356/$Q$393</f>
        <v>#DIV/0!</v>
      </c>
      <c r="W356" s="147">
        <f>W355+1</f>
        <v>90</v>
      </c>
      <c r="X356" s="36" t="s">
        <v>130</v>
      </c>
      <c r="Y356" s="40"/>
      <c r="Z356" s="40"/>
      <c r="AA356" s="40"/>
      <c r="AB356" s="43">
        <v>0.327837</v>
      </c>
      <c r="AC356" s="152"/>
      <c r="AK356"/>
      <c r="AL356"/>
    </row>
    <row r="357" spans="2:38" ht="12.75" customHeight="1">
      <c r="B357" s="65"/>
      <c r="C357" s="55"/>
      <c r="D357" s="54"/>
      <c r="E357" s="54"/>
      <c r="F357" s="53"/>
      <c r="G357" s="53"/>
      <c r="H357" s="53"/>
      <c r="I357" s="600"/>
      <c r="J357" s="601"/>
      <c r="K357" s="602"/>
      <c r="L357" s="53"/>
      <c r="M357" s="584"/>
      <c r="N357" s="585"/>
      <c r="O357" s="585"/>
      <c r="P357" s="585"/>
      <c r="Q357" s="586"/>
      <c r="R357" s="53"/>
      <c r="S357" s="53"/>
      <c r="T357" s="7"/>
      <c r="W357" s="147">
        <f t="shared" si="37"/>
        <v>91</v>
      </c>
      <c r="X357" s="36" t="s">
        <v>135</v>
      </c>
      <c r="Y357" s="40"/>
      <c r="Z357" s="40"/>
      <c r="AA357" s="40"/>
      <c r="AB357" s="43">
        <v>0.772004</v>
      </c>
      <c r="AC357" s="152"/>
      <c r="AK357"/>
      <c r="AL357"/>
    </row>
    <row r="358" spans="2:38" ht="12.75" customHeight="1">
      <c r="B358" s="65"/>
      <c r="C358" s="129" t="s">
        <v>64</v>
      </c>
      <c r="D358" s="1"/>
      <c r="E358" s="1"/>
      <c r="F358" s="1"/>
      <c r="G358" s="39"/>
      <c r="H358" s="39"/>
      <c r="I358" s="600"/>
      <c r="J358" s="601"/>
      <c r="K358" s="602"/>
      <c r="L358" s="39"/>
      <c r="M358" s="584"/>
      <c r="N358" s="585"/>
      <c r="O358" s="585"/>
      <c r="P358" s="585"/>
      <c r="Q358" s="586"/>
      <c r="R358" s="39"/>
      <c r="S358" s="28"/>
      <c r="T358" s="7"/>
      <c r="W358" s="147">
        <f t="shared" si="37"/>
        <v>92</v>
      </c>
      <c r="X358" s="36" t="s">
        <v>131</v>
      </c>
      <c r="Y358" s="40"/>
      <c r="Z358" s="40"/>
      <c r="AA358" s="40"/>
      <c r="AB358" s="43">
        <v>0.399942</v>
      </c>
      <c r="AC358" s="152"/>
      <c r="AK358"/>
      <c r="AL358"/>
    </row>
    <row r="359" spans="2:38" ht="12.75" customHeight="1">
      <c r="B359" s="65"/>
      <c r="C359" s="134" t="s">
        <v>64</v>
      </c>
      <c r="D359" s="132"/>
      <c r="E359" s="132"/>
      <c r="F359" s="339"/>
      <c r="G359" s="340"/>
      <c r="H359" s="545"/>
      <c r="I359" s="603"/>
      <c r="J359" s="604"/>
      <c r="K359" s="605"/>
      <c r="L359" s="344">
        <v>22200</v>
      </c>
      <c r="M359" s="587"/>
      <c r="N359" s="588"/>
      <c r="O359" s="588"/>
      <c r="P359" s="588"/>
      <c r="Q359" s="560"/>
      <c r="R359" s="570">
        <f>H359*L359</f>
        <v>0</v>
      </c>
      <c r="S359" s="569"/>
      <c r="T359" s="518" t="e">
        <f>R359/$Q$393</f>
        <v>#DIV/0!</v>
      </c>
      <c r="W359" s="147">
        <f t="shared" si="37"/>
        <v>93</v>
      </c>
      <c r="X359" s="36" t="s">
        <v>132</v>
      </c>
      <c r="Y359" s="40"/>
      <c r="Z359" s="40"/>
      <c r="AA359" s="40"/>
      <c r="AB359" s="43">
        <v>0.049031</v>
      </c>
      <c r="AC359" s="152"/>
      <c r="AK359"/>
      <c r="AL359"/>
    </row>
    <row r="360" spans="2:38" ht="12.75" customHeight="1">
      <c r="B360" s="65"/>
      <c r="S360" s="1"/>
      <c r="T360" s="7"/>
      <c r="W360" s="147">
        <f t="shared" si="37"/>
        <v>94</v>
      </c>
      <c r="X360" s="36" t="s">
        <v>136</v>
      </c>
      <c r="Y360" s="40"/>
      <c r="Z360" s="40"/>
      <c r="AA360" s="40"/>
      <c r="AB360" s="43">
        <v>0.200933</v>
      </c>
      <c r="AC360" s="152"/>
      <c r="AK360"/>
      <c r="AL360"/>
    </row>
    <row r="361" spans="2:38" ht="12.75" customHeight="1">
      <c r="B361" s="65"/>
      <c r="S361" s="1"/>
      <c r="T361" s="7"/>
      <c r="W361" s="147">
        <f t="shared" si="37"/>
        <v>95</v>
      </c>
      <c r="X361" s="36" t="s">
        <v>137</v>
      </c>
      <c r="Y361" s="40"/>
      <c r="Z361" s="40"/>
      <c r="AA361" s="40"/>
      <c r="AB361" s="43">
        <v>1.034466</v>
      </c>
      <c r="AC361" s="152"/>
      <c r="AK361"/>
      <c r="AL361"/>
    </row>
    <row r="362" spans="2:38" ht="12.75" customHeight="1">
      <c r="B362" s="65"/>
      <c r="S362" s="1"/>
      <c r="T362" s="7"/>
      <c r="W362" s="147">
        <f>W361+1</f>
        <v>96</v>
      </c>
      <c r="X362" s="36" t="s">
        <v>138</v>
      </c>
      <c r="Y362" s="40"/>
      <c r="Z362" s="40"/>
      <c r="AA362" s="40"/>
      <c r="AB362" s="43">
        <v>0.399942</v>
      </c>
      <c r="AC362" s="152"/>
      <c r="AK362"/>
      <c r="AL362"/>
    </row>
    <row r="363" spans="2:38" ht="12.75" customHeight="1">
      <c r="B363" s="65"/>
      <c r="S363" s="1"/>
      <c r="T363" s="7"/>
      <c r="W363" s="147">
        <f t="shared" si="37"/>
        <v>97</v>
      </c>
      <c r="X363" s="36" t="s">
        <v>133</v>
      </c>
      <c r="Y363" s="40"/>
      <c r="Z363" s="40"/>
      <c r="AA363" s="40"/>
      <c r="AB363" s="43">
        <v>0.499928</v>
      </c>
      <c r="AC363" s="152"/>
      <c r="AK363"/>
      <c r="AL363"/>
    </row>
    <row r="364" spans="2:38" ht="12.75" customHeight="1">
      <c r="B364" s="65"/>
      <c r="C364" s="143"/>
      <c r="D364" s="18"/>
      <c r="E364" s="18"/>
      <c r="F364" s="22"/>
      <c r="G364" s="2"/>
      <c r="H364" s="2"/>
      <c r="I364" s="2"/>
      <c r="J364" s="2"/>
      <c r="K364" s="2"/>
      <c r="L364" s="2"/>
      <c r="M364" s="2"/>
      <c r="N364" s="2"/>
      <c r="O364" s="2"/>
      <c r="P364" s="2"/>
      <c r="Q364" s="2"/>
      <c r="R364" s="2"/>
      <c r="S364" s="2"/>
      <c r="T364" s="7"/>
      <c r="W364" s="147">
        <f t="shared" si="37"/>
        <v>98</v>
      </c>
      <c r="X364" s="36" t="s">
        <v>134</v>
      </c>
      <c r="Y364" s="40"/>
      <c r="Z364" s="40"/>
      <c r="AA364" s="40"/>
      <c r="AB364" s="43">
        <v>0.181705</v>
      </c>
      <c r="AC364" s="152"/>
      <c r="AL364"/>
    </row>
    <row r="365" spans="2:38" ht="12.75" customHeight="1">
      <c r="B365" s="68" t="s">
        <v>222</v>
      </c>
      <c r="D365" s="27"/>
      <c r="E365" s="27"/>
      <c r="F365" s="25"/>
      <c r="G365" s="25"/>
      <c r="H365" s="25"/>
      <c r="I365" s="25"/>
      <c r="J365" s="25"/>
      <c r="K365" s="25"/>
      <c r="L365" s="25"/>
      <c r="M365" s="25"/>
      <c r="N365" s="25"/>
      <c r="O365" s="25"/>
      <c r="P365" s="25"/>
      <c r="Q365" s="25"/>
      <c r="S365" s="1"/>
      <c r="T365" s="7"/>
      <c r="W365" s="149"/>
      <c r="X365" s="162"/>
      <c r="Y365" s="162"/>
      <c r="Z365" s="162"/>
      <c r="AA365" s="162"/>
      <c r="AB365" s="162"/>
      <c r="AC365" s="158"/>
      <c r="AL365"/>
    </row>
    <row r="366" spans="2:38" ht="12.75" customHeight="1">
      <c r="B366" s="68"/>
      <c r="D366" s="27"/>
      <c r="E366" s="27"/>
      <c r="F366" s="25"/>
      <c r="G366" s="25"/>
      <c r="H366" s="25"/>
      <c r="I366" s="25"/>
      <c r="J366" s="25"/>
      <c r="K366" s="25"/>
      <c r="L366" s="25"/>
      <c r="M366" s="25"/>
      <c r="N366" s="25"/>
      <c r="O366" s="25"/>
      <c r="P366" s="25"/>
      <c r="Q366" s="25"/>
      <c r="S366" s="1"/>
      <c r="T366" s="632" t="s">
        <v>583</v>
      </c>
      <c r="X366" s="25"/>
      <c r="AL366"/>
    </row>
    <row r="367" spans="2:38" ht="12.75" customHeight="1">
      <c r="B367" s="65"/>
      <c r="C367" s="69" t="s">
        <v>11</v>
      </c>
      <c r="D367" s="52"/>
      <c r="E367" s="59"/>
      <c r="F367" s="52"/>
      <c r="H367" s="243" t="s">
        <v>206</v>
      </c>
      <c r="I367" s="39"/>
      <c r="J367" s="39"/>
      <c r="L367" s="39" t="s">
        <v>31</v>
      </c>
      <c r="M367" s="39"/>
      <c r="N367" s="39"/>
      <c r="O367" s="39"/>
      <c r="P367" s="19"/>
      <c r="Q367" s="19"/>
      <c r="R367" s="39" t="s">
        <v>190</v>
      </c>
      <c r="S367" s="28"/>
      <c r="T367" s="544"/>
      <c r="X367" s="25"/>
      <c r="AL367"/>
    </row>
    <row r="368" spans="2:38" ht="12.75" customHeight="1">
      <c r="B368" s="65"/>
      <c r="C368" s="125" t="s">
        <v>12</v>
      </c>
      <c r="D368" s="123"/>
      <c r="E368" s="133"/>
      <c r="F368" s="123"/>
      <c r="G368" s="340"/>
      <c r="H368" s="559"/>
      <c r="I368" s="596" t="s">
        <v>178</v>
      </c>
      <c r="J368" s="563"/>
      <c r="K368" s="564"/>
      <c r="L368" s="44">
        <v>4</v>
      </c>
      <c r="M368" s="596" t="s">
        <v>203</v>
      </c>
      <c r="N368" s="563"/>
      <c r="O368" s="563"/>
      <c r="P368" s="563"/>
      <c r="Q368" s="564"/>
      <c r="R368" s="570">
        <f aca="true" t="shared" si="40" ref="R368:R375">H368*L368</f>
        <v>0</v>
      </c>
      <c r="S368" s="571"/>
      <c r="T368" s="518" t="e">
        <f aca="true" t="shared" si="41" ref="T368:T375">R368/$Q$393</f>
        <v>#DIV/0!</v>
      </c>
      <c r="X368" s="25"/>
      <c r="AL368"/>
    </row>
    <row r="369" spans="2:38" ht="12.75" customHeight="1">
      <c r="B369" s="65"/>
      <c r="C369" s="125" t="s">
        <v>13</v>
      </c>
      <c r="D369" s="123"/>
      <c r="E369" s="133"/>
      <c r="F369" s="123"/>
      <c r="G369" s="340"/>
      <c r="H369" s="559"/>
      <c r="I369" s="565"/>
      <c r="J369" s="566"/>
      <c r="K369" s="567"/>
      <c r="L369" s="44">
        <v>2</v>
      </c>
      <c r="M369" s="565"/>
      <c r="N369" s="566"/>
      <c r="O369" s="566"/>
      <c r="P369" s="566"/>
      <c r="Q369" s="567"/>
      <c r="R369" s="570">
        <f t="shared" si="40"/>
        <v>0</v>
      </c>
      <c r="S369" s="571"/>
      <c r="T369" s="518" t="e">
        <f t="shared" si="41"/>
        <v>#DIV/0!</v>
      </c>
      <c r="AL369"/>
    </row>
    <row r="370" spans="2:38" ht="12.75" customHeight="1">
      <c r="B370" s="65"/>
      <c r="C370" s="125" t="s">
        <v>8</v>
      </c>
      <c r="D370" s="123"/>
      <c r="E370" s="133"/>
      <c r="F370" s="123"/>
      <c r="G370" s="340"/>
      <c r="H370" s="559"/>
      <c r="I370" s="565"/>
      <c r="J370" s="566"/>
      <c r="K370" s="567"/>
      <c r="L370" s="44">
        <v>0.5</v>
      </c>
      <c r="M370" s="565"/>
      <c r="N370" s="566"/>
      <c r="O370" s="566"/>
      <c r="P370" s="566"/>
      <c r="Q370" s="567"/>
      <c r="R370" s="570">
        <f t="shared" si="40"/>
        <v>0</v>
      </c>
      <c r="S370" s="571"/>
      <c r="T370" s="518" t="e">
        <f t="shared" si="41"/>
        <v>#DIV/0!</v>
      </c>
      <c r="AL370"/>
    </row>
    <row r="371" spans="2:38" ht="12.75" customHeight="1">
      <c r="B371" s="65"/>
      <c r="C371" s="125" t="s">
        <v>7</v>
      </c>
      <c r="D371" s="123"/>
      <c r="E371" s="133"/>
      <c r="F371" s="123"/>
      <c r="G371" s="340"/>
      <c r="H371" s="559"/>
      <c r="I371" s="565"/>
      <c r="J371" s="566"/>
      <c r="K371" s="567"/>
      <c r="L371" s="44">
        <v>0.01</v>
      </c>
      <c r="M371" s="565"/>
      <c r="N371" s="566"/>
      <c r="O371" s="566"/>
      <c r="P371" s="566"/>
      <c r="Q371" s="567"/>
      <c r="R371" s="570">
        <f t="shared" si="40"/>
        <v>0</v>
      </c>
      <c r="S371" s="571"/>
      <c r="T371" s="518" t="e">
        <f t="shared" si="41"/>
        <v>#DIV/0!</v>
      </c>
      <c r="AL371"/>
    </row>
    <row r="372" spans="2:38" ht="12.75" customHeight="1">
      <c r="B372" s="65"/>
      <c r="C372" s="125" t="s">
        <v>10</v>
      </c>
      <c r="D372" s="123"/>
      <c r="E372" s="133"/>
      <c r="F372" s="123"/>
      <c r="G372" s="340"/>
      <c r="H372" s="559"/>
      <c r="I372" s="565"/>
      <c r="J372" s="566"/>
      <c r="K372" s="567"/>
      <c r="L372" s="44">
        <v>0.5</v>
      </c>
      <c r="M372" s="565"/>
      <c r="N372" s="566"/>
      <c r="O372" s="566"/>
      <c r="P372" s="566"/>
      <c r="Q372" s="567"/>
      <c r="R372" s="570">
        <f t="shared" si="40"/>
        <v>0</v>
      </c>
      <c r="S372" s="571"/>
      <c r="T372" s="518" t="e">
        <f t="shared" si="41"/>
        <v>#DIV/0!</v>
      </c>
      <c r="AL372"/>
    </row>
    <row r="373" spans="2:38" ht="12.75" customHeight="1">
      <c r="B373" s="65"/>
      <c r="C373" s="125" t="s">
        <v>6</v>
      </c>
      <c r="D373" s="123"/>
      <c r="E373" s="133"/>
      <c r="F373" s="123"/>
      <c r="G373" s="340"/>
      <c r="H373" s="559"/>
      <c r="I373" s="565"/>
      <c r="J373" s="566"/>
      <c r="K373" s="567"/>
      <c r="L373" s="44">
        <v>1</v>
      </c>
      <c r="M373" s="565"/>
      <c r="N373" s="566"/>
      <c r="O373" s="566"/>
      <c r="P373" s="566"/>
      <c r="Q373" s="567"/>
      <c r="R373" s="570">
        <f t="shared" si="40"/>
        <v>0</v>
      </c>
      <c r="S373" s="571"/>
      <c r="T373" s="518" t="e">
        <f t="shared" si="41"/>
        <v>#DIV/0!</v>
      </c>
      <c r="W373" s="209" t="s">
        <v>231</v>
      </c>
      <c r="X373" s="150"/>
      <c r="Y373" s="150"/>
      <c r="Z373" s="150"/>
      <c r="AA373" s="150"/>
      <c r="AB373" s="150"/>
      <c r="AC373" s="150"/>
      <c r="AD373" s="151"/>
      <c r="AL373"/>
    </row>
    <row r="374" spans="2:38" ht="12.75" customHeight="1">
      <c r="B374" s="65"/>
      <c r="C374" s="125" t="s">
        <v>9</v>
      </c>
      <c r="D374" s="123"/>
      <c r="E374" s="133"/>
      <c r="F374" s="123"/>
      <c r="G374" s="340"/>
      <c r="H374" s="559"/>
      <c r="I374" s="565"/>
      <c r="J374" s="566"/>
      <c r="K374" s="567"/>
      <c r="L374" s="44">
        <v>0.5</v>
      </c>
      <c r="M374" s="565"/>
      <c r="N374" s="566"/>
      <c r="O374" s="566"/>
      <c r="P374" s="566"/>
      <c r="Q374" s="567"/>
      <c r="R374" s="570">
        <f t="shared" si="40"/>
        <v>0</v>
      </c>
      <c r="S374" s="571"/>
      <c r="T374" s="518" t="e">
        <f t="shared" si="41"/>
        <v>#DIV/0!</v>
      </c>
      <c r="W374" s="147"/>
      <c r="X374" s="154"/>
      <c r="Y374" s="154"/>
      <c r="Z374" s="154"/>
      <c r="AA374" s="154"/>
      <c r="AB374" s="154"/>
      <c r="AC374" s="154"/>
      <c r="AD374" s="152"/>
      <c r="AL374"/>
    </row>
    <row r="375" spans="2:38" ht="12.75" customHeight="1">
      <c r="B375" s="65"/>
      <c r="C375" s="125" t="s">
        <v>28</v>
      </c>
      <c r="D375" s="123"/>
      <c r="E375" s="133"/>
      <c r="F375" s="123"/>
      <c r="G375" s="340"/>
      <c r="H375" s="559"/>
      <c r="I375" s="542"/>
      <c r="J375" s="543"/>
      <c r="K375" s="544"/>
      <c r="L375" s="62"/>
      <c r="M375" s="542"/>
      <c r="N375" s="543"/>
      <c r="O375" s="543"/>
      <c r="P375" s="543"/>
      <c r="Q375" s="544"/>
      <c r="R375" s="570">
        <f t="shared" si="40"/>
        <v>0</v>
      </c>
      <c r="S375" s="571"/>
      <c r="T375" s="518" t="e">
        <f t="shared" si="41"/>
        <v>#DIV/0!</v>
      </c>
      <c r="W375" s="147"/>
      <c r="X375" s="153"/>
      <c r="Y375" s="154"/>
      <c r="Z375" s="154"/>
      <c r="AA375" s="154" t="s">
        <v>252</v>
      </c>
      <c r="AB375" s="154" t="s">
        <v>256</v>
      </c>
      <c r="AC375" s="154" t="s">
        <v>257</v>
      </c>
      <c r="AD375" s="152"/>
      <c r="AL375"/>
    </row>
    <row r="376" spans="2:38" ht="12.75" customHeight="1">
      <c r="B376" s="65"/>
      <c r="C376" s="18"/>
      <c r="D376" s="18"/>
      <c r="E376" s="18"/>
      <c r="F376" s="22"/>
      <c r="G376" s="22"/>
      <c r="H376" s="22"/>
      <c r="I376" s="22"/>
      <c r="J376" s="22"/>
      <c r="K376" s="22"/>
      <c r="L376" s="22"/>
      <c r="M376" s="22"/>
      <c r="N376" s="22"/>
      <c r="O376" s="22"/>
      <c r="P376" s="22"/>
      <c r="Q376" s="22"/>
      <c r="R376" s="2"/>
      <c r="S376" s="1"/>
      <c r="T376" s="7"/>
      <c r="W376" s="147"/>
      <c r="X376" s="165" t="s">
        <v>216</v>
      </c>
      <c r="Y376" s="154"/>
      <c r="Z376" s="154"/>
      <c r="AA376" s="326" t="s">
        <v>15</v>
      </c>
      <c r="AB376" s="330">
        <v>0.2</v>
      </c>
      <c r="AC376" s="173">
        <f aca="true" t="shared" si="42" ref="AC376:AC381">AB376*2.471</f>
        <v>0.49420000000000003</v>
      </c>
      <c r="AD376" s="152"/>
      <c r="AL376"/>
    </row>
    <row r="377" spans="2:38" ht="12.75" customHeight="1">
      <c r="B377" s="65"/>
      <c r="C377" s="135" t="s">
        <v>14</v>
      </c>
      <c r="D377" s="18"/>
      <c r="E377" s="18"/>
      <c r="F377" s="22"/>
      <c r="G377" s="243"/>
      <c r="H377" s="243" t="s">
        <v>206</v>
      </c>
      <c r="J377" s="17" t="s">
        <v>340</v>
      </c>
      <c r="L377" s="39"/>
      <c r="M377" s="39"/>
      <c r="N377" s="39"/>
      <c r="O377" s="39"/>
      <c r="P377" s="19"/>
      <c r="Q377" s="19"/>
      <c r="R377" s="39"/>
      <c r="S377" s="28"/>
      <c r="T377" s="7"/>
      <c r="W377" s="147"/>
      <c r="X377" s="154" t="s">
        <v>252</v>
      </c>
      <c r="Y377" s="153" t="s">
        <v>253</v>
      </c>
      <c r="Z377" s="154"/>
      <c r="AA377" s="326" t="s">
        <v>16</v>
      </c>
      <c r="AB377" s="330">
        <v>0.1</v>
      </c>
      <c r="AC377" s="173">
        <f t="shared" si="42"/>
        <v>0.24710000000000001</v>
      </c>
      <c r="AD377" s="152"/>
      <c r="AL377"/>
    </row>
    <row r="378" spans="2:38" ht="12.75" customHeight="1">
      <c r="B378" s="65"/>
      <c r="C378" s="125" t="s">
        <v>15</v>
      </c>
      <c r="D378" s="83"/>
      <c r="E378" s="83"/>
      <c r="F378" s="123"/>
      <c r="G378" s="340"/>
      <c r="H378" s="559"/>
      <c r="I378" s="234"/>
      <c r="J378" s="234"/>
      <c r="K378" s="261"/>
      <c r="L378" s="44">
        <f aca="true" t="shared" si="43" ref="L378:L383">IF($X$383=1,AB376,IF($X$383=2,AC376,0))</f>
        <v>0.2</v>
      </c>
      <c r="M378" s="596" t="s">
        <v>258</v>
      </c>
      <c r="N378" s="563"/>
      <c r="O378" s="563"/>
      <c r="P378" s="563"/>
      <c r="Q378" s="564"/>
      <c r="R378" s="570">
        <f aca="true" t="shared" si="44" ref="R378:R384">H378*L378</f>
        <v>0</v>
      </c>
      <c r="S378" s="571"/>
      <c r="T378" s="518" t="e">
        <f aca="true" t="shared" si="45" ref="T378:T384">R378/$Q$393</f>
        <v>#DIV/0!</v>
      </c>
      <c r="W378" s="147"/>
      <c r="X378" s="172" t="s">
        <v>185</v>
      </c>
      <c r="Y378" s="172" t="s">
        <v>185</v>
      </c>
      <c r="Z378" s="154"/>
      <c r="AA378" s="326" t="s">
        <v>17</v>
      </c>
      <c r="AB378" s="330">
        <v>0.1</v>
      </c>
      <c r="AC378" s="173">
        <f t="shared" si="42"/>
        <v>0.24710000000000001</v>
      </c>
      <c r="AD378" s="152"/>
      <c r="AL378"/>
    </row>
    <row r="379" spans="2:38" ht="12.75" customHeight="1">
      <c r="B379" s="65"/>
      <c r="C379" s="125" t="s">
        <v>16</v>
      </c>
      <c r="D379" s="83"/>
      <c r="E379" s="83"/>
      <c r="F379" s="123"/>
      <c r="G379" s="340"/>
      <c r="H379" s="559"/>
      <c r="I379" s="235"/>
      <c r="J379" s="235"/>
      <c r="K379" s="262"/>
      <c r="L379" s="44">
        <f t="shared" si="43"/>
        <v>0.1</v>
      </c>
      <c r="M379" s="565"/>
      <c r="N379" s="566"/>
      <c r="O379" s="566"/>
      <c r="P379" s="566"/>
      <c r="Q379" s="567"/>
      <c r="R379" s="570">
        <f t="shared" si="44"/>
        <v>0</v>
      </c>
      <c r="S379" s="571"/>
      <c r="T379" s="518" t="e">
        <f t="shared" si="45"/>
        <v>#DIV/0!</v>
      </c>
      <c r="W379" s="147"/>
      <c r="X379" s="172" t="s">
        <v>251</v>
      </c>
      <c r="Y379" s="172" t="s">
        <v>251</v>
      </c>
      <c r="Z379" s="154"/>
      <c r="AA379" s="326" t="s">
        <v>18</v>
      </c>
      <c r="AB379" s="330">
        <v>0.4</v>
      </c>
      <c r="AC379" s="173">
        <f t="shared" si="42"/>
        <v>0.9884000000000001</v>
      </c>
      <c r="AD379" s="152"/>
      <c r="AL379"/>
    </row>
    <row r="380" spans="2:38" ht="12.75" customHeight="1">
      <c r="B380" s="65"/>
      <c r="C380" s="125" t="s">
        <v>17</v>
      </c>
      <c r="D380" s="83"/>
      <c r="E380" s="83"/>
      <c r="F380" s="123"/>
      <c r="G380" s="340"/>
      <c r="H380" s="559"/>
      <c r="I380" s="235"/>
      <c r="J380" s="235"/>
      <c r="K380" s="262"/>
      <c r="L380" s="44">
        <f t="shared" si="43"/>
        <v>0.1</v>
      </c>
      <c r="M380" s="565"/>
      <c r="N380" s="566"/>
      <c r="O380" s="566"/>
      <c r="P380" s="566"/>
      <c r="Q380" s="567"/>
      <c r="R380" s="570">
        <f t="shared" si="44"/>
        <v>0</v>
      </c>
      <c r="S380" s="571"/>
      <c r="T380" s="518" t="e">
        <f t="shared" si="45"/>
        <v>#DIV/0!</v>
      </c>
      <c r="W380" s="175"/>
      <c r="X380" s="172" t="s">
        <v>255</v>
      </c>
      <c r="Y380" s="172" t="s">
        <v>255</v>
      </c>
      <c r="Z380" s="154"/>
      <c r="AA380" s="326" t="s">
        <v>19</v>
      </c>
      <c r="AB380" s="330">
        <v>0.3</v>
      </c>
      <c r="AC380" s="173">
        <f t="shared" si="42"/>
        <v>0.7413</v>
      </c>
      <c r="AD380" s="152"/>
      <c r="AL380"/>
    </row>
    <row r="381" spans="2:38" ht="12.75" customHeight="1">
      <c r="B381" s="65"/>
      <c r="C381" s="125" t="s">
        <v>18</v>
      </c>
      <c r="D381" s="83"/>
      <c r="E381" s="83"/>
      <c r="F381" s="123"/>
      <c r="G381" s="340"/>
      <c r="H381" s="559"/>
      <c r="I381" s="235"/>
      <c r="J381" s="235"/>
      <c r="K381" s="262"/>
      <c r="L381" s="44">
        <f t="shared" si="43"/>
        <v>0.4</v>
      </c>
      <c r="M381" s="565"/>
      <c r="N381" s="566"/>
      <c r="O381" s="566"/>
      <c r="P381" s="566"/>
      <c r="Q381" s="567"/>
      <c r="R381" s="570">
        <f t="shared" si="44"/>
        <v>0</v>
      </c>
      <c r="S381" s="571"/>
      <c r="T381" s="518" t="e">
        <f t="shared" si="45"/>
        <v>#DIV/0!</v>
      </c>
      <c r="W381" s="175"/>
      <c r="X381" s="154"/>
      <c r="Y381" s="154"/>
      <c r="Z381" s="154"/>
      <c r="AA381" s="326" t="s">
        <v>20</v>
      </c>
      <c r="AB381" s="330">
        <v>3</v>
      </c>
      <c r="AC381" s="173">
        <f t="shared" si="42"/>
        <v>7.413</v>
      </c>
      <c r="AD381" s="152"/>
      <c r="AL381"/>
    </row>
    <row r="382" spans="2:38" ht="12.75" customHeight="1">
      <c r="B382" s="65"/>
      <c r="C382" s="125" t="s">
        <v>19</v>
      </c>
      <c r="D382" s="83"/>
      <c r="E382" s="83"/>
      <c r="F382" s="123"/>
      <c r="G382" s="340"/>
      <c r="H382" s="559"/>
      <c r="I382" s="235"/>
      <c r="J382" s="235"/>
      <c r="K382" s="262"/>
      <c r="L382" s="44">
        <f t="shared" si="43"/>
        <v>0.3</v>
      </c>
      <c r="M382" s="565"/>
      <c r="N382" s="566"/>
      <c r="O382" s="566"/>
      <c r="P382" s="566"/>
      <c r="Q382" s="567"/>
      <c r="R382" s="570">
        <f t="shared" si="44"/>
        <v>0</v>
      </c>
      <c r="S382" s="571"/>
      <c r="T382" s="518" t="e">
        <f t="shared" si="45"/>
        <v>#DIV/0!</v>
      </c>
      <c r="W382" s="147"/>
      <c r="X382" s="165" t="s">
        <v>254</v>
      </c>
      <c r="Y382" s="154"/>
      <c r="Z382" s="154"/>
      <c r="AA382" s="154"/>
      <c r="AB382" s="154"/>
      <c r="AC382" s="154"/>
      <c r="AD382" s="152"/>
      <c r="AL382"/>
    </row>
    <row r="383" spans="2:30" ht="12.75" customHeight="1">
      <c r="B383" s="65"/>
      <c r="C383" s="125" t="s">
        <v>20</v>
      </c>
      <c r="D383" s="83"/>
      <c r="E383" s="83"/>
      <c r="F383" s="123"/>
      <c r="G383" s="340"/>
      <c r="H383" s="559"/>
      <c r="I383" s="235"/>
      <c r="J383" s="235"/>
      <c r="K383" s="262"/>
      <c r="L383" s="44">
        <f t="shared" si="43"/>
        <v>3</v>
      </c>
      <c r="M383" s="565"/>
      <c r="N383" s="566"/>
      <c r="O383" s="566"/>
      <c r="P383" s="566"/>
      <c r="Q383" s="567"/>
      <c r="R383" s="570">
        <f t="shared" si="44"/>
        <v>0</v>
      </c>
      <c r="S383" s="571"/>
      <c r="T383" s="518" t="e">
        <f t="shared" si="45"/>
        <v>#DIV/0!</v>
      </c>
      <c r="W383" s="148" t="s">
        <v>252</v>
      </c>
      <c r="X383" s="173">
        <v>1</v>
      </c>
      <c r="Y383" s="154"/>
      <c r="Z383" s="154"/>
      <c r="AA383" s="154" t="s">
        <v>253</v>
      </c>
      <c r="AB383" s="154" t="s">
        <v>256</v>
      </c>
      <c r="AC383" s="154" t="s">
        <v>257</v>
      </c>
      <c r="AD383" s="152"/>
    </row>
    <row r="384" spans="2:30" ht="12.75" customHeight="1">
      <c r="B384" s="65"/>
      <c r="C384" s="125" t="s">
        <v>28</v>
      </c>
      <c r="D384" s="83"/>
      <c r="E384" s="83"/>
      <c r="F384" s="123"/>
      <c r="G384" s="340"/>
      <c r="H384" s="559"/>
      <c r="I384" s="233"/>
      <c r="J384" s="233"/>
      <c r="K384" s="260"/>
      <c r="L384" s="51"/>
      <c r="M384" s="542"/>
      <c r="N384" s="543"/>
      <c r="O384" s="543"/>
      <c r="P384" s="543"/>
      <c r="Q384" s="544"/>
      <c r="R384" s="570">
        <f t="shared" si="44"/>
        <v>0</v>
      </c>
      <c r="S384" s="571"/>
      <c r="T384" s="518" t="e">
        <f t="shared" si="45"/>
        <v>#DIV/0!</v>
      </c>
      <c r="W384" s="148" t="s">
        <v>253</v>
      </c>
      <c r="X384" s="173">
        <v>1</v>
      </c>
      <c r="Y384" s="154"/>
      <c r="Z384" s="327" t="s">
        <v>179</v>
      </c>
      <c r="AA384" s="328"/>
      <c r="AB384" s="330">
        <v>22</v>
      </c>
      <c r="AC384" s="173">
        <f>AB384*2.471</f>
        <v>54.362</v>
      </c>
      <c r="AD384" s="152"/>
    </row>
    <row r="385" spans="2:30" ht="12.75" customHeight="1">
      <c r="B385" s="65"/>
      <c r="C385" s="18"/>
      <c r="D385" s="18"/>
      <c r="E385" s="18"/>
      <c r="F385" s="22"/>
      <c r="G385" s="22"/>
      <c r="H385" s="22"/>
      <c r="I385" s="22"/>
      <c r="J385" s="22"/>
      <c r="K385" s="22"/>
      <c r="L385" s="22"/>
      <c r="M385" s="22"/>
      <c r="N385" s="22"/>
      <c r="O385" s="22"/>
      <c r="P385" s="22"/>
      <c r="Q385" s="22"/>
      <c r="R385" s="2"/>
      <c r="S385" s="1"/>
      <c r="T385" s="7"/>
      <c r="W385" s="147"/>
      <c r="X385" s="154"/>
      <c r="Y385" s="154"/>
      <c r="Z385" s="329" t="s">
        <v>22</v>
      </c>
      <c r="AA385" s="328"/>
      <c r="AB385" s="331">
        <v>0</v>
      </c>
      <c r="AC385" s="331">
        <v>0</v>
      </c>
      <c r="AD385" s="152"/>
    </row>
    <row r="386" spans="2:30" ht="12.75" customHeight="1">
      <c r="B386" s="65"/>
      <c r="C386" s="135" t="s">
        <v>21</v>
      </c>
      <c r="D386" s="18"/>
      <c r="E386" s="18"/>
      <c r="G386" s="243"/>
      <c r="H386" s="243" t="s">
        <v>206</v>
      </c>
      <c r="J386" s="17" t="s">
        <v>340</v>
      </c>
      <c r="L386" s="39"/>
      <c r="M386" s="39"/>
      <c r="N386" s="39"/>
      <c r="O386" s="39"/>
      <c r="P386" s="19"/>
      <c r="Q386" s="19"/>
      <c r="R386" s="39"/>
      <c r="S386" s="28"/>
      <c r="T386" s="7"/>
      <c r="W386" s="147"/>
      <c r="X386" s="154"/>
      <c r="Y386" s="154"/>
      <c r="Z386" s="329" t="s">
        <v>180</v>
      </c>
      <c r="AA386" s="328"/>
      <c r="AB386" s="331">
        <v>-0.1</v>
      </c>
      <c r="AC386" s="173">
        <f>AB386*2.471</f>
        <v>-0.24710000000000001</v>
      </c>
      <c r="AD386" s="152"/>
    </row>
    <row r="387" spans="2:30" ht="12.75" customHeight="1">
      <c r="B387" s="65"/>
      <c r="C387" s="125" t="s">
        <v>376</v>
      </c>
      <c r="D387" s="83"/>
      <c r="E387" s="83"/>
      <c r="F387" s="123"/>
      <c r="G387" s="340"/>
      <c r="H387" s="559"/>
      <c r="I387" s="234"/>
      <c r="J387" s="234"/>
      <c r="K387" s="261"/>
      <c r="L387" s="44">
        <f>IF($X$384=1,AB384,IF($X$384=2,AC384,0))</f>
        <v>22</v>
      </c>
      <c r="M387" s="596" t="s">
        <v>258</v>
      </c>
      <c r="N387" s="563"/>
      <c r="O387" s="563"/>
      <c r="P387" s="563"/>
      <c r="Q387" s="564"/>
      <c r="R387" s="570">
        <f>H387*L387</f>
        <v>0</v>
      </c>
      <c r="S387" s="571"/>
      <c r="T387" s="518" t="e">
        <f>R387/$Q$393</f>
        <v>#DIV/0!</v>
      </c>
      <c r="W387" s="147"/>
      <c r="X387" s="154"/>
      <c r="Y387" s="154"/>
      <c r="Z387" s="154"/>
      <c r="AA387" s="154"/>
      <c r="AB387" s="154"/>
      <c r="AC387" s="154"/>
      <c r="AD387" s="152"/>
    </row>
    <row r="388" spans="2:30" ht="12.75" customHeight="1">
      <c r="B388" s="65"/>
      <c r="C388" s="139" t="s">
        <v>22</v>
      </c>
      <c r="D388" s="83"/>
      <c r="E388" s="83"/>
      <c r="F388" s="345" t="s">
        <v>224</v>
      </c>
      <c r="G388" s="340"/>
      <c r="H388" s="559"/>
      <c r="I388" s="235"/>
      <c r="J388" s="235"/>
      <c r="K388" s="262"/>
      <c r="L388" s="44">
        <f>IF($X$384=1,AB385,IF($X$384=2,AC385,0))</f>
        <v>0</v>
      </c>
      <c r="M388" s="565"/>
      <c r="N388" s="566"/>
      <c r="O388" s="566"/>
      <c r="P388" s="566"/>
      <c r="Q388" s="567"/>
      <c r="R388" s="570">
        <f>H388*L388</f>
        <v>0</v>
      </c>
      <c r="S388" s="571"/>
      <c r="T388" s="518" t="e">
        <f>R388/$Q$393</f>
        <v>#DIV/0!</v>
      </c>
      <c r="W388" s="540" t="s">
        <v>374</v>
      </c>
      <c r="X388" s="541"/>
      <c r="Y388" s="541"/>
      <c r="Z388" s="541"/>
      <c r="AA388" s="541"/>
      <c r="AB388" s="541"/>
      <c r="AC388" s="541"/>
      <c r="AD388" s="589"/>
    </row>
    <row r="389" spans="2:30" ht="12.75" customHeight="1">
      <c r="B389" s="65"/>
      <c r="C389" s="139" t="s">
        <v>378</v>
      </c>
      <c r="D389" s="83"/>
      <c r="E389" s="83"/>
      <c r="F389" s="123"/>
      <c r="G389" s="340"/>
      <c r="H389" s="559"/>
      <c r="I389" s="233"/>
      <c r="J389" s="233"/>
      <c r="K389" s="260"/>
      <c r="L389" s="44">
        <f>IF($X$384=1,AB386,IF($X$384=2,AC386,0))</f>
        <v>-0.1</v>
      </c>
      <c r="M389" s="542"/>
      <c r="N389" s="543"/>
      <c r="O389" s="543"/>
      <c r="P389" s="543"/>
      <c r="Q389" s="544"/>
      <c r="R389" s="570">
        <f>H389*L389</f>
        <v>0</v>
      </c>
      <c r="S389" s="571"/>
      <c r="T389" s="518" t="e">
        <f>R389/$Q$393</f>
        <v>#DIV/0!</v>
      </c>
      <c r="W389" s="540"/>
      <c r="X389" s="541"/>
      <c r="Y389" s="541"/>
      <c r="Z389" s="541"/>
      <c r="AA389" s="541"/>
      <c r="AB389" s="541"/>
      <c r="AC389" s="541"/>
      <c r="AD389" s="589"/>
    </row>
    <row r="390" spans="2:30" ht="12.75" customHeight="1">
      <c r="B390" s="65"/>
      <c r="C390" s="125" t="s">
        <v>377</v>
      </c>
      <c r="D390" s="83"/>
      <c r="E390" s="83"/>
      <c r="F390" s="123"/>
      <c r="G390" s="340"/>
      <c r="H390" s="559"/>
      <c r="I390" s="182" t="s">
        <v>181</v>
      </c>
      <c r="J390" s="184"/>
      <c r="K390" s="266"/>
      <c r="L390" s="44">
        <v>0.4</v>
      </c>
      <c r="M390" s="620" t="s">
        <v>380</v>
      </c>
      <c r="N390" s="573"/>
      <c r="O390" s="573"/>
      <c r="P390" s="573"/>
      <c r="Q390" s="569"/>
      <c r="R390" s="570">
        <f>H390*L390</f>
        <v>0</v>
      </c>
      <c r="S390" s="571"/>
      <c r="T390" s="518" t="e">
        <f>R390/$Q$393</f>
        <v>#DIV/0!</v>
      </c>
      <c r="W390" s="540" t="s">
        <v>373</v>
      </c>
      <c r="X390" s="541"/>
      <c r="Y390" s="541"/>
      <c r="Z390" s="541"/>
      <c r="AA390" s="541"/>
      <c r="AB390" s="541"/>
      <c r="AC390" s="541"/>
      <c r="AD390" s="589"/>
    </row>
    <row r="391" spans="2:30" ht="12.75" customHeight="1">
      <c r="B391" s="65"/>
      <c r="C391" s="144" t="s">
        <v>379</v>
      </c>
      <c r="D391" s="18"/>
      <c r="E391" s="18"/>
      <c r="F391" s="22"/>
      <c r="G391" s="2"/>
      <c r="H391" s="2"/>
      <c r="I391" s="2"/>
      <c r="J391" s="2"/>
      <c r="K391" s="2"/>
      <c r="L391" s="2"/>
      <c r="M391" s="2"/>
      <c r="N391" s="2"/>
      <c r="O391" s="2"/>
      <c r="P391" s="2"/>
      <c r="Q391" s="2"/>
      <c r="R391" s="2"/>
      <c r="S391" s="2"/>
      <c r="T391" s="7"/>
      <c r="W391" s="540"/>
      <c r="X391" s="541"/>
      <c r="Y391" s="541"/>
      <c r="Z391" s="541"/>
      <c r="AA391" s="541"/>
      <c r="AB391" s="541"/>
      <c r="AC391" s="541"/>
      <c r="AD391" s="589"/>
    </row>
    <row r="392" spans="2:30" ht="12.75" customHeight="1" thickBot="1">
      <c r="B392" s="65"/>
      <c r="C392" s="143"/>
      <c r="D392" s="18"/>
      <c r="E392" s="18"/>
      <c r="F392" s="22"/>
      <c r="G392" s="2"/>
      <c r="H392" s="2"/>
      <c r="I392" s="2"/>
      <c r="J392" s="2"/>
      <c r="K392" s="2"/>
      <c r="L392" s="2"/>
      <c r="M392" s="2"/>
      <c r="N392" s="2"/>
      <c r="O392" s="2"/>
      <c r="P392" s="2"/>
      <c r="Q392" s="2"/>
      <c r="R392" s="2"/>
      <c r="S392" s="2"/>
      <c r="T392" s="7"/>
      <c r="W392" s="540"/>
      <c r="X392" s="541"/>
      <c r="Y392" s="541"/>
      <c r="Z392" s="541"/>
      <c r="AA392" s="541"/>
      <c r="AB392" s="541"/>
      <c r="AC392" s="541"/>
      <c r="AD392" s="589"/>
    </row>
    <row r="393" spans="2:30" ht="21.75" customHeight="1" thickBot="1">
      <c r="B393" s="72"/>
      <c r="G393" s="140"/>
      <c r="H393" s="140"/>
      <c r="I393" s="140"/>
      <c r="J393" s="141"/>
      <c r="K393" s="141"/>
      <c r="L393" s="141"/>
      <c r="M393" s="141"/>
      <c r="N393" s="141"/>
      <c r="O393" s="142"/>
      <c r="P393" s="145" t="s">
        <v>214</v>
      </c>
      <c r="Q393" s="593">
        <f>SUM(R39:S390)</f>
        <v>0</v>
      </c>
      <c r="R393" s="594"/>
      <c r="S393" s="595"/>
      <c r="T393" s="73"/>
      <c r="W393" s="540" t="s">
        <v>375</v>
      </c>
      <c r="X393" s="541"/>
      <c r="Y393" s="541"/>
      <c r="Z393" s="541"/>
      <c r="AA393" s="541"/>
      <c r="AB393" s="541"/>
      <c r="AC393" s="541"/>
      <c r="AD393" s="589"/>
    </row>
    <row r="394" spans="2:30" ht="12.75" customHeight="1">
      <c r="B394" s="65"/>
      <c r="C394" s="18"/>
      <c r="D394" s="18"/>
      <c r="E394" s="18"/>
      <c r="F394" s="18"/>
      <c r="G394" s="18"/>
      <c r="H394" s="18"/>
      <c r="I394" s="18"/>
      <c r="J394" s="18"/>
      <c r="K394" s="18"/>
      <c r="L394" s="18"/>
      <c r="M394" s="18"/>
      <c r="N394" s="18"/>
      <c r="O394" s="18"/>
      <c r="P394" s="18"/>
      <c r="Q394" s="18"/>
      <c r="R394" s="1"/>
      <c r="S394" s="1"/>
      <c r="T394" s="7"/>
      <c r="W394" s="540"/>
      <c r="X394" s="541"/>
      <c r="Y394" s="541"/>
      <c r="Z394" s="541"/>
      <c r="AA394" s="541"/>
      <c r="AB394" s="541"/>
      <c r="AC394" s="541"/>
      <c r="AD394" s="589"/>
    </row>
    <row r="395" spans="2:30" ht="22.5" customHeight="1">
      <c r="B395" s="67"/>
      <c r="C395" s="8"/>
      <c r="D395" s="346"/>
      <c r="E395" s="346"/>
      <c r="F395" s="31"/>
      <c r="G395" s="31"/>
      <c r="H395" s="31"/>
      <c r="I395" s="31"/>
      <c r="J395" s="31"/>
      <c r="K395" s="31"/>
      <c r="L395" s="31"/>
      <c r="M395" s="8"/>
      <c r="N395" s="31"/>
      <c r="O395" s="31"/>
      <c r="P395" s="8"/>
      <c r="Q395" s="31"/>
      <c r="R395" s="8"/>
      <c r="S395" s="347">
        <f>IF(Q393=0,"",IF(Q393&lt;10000,"You qualify as a Small Emitter.","You must report as a Large Emitter."))</f>
      </c>
      <c r="T395" s="9"/>
      <c r="W395" s="590"/>
      <c r="X395" s="591"/>
      <c r="Y395" s="591"/>
      <c r="Z395" s="591"/>
      <c r="AA395" s="591"/>
      <c r="AB395" s="591"/>
      <c r="AC395" s="591"/>
      <c r="AD395" s="592"/>
    </row>
    <row r="396" spans="2:20" ht="12.75" customHeight="1">
      <c r="B396" s="68" t="s">
        <v>294</v>
      </c>
      <c r="D396" s="18"/>
      <c r="E396" s="18"/>
      <c r="F396" s="22"/>
      <c r="G396" s="2"/>
      <c r="H396" s="2"/>
      <c r="I396" s="2"/>
      <c r="J396" s="2"/>
      <c r="K396" s="2"/>
      <c r="L396" s="2"/>
      <c r="M396" s="2"/>
      <c r="N396" s="2"/>
      <c r="O396" s="2"/>
      <c r="P396" s="2"/>
      <c r="Q396" s="2"/>
      <c r="R396" s="2"/>
      <c r="S396" s="2"/>
      <c r="T396" s="7"/>
    </row>
    <row r="397" spans="2:20" ht="12.75" customHeight="1">
      <c r="B397" s="65"/>
      <c r="C397" s="143"/>
      <c r="D397" s="18"/>
      <c r="E397" s="18"/>
      <c r="F397" s="22"/>
      <c r="G397" s="2"/>
      <c r="H397" s="2"/>
      <c r="I397" s="2"/>
      <c r="J397" s="2"/>
      <c r="K397" s="2"/>
      <c r="L397" s="2"/>
      <c r="M397" s="2"/>
      <c r="N397" s="2"/>
      <c r="O397" s="2"/>
      <c r="P397" s="2"/>
      <c r="Q397" s="2"/>
      <c r="R397" s="2"/>
      <c r="S397" s="2"/>
      <c r="T397" s="7"/>
    </row>
    <row r="398" spans="2:20" ht="12.75" customHeight="1">
      <c r="B398" s="65"/>
      <c r="C398" s="229" t="s">
        <v>298</v>
      </c>
      <c r="D398" s="211"/>
      <c r="E398" s="211"/>
      <c r="F398" s="211"/>
      <c r="G398" s="211"/>
      <c r="H398" s="211"/>
      <c r="I398" s="211"/>
      <c r="J398" s="211"/>
      <c r="K398" s="211"/>
      <c r="L398" s="211"/>
      <c r="M398" s="211"/>
      <c r="N398" s="211"/>
      <c r="O398" s="211"/>
      <c r="P398" s="2"/>
      <c r="Q398" s="2"/>
      <c r="R398" s="2"/>
      <c r="S398" s="2"/>
      <c r="T398" s="7"/>
    </row>
    <row r="399" spans="2:20" ht="12.75" customHeight="1">
      <c r="B399" s="65"/>
      <c r="C399" s="230" t="s">
        <v>392</v>
      </c>
      <c r="D399" s="211"/>
      <c r="E399" s="211"/>
      <c r="F399" s="211"/>
      <c r="G399" s="211"/>
      <c r="H399" s="211"/>
      <c r="I399" s="211"/>
      <c r="J399" s="211"/>
      <c r="K399" s="211"/>
      <c r="L399" s="211"/>
      <c r="M399" s="211"/>
      <c r="N399" s="211"/>
      <c r="O399" s="211"/>
      <c r="P399" s="2"/>
      <c r="Q399" s="2"/>
      <c r="R399" s="2"/>
      <c r="S399" s="2"/>
      <c r="T399" s="7"/>
    </row>
    <row r="400" spans="2:20" ht="12.75" customHeight="1">
      <c r="B400" s="65"/>
      <c r="C400" s="231" t="s">
        <v>393</v>
      </c>
      <c r="D400" s="210"/>
      <c r="E400" s="210"/>
      <c r="F400" s="22"/>
      <c r="G400" s="2"/>
      <c r="H400" s="2"/>
      <c r="I400" s="2"/>
      <c r="J400" s="2"/>
      <c r="K400" s="2"/>
      <c r="L400" s="2"/>
      <c r="M400" s="2"/>
      <c r="N400" s="2"/>
      <c r="O400" s="2"/>
      <c r="P400" s="2"/>
      <c r="Q400" s="2"/>
      <c r="R400" s="2"/>
      <c r="S400" s="2"/>
      <c r="T400" s="7"/>
    </row>
    <row r="401" spans="2:20" ht="12.75" customHeight="1">
      <c r="B401" s="65"/>
      <c r="C401" s="228"/>
      <c r="D401" s="210"/>
      <c r="E401" s="210"/>
      <c r="F401" s="22"/>
      <c r="G401" s="2"/>
      <c r="H401" s="2"/>
      <c r="I401" s="2"/>
      <c r="J401" s="2"/>
      <c r="K401" s="2"/>
      <c r="L401" s="2"/>
      <c r="M401" s="2"/>
      <c r="N401" s="2"/>
      <c r="O401" s="2"/>
      <c r="P401" s="2"/>
      <c r="Q401" s="2"/>
      <c r="R401" s="2"/>
      <c r="S401" s="2"/>
      <c r="T401" s="7"/>
    </row>
    <row r="402" spans="2:20" ht="12.75" customHeight="1">
      <c r="B402" s="65"/>
      <c r="C402" s="2"/>
      <c r="D402" s="606" t="s">
        <v>291</v>
      </c>
      <c r="E402" s="563"/>
      <c r="F402" s="564"/>
      <c r="G402" s="606" t="s">
        <v>261</v>
      </c>
      <c r="H402" s="563"/>
      <c r="I402" s="563"/>
      <c r="J402" s="563"/>
      <c r="K402" s="563"/>
      <c r="L402" s="564"/>
      <c r="M402" s="607" t="s">
        <v>290</v>
      </c>
      <c r="N402" s="564"/>
      <c r="O402" s="607" t="s">
        <v>262</v>
      </c>
      <c r="P402" s="564"/>
      <c r="R402" s="2"/>
      <c r="S402" s="2"/>
      <c r="T402" s="7"/>
    </row>
    <row r="403" spans="2:20" ht="12.75" customHeight="1">
      <c r="B403" s="65"/>
      <c r="C403" s="2"/>
      <c r="D403" s="565"/>
      <c r="E403" s="566"/>
      <c r="F403" s="567"/>
      <c r="G403" s="565"/>
      <c r="H403" s="566"/>
      <c r="I403" s="566"/>
      <c r="J403" s="566"/>
      <c r="K403" s="566"/>
      <c r="L403" s="567"/>
      <c r="M403" s="542"/>
      <c r="N403" s="544"/>
      <c r="O403" s="565"/>
      <c r="P403" s="567"/>
      <c r="R403" s="2"/>
      <c r="S403" s="2"/>
      <c r="T403" s="7"/>
    </row>
    <row r="404" spans="2:20" ht="12.75" customHeight="1">
      <c r="B404" s="65"/>
      <c r="C404" s="2"/>
      <c r="D404" s="542"/>
      <c r="E404" s="543"/>
      <c r="F404" s="544"/>
      <c r="G404" s="542"/>
      <c r="H404" s="543"/>
      <c r="I404" s="543"/>
      <c r="J404" s="543"/>
      <c r="K404" s="543"/>
      <c r="L404" s="544"/>
      <c r="M404" s="223" t="s">
        <v>292</v>
      </c>
      <c r="N404" s="223" t="s">
        <v>293</v>
      </c>
      <c r="O404" s="542"/>
      <c r="P404" s="544"/>
      <c r="R404" s="2"/>
      <c r="S404" s="2"/>
      <c r="T404" s="7"/>
    </row>
    <row r="405" spans="2:20" ht="12.75" customHeight="1">
      <c r="B405" s="65"/>
      <c r="C405" s="2"/>
      <c r="D405" s="212" t="s">
        <v>263</v>
      </c>
      <c r="E405" s="213"/>
      <c r="F405" s="214"/>
      <c r="G405" s="215" t="s">
        <v>273</v>
      </c>
      <c r="H405" s="87"/>
      <c r="I405" s="87"/>
      <c r="J405" s="87"/>
      <c r="K405" s="87"/>
      <c r="L405" s="90"/>
      <c r="M405" s="224">
        <v>80</v>
      </c>
      <c r="N405" s="225">
        <f>M405/2.471</f>
        <v>32.375556454876566</v>
      </c>
      <c r="O405" s="226"/>
      <c r="P405" s="227">
        <v>25</v>
      </c>
      <c r="R405" s="2"/>
      <c r="S405" s="2"/>
      <c r="T405" s="7"/>
    </row>
    <row r="406" spans="2:20" ht="12.75" customHeight="1">
      <c r="B406" s="65"/>
      <c r="C406" s="2"/>
      <c r="D406" s="216"/>
      <c r="E406" s="217"/>
      <c r="F406" s="218"/>
      <c r="G406" s="215" t="s">
        <v>274</v>
      </c>
      <c r="H406" s="87"/>
      <c r="I406" s="87"/>
      <c r="J406" s="87"/>
      <c r="K406" s="87"/>
      <c r="L406" s="90"/>
      <c r="M406" s="224">
        <v>95</v>
      </c>
      <c r="N406" s="225">
        <f aca="true" t="shared" si="46" ref="N406:N422">M406/2.471</f>
        <v>38.445973290165924</v>
      </c>
      <c r="O406" s="226"/>
      <c r="P406" s="227">
        <v>40</v>
      </c>
      <c r="R406" s="2"/>
      <c r="S406" s="2"/>
      <c r="T406" s="7"/>
    </row>
    <row r="407" spans="2:20" ht="12.75" customHeight="1">
      <c r="B407" s="65"/>
      <c r="C407" s="2"/>
      <c r="D407" s="212" t="s">
        <v>264</v>
      </c>
      <c r="E407" s="213"/>
      <c r="F407" s="214"/>
      <c r="G407" s="215" t="s">
        <v>273</v>
      </c>
      <c r="H407" s="87"/>
      <c r="I407" s="87"/>
      <c r="J407" s="87"/>
      <c r="K407" s="87"/>
      <c r="L407" s="90"/>
      <c r="M407" s="224">
        <v>90</v>
      </c>
      <c r="N407" s="225">
        <f t="shared" si="46"/>
        <v>36.42250101173614</v>
      </c>
      <c r="O407" s="226"/>
      <c r="P407" s="227">
        <v>20</v>
      </c>
      <c r="R407" s="2"/>
      <c r="S407" s="2"/>
      <c r="T407" s="7"/>
    </row>
    <row r="408" spans="2:20" ht="12.75" customHeight="1">
      <c r="B408" s="65"/>
      <c r="C408" s="2"/>
      <c r="D408" s="216"/>
      <c r="E408" s="217"/>
      <c r="F408" s="218"/>
      <c r="G408" s="215" t="s">
        <v>275</v>
      </c>
      <c r="H408" s="87"/>
      <c r="I408" s="87"/>
      <c r="J408" s="87"/>
      <c r="K408" s="87"/>
      <c r="L408" s="90"/>
      <c r="M408" s="224">
        <v>90</v>
      </c>
      <c r="N408" s="225">
        <f t="shared" si="46"/>
        <v>36.42250101173614</v>
      </c>
      <c r="O408" s="226"/>
      <c r="P408" s="227">
        <v>40</v>
      </c>
      <c r="R408" s="2"/>
      <c r="S408" s="2"/>
      <c r="T408" s="7"/>
    </row>
    <row r="409" spans="2:20" ht="12.75" customHeight="1">
      <c r="B409" s="65"/>
      <c r="C409" s="2"/>
      <c r="D409" s="212" t="s">
        <v>265</v>
      </c>
      <c r="E409" s="213"/>
      <c r="F409" s="214"/>
      <c r="G409" s="215" t="s">
        <v>276</v>
      </c>
      <c r="H409" s="87"/>
      <c r="I409" s="87"/>
      <c r="J409" s="87"/>
      <c r="K409" s="87"/>
      <c r="L409" s="90"/>
      <c r="M409" s="224">
        <v>60</v>
      </c>
      <c r="N409" s="225">
        <f t="shared" si="46"/>
        <v>24.281667341157426</v>
      </c>
      <c r="O409" s="226"/>
      <c r="P409" s="227">
        <v>55</v>
      </c>
      <c r="R409" s="2"/>
      <c r="S409" s="2"/>
      <c r="T409" s="7"/>
    </row>
    <row r="410" spans="2:20" ht="12.75" customHeight="1">
      <c r="B410" s="65"/>
      <c r="C410" s="2"/>
      <c r="D410" s="216"/>
      <c r="E410" s="217"/>
      <c r="F410" s="218"/>
      <c r="G410" s="215" t="s">
        <v>277</v>
      </c>
      <c r="H410" s="87"/>
      <c r="I410" s="87"/>
      <c r="J410" s="87"/>
      <c r="K410" s="87"/>
      <c r="L410" s="90"/>
      <c r="M410" s="224">
        <v>55</v>
      </c>
      <c r="N410" s="225">
        <f t="shared" si="46"/>
        <v>22.25819506272764</v>
      </c>
      <c r="O410" s="226"/>
      <c r="P410" s="227">
        <v>65</v>
      </c>
      <c r="R410" s="2"/>
      <c r="S410" s="2"/>
      <c r="T410" s="7"/>
    </row>
    <row r="411" spans="2:20" ht="12.75" customHeight="1">
      <c r="B411" s="65"/>
      <c r="C411" s="2"/>
      <c r="D411" s="212" t="s">
        <v>266</v>
      </c>
      <c r="E411" s="213"/>
      <c r="F411" s="214"/>
      <c r="G411" s="215" t="s">
        <v>278</v>
      </c>
      <c r="H411" s="87"/>
      <c r="I411" s="87"/>
      <c r="J411" s="87"/>
      <c r="K411" s="87"/>
      <c r="L411" s="90"/>
      <c r="M411" s="224">
        <v>55</v>
      </c>
      <c r="N411" s="225">
        <f t="shared" si="46"/>
        <v>22.25819506272764</v>
      </c>
      <c r="O411" s="226"/>
      <c r="P411" s="227">
        <v>65</v>
      </c>
      <c r="R411" s="2"/>
      <c r="S411" s="2"/>
      <c r="T411" s="7"/>
    </row>
    <row r="412" spans="2:20" ht="12.75" customHeight="1">
      <c r="B412" s="65"/>
      <c r="C412" s="2"/>
      <c r="D412" s="216"/>
      <c r="E412" s="217"/>
      <c r="F412" s="218"/>
      <c r="G412" s="215" t="s">
        <v>279</v>
      </c>
      <c r="H412" s="87"/>
      <c r="I412" s="87"/>
      <c r="J412" s="87"/>
      <c r="K412" s="87"/>
      <c r="L412" s="90"/>
      <c r="M412" s="224">
        <v>40</v>
      </c>
      <c r="N412" s="225">
        <f t="shared" si="46"/>
        <v>16.187778227438283</v>
      </c>
      <c r="O412" s="226"/>
      <c r="P412" s="227">
        <v>75</v>
      </c>
      <c r="R412" s="2"/>
      <c r="S412" s="2"/>
      <c r="T412" s="7"/>
    </row>
    <row r="413" spans="2:20" ht="12.75" customHeight="1">
      <c r="B413" s="65"/>
      <c r="C413" s="2"/>
      <c r="D413" s="215" t="s">
        <v>267</v>
      </c>
      <c r="E413" s="219"/>
      <c r="F413" s="219"/>
      <c r="G413" s="215" t="s">
        <v>280</v>
      </c>
      <c r="H413" s="87"/>
      <c r="I413" s="87"/>
      <c r="J413" s="87"/>
      <c r="K413" s="87"/>
      <c r="L413" s="90"/>
      <c r="M413" s="224">
        <v>65</v>
      </c>
      <c r="N413" s="225">
        <f t="shared" si="46"/>
        <v>26.305139619587212</v>
      </c>
      <c r="O413" s="226"/>
      <c r="P413" s="227">
        <v>75</v>
      </c>
      <c r="R413" s="2"/>
      <c r="S413" s="2"/>
      <c r="T413" s="7"/>
    </row>
    <row r="414" spans="2:20" ht="12.75" customHeight="1">
      <c r="B414" s="65"/>
      <c r="C414" s="2"/>
      <c r="D414" s="215" t="s">
        <v>268</v>
      </c>
      <c r="E414" s="219"/>
      <c r="F414" s="219"/>
      <c r="G414" s="215" t="s">
        <v>281</v>
      </c>
      <c r="H414" s="87"/>
      <c r="I414" s="87"/>
      <c r="J414" s="87"/>
      <c r="K414" s="87"/>
      <c r="L414" s="90"/>
      <c r="M414" s="224">
        <v>55</v>
      </c>
      <c r="N414" s="225">
        <f t="shared" si="46"/>
        <v>22.25819506272764</v>
      </c>
      <c r="O414" s="226"/>
      <c r="P414" s="227">
        <v>45</v>
      </c>
      <c r="R414" s="2"/>
      <c r="S414" s="2"/>
      <c r="T414" s="7"/>
    </row>
    <row r="415" spans="2:20" ht="12.75" customHeight="1">
      <c r="B415" s="65"/>
      <c r="C415" s="2"/>
      <c r="D415" s="212" t="s">
        <v>269</v>
      </c>
      <c r="E415" s="213"/>
      <c r="F415" s="214"/>
      <c r="G415" s="215" t="s">
        <v>282</v>
      </c>
      <c r="H415" s="87"/>
      <c r="I415" s="87"/>
      <c r="J415" s="87"/>
      <c r="K415" s="87"/>
      <c r="L415" s="90"/>
      <c r="M415" s="224">
        <v>60</v>
      </c>
      <c r="N415" s="225">
        <f t="shared" si="46"/>
        <v>24.281667341157426</v>
      </c>
      <c r="O415" s="226"/>
      <c r="P415" s="227">
        <v>55</v>
      </c>
      <c r="R415" s="2"/>
      <c r="S415" s="2"/>
      <c r="T415" s="7"/>
    </row>
    <row r="416" spans="2:20" ht="12.75" customHeight="1">
      <c r="B416" s="65"/>
      <c r="C416" s="2"/>
      <c r="D416" s="216"/>
      <c r="E416" s="217"/>
      <c r="F416" s="218"/>
      <c r="G416" s="215" t="s">
        <v>283</v>
      </c>
      <c r="H416" s="87"/>
      <c r="I416" s="87"/>
      <c r="J416" s="87"/>
      <c r="K416" s="87"/>
      <c r="L416" s="90"/>
      <c r="M416" s="224">
        <v>100</v>
      </c>
      <c r="N416" s="225">
        <f t="shared" si="46"/>
        <v>40.46944556859571</v>
      </c>
      <c r="O416" s="226"/>
      <c r="P416" s="227">
        <v>65</v>
      </c>
      <c r="R416" s="2"/>
      <c r="S416" s="2"/>
      <c r="T416" s="7"/>
    </row>
    <row r="417" spans="2:20" ht="12.75" customHeight="1">
      <c r="B417" s="65"/>
      <c r="C417" s="2"/>
      <c r="D417" s="212" t="s">
        <v>270</v>
      </c>
      <c r="E417" s="213"/>
      <c r="F417" s="214"/>
      <c r="G417" s="215" t="s">
        <v>284</v>
      </c>
      <c r="H417" s="87"/>
      <c r="I417" s="87"/>
      <c r="J417" s="87"/>
      <c r="K417" s="87"/>
      <c r="L417" s="90"/>
      <c r="M417" s="224">
        <v>85</v>
      </c>
      <c r="N417" s="225">
        <f t="shared" si="46"/>
        <v>34.39902873330635</v>
      </c>
      <c r="O417" s="226"/>
      <c r="P417" s="227">
        <v>55</v>
      </c>
      <c r="R417" s="2"/>
      <c r="S417" s="2"/>
      <c r="T417" s="7"/>
    </row>
    <row r="418" spans="2:20" ht="12.75" customHeight="1">
      <c r="B418" s="65"/>
      <c r="C418" s="2"/>
      <c r="D418" s="216"/>
      <c r="E418" s="217"/>
      <c r="F418" s="218"/>
      <c r="G418" s="215" t="s">
        <v>285</v>
      </c>
      <c r="H418" s="87"/>
      <c r="I418" s="87"/>
      <c r="J418" s="87"/>
      <c r="K418" s="87"/>
      <c r="L418" s="90"/>
      <c r="M418" s="224">
        <v>130</v>
      </c>
      <c r="N418" s="225">
        <f t="shared" si="46"/>
        <v>52.610279239174425</v>
      </c>
      <c r="O418" s="226"/>
      <c r="P418" s="227">
        <v>65</v>
      </c>
      <c r="R418" s="2"/>
      <c r="S418" s="2"/>
      <c r="T418" s="7"/>
    </row>
    <row r="419" spans="2:20" ht="12.75" customHeight="1">
      <c r="B419" s="65"/>
      <c r="C419" s="2"/>
      <c r="D419" s="215" t="s">
        <v>271</v>
      </c>
      <c r="E419" s="219"/>
      <c r="F419" s="219"/>
      <c r="G419" s="215" t="s">
        <v>286</v>
      </c>
      <c r="H419" s="87"/>
      <c r="I419" s="87"/>
      <c r="J419" s="87"/>
      <c r="K419" s="87"/>
      <c r="L419" s="90"/>
      <c r="M419" s="224">
        <v>100</v>
      </c>
      <c r="N419" s="225">
        <f t="shared" si="46"/>
        <v>40.46944556859571</v>
      </c>
      <c r="O419" s="226"/>
      <c r="P419" s="227">
        <v>55</v>
      </c>
      <c r="R419" s="2"/>
      <c r="S419" s="2"/>
      <c r="T419" s="7"/>
    </row>
    <row r="420" spans="2:20" ht="12.75" customHeight="1">
      <c r="B420" s="65"/>
      <c r="C420" s="2"/>
      <c r="D420" s="212" t="s">
        <v>272</v>
      </c>
      <c r="E420" s="213"/>
      <c r="F420" s="214"/>
      <c r="G420" s="215" t="s">
        <v>287</v>
      </c>
      <c r="H420" s="87"/>
      <c r="I420" s="87"/>
      <c r="J420" s="87"/>
      <c r="K420" s="87"/>
      <c r="L420" s="90"/>
      <c r="M420" s="224">
        <v>45</v>
      </c>
      <c r="N420" s="225">
        <f t="shared" si="46"/>
        <v>18.21125050586807</v>
      </c>
      <c r="O420" s="226"/>
      <c r="P420" s="227">
        <v>45</v>
      </c>
      <c r="R420" s="2"/>
      <c r="S420" s="2"/>
      <c r="T420" s="7"/>
    </row>
    <row r="421" spans="2:21" ht="24.75" customHeight="1">
      <c r="B421" s="65"/>
      <c r="C421" s="2"/>
      <c r="D421" s="220"/>
      <c r="E421" s="221"/>
      <c r="F421" s="222"/>
      <c r="G421" s="215" t="s">
        <v>288</v>
      </c>
      <c r="H421" s="87"/>
      <c r="I421" s="87"/>
      <c r="J421" s="87"/>
      <c r="K421" s="87"/>
      <c r="L421" s="90"/>
      <c r="M421" s="224">
        <v>50</v>
      </c>
      <c r="N421" s="225">
        <f t="shared" si="46"/>
        <v>20.234722784297855</v>
      </c>
      <c r="O421" s="226"/>
      <c r="P421" s="227">
        <v>65</v>
      </c>
      <c r="R421" s="2"/>
      <c r="S421" s="2"/>
      <c r="T421" s="7"/>
      <c r="U421" s="74"/>
    </row>
    <row r="422" spans="2:33" ht="12.75" customHeight="1">
      <c r="B422" s="65"/>
      <c r="C422" s="2"/>
      <c r="D422" s="216"/>
      <c r="E422" s="217"/>
      <c r="F422" s="218"/>
      <c r="G422" s="215" t="s">
        <v>289</v>
      </c>
      <c r="H422" s="87"/>
      <c r="I422" s="87"/>
      <c r="J422" s="87"/>
      <c r="K422" s="87"/>
      <c r="L422" s="90"/>
      <c r="M422" s="224">
        <v>35</v>
      </c>
      <c r="N422" s="225">
        <f t="shared" si="46"/>
        <v>14.164305949008497</v>
      </c>
      <c r="O422" s="226"/>
      <c r="P422" s="227">
        <v>45</v>
      </c>
      <c r="R422" s="2"/>
      <c r="S422" s="2"/>
      <c r="T422" s="7"/>
      <c r="V422" s="74"/>
      <c r="AE422" s="75"/>
      <c r="AF422" s="75"/>
      <c r="AG422" s="75"/>
    </row>
    <row r="423" spans="1:56" ht="12.75" customHeight="1">
      <c r="A423" s="74"/>
      <c r="B423" s="65"/>
      <c r="C423" s="2"/>
      <c r="D423" s="2"/>
      <c r="E423" s="143"/>
      <c r="F423" s="18"/>
      <c r="G423" s="18"/>
      <c r="H423" s="22"/>
      <c r="I423" s="2"/>
      <c r="J423" s="2"/>
      <c r="K423" s="2"/>
      <c r="L423" s="2"/>
      <c r="M423" s="2"/>
      <c r="N423" s="2"/>
      <c r="O423" s="2"/>
      <c r="P423" s="2"/>
      <c r="Q423" s="2"/>
      <c r="R423" s="2"/>
      <c r="S423" s="2"/>
      <c r="T423" s="7"/>
      <c r="AV423" s="74"/>
      <c r="AW423" s="74"/>
      <c r="AX423" s="74"/>
      <c r="AY423" s="74"/>
      <c r="AZ423" s="74"/>
      <c r="BA423" s="74"/>
      <c r="BB423" s="74"/>
      <c r="BC423" s="74"/>
      <c r="BD423" s="74"/>
    </row>
    <row r="424" spans="1:56" s="74" customFormat="1" ht="12.75" customHeight="1">
      <c r="A424"/>
      <c r="B424"/>
      <c r="C424"/>
      <c r="D424"/>
      <c r="E424"/>
      <c r="F424"/>
      <c r="G424"/>
      <c r="H424"/>
      <c r="I424"/>
      <c r="J424"/>
      <c r="K424"/>
      <c r="L424"/>
      <c r="M424"/>
      <c r="N424"/>
      <c r="O424"/>
      <c r="P424"/>
      <c r="Q424"/>
      <c r="R424"/>
      <c r="S424"/>
      <c r="T424"/>
      <c r="U424"/>
      <c r="V424"/>
      <c r="W424"/>
      <c r="X424"/>
      <c r="Y424" s="25"/>
      <c r="Z424" s="25"/>
      <c r="AA424" s="25"/>
      <c r="AB424" s="25"/>
      <c r="AC424" s="25"/>
      <c r="AD424" s="25"/>
      <c r="AE424" s="25"/>
      <c r="AF424" s="25"/>
      <c r="AG424" s="25"/>
      <c r="AH424" s="75"/>
      <c r="AI424" s="75"/>
      <c r="AJ424" s="75"/>
      <c r="AK424" s="75"/>
      <c r="AL424" s="75"/>
      <c r="AM424"/>
      <c r="AN424"/>
      <c r="AV424"/>
      <c r="AW424"/>
      <c r="AX424"/>
      <c r="AY424"/>
      <c r="AZ424"/>
      <c r="BA424"/>
      <c r="BB424"/>
      <c r="BC424"/>
      <c r="BD424"/>
    </row>
    <row r="425" spans="30:40" ht="12.75" customHeight="1">
      <c r="AD425" s="75"/>
      <c r="AM425" s="74"/>
      <c r="AN425" s="74"/>
    </row>
    <row r="426" ht="12.75" customHeight="1"/>
    <row r="427" spans="23:24" ht="12.75" customHeight="1">
      <c r="W427" s="74"/>
      <c r="X427" s="74"/>
    </row>
    <row r="428" ht="12.75" customHeight="1"/>
    <row r="429" ht="12.75" customHeight="1"/>
    <row r="430" ht="12.75" customHeight="1"/>
    <row r="431" spans="25:29" ht="12.75" customHeight="1">
      <c r="Y431" s="75"/>
      <c r="Z431" s="75"/>
      <c r="AA431" s="75"/>
      <c r="AB431" s="75"/>
      <c r="AC431" s="75"/>
    </row>
    <row r="432" ht="12.75" customHeight="1"/>
    <row r="433" ht="12.75" customHeight="1"/>
    <row r="434" ht="12.75" customHeight="1"/>
    <row r="435" ht="12.75" customHeight="1"/>
    <row r="436" ht="12.75" customHeight="1"/>
    <row r="437" ht="12.75" customHeight="1"/>
  </sheetData>
  <mergeCells count="357">
    <mergeCell ref="T328:T329"/>
    <mergeCell ref="T334:T335"/>
    <mergeCell ref="T366:T367"/>
    <mergeCell ref="T69:T70"/>
    <mergeCell ref="T244:T245"/>
    <mergeCell ref="T265:T266"/>
    <mergeCell ref="T312:T313"/>
    <mergeCell ref="T202:T203"/>
    <mergeCell ref="C69:G70"/>
    <mergeCell ref="T146:T147"/>
    <mergeCell ref="T168:T169"/>
    <mergeCell ref="T180:T181"/>
    <mergeCell ref="T79:T80"/>
    <mergeCell ref="T84:T85"/>
    <mergeCell ref="T100:T101"/>
    <mergeCell ref="C137:F137"/>
    <mergeCell ref="C135:F135"/>
    <mergeCell ref="R114:S114"/>
    <mergeCell ref="T37:T38"/>
    <mergeCell ref="T43:T44"/>
    <mergeCell ref="T51:T52"/>
    <mergeCell ref="T62:T63"/>
    <mergeCell ref="R39:S39"/>
    <mergeCell ref="R45:S45"/>
    <mergeCell ref="R46:S46"/>
    <mergeCell ref="R103:S103"/>
    <mergeCell ref="R102:S102"/>
    <mergeCell ref="R92:S92"/>
    <mergeCell ref="R86:S86"/>
    <mergeCell ref="R88:S88"/>
    <mergeCell ref="R89:S89"/>
    <mergeCell ref="R90:S90"/>
    <mergeCell ref="R115:S115"/>
    <mergeCell ref="R116:S116"/>
    <mergeCell ref="O25:Q25"/>
    <mergeCell ref="I38:J38"/>
    <mergeCell ref="R78:S78"/>
    <mergeCell ref="R53:S53"/>
    <mergeCell ref="M66:Q67"/>
    <mergeCell ref="R68:S68"/>
    <mergeCell ref="R54:S54"/>
    <mergeCell ref="R55:S55"/>
    <mergeCell ref="AB99:AG99"/>
    <mergeCell ref="R47:S47"/>
    <mergeCell ref="R83:S83"/>
    <mergeCell ref="R57:S57"/>
    <mergeCell ref="R58:S58"/>
    <mergeCell ref="R64:S64"/>
    <mergeCell ref="R65:S65"/>
    <mergeCell ref="R91:S91"/>
    <mergeCell ref="AE81:AH81"/>
    <mergeCell ref="R77:S77"/>
    <mergeCell ref="O18:R18"/>
    <mergeCell ref="O19:Q19"/>
    <mergeCell ref="O20:S20"/>
    <mergeCell ref="O24:Q24"/>
    <mergeCell ref="O22:T22"/>
    <mergeCell ref="O21:S21"/>
    <mergeCell ref="O12:T13"/>
    <mergeCell ref="O15:R15"/>
    <mergeCell ref="O16:R16"/>
    <mergeCell ref="O17:R17"/>
    <mergeCell ref="R153:S153"/>
    <mergeCell ref="R154:S154"/>
    <mergeCell ref="R166:S166"/>
    <mergeCell ref="R167:S167"/>
    <mergeCell ref="R158:S158"/>
    <mergeCell ref="R159:S159"/>
    <mergeCell ref="R160:S160"/>
    <mergeCell ref="R163:S163"/>
    <mergeCell ref="AK50:AR50"/>
    <mergeCell ref="AK51:AR51"/>
    <mergeCell ref="AE63:AH63"/>
    <mergeCell ref="AE71:AH71"/>
    <mergeCell ref="AE50:AH50"/>
    <mergeCell ref="AE52:AH52"/>
    <mergeCell ref="AI53:AJ53"/>
    <mergeCell ref="R173:S173"/>
    <mergeCell ref="R293:S293"/>
    <mergeCell ref="R286:S286"/>
    <mergeCell ref="R246:S246"/>
    <mergeCell ref="R276:S276"/>
    <mergeCell ref="R287:S287"/>
    <mergeCell ref="R219:S219"/>
    <mergeCell ref="R229:S229"/>
    <mergeCell ref="R232:S232"/>
    <mergeCell ref="R217:S217"/>
    <mergeCell ref="R172:S172"/>
    <mergeCell ref="R171:S171"/>
    <mergeCell ref="R368:S368"/>
    <mergeCell ref="M317:Q321"/>
    <mergeCell ref="R349:S349"/>
    <mergeCell ref="R350:S350"/>
    <mergeCell ref="R346:S346"/>
    <mergeCell ref="R336:S336"/>
    <mergeCell ref="R318:S318"/>
    <mergeCell ref="R319:S319"/>
    <mergeCell ref="M368:Q375"/>
    <mergeCell ref="R355:S355"/>
    <mergeCell ref="M293:Q293"/>
    <mergeCell ref="M308:Q308"/>
    <mergeCell ref="R308:S308"/>
    <mergeCell ref="R298:S298"/>
    <mergeCell ref="R304:S304"/>
    <mergeCell ref="R294:S294"/>
    <mergeCell ref="R297:S297"/>
    <mergeCell ref="R301:S301"/>
    <mergeCell ref="M378:Q384"/>
    <mergeCell ref="R378:S378"/>
    <mergeCell ref="X247:AB248"/>
    <mergeCell ref="L254:M261"/>
    <mergeCell ref="O254:Q261"/>
    <mergeCell ref="M285:Q286"/>
    <mergeCell ref="M267:Q268"/>
    <mergeCell ref="M272:Q273"/>
    <mergeCell ref="M276:Q282"/>
    <mergeCell ref="R259:S259"/>
    <mergeCell ref="H285:K286"/>
    <mergeCell ref="M390:Q390"/>
    <mergeCell ref="R379:S379"/>
    <mergeCell ref="R390:S390"/>
    <mergeCell ref="R383:S383"/>
    <mergeCell ref="M387:Q389"/>
    <mergeCell ref="R380:S380"/>
    <mergeCell ref="R381:S381"/>
    <mergeCell ref="R382:S382"/>
    <mergeCell ref="R314:S314"/>
    <mergeCell ref="R353:S353"/>
    <mergeCell ref="R354:S354"/>
    <mergeCell ref="R226:S226"/>
    <mergeCell ref="R227:S227"/>
    <mergeCell ref="R228:S228"/>
    <mergeCell ref="R248:S248"/>
    <mergeCell ref="R348:S348"/>
    <mergeCell ref="R247:S247"/>
    <mergeCell ref="R254:S254"/>
    <mergeCell ref="R321:S321"/>
    <mergeCell ref="R170:S170"/>
    <mergeCell ref="R117:S117"/>
    <mergeCell ref="R144:S144"/>
    <mergeCell ref="R140:S140"/>
    <mergeCell ref="R155:S155"/>
    <mergeCell ref="R149:S149"/>
    <mergeCell ref="R150:S150"/>
    <mergeCell ref="R118:S118"/>
    <mergeCell ref="R119:S119"/>
    <mergeCell ref="R120:S120"/>
    <mergeCell ref="R236:S236"/>
    <mergeCell ref="R225:S225"/>
    <mergeCell ref="R204:S204"/>
    <mergeCell ref="R235:S235"/>
    <mergeCell ref="R218:S218"/>
    <mergeCell ref="R221:S221"/>
    <mergeCell ref="R222:S222"/>
    <mergeCell ref="R205:S205"/>
    <mergeCell ref="R233:S233"/>
    <mergeCell ref="R213:S213"/>
    <mergeCell ref="R174:S174"/>
    <mergeCell ref="R175:S175"/>
    <mergeCell ref="R176:S176"/>
    <mergeCell ref="R234:S234"/>
    <mergeCell ref="R208:S208"/>
    <mergeCell ref="R209:S209"/>
    <mergeCell ref="R210:S210"/>
    <mergeCell ref="R230:S230"/>
    <mergeCell ref="R214:S214"/>
    <mergeCell ref="R220:S220"/>
    <mergeCell ref="R255:S255"/>
    <mergeCell ref="R256:S256"/>
    <mergeCell ref="R257:S257"/>
    <mergeCell ref="R260:S260"/>
    <mergeCell ref="R258:S258"/>
    <mergeCell ref="R261:S261"/>
    <mergeCell ref="R285:S285"/>
    <mergeCell ref="R269:S269"/>
    <mergeCell ref="R272:S272"/>
    <mergeCell ref="X259:Y259"/>
    <mergeCell ref="R300:S300"/>
    <mergeCell ref="R302:S302"/>
    <mergeCell ref="R303:S303"/>
    <mergeCell ref="R277:S277"/>
    <mergeCell ref="R278:S278"/>
    <mergeCell ref="R281:S281"/>
    <mergeCell ref="R299:S299"/>
    <mergeCell ref="R267:S267"/>
    <mergeCell ref="R268:S268"/>
    <mergeCell ref="X260:Y260"/>
    <mergeCell ref="X261:Y261"/>
    <mergeCell ref="X262:Y262"/>
    <mergeCell ref="X263:Y263"/>
    <mergeCell ref="X264:Y264"/>
    <mergeCell ref="R279:S279"/>
    <mergeCell ref="R280:S280"/>
    <mergeCell ref="R282:S282"/>
    <mergeCell ref="R273:S273"/>
    <mergeCell ref="R341:S341"/>
    <mergeCell ref="R324:S324"/>
    <mergeCell ref="R343:S343"/>
    <mergeCell ref="R345:S345"/>
    <mergeCell ref="R344:S344"/>
    <mergeCell ref="R347:S347"/>
    <mergeCell ref="R342:S342"/>
    <mergeCell ref="R338:S338"/>
    <mergeCell ref="R290:S290"/>
    <mergeCell ref="R340:S340"/>
    <mergeCell ref="R305:S305"/>
    <mergeCell ref="R337:S337"/>
    <mergeCell ref="R339:S339"/>
    <mergeCell ref="R330:S330"/>
    <mergeCell ref="R320:S320"/>
    <mergeCell ref="R317:S317"/>
    <mergeCell ref="R306:S306"/>
    <mergeCell ref="H317:K321"/>
    <mergeCell ref="I246:K246"/>
    <mergeCell ref="H293:K294"/>
    <mergeCell ref="H287:K287"/>
    <mergeCell ref="I248:K248"/>
    <mergeCell ref="H267:K268"/>
    <mergeCell ref="H272:K273"/>
    <mergeCell ref="H276:K282"/>
    <mergeCell ref="M247:Q247"/>
    <mergeCell ref="I247:K247"/>
    <mergeCell ref="I213:K214"/>
    <mergeCell ref="I217:K222"/>
    <mergeCell ref="M225:Q233"/>
    <mergeCell ref="I237:K240"/>
    <mergeCell ref="M237:Q240"/>
    <mergeCell ref="R112:S112"/>
    <mergeCell ref="R113:S113"/>
    <mergeCell ref="M297:Q306"/>
    <mergeCell ref="B30:N32"/>
    <mergeCell ref="I45:K47"/>
    <mergeCell ref="H297:K306"/>
    <mergeCell ref="C246:G246"/>
    <mergeCell ref="C247:G247"/>
    <mergeCell ref="C248:G248"/>
    <mergeCell ref="M246:Q246"/>
    <mergeCell ref="R104:S104"/>
    <mergeCell ref="R105:S105"/>
    <mergeCell ref="R106:S106"/>
    <mergeCell ref="R56:S56"/>
    <mergeCell ref="R61:S61"/>
    <mergeCell ref="R59:S59"/>
    <mergeCell ref="R60:S60"/>
    <mergeCell ref="R66:S66"/>
    <mergeCell ref="R67:S67"/>
    <mergeCell ref="R76:S76"/>
    <mergeCell ref="B12:N14"/>
    <mergeCell ref="B16:N18"/>
    <mergeCell ref="I208:K210"/>
    <mergeCell ref="M208:Q210"/>
    <mergeCell ref="M64:Q65"/>
    <mergeCell ref="M45:Q47"/>
    <mergeCell ref="C53:G53"/>
    <mergeCell ref="O23:S23"/>
    <mergeCell ref="C102:E102"/>
    <mergeCell ref="M170:Q176"/>
    <mergeCell ref="D402:F404"/>
    <mergeCell ref="G402:L404"/>
    <mergeCell ref="O402:P404"/>
    <mergeCell ref="M402:N403"/>
    <mergeCell ref="R309:S309"/>
    <mergeCell ref="I368:K375"/>
    <mergeCell ref="R372:S372"/>
    <mergeCell ref="R370:S370"/>
    <mergeCell ref="R359:S359"/>
    <mergeCell ref="R356:S356"/>
    <mergeCell ref="R369:S369"/>
    <mergeCell ref="I336:K359"/>
    <mergeCell ref="R371:S371"/>
    <mergeCell ref="R374:S374"/>
    <mergeCell ref="W388:AD389"/>
    <mergeCell ref="W390:AD392"/>
    <mergeCell ref="W393:AD395"/>
    <mergeCell ref="R373:S373"/>
    <mergeCell ref="R389:S389"/>
    <mergeCell ref="R388:S388"/>
    <mergeCell ref="R384:S384"/>
    <mergeCell ref="R387:S387"/>
    <mergeCell ref="R375:S375"/>
    <mergeCell ref="Q393:S393"/>
    <mergeCell ref="C103:E103"/>
    <mergeCell ref="C110:E110"/>
    <mergeCell ref="M336:Q359"/>
    <mergeCell ref="M248:Q248"/>
    <mergeCell ref="I225:K233"/>
    <mergeCell ref="M157:N157"/>
    <mergeCell ref="H308:K309"/>
    <mergeCell ref="M309:Q309"/>
    <mergeCell ref="M217:Q222"/>
    <mergeCell ref="M213:Q214"/>
    <mergeCell ref="Z109:AA109"/>
    <mergeCell ref="Z102:AA102"/>
    <mergeCell ref="Z103:AA103"/>
    <mergeCell ref="Z104:AA104"/>
    <mergeCell ref="Z105:AA105"/>
    <mergeCell ref="Z110:AA110"/>
    <mergeCell ref="C104:D104"/>
    <mergeCell ref="C105:D105"/>
    <mergeCell ref="C106:D106"/>
    <mergeCell ref="C107:D107"/>
    <mergeCell ref="C108:D108"/>
    <mergeCell ref="C109:D109"/>
    <mergeCell ref="Z106:AA106"/>
    <mergeCell ref="Z107:AA107"/>
    <mergeCell ref="Z108:AA108"/>
    <mergeCell ref="R108:S108"/>
    <mergeCell ref="R109:S109"/>
    <mergeCell ref="R110:S110"/>
    <mergeCell ref="R71:S71"/>
    <mergeCell ref="R75:S75"/>
    <mergeCell ref="R73:S73"/>
    <mergeCell ref="R81:S81"/>
    <mergeCell ref="R74:S74"/>
    <mergeCell ref="R82:S82"/>
    <mergeCell ref="R107:S107"/>
    <mergeCell ref="R128:S128"/>
    <mergeCell ref="R124:S124"/>
    <mergeCell ref="R125:S125"/>
    <mergeCell ref="R122:S122"/>
    <mergeCell ref="R123:S123"/>
    <mergeCell ref="R126:S126"/>
    <mergeCell ref="R127:S127"/>
    <mergeCell ref="R141:S141"/>
    <mergeCell ref="R145:S145"/>
    <mergeCell ref="R148:S148"/>
    <mergeCell ref="R129:S129"/>
    <mergeCell ref="R130:S130"/>
    <mergeCell ref="R131:S131"/>
    <mergeCell ref="R137:S137"/>
    <mergeCell ref="R139:S139"/>
    <mergeCell ref="R135:S135"/>
    <mergeCell ref="R189:S189"/>
    <mergeCell ref="R182:S182"/>
    <mergeCell ref="R183:S183"/>
    <mergeCell ref="R184:S184"/>
    <mergeCell ref="R185:S185"/>
    <mergeCell ref="AB180:AG180"/>
    <mergeCell ref="R194:S194"/>
    <mergeCell ref="R195:S195"/>
    <mergeCell ref="R196:S196"/>
    <mergeCell ref="R190:S190"/>
    <mergeCell ref="R191:S191"/>
    <mergeCell ref="R192:S192"/>
    <mergeCell ref="R193:S193"/>
    <mergeCell ref="R186:S186"/>
    <mergeCell ref="R187:S187"/>
    <mergeCell ref="R72:S72"/>
    <mergeCell ref="R231:S231"/>
    <mergeCell ref="C330:F330"/>
    <mergeCell ref="R237:S237"/>
    <mergeCell ref="R238:S238"/>
    <mergeCell ref="R239:S239"/>
    <mergeCell ref="R240:S240"/>
    <mergeCell ref="R198:S198"/>
    <mergeCell ref="R197:S197"/>
    <mergeCell ref="R188:S188"/>
  </mergeCells>
  <conditionalFormatting sqref="Q393">
    <cfRule type="cellIs" priority="1" dxfId="0" operator="greaterThanOrEqual" stopIfTrue="1">
      <formula>10000</formula>
    </cfRule>
    <cfRule type="cellIs" priority="2" dxfId="1" operator="lessThan" stopIfTrue="1">
      <formula>10000</formula>
    </cfRule>
  </conditionalFormatting>
  <conditionalFormatting sqref="S395">
    <cfRule type="expression" priority="3" dxfId="0" stopIfTrue="1">
      <formula>$Q$393&gt;=10000</formula>
    </cfRule>
    <cfRule type="expression" priority="4" dxfId="1" stopIfTrue="1">
      <formula>$Q$393&lt;10000</formula>
    </cfRule>
  </conditionalFormatting>
  <conditionalFormatting sqref="L387:L389 L378:L383 L122:L131 L135 L137 L139:L141 L144:L145 L148:L150 L153:L155 L158:L160 L163 L166:L167 L170:L176 L102:L110 L112:L120 L182 L185:L189 L192:L198 L45:L47 L53:L61 L81:L82 L71:L78 L64:L68 L86 L88:L92">
    <cfRule type="cellIs" priority="5" dxfId="2" operator="equal" stopIfTrue="1">
      <formula>0</formula>
    </cfRule>
  </conditionalFormatting>
  <conditionalFormatting sqref="T39 T45:T47 T53:T61 T64:T68 T71:T78 T81:T83 T86 T88:T92 T102:T110 T112:T120 T122:T131 T135 T137 T139:T141 T144:T145 T148:T150 T153:T155 T158:T160 T163 T166:T167 T170:T176 T182 T184:T189 T191:T198 T204:T205 T208:T210 T213:T214 T217:T222 T387:T390 T246:T248 T254:T261 T267:T269 T272:T273 T276:T282 T285:T287 T290 T293:T294 T297:T306 T308:T309 T314 T317:T321 T324 T330 T336:T350 T353:T356 T359 T368:T375 T378:T384 T225:T240">
    <cfRule type="cellIs" priority="6" dxfId="3" operator="equal" stopIfTrue="1">
      <formula>0</formula>
    </cfRule>
    <cfRule type="cellIs" priority="7" dxfId="4" operator="greaterThan" stopIfTrue="1">
      <formula>0.03</formula>
    </cfRule>
    <cfRule type="cellIs" priority="8" dxfId="5" operator="lessThanOrEqual" stopIfTrue="1">
      <formula>0.03</formula>
    </cfRule>
  </conditionalFormatting>
  <hyperlinks>
    <hyperlink ref="O14:Q14" location="'small emit. cutoff'!B50" display="Stationary Fuel Combustion"/>
    <hyperlink ref="O15:R15" location="INDIRECT_EMISSIONS__Purchased_Electricity" display="Indirect Purchased Electricity"/>
    <hyperlink ref="O16:R16" location="INDIRECT_EMISSIONS__Purchased_Heat__Steam__and_Chilled_Water" display="Indirect Purchased Heat"/>
    <hyperlink ref="O17:R17" location="DIRECT_EMISSIONS__Stationary_Fuel_Combustion" display="Stationary Fuel Combustion"/>
    <hyperlink ref="O18:R18" location="DIRECT_EMISSIONS__Mobile_Fuel_Combustion" display="Mobile Fuel Combustion"/>
    <hyperlink ref="O19:Q19" location="PROCESS_EMISSIONS__Industrial_Processes" display="Industrial Processes"/>
    <hyperlink ref="O20:S20" location="PROCESS_EMISSIONS__Coal_Mine_Methane___General" display="Process Emissions ( Coal Mining)"/>
    <hyperlink ref="O25:Q25" location="DEFORESTATION_EMISSIONS__Benchmarks_for_Small_Emitters" display="Deforestation"/>
    <hyperlink ref="O21:S21" location="PROCESS_EMISSIONS__Oil_and_Gas_Industries" display="Process Emissions (Oil and Gas)"/>
  </hyperlinks>
  <printOptions/>
  <pageMargins left="0.75" right="0.75" top="1" bottom="1" header="0.5" footer="0.5"/>
  <pageSetup fitToHeight="10" fitToWidth="1" horizontalDpi="600" verticalDpi="600" orientation="landscape" scale="64" r:id="rId3"/>
  <headerFooter alignWithMargins="0">
    <oddFooter>&amp;LSmall Emitter Workbook&amp;C&amp;"Arial,Bold"Page &amp;P of &amp;N&amp;R&amp;D, &amp;T</oddFooter>
  </headerFooter>
  <legacyDrawing r:id="rId2"/>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A9" sqref="A9"/>
    </sheetView>
  </sheetViews>
  <sheetFormatPr defaultColWidth="9.140625" defaultRowHeight="12.75"/>
  <cols>
    <col min="1" max="1" width="38.140625" style="0" customWidth="1"/>
    <col min="2" max="2" width="70.421875" style="0" customWidth="1"/>
    <col min="3" max="3" width="9.421875" style="0" customWidth="1"/>
  </cols>
  <sheetData>
    <row r="1" ht="12.75">
      <c r="A1" s="64"/>
    </row>
    <row r="2" spans="1:2" ht="12.75">
      <c r="A2" s="355" t="s">
        <v>394</v>
      </c>
      <c r="B2" s="357" t="s">
        <v>395</v>
      </c>
    </row>
    <row r="3" spans="1:2" s="25" customFormat="1" ht="25.5">
      <c r="A3" s="529" t="s">
        <v>396</v>
      </c>
      <c r="B3" s="530" t="s">
        <v>398</v>
      </c>
    </row>
    <row r="4" spans="1:2" s="25" customFormat="1" ht="38.25">
      <c r="A4" s="529" t="s">
        <v>397</v>
      </c>
      <c r="B4" s="531" t="s">
        <v>573</v>
      </c>
    </row>
    <row r="5" spans="1:2" s="25" customFormat="1" ht="12.75">
      <c r="A5" s="530" t="s">
        <v>399</v>
      </c>
      <c r="B5" s="530" t="s">
        <v>560</v>
      </c>
    </row>
    <row r="6" spans="1:2" s="25" customFormat="1" ht="25.5">
      <c r="A6" s="530" t="s">
        <v>561</v>
      </c>
      <c r="B6" s="530" t="s">
        <v>574</v>
      </c>
    </row>
    <row r="7" spans="1:2" s="25" customFormat="1" ht="25.5">
      <c r="A7" s="532" t="s">
        <v>562</v>
      </c>
      <c r="B7" s="530" t="s">
        <v>563</v>
      </c>
    </row>
    <row r="8" spans="1:256" s="25" customFormat="1" ht="25.5">
      <c r="A8" s="533" t="s">
        <v>37</v>
      </c>
      <c r="B8" s="533" t="s">
        <v>571</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 s="25" customFormat="1" ht="12.75">
      <c r="A9" s="533" t="s">
        <v>41</v>
      </c>
      <c r="B9" s="533" t="s">
        <v>572</v>
      </c>
    </row>
    <row r="10" spans="1:2" s="25" customFormat="1" ht="12.75">
      <c r="A10" s="533" t="s">
        <v>72</v>
      </c>
      <c r="B10" s="528" t="s">
        <v>572</v>
      </c>
    </row>
    <row r="11" spans="1:2" s="25" customFormat="1" ht="25.5">
      <c r="A11" s="533" t="s">
        <v>259</v>
      </c>
      <c r="B11" s="533" t="s">
        <v>571</v>
      </c>
    </row>
    <row r="12" spans="1:2" s="25" customFormat="1" ht="12.75">
      <c r="A12" s="534" t="s">
        <v>36</v>
      </c>
      <c r="B12" s="530" t="s">
        <v>572</v>
      </c>
    </row>
    <row r="13" spans="1:2" s="25" customFormat="1" ht="12.75">
      <c r="A13" s="534" t="s">
        <v>120</v>
      </c>
      <c r="B13" s="530" t="s">
        <v>572</v>
      </c>
    </row>
    <row r="14" spans="1:2" s="25" customFormat="1" ht="12.75">
      <c r="A14" s="534" t="s">
        <v>65</v>
      </c>
      <c r="B14" s="530" t="s">
        <v>572</v>
      </c>
    </row>
    <row r="15" spans="1:2" s="25" customFormat="1" ht="12.75">
      <c r="A15" s="534" t="s">
        <v>38</v>
      </c>
      <c r="B15" s="530" t="s">
        <v>580</v>
      </c>
    </row>
    <row r="16" spans="1:2" s="25" customFormat="1" ht="12.75">
      <c r="A16" s="534" t="s">
        <v>39</v>
      </c>
      <c r="B16" s="530" t="s">
        <v>572</v>
      </c>
    </row>
    <row r="17" spans="1:2" s="25" customFormat="1" ht="12.75">
      <c r="A17" s="534" t="s">
        <v>42</v>
      </c>
      <c r="B17" s="530" t="s">
        <v>572</v>
      </c>
    </row>
    <row r="18" spans="1:2" s="25" customFormat="1" ht="12.75">
      <c r="A18" s="534" t="s">
        <v>40</v>
      </c>
      <c r="B18" s="530" t="s">
        <v>572</v>
      </c>
    </row>
    <row r="19" spans="1:2" s="25" customFormat="1" ht="12.75">
      <c r="A19" s="534" t="s">
        <v>70</v>
      </c>
      <c r="B19" s="530" t="s">
        <v>572</v>
      </c>
    </row>
    <row r="20" spans="1:2" s="25" customFormat="1" ht="12.75">
      <c r="A20" s="534" t="s">
        <v>71</v>
      </c>
      <c r="B20" s="530" t="s">
        <v>572</v>
      </c>
    </row>
    <row r="21" spans="1:2" s="25" customFormat="1" ht="25.5">
      <c r="A21" s="534" t="s">
        <v>43</v>
      </c>
      <c r="B21" s="533" t="s">
        <v>581</v>
      </c>
    </row>
    <row r="22" spans="1:2" s="25" customFormat="1" ht="12.75">
      <c r="A22" s="534" t="s">
        <v>28</v>
      </c>
      <c r="B22" s="530" t="s">
        <v>579</v>
      </c>
    </row>
    <row r="23" spans="1:2" s="25" customFormat="1" ht="12.75">
      <c r="A23" s="534" t="s">
        <v>522</v>
      </c>
      <c r="B23" s="530" t="s">
        <v>572</v>
      </c>
    </row>
    <row r="24" spans="1:2" s="25" customFormat="1" ht="12.75">
      <c r="A24" s="534" t="s">
        <v>523</v>
      </c>
      <c r="B24" s="530" t="s">
        <v>572</v>
      </c>
    </row>
    <row r="25" spans="1:2" s="25" customFormat="1" ht="12.75">
      <c r="A25" s="534" t="s">
        <v>524</v>
      </c>
      <c r="B25" s="530" t="s">
        <v>572</v>
      </c>
    </row>
    <row r="26" spans="1:2" s="25" customFormat="1" ht="12.75">
      <c r="A26" s="534" t="s">
        <v>525</v>
      </c>
      <c r="B26" s="530" t="s">
        <v>572</v>
      </c>
    </row>
    <row r="27" spans="1:2" s="25" customFormat="1" ht="25.5">
      <c r="A27" s="535" t="s">
        <v>565</v>
      </c>
      <c r="B27" s="530" t="s">
        <v>582</v>
      </c>
    </row>
    <row r="28" spans="1:2" s="25" customFormat="1" ht="25.5">
      <c r="A28" s="536" t="s">
        <v>566</v>
      </c>
      <c r="B28" s="530" t="s">
        <v>572</v>
      </c>
    </row>
    <row r="29" spans="1:2" s="25" customFormat="1" ht="25.5">
      <c r="A29" s="536" t="s">
        <v>567</v>
      </c>
      <c r="B29" s="533" t="s">
        <v>571</v>
      </c>
    </row>
    <row r="30" spans="1:2" s="25" customFormat="1" ht="25.5">
      <c r="A30" s="537" t="s">
        <v>568</v>
      </c>
      <c r="B30" s="533" t="s">
        <v>571</v>
      </c>
    </row>
    <row r="31" spans="1:2" s="25" customFormat="1" ht="12.75">
      <c r="A31" s="534" t="s">
        <v>569</v>
      </c>
      <c r="B31" s="530" t="s">
        <v>572</v>
      </c>
    </row>
    <row r="32" spans="1:2" s="25" customFormat="1" ht="27.75" customHeight="1">
      <c r="A32" s="537" t="s">
        <v>570</v>
      </c>
      <c r="B32" s="530" t="s">
        <v>575</v>
      </c>
    </row>
    <row r="33" spans="1:2" s="25" customFormat="1" ht="12.75">
      <c r="A33" s="530" t="s">
        <v>400</v>
      </c>
      <c r="B33" s="192" t="s">
        <v>564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59"/>
  <sheetViews>
    <sheetView zoomScale="70" zoomScaleNormal="70" workbookViewId="0" topLeftCell="A1">
      <selection activeCell="Z46" sqref="Z46:AE47"/>
    </sheetView>
  </sheetViews>
  <sheetFormatPr defaultColWidth="9.140625" defaultRowHeight="12.75"/>
  <cols>
    <col min="2" max="2" width="25.28125" style="0" customWidth="1"/>
    <col min="5" max="5" width="7.8515625" style="0" customWidth="1"/>
    <col min="6" max="6" width="7.28125" style="0" customWidth="1"/>
    <col min="8" max="8" width="12.140625" style="0" customWidth="1"/>
    <col min="10" max="10" width="11.8515625" style="0" customWidth="1"/>
    <col min="11" max="11" width="6.421875" style="0" customWidth="1"/>
    <col min="12" max="12" width="11.28125" style="0" customWidth="1"/>
    <col min="13" max="13" width="11.140625" style="0" customWidth="1"/>
    <col min="14" max="14" width="12.7109375" style="0" customWidth="1"/>
    <col min="15" max="16" width="11.57421875" style="0" customWidth="1"/>
    <col min="17" max="17" width="12.28125" style="0" customWidth="1"/>
    <col min="18" max="18" width="12.28125" style="2" customWidth="1"/>
    <col min="19" max="19" width="11.00390625" style="0" bestFit="1" customWidth="1"/>
    <col min="20" max="20" width="14.00390625" style="0" customWidth="1"/>
    <col min="21" max="21" width="9.7109375" style="0" customWidth="1"/>
    <col min="24" max="24" width="12.00390625" style="0" customWidth="1"/>
  </cols>
  <sheetData>
    <row r="1" spans="3:31" ht="12.75">
      <c r="C1" s="574" t="s">
        <v>410</v>
      </c>
      <c r="D1" s="575"/>
      <c r="E1" s="575"/>
      <c r="F1" s="575"/>
      <c r="G1" s="575"/>
      <c r="H1" s="576"/>
      <c r="J1" s="406"/>
      <c r="L1" s="574" t="s">
        <v>473</v>
      </c>
      <c r="M1" s="575"/>
      <c r="N1" s="575"/>
      <c r="O1" s="635"/>
      <c r="P1" s="575"/>
      <c r="Q1" s="576"/>
      <c r="R1" s="436"/>
      <c r="S1" s="636" t="s">
        <v>478</v>
      </c>
      <c r="T1" s="637"/>
      <c r="U1" s="638"/>
      <c r="V1" s="637"/>
      <c r="W1" s="637"/>
      <c r="X1" s="639"/>
      <c r="Z1" s="574" t="s">
        <v>479</v>
      </c>
      <c r="AA1" s="575"/>
      <c r="AB1" s="575"/>
      <c r="AC1" s="575"/>
      <c r="AD1" s="575"/>
      <c r="AE1" s="576"/>
    </row>
    <row r="2" spans="3:31" ht="25.5">
      <c r="C2" s="394" t="s">
        <v>333</v>
      </c>
      <c r="D2" s="393" t="s">
        <v>334</v>
      </c>
      <c r="E2" s="394" t="s">
        <v>335</v>
      </c>
      <c r="F2" s="394" t="s">
        <v>336</v>
      </c>
      <c r="G2" s="394" t="s">
        <v>337</v>
      </c>
      <c r="H2" s="337" t="s">
        <v>338</v>
      </c>
      <c r="J2" s="405" t="s">
        <v>447</v>
      </c>
      <c r="L2" s="426" t="s">
        <v>412</v>
      </c>
      <c r="M2" s="426" t="s">
        <v>411</v>
      </c>
      <c r="N2" s="430" t="s">
        <v>474</v>
      </c>
      <c r="O2" s="431" t="s">
        <v>413</v>
      </c>
      <c r="P2" s="434" t="s">
        <v>414</v>
      </c>
      <c r="Q2" s="426" t="s">
        <v>475</v>
      </c>
      <c r="R2" s="437"/>
      <c r="S2" s="440" t="s">
        <v>477</v>
      </c>
      <c r="T2" s="444" t="s">
        <v>476</v>
      </c>
      <c r="U2" s="445" t="s">
        <v>335</v>
      </c>
      <c r="V2" s="442" t="s">
        <v>336</v>
      </c>
      <c r="W2" s="441" t="s">
        <v>337</v>
      </c>
      <c r="X2" s="442" t="s">
        <v>338</v>
      </c>
      <c r="Z2" s="394" t="s">
        <v>333</v>
      </c>
      <c r="AA2" s="393" t="s">
        <v>334</v>
      </c>
      <c r="AB2" s="394" t="s">
        <v>335</v>
      </c>
      <c r="AC2" s="394" t="s">
        <v>336</v>
      </c>
      <c r="AD2" s="394" t="s">
        <v>337</v>
      </c>
      <c r="AE2" s="337" t="s">
        <v>338</v>
      </c>
    </row>
    <row r="3" spans="1:19" ht="12.75">
      <c r="A3" s="392" t="s">
        <v>341</v>
      </c>
      <c r="B3" s="337"/>
      <c r="S3" s="1"/>
    </row>
    <row r="4" spans="1:31" ht="12.75" customHeight="1">
      <c r="A4" s="578" t="s">
        <v>401</v>
      </c>
      <c r="B4" s="579"/>
      <c r="C4" s="244">
        <f>D4/1.6093</f>
        <v>0.2728375634165311</v>
      </c>
      <c r="D4" s="381">
        <f aca="true" t="shared" si="0" ref="D4:D12">E4/J4</f>
        <v>0.4390774908062235</v>
      </c>
      <c r="E4" s="404">
        <f>G4/42</f>
        <v>8.869365314285714</v>
      </c>
      <c r="F4" s="308">
        <f>E4/3.785</f>
        <v>2.3432933459143235</v>
      </c>
      <c r="G4" s="244">
        <f>H4*5.253</f>
        <v>372.5133432</v>
      </c>
      <c r="H4" s="308">
        <v>70.9144</v>
      </c>
      <c r="J4" s="244">
        <v>20.2</v>
      </c>
      <c r="L4" s="190">
        <f>M4/1000</f>
        <v>6.44E-05</v>
      </c>
      <c r="M4" s="427">
        <v>0.0644</v>
      </c>
      <c r="N4" s="428">
        <f>L4*23</f>
        <v>0.0014811999999999998</v>
      </c>
      <c r="O4" s="448">
        <f>P4/1000</f>
        <v>8.16E-05</v>
      </c>
      <c r="P4" s="446">
        <v>0.0816</v>
      </c>
      <c r="Q4" s="190">
        <f>O4*296</f>
        <v>0.0241536</v>
      </c>
      <c r="S4" s="244">
        <f>T4/1.6093</f>
        <v>0.015929161747343566</v>
      </c>
      <c r="T4" s="443">
        <f aca="true" t="shared" si="1" ref="T4:T12">N4+Q4</f>
        <v>0.0256348</v>
      </c>
      <c r="U4" s="435">
        <f>T4*J4</f>
        <v>0.5178229599999999</v>
      </c>
      <c r="V4" s="340">
        <f>U4/3.785</f>
        <v>0.13680923645970935</v>
      </c>
      <c r="W4" s="244">
        <f>U4*42</f>
        <v>21.748564319999996</v>
      </c>
      <c r="X4" s="244">
        <f>W4/5.253</f>
        <v>4.14021784123358</v>
      </c>
      <c r="Z4" s="381">
        <f>S4+C4</f>
        <v>0.28876672516387464</v>
      </c>
      <c r="AA4" s="449">
        <f aca="true" t="shared" si="2" ref="AA4:AE19">T4+D4</f>
        <v>0.4647122908062235</v>
      </c>
      <c r="AB4" s="340">
        <f t="shared" si="2"/>
        <v>9.387188274285714</v>
      </c>
      <c r="AC4" s="244">
        <f t="shared" si="2"/>
        <v>2.480102582374033</v>
      </c>
      <c r="AD4" s="244">
        <f t="shared" si="2"/>
        <v>394.26190752</v>
      </c>
      <c r="AE4" s="244">
        <f t="shared" si="2"/>
        <v>75.05461784123358</v>
      </c>
    </row>
    <row r="5" spans="1:31" ht="12.75" customHeight="1">
      <c r="A5" s="578" t="s">
        <v>402</v>
      </c>
      <c r="B5" s="579"/>
      <c r="C5" s="244">
        <f aca="true" t="shared" si="3" ref="C5:C47">D5/1.6093</f>
        <v>0.26433183601985266</v>
      </c>
      <c r="D5" s="381">
        <f t="shared" si="0"/>
        <v>0.42538922370674886</v>
      </c>
      <c r="E5" s="404">
        <f aca="true" t="shared" si="4" ref="E5:E22">G5/42</f>
        <v>8.869365314285714</v>
      </c>
      <c r="F5" s="308">
        <f aca="true" t="shared" si="5" ref="F5:F22">E5/3.785</f>
        <v>2.3432933459143235</v>
      </c>
      <c r="G5" s="244">
        <f aca="true" t="shared" si="6" ref="G5:G22">H5*5.253</f>
        <v>372.5133432</v>
      </c>
      <c r="H5" s="308">
        <v>70.9144</v>
      </c>
      <c r="J5" s="244">
        <v>20.85</v>
      </c>
      <c r="L5" s="190">
        <f aca="true" t="shared" si="7" ref="L5:L47">M5/1000</f>
        <v>5.8E-05</v>
      </c>
      <c r="M5" s="427">
        <v>0.058</v>
      </c>
      <c r="N5" s="428">
        <f aca="true" t="shared" si="8" ref="N5:N47">L5*23</f>
        <v>0.0013340000000000001</v>
      </c>
      <c r="O5" s="448">
        <f aca="true" t="shared" si="9" ref="O5:O47">P5/1000</f>
        <v>6.75E-05</v>
      </c>
      <c r="P5" s="446">
        <v>0.0675</v>
      </c>
      <c r="Q5" s="190">
        <f aca="true" t="shared" si="10" ref="Q5:Q47">O5*296</f>
        <v>0.01998</v>
      </c>
      <c r="S5" s="244">
        <f aca="true" t="shared" si="11" ref="S5:S33">T5/1.6093</f>
        <v>0.01324426769402846</v>
      </c>
      <c r="T5" s="443">
        <f t="shared" si="1"/>
        <v>0.021314</v>
      </c>
      <c r="U5" s="435">
        <f aca="true" t="shared" si="12" ref="U5:U33">T5*J5</f>
        <v>0.44439690000000004</v>
      </c>
      <c r="V5" s="340">
        <f aca="true" t="shared" si="13" ref="V5:V33">U5/3.785</f>
        <v>0.11741001321003963</v>
      </c>
      <c r="W5" s="244">
        <f aca="true" t="shared" si="14" ref="W5:W33">U5*42</f>
        <v>18.664669800000002</v>
      </c>
      <c r="X5" s="244">
        <f aca="true" t="shared" si="15" ref="X5:X33">W5/5.253</f>
        <v>3.5531448315248433</v>
      </c>
      <c r="Z5" s="244">
        <f aca="true" t="shared" si="16" ref="Z5:AE33">S5+C5</f>
        <v>0.27757610371388114</v>
      </c>
      <c r="AA5" s="449">
        <f t="shared" si="2"/>
        <v>0.44670322370674886</v>
      </c>
      <c r="AB5" s="340">
        <f t="shared" si="2"/>
        <v>9.313762214285713</v>
      </c>
      <c r="AC5" s="244">
        <f t="shared" si="2"/>
        <v>2.460703359124363</v>
      </c>
      <c r="AD5" s="244">
        <f t="shared" si="2"/>
        <v>391.178013</v>
      </c>
      <c r="AE5" s="244">
        <f t="shared" si="2"/>
        <v>74.46754483152485</v>
      </c>
    </row>
    <row r="6" spans="1:31" ht="12.75" customHeight="1">
      <c r="A6" s="578" t="s">
        <v>403</v>
      </c>
      <c r="B6" s="579"/>
      <c r="C6" s="244">
        <f t="shared" si="3"/>
        <v>0.26433183601985266</v>
      </c>
      <c r="D6" s="381">
        <f t="shared" si="0"/>
        <v>0.42538922370674886</v>
      </c>
      <c r="E6" s="404">
        <f t="shared" si="4"/>
        <v>8.869365314285714</v>
      </c>
      <c r="F6" s="308">
        <f t="shared" si="5"/>
        <v>2.3432933459143235</v>
      </c>
      <c r="G6" s="244">
        <f t="shared" si="6"/>
        <v>372.5133432</v>
      </c>
      <c r="H6" s="308">
        <v>70.9144</v>
      </c>
      <c r="J6" s="244">
        <v>20.85</v>
      </c>
      <c r="L6" s="190">
        <f t="shared" si="7"/>
        <v>5.15E-05</v>
      </c>
      <c r="M6" s="427">
        <v>0.0515</v>
      </c>
      <c r="N6" s="428">
        <f t="shared" si="8"/>
        <v>0.0011845</v>
      </c>
      <c r="O6" s="448">
        <f t="shared" si="9"/>
        <v>5.3400000000000004E-05</v>
      </c>
      <c r="P6" s="446">
        <v>0.0534</v>
      </c>
      <c r="Q6" s="190">
        <f t="shared" si="10"/>
        <v>0.0158064</v>
      </c>
      <c r="S6" s="244">
        <f t="shared" si="11"/>
        <v>0.010557944447896603</v>
      </c>
      <c r="T6" s="443">
        <f t="shared" si="1"/>
        <v>0.016990900000000003</v>
      </c>
      <c r="U6" s="435">
        <f t="shared" si="12"/>
        <v>0.3542602650000001</v>
      </c>
      <c r="V6" s="340">
        <f t="shared" si="13"/>
        <v>0.09359584280052842</v>
      </c>
      <c r="W6" s="244">
        <f t="shared" si="14"/>
        <v>14.878931130000003</v>
      </c>
      <c r="X6" s="244">
        <f t="shared" si="15"/>
        <v>2.832463569388921</v>
      </c>
      <c r="Z6" s="244">
        <f t="shared" si="16"/>
        <v>0.27488978046774926</v>
      </c>
      <c r="AA6" s="449">
        <f t="shared" si="2"/>
        <v>0.44238012370674884</v>
      </c>
      <c r="AB6" s="340">
        <f t="shared" si="2"/>
        <v>9.223625579285715</v>
      </c>
      <c r="AC6" s="244">
        <f t="shared" si="2"/>
        <v>2.436889188714852</v>
      </c>
      <c r="AD6" s="244">
        <f t="shared" si="2"/>
        <v>387.39227433</v>
      </c>
      <c r="AE6" s="244">
        <f t="shared" si="2"/>
        <v>73.74686356938892</v>
      </c>
    </row>
    <row r="7" spans="1:31" ht="12.75" customHeight="1">
      <c r="A7" s="578" t="s">
        <v>404</v>
      </c>
      <c r="B7" s="579"/>
      <c r="C7" s="244">
        <f t="shared" si="3"/>
        <v>0.26433183601985266</v>
      </c>
      <c r="D7" s="381">
        <f t="shared" si="0"/>
        <v>0.42538922370674886</v>
      </c>
      <c r="E7" s="404">
        <f t="shared" si="4"/>
        <v>8.869365314285714</v>
      </c>
      <c r="F7" s="308">
        <f t="shared" si="5"/>
        <v>2.3432933459143235</v>
      </c>
      <c r="G7" s="244">
        <f t="shared" si="6"/>
        <v>372.5133432</v>
      </c>
      <c r="H7" s="308">
        <v>70.9144</v>
      </c>
      <c r="J7" s="244">
        <v>20.85</v>
      </c>
      <c r="L7" s="190">
        <f t="shared" si="7"/>
        <v>4.83E-05</v>
      </c>
      <c r="M7" s="427">
        <v>0.0483</v>
      </c>
      <c r="N7" s="428">
        <f t="shared" si="8"/>
        <v>0.0011109</v>
      </c>
      <c r="O7" s="448">
        <f t="shared" si="9"/>
        <v>4.63E-05</v>
      </c>
      <c r="P7" s="446">
        <v>0.0463</v>
      </c>
      <c r="Q7" s="190">
        <f t="shared" si="10"/>
        <v>0.0137048</v>
      </c>
      <c r="S7" s="244">
        <f t="shared" si="11"/>
        <v>0.009206300876157335</v>
      </c>
      <c r="T7" s="443">
        <f t="shared" si="1"/>
        <v>0.0148157</v>
      </c>
      <c r="U7" s="435">
        <f t="shared" si="12"/>
        <v>0.308907345</v>
      </c>
      <c r="V7" s="340">
        <f t="shared" si="13"/>
        <v>0.08161356538969616</v>
      </c>
      <c r="W7" s="244">
        <f t="shared" si="14"/>
        <v>12.97410849</v>
      </c>
      <c r="X7" s="244">
        <f t="shared" si="15"/>
        <v>2.469847418617933</v>
      </c>
      <c r="Z7" s="244">
        <f t="shared" si="16"/>
        <v>0.27353813689601</v>
      </c>
      <c r="AA7" s="449">
        <f t="shared" si="2"/>
        <v>0.44020492370674885</v>
      </c>
      <c r="AB7" s="340">
        <f t="shared" si="2"/>
        <v>9.178272659285714</v>
      </c>
      <c r="AC7" s="244">
        <f t="shared" si="2"/>
        <v>2.42490691130402</v>
      </c>
      <c r="AD7" s="244">
        <f t="shared" si="2"/>
        <v>385.48745169</v>
      </c>
      <c r="AE7" s="244">
        <f t="shared" si="2"/>
        <v>73.38424741861793</v>
      </c>
    </row>
    <row r="8" spans="1:31" ht="12.75" customHeight="1">
      <c r="A8" s="578" t="s">
        <v>405</v>
      </c>
      <c r="B8" s="579"/>
      <c r="C8" s="244">
        <f t="shared" si="3"/>
        <v>0.2563404084192525</v>
      </c>
      <c r="D8" s="381">
        <f t="shared" si="0"/>
        <v>0.412528619269103</v>
      </c>
      <c r="E8" s="404">
        <f t="shared" si="4"/>
        <v>8.869365314285714</v>
      </c>
      <c r="F8" s="308">
        <f t="shared" si="5"/>
        <v>2.3432933459143235</v>
      </c>
      <c r="G8" s="244">
        <f t="shared" si="6"/>
        <v>372.5133432</v>
      </c>
      <c r="H8" s="308">
        <v>70.9144</v>
      </c>
      <c r="J8" s="244">
        <v>21.5</v>
      </c>
      <c r="L8" s="190">
        <f t="shared" si="7"/>
        <v>4.81E-05</v>
      </c>
      <c r="M8" s="427">
        <v>0.0481</v>
      </c>
      <c r="N8" s="428">
        <f t="shared" si="8"/>
        <v>0.0011063</v>
      </c>
      <c r="O8" s="448">
        <f t="shared" si="9"/>
        <v>4.5900000000000004E-05</v>
      </c>
      <c r="P8" s="446">
        <v>0.0459</v>
      </c>
      <c r="Q8" s="190">
        <f t="shared" si="10"/>
        <v>0.013586400000000002</v>
      </c>
      <c r="S8" s="244">
        <f t="shared" si="11"/>
        <v>0.00912987012987013</v>
      </c>
      <c r="T8" s="443">
        <f t="shared" si="1"/>
        <v>0.014692700000000001</v>
      </c>
      <c r="U8" s="435">
        <f t="shared" si="12"/>
        <v>0.31589305</v>
      </c>
      <c r="V8" s="340">
        <f t="shared" si="13"/>
        <v>0.08345919418758256</v>
      </c>
      <c r="W8" s="244">
        <f t="shared" si="14"/>
        <v>13.2675081</v>
      </c>
      <c r="X8" s="244">
        <f t="shared" si="15"/>
        <v>2.5257011422044546</v>
      </c>
      <c r="Z8" s="244">
        <f t="shared" si="16"/>
        <v>0.26547027854912264</v>
      </c>
      <c r="AA8" s="449">
        <f t="shared" si="2"/>
        <v>0.427221319269103</v>
      </c>
      <c r="AB8" s="340">
        <f t="shared" si="2"/>
        <v>9.185258364285714</v>
      </c>
      <c r="AC8" s="244">
        <f t="shared" si="2"/>
        <v>2.426752540101906</v>
      </c>
      <c r="AD8" s="244">
        <f t="shared" si="2"/>
        <v>385.7808513</v>
      </c>
      <c r="AE8" s="244">
        <f t="shared" si="2"/>
        <v>73.44010114220445</v>
      </c>
    </row>
    <row r="9" spans="1:31" ht="12.75" customHeight="1">
      <c r="A9" s="578" t="s">
        <v>406</v>
      </c>
      <c r="B9" s="579"/>
      <c r="C9" s="244">
        <f t="shared" si="3"/>
        <v>0.24404363605965732</v>
      </c>
      <c r="D9" s="381">
        <f t="shared" si="0"/>
        <v>0.3927394235108065</v>
      </c>
      <c r="E9" s="404">
        <f t="shared" si="4"/>
        <v>8.869365314285714</v>
      </c>
      <c r="F9" s="308">
        <f t="shared" si="5"/>
        <v>2.3432933459143235</v>
      </c>
      <c r="G9" s="244">
        <f t="shared" si="6"/>
        <v>372.5133432</v>
      </c>
      <c r="H9" s="308">
        <v>70.9144</v>
      </c>
      <c r="J9" s="244">
        <v>22.583333333333336</v>
      </c>
      <c r="L9" s="190">
        <f t="shared" si="7"/>
        <v>4.7300000000000005E-05</v>
      </c>
      <c r="M9" s="427">
        <v>0.0473</v>
      </c>
      <c r="N9" s="428">
        <f t="shared" si="8"/>
        <v>0.0010879000000000002</v>
      </c>
      <c r="O9" s="448">
        <f t="shared" si="9"/>
        <v>4.4E-05</v>
      </c>
      <c r="P9" s="446">
        <v>0.044</v>
      </c>
      <c r="Q9" s="190">
        <f t="shared" si="10"/>
        <v>0.013023999999999999</v>
      </c>
      <c r="S9" s="244">
        <f t="shared" si="11"/>
        <v>0.008768967874231032</v>
      </c>
      <c r="T9" s="443">
        <f t="shared" si="1"/>
        <v>0.0141119</v>
      </c>
      <c r="U9" s="435">
        <f t="shared" si="12"/>
        <v>0.3186937416666667</v>
      </c>
      <c r="V9" s="340">
        <f t="shared" si="13"/>
        <v>0.08419913914575078</v>
      </c>
      <c r="W9" s="244">
        <f t="shared" si="14"/>
        <v>13.385137150000002</v>
      </c>
      <c r="X9" s="244">
        <f t="shared" si="15"/>
        <v>2.548093879687798</v>
      </c>
      <c r="Z9" s="244">
        <f t="shared" si="16"/>
        <v>0.2528126039338883</v>
      </c>
      <c r="AA9" s="449">
        <f t="shared" si="2"/>
        <v>0.4068513235108065</v>
      </c>
      <c r="AB9" s="340">
        <f t="shared" si="2"/>
        <v>9.188059055952381</v>
      </c>
      <c r="AC9" s="244">
        <f t="shared" si="2"/>
        <v>2.4274924850600743</v>
      </c>
      <c r="AD9" s="244">
        <f t="shared" si="2"/>
        <v>385.89848035</v>
      </c>
      <c r="AE9" s="244">
        <f t="shared" si="2"/>
        <v>73.4624938796878</v>
      </c>
    </row>
    <row r="10" spans="1:31" ht="12.75" customHeight="1">
      <c r="A10" s="578" t="s">
        <v>407</v>
      </c>
      <c r="B10" s="579"/>
      <c r="C10" s="244">
        <f t="shared" si="3"/>
        <v>0.24404363605965732</v>
      </c>
      <c r="D10" s="381">
        <f t="shared" si="0"/>
        <v>0.3927394235108065</v>
      </c>
      <c r="E10" s="404">
        <f t="shared" si="4"/>
        <v>8.869365314285714</v>
      </c>
      <c r="F10" s="308">
        <f t="shared" si="5"/>
        <v>2.3432933459143235</v>
      </c>
      <c r="G10" s="244">
        <f t="shared" si="6"/>
        <v>372.5133432</v>
      </c>
      <c r="H10" s="308">
        <v>70.9144</v>
      </c>
      <c r="J10" s="244">
        <v>22.583333333333336</v>
      </c>
      <c r="L10" s="190">
        <f t="shared" si="7"/>
        <v>4.5600000000000004E-05</v>
      </c>
      <c r="M10" s="427">
        <v>0.0456</v>
      </c>
      <c r="N10" s="428">
        <f t="shared" si="8"/>
        <v>0.0010488000000000001</v>
      </c>
      <c r="O10" s="448">
        <f t="shared" si="9"/>
        <v>4.04E-05</v>
      </c>
      <c r="P10" s="446">
        <v>0.0404</v>
      </c>
      <c r="Q10" s="190">
        <f t="shared" si="10"/>
        <v>0.0119584</v>
      </c>
      <c r="S10" s="244">
        <f t="shared" si="11"/>
        <v>0.008082520350462934</v>
      </c>
      <c r="T10" s="443">
        <f t="shared" si="1"/>
        <v>0.0130072</v>
      </c>
      <c r="U10" s="435">
        <f t="shared" si="12"/>
        <v>0.2937459333333334</v>
      </c>
      <c r="V10" s="340">
        <f t="shared" si="13"/>
        <v>0.0776079084103919</v>
      </c>
      <c r="W10" s="244">
        <f t="shared" si="14"/>
        <v>12.337329200000001</v>
      </c>
      <c r="X10" s="244">
        <f t="shared" si="15"/>
        <v>2.348625395012374</v>
      </c>
      <c r="Z10" s="244">
        <f t="shared" si="16"/>
        <v>0.25212615641012026</v>
      </c>
      <c r="AA10" s="449">
        <f t="shared" si="2"/>
        <v>0.4057466235108065</v>
      </c>
      <c r="AB10" s="340">
        <f t="shared" si="2"/>
        <v>9.163111247619048</v>
      </c>
      <c r="AC10" s="244">
        <f t="shared" si="2"/>
        <v>2.4209012543247153</v>
      </c>
      <c r="AD10" s="244">
        <f t="shared" si="2"/>
        <v>384.8506724</v>
      </c>
      <c r="AE10" s="244">
        <f t="shared" si="2"/>
        <v>73.26302539501238</v>
      </c>
    </row>
    <row r="11" spans="1:31" ht="12.75" customHeight="1">
      <c r="A11" s="578" t="s">
        <v>408</v>
      </c>
      <c r="B11" s="579"/>
      <c r="C11" s="244">
        <f t="shared" si="3"/>
        <v>0.24404363605965732</v>
      </c>
      <c r="D11" s="381">
        <f t="shared" si="0"/>
        <v>0.3927394235108065</v>
      </c>
      <c r="E11" s="404">
        <f t="shared" si="4"/>
        <v>8.869365314285714</v>
      </c>
      <c r="F11" s="308">
        <f t="shared" si="5"/>
        <v>2.3432933459143235</v>
      </c>
      <c r="G11" s="244">
        <f t="shared" si="6"/>
        <v>372.5133432</v>
      </c>
      <c r="H11" s="308">
        <v>70.9144</v>
      </c>
      <c r="J11" s="244">
        <v>22.583333333333336</v>
      </c>
      <c r="L11" s="190">
        <f t="shared" si="7"/>
        <v>4.38E-05</v>
      </c>
      <c r="M11" s="427">
        <v>0.0438</v>
      </c>
      <c r="N11" s="428">
        <f t="shared" si="8"/>
        <v>0.0010074</v>
      </c>
      <c r="O11" s="448">
        <f t="shared" si="9"/>
        <v>3.6200000000000006E-05</v>
      </c>
      <c r="P11" s="446">
        <v>0.0362</v>
      </c>
      <c r="Q11" s="190">
        <f t="shared" si="10"/>
        <v>0.010715200000000001</v>
      </c>
      <c r="S11" s="244">
        <f t="shared" si="11"/>
        <v>0.007284285092897534</v>
      </c>
      <c r="T11" s="443">
        <f t="shared" si="1"/>
        <v>0.011722600000000001</v>
      </c>
      <c r="U11" s="435">
        <f t="shared" si="12"/>
        <v>0.2647353833333334</v>
      </c>
      <c r="V11" s="340">
        <f t="shared" si="13"/>
        <v>0.069943298106561</v>
      </c>
      <c r="W11" s="244">
        <f t="shared" si="14"/>
        <v>11.118886100000003</v>
      </c>
      <c r="X11" s="244">
        <f t="shared" si="15"/>
        <v>2.1166735389301357</v>
      </c>
      <c r="Z11" s="244">
        <f t="shared" si="16"/>
        <v>0.25132792115255487</v>
      </c>
      <c r="AA11" s="449">
        <f t="shared" si="2"/>
        <v>0.4044620235108065</v>
      </c>
      <c r="AB11" s="340">
        <f t="shared" si="2"/>
        <v>9.134100697619047</v>
      </c>
      <c r="AC11" s="244">
        <f t="shared" si="2"/>
        <v>2.4132366440208846</v>
      </c>
      <c r="AD11" s="244">
        <f t="shared" si="2"/>
        <v>383.6322293</v>
      </c>
      <c r="AE11" s="244">
        <f t="shared" si="2"/>
        <v>73.03107353893013</v>
      </c>
    </row>
    <row r="12" spans="1:31" ht="12.75" customHeight="1">
      <c r="A12" s="578" t="s">
        <v>409</v>
      </c>
      <c r="B12" s="579"/>
      <c r="C12" s="424">
        <f t="shared" si="3"/>
        <v>0.23287262454988428</v>
      </c>
      <c r="D12" s="381">
        <f t="shared" si="0"/>
        <v>0.37476191468812875</v>
      </c>
      <c r="E12" s="432">
        <f t="shared" si="4"/>
        <v>8.869365314285714</v>
      </c>
      <c r="F12" s="259">
        <f t="shared" si="5"/>
        <v>2.3432933459143235</v>
      </c>
      <c r="G12" s="244">
        <f t="shared" si="6"/>
        <v>372.5133432</v>
      </c>
      <c r="H12" s="308">
        <v>70.9144</v>
      </c>
      <c r="J12" s="244">
        <v>23.666666666666668</v>
      </c>
      <c r="L12" s="190">
        <f t="shared" si="7"/>
        <v>4.04E-05</v>
      </c>
      <c r="M12" s="427">
        <v>0.0404</v>
      </c>
      <c r="N12" s="428">
        <f t="shared" si="8"/>
        <v>0.0009292</v>
      </c>
      <c r="O12" s="448">
        <f t="shared" si="9"/>
        <v>2.88E-05</v>
      </c>
      <c r="P12" s="446">
        <v>0.0288</v>
      </c>
      <c r="Q12" s="190">
        <f t="shared" si="10"/>
        <v>0.008524799999999999</v>
      </c>
      <c r="S12" s="244">
        <f t="shared" si="11"/>
        <v>0.005874603865034487</v>
      </c>
      <c r="T12" s="443">
        <f t="shared" si="1"/>
        <v>0.009453999999999999</v>
      </c>
      <c r="U12" s="435">
        <f t="shared" si="12"/>
        <v>0.22374466666666665</v>
      </c>
      <c r="V12" s="340">
        <f t="shared" si="13"/>
        <v>0.059113518273888145</v>
      </c>
      <c r="W12" s="244">
        <f t="shared" si="14"/>
        <v>9.397276</v>
      </c>
      <c r="X12" s="244">
        <f t="shared" si="15"/>
        <v>1.788935084713497</v>
      </c>
      <c r="Z12" s="424">
        <f t="shared" si="16"/>
        <v>0.23874722841491877</v>
      </c>
      <c r="AA12" s="449">
        <f t="shared" si="2"/>
        <v>0.38421591468812877</v>
      </c>
      <c r="AB12" s="340">
        <f t="shared" si="2"/>
        <v>9.09310998095238</v>
      </c>
      <c r="AC12" s="244">
        <f t="shared" si="2"/>
        <v>2.4024068641882117</v>
      </c>
      <c r="AD12" s="244">
        <f t="shared" si="2"/>
        <v>381.9106192</v>
      </c>
      <c r="AE12" s="244">
        <f t="shared" si="2"/>
        <v>72.7033350847135</v>
      </c>
    </row>
    <row r="13" spans="1:29" ht="12.75">
      <c r="A13" s="314" t="s">
        <v>345</v>
      </c>
      <c r="B13" s="314"/>
      <c r="C13" s="80"/>
      <c r="D13" s="80"/>
      <c r="E13" s="80"/>
      <c r="F13" s="1"/>
      <c r="S13" s="80"/>
      <c r="T13" s="429"/>
      <c r="Z13" s="80"/>
      <c r="AA13" s="80"/>
      <c r="AB13" s="80"/>
      <c r="AC13" s="1"/>
    </row>
    <row r="14" spans="1:31" ht="12.75">
      <c r="A14" s="195" t="s">
        <v>432</v>
      </c>
      <c r="B14" s="334"/>
      <c r="C14" s="425">
        <f t="shared" si="3"/>
        <v>0.34231793670893956</v>
      </c>
      <c r="D14" s="381">
        <f aca="true" t="shared" si="17" ref="D14:D22">E14/J14</f>
        <v>0.5508922555456964</v>
      </c>
      <c r="E14" s="433">
        <f t="shared" si="4"/>
        <v>8.869365314285714</v>
      </c>
      <c r="F14" s="259">
        <f t="shared" si="5"/>
        <v>2.3432933459143235</v>
      </c>
      <c r="G14" s="244">
        <f t="shared" si="6"/>
        <v>372.5133432</v>
      </c>
      <c r="H14" s="308">
        <v>70.9144</v>
      </c>
      <c r="J14" s="244">
        <v>16.1</v>
      </c>
      <c r="L14" s="190">
        <f t="shared" si="7"/>
        <v>0.0001142</v>
      </c>
      <c r="M14" s="427">
        <v>0.1142</v>
      </c>
      <c r="N14" s="428">
        <f t="shared" si="8"/>
        <v>0.0026265999999999998</v>
      </c>
      <c r="O14" s="448">
        <f t="shared" si="9"/>
        <v>0.0001003</v>
      </c>
      <c r="P14" s="446">
        <v>0.1003</v>
      </c>
      <c r="Q14" s="190">
        <f t="shared" si="10"/>
        <v>0.0296888</v>
      </c>
      <c r="S14" s="244">
        <f t="shared" si="11"/>
        <v>0.020080407630646866</v>
      </c>
      <c r="T14" s="443">
        <f aca="true" t="shared" si="18" ref="T14:T22">N14+Q14</f>
        <v>0.0323154</v>
      </c>
      <c r="U14" s="435">
        <f t="shared" si="12"/>
        <v>0.52027794</v>
      </c>
      <c r="V14" s="340">
        <f t="shared" si="13"/>
        <v>0.13745784412153236</v>
      </c>
      <c r="W14" s="244">
        <f t="shared" si="14"/>
        <v>21.851673480000002</v>
      </c>
      <c r="X14" s="244">
        <f t="shared" si="15"/>
        <v>4.159846464877213</v>
      </c>
      <c r="Z14" s="425">
        <f t="shared" si="16"/>
        <v>0.36239834433958645</v>
      </c>
      <c r="AA14" s="449">
        <f t="shared" si="2"/>
        <v>0.5832076555456964</v>
      </c>
      <c r="AB14" s="340">
        <f t="shared" si="2"/>
        <v>9.389643254285714</v>
      </c>
      <c r="AC14" s="244">
        <f t="shared" si="2"/>
        <v>2.4807511900358556</v>
      </c>
      <c r="AD14" s="244">
        <f t="shared" si="2"/>
        <v>394.36501668</v>
      </c>
      <c r="AE14" s="244">
        <f t="shared" si="2"/>
        <v>75.07424646487722</v>
      </c>
    </row>
    <row r="15" spans="1:31" ht="12.75">
      <c r="A15" s="195" t="s">
        <v>402</v>
      </c>
      <c r="B15" s="335"/>
      <c r="C15" s="244">
        <f t="shared" si="3"/>
        <v>0.33101013699783355</v>
      </c>
      <c r="D15" s="381">
        <f t="shared" si="17"/>
        <v>0.5326946134706135</v>
      </c>
      <c r="E15" s="404">
        <f t="shared" si="4"/>
        <v>8.869365314285714</v>
      </c>
      <c r="F15" s="308">
        <f t="shared" si="5"/>
        <v>2.3432933459143235</v>
      </c>
      <c r="G15" s="244">
        <f t="shared" si="6"/>
        <v>372.5133432</v>
      </c>
      <c r="H15" s="308">
        <v>70.9144</v>
      </c>
      <c r="J15" s="244">
        <v>16.65</v>
      </c>
      <c r="L15" s="190">
        <f t="shared" si="7"/>
        <v>9.01E-05</v>
      </c>
      <c r="M15" s="427">
        <v>0.0901</v>
      </c>
      <c r="N15" s="428">
        <f t="shared" si="8"/>
        <v>0.0020723</v>
      </c>
      <c r="O15" s="448">
        <f t="shared" si="9"/>
        <v>8.46E-05</v>
      </c>
      <c r="P15" s="446">
        <v>0.0846</v>
      </c>
      <c r="Q15" s="190">
        <f t="shared" si="10"/>
        <v>0.025041599999999997</v>
      </c>
      <c r="S15" s="244">
        <f t="shared" si="11"/>
        <v>0.01684825700615174</v>
      </c>
      <c r="T15" s="443">
        <f t="shared" si="18"/>
        <v>0.027113899999999996</v>
      </c>
      <c r="U15" s="435">
        <f t="shared" si="12"/>
        <v>0.4514464349999999</v>
      </c>
      <c r="V15" s="340">
        <f t="shared" si="13"/>
        <v>0.11927250594451781</v>
      </c>
      <c r="W15" s="244">
        <f t="shared" si="14"/>
        <v>18.96075027</v>
      </c>
      <c r="X15" s="244">
        <f t="shared" si="15"/>
        <v>3.6095089034837233</v>
      </c>
      <c r="Z15" s="244">
        <f t="shared" si="16"/>
        <v>0.34785839400398527</v>
      </c>
      <c r="AA15" s="449">
        <f t="shared" si="2"/>
        <v>0.5598085134706136</v>
      </c>
      <c r="AB15" s="340">
        <f t="shared" si="2"/>
        <v>9.320811749285713</v>
      </c>
      <c r="AC15" s="244">
        <f t="shared" si="2"/>
        <v>2.4625658518588414</v>
      </c>
      <c r="AD15" s="244">
        <f t="shared" si="2"/>
        <v>391.47409347</v>
      </c>
      <c r="AE15" s="244">
        <f t="shared" si="2"/>
        <v>74.52390890348373</v>
      </c>
    </row>
    <row r="16" spans="1:31" ht="12.75">
      <c r="A16" s="195" t="s">
        <v>403</v>
      </c>
      <c r="B16" s="335"/>
      <c r="C16" s="244">
        <f t="shared" si="3"/>
        <v>0.33101013699783355</v>
      </c>
      <c r="D16" s="381">
        <f t="shared" si="17"/>
        <v>0.5326946134706135</v>
      </c>
      <c r="E16" s="404">
        <f t="shared" si="4"/>
        <v>8.869365314285714</v>
      </c>
      <c r="F16" s="308">
        <f t="shared" si="5"/>
        <v>2.3432933459143235</v>
      </c>
      <c r="G16" s="244">
        <f t="shared" si="6"/>
        <v>372.5133432</v>
      </c>
      <c r="H16" s="308">
        <v>70.9144</v>
      </c>
      <c r="J16" s="244">
        <v>16.65</v>
      </c>
      <c r="L16" s="190">
        <f t="shared" si="7"/>
        <v>6.759999999999999E-05</v>
      </c>
      <c r="M16" s="427">
        <v>0.0676</v>
      </c>
      <c r="N16" s="428">
        <f t="shared" si="8"/>
        <v>0.0015547999999999998</v>
      </c>
      <c r="O16" s="448">
        <f t="shared" si="9"/>
        <v>6.69E-05</v>
      </c>
      <c r="P16" s="446">
        <v>0.0669</v>
      </c>
      <c r="Q16" s="190">
        <f t="shared" si="10"/>
        <v>0.0198024</v>
      </c>
      <c r="S16" s="244">
        <f t="shared" si="11"/>
        <v>0.013271111663456162</v>
      </c>
      <c r="T16" s="443">
        <f t="shared" si="18"/>
        <v>0.0213572</v>
      </c>
      <c r="U16" s="435">
        <f t="shared" si="12"/>
        <v>0.35559737999999996</v>
      </c>
      <c r="V16" s="340">
        <f t="shared" si="13"/>
        <v>0.09394910964332892</v>
      </c>
      <c r="W16" s="244">
        <f t="shared" si="14"/>
        <v>14.935089959999999</v>
      </c>
      <c r="X16" s="244">
        <f t="shared" si="15"/>
        <v>2.843154380354083</v>
      </c>
      <c r="Z16" s="244">
        <f>S16+C16</f>
        <v>0.34428124866128973</v>
      </c>
      <c r="AA16" s="449">
        <f t="shared" si="2"/>
        <v>0.5540518134706135</v>
      </c>
      <c r="AB16" s="340">
        <f t="shared" si="2"/>
        <v>9.224962694285715</v>
      </c>
      <c r="AC16" s="244">
        <f t="shared" si="2"/>
        <v>2.4372424555576524</v>
      </c>
      <c r="AD16" s="244">
        <f t="shared" si="2"/>
        <v>387.44843316000004</v>
      </c>
      <c r="AE16" s="244">
        <f t="shared" si="2"/>
        <v>73.75755438035408</v>
      </c>
    </row>
    <row r="17" spans="1:31" ht="12.75">
      <c r="A17" s="195" t="s">
        <v>404</v>
      </c>
      <c r="B17" s="335"/>
      <c r="C17" s="244">
        <f t="shared" si="3"/>
        <v>0.33101013699783355</v>
      </c>
      <c r="D17" s="381">
        <f t="shared" si="17"/>
        <v>0.5326946134706135</v>
      </c>
      <c r="E17" s="404">
        <f t="shared" si="4"/>
        <v>8.869365314285714</v>
      </c>
      <c r="F17" s="308">
        <f t="shared" si="5"/>
        <v>2.3432933459143235</v>
      </c>
      <c r="G17" s="244">
        <f t="shared" si="6"/>
        <v>372.5133432</v>
      </c>
      <c r="H17" s="308">
        <v>70.9144</v>
      </c>
      <c r="J17" s="244">
        <v>16.65</v>
      </c>
      <c r="L17" s="190">
        <f t="shared" si="7"/>
        <v>5.63E-05</v>
      </c>
      <c r="M17" s="427">
        <v>0.0563</v>
      </c>
      <c r="N17" s="428">
        <f t="shared" si="8"/>
        <v>0.0012949</v>
      </c>
      <c r="O17" s="448">
        <f t="shared" si="9"/>
        <v>5.8099999999999996E-05</v>
      </c>
      <c r="P17" s="446">
        <v>0.0581</v>
      </c>
      <c r="Q17" s="190">
        <f t="shared" si="10"/>
        <v>0.0171976</v>
      </c>
      <c r="S17" s="244">
        <f t="shared" si="11"/>
        <v>0.011491020940781707</v>
      </c>
      <c r="T17" s="443">
        <f t="shared" si="18"/>
        <v>0.018492500000000002</v>
      </c>
      <c r="U17" s="435">
        <f t="shared" si="12"/>
        <v>0.307900125</v>
      </c>
      <c r="V17" s="340">
        <f t="shared" si="13"/>
        <v>0.0813474570673712</v>
      </c>
      <c r="W17" s="244">
        <f t="shared" si="14"/>
        <v>12.931805250000002</v>
      </c>
      <c r="X17" s="244">
        <f t="shared" si="15"/>
        <v>2.4617942604226157</v>
      </c>
      <c r="Z17" s="244">
        <f t="shared" si="16"/>
        <v>0.34250115793861524</v>
      </c>
      <c r="AA17" s="449">
        <f t="shared" si="2"/>
        <v>0.5511871134706136</v>
      </c>
      <c r="AB17" s="340">
        <f t="shared" si="2"/>
        <v>9.177265439285714</v>
      </c>
      <c r="AC17" s="244">
        <f t="shared" si="2"/>
        <v>2.4246408029816946</v>
      </c>
      <c r="AD17" s="244">
        <f t="shared" si="2"/>
        <v>385.44514845000003</v>
      </c>
      <c r="AE17" s="244">
        <f t="shared" si="2"/>
        <v>73.37619426042262</v>
      </c>
    </row>
    <row r="18" spans="1:31" ht="12.75">
      <c r="A18" s="195" t="s">
        <v>405</v>
      </c>
      <c r="B18" s="335"/>
      <c r="C18" s="244">
        <f t="shared" si="3"/>
        <v>0.3204255105240656</v>
      </c>
      <c r="D18" s="381">
        <f t="shared" si="17"/>
        <v>0.5156607740863788</v>
      </c>
      <c r="E18" s="404">
        <f t="shared" si="4"/>
        <v>8.869365314285714</v>
      </c>
      <c r="F18" s="308">
        <f t="shared" si="5"/>
        <v>2.3432933459143235</v>
      </c>
      <c r="G18" s="244">
        <f t="shared" si="6"/>
        <v>372.5133432</v>
      </c>
      <c r="H18" s="308">
        <v>70.9144</v>
      </c>
      <c r="J18" s="244">
        <v>17.2</v>
      </c>
      <c r="L18" s="190">
        <f t="shared" si="7"/>
        <v>5.63E-05</v>
      </c>
      <c r="M18" s="427">
        <v>0.0563</v>
      </c>
      <c r="N18" s="428">
        <f t="shared" si="8"/>
        <v>0.0012949</v>
      </c>
      <c r="O18" s="448">
        <f t="shared" si="9"/>
        <v>5.8099999999999996E-05</v>
      </c>
      <c r="P18" s="446">
        <v>0.0581</v>
      </c>
      <c r="Q18" s="190">
        <f t="shared" si="10"/>
        <v>0.0171976</v>
      </c>
      <c r="S18" s="244">
        <f t="shared" si="11"/>
        <v>0.011491020940781707</v>
      </c>
      <c r="T18" s="443">
        <f t="shared" si="18"/>
        <v>0.018492500000000002</v>
      </c>
      <c r="U18" s="435">
        <f t="shared" si="12"/>
        <v>0.31807100000000005</v>
      </c>
      <c r="V18" s="340">
        <f t="shared" si="13"/>
        <v>0.08403461030383091</v>
      </c>
      <c r="W18" s="244">
        <f t="shared" si="14"/>
        <v>13.358982000000003</v>
      </c>
      <c r="X18" s="244">
        <f t="shared" si="15"/>
        <v>2.5431147915476875</v>
      </c>
      <c r="Z18" s="244">
        <f t="shared" si="16"/>
        <v>0.3319165314648473</v>
      </c>
      <c r="AA18" s="449">
        <f t="shared" si="2"/>
        <v>0.5341532740863788</v>
      </c>
      <c r="AB18" s="340">
        <f t="shared" si="2"/>
        <v>9.187436314285714</v>
      </c>
      <c r="AC18" s="244">
        <f t="shared" si="2"/>
        <v>2.4273279562181544</v>
      </c>
      <c r="AD18" s="244">
        <f t="shared" si="2"/>
        <v>385.87232520000003</v>
      </c>
      <c r="AE18" s="244">
        <f t="shared" si="2"/>
        <v>73.4575147915477</v>
      </c>
    </row>
    <row r="19" spans="1:31" ht="12.75">
      <c r="A19" s="195" t="s">
        <v>406</v>
      </c>
      <c r="B19" s="336"/>
      <c r="C19" s="244">
        <f t="shared" si="3"/>
        <v>0.3202393248700714</v>
      </c>
      <c r="D19" s="381">
        <f t="shared" si="17"/>
        <v>0.5153611455134058</v>
      </c>
      <c r="E19" s="404">
        <f t="shared" si="4"/>
        <v>8.869365314285714</v>
      </c>
      <c r="F19" s="308">
        <f t="shared" si="5"/>
        <v>2.3432933459143235</v>
      </c>
      <c r="G19" s="244">
        <f t="shared" si="6"/>
        <v>372.5133432</v>
      </c>
      <c r="H19" s="308">
        <v>70.9144</v>
      </c>
      <c r="J19" s="244">
        <v>17.21</v>
      </c>
      <c r="L19" s="190">
        <f t="shared" si="7"/>
        <v>5.47E-05</v>
      </c>
      <c r="M19" s="427">
        <v>0.0547</v>
      </c>
      <c r="N19" s="428">
        <f t="shared" si="8"/>
        <v>0.0012581</v>
      </c>
      <c r="O19" s="448">
        <f t="shared" si="9"/>
        <v>5.36E-05</v>
      </c>
      <c r="P19" s="446">
        <v>0.0536</v>
      </c>
      <c r="Q19" s="190">
        <f t="shared" si="10"/>
        <v>0.0158656</v>
      </c>
      <c r="S19" s="244">
        <f t="shared" si="11"/>
        <v>0.010640464798359537</v>
      </c>
      <c r="T19" s="443">
        <f t="shared" si="18"/>
        <v>0.017123700000000002</v>
      </c>
      <c r="U19" s="435">
        <f t="shared" si="12"/>
        <v>0.294698877</v>
      </c>
      <c r="V19" s="340">
        <f t="shared" si="13"/>
        <v>0.07785967688243065</v>
      </c>
      <c r="W19" s="244">
        <f t="shared" si="14"/>
        <v>12.377352834000002</v>
      </c>
      <c r="X19" s="244">
        <f t="shared" si="15"/>
        <v>2.356244590519703</v>
      </c>
      <c r="Z19" s="244">
        <f t="shared" si="16"/>
        <v>0.33087978966843096</v>
      </c>
      <c r="AA19" s="449">
        <f t="shared" si="2"/>
        <v>0.5324848455134058</v>
      </c>
      <c r="AB19" s="340">
        <f t="shared" si="2"/>
        <v>9.164064191285714</v>
      </c>
      <c r="AC19" s="244">
        <f t="shared" si="2"/>
        <v>2.421153022796754</v>
      </c>
      <c r="AD19" s="244">
        <f t="shared" si="2"/>
        <v>384.89069603400003</v>
      </c>
      <c r="AE19" s="244">
        <f t="shared" si="2"/>
        <v>73.27064459051971</v>
      </c>
    </row>
    <row r="20" spans="1:31" ht="12.75">
      <c r="A20" s="195" t="s">
        <v>407</v>
      </c>
      <c r="B20" s="336"/>
      <c r="C20" s="244">
        <f t="shared" si="3"/>
        <v>0.3202393248700714</v>
      </c>
      <c r="D20" s="381">
        <f t="shared" si="17"/>
        <v>0.5153611455134058</v>
      </c>
      <c r="E20" s="404">
        <f t="shared" si="4"/>
        <v>8.869365314285714</v>
      </c>
      <c r="F20" s="308">
        <f t="shared" si="5"/>
        <v>2.3432933459143235</v>
      </c>
      <c r="G20" s="244">
        <f t="shared" si="6"/>
        <v>372.5133432</v>
      </c>
      <c r="H20" s="308">
        <v>70.9144</v>
      </c>
      <c r="J20" s="244">
        <v>17.21</v>
      </c>
      <c r="L20" s="190">
        <f t="shared" si="7"/>
        <v>5.2900000000000005E-05</v>
      </c>
      <c r="M20" s="427">
        <v>0.0529</v>
      </c>
      <c r="N20" s="428">
        <f t="shared" si="8"/>
        <v>0.0012167</v>
      </c>
      <c r="O20" s="448">
        <f t="shared" si="9"/>
        <v>4.83E-05</v>
      </c>
      <c r="P20" s="446">
        <v>0.0483</v>
      </c>
      <c r="Q20" s="190">
        <f t="shared" si="10"/>
        <v>0.0142968</v>
      </c>
      <c r="S20" s="244">
        <f t="shared" si="11"/>
        <v>0.009639905548996458</v>
      </c>
      <c r="T20" s="443">
        <f t="shared" si="18"/>
        <v>0.0155135</v>
      </c>
      <c r="U20" s="435">
        <f t="shared" si="12"/>
        <v>0.266987335</v>
      </c>
      <c r="V20" s="340">
        <f t="shared" si="13"/>
        <v>0.07053826552179657</v>
      </c>
      <c r="W20" s="244">
        <f t="shared" si="14"/>
        <v>11.21346807</v>
      </c>
      <c r="X20" s="244">
        <f t="shared" si="15"/>
        <v>2.1346788635065677</v>
      </c>
      <c r="Z20" s="244">
        <f t="shared" si="16"/>
        <v>0.32987923041906786</v>
      </c>
      <c r="AA20" s="449">
        <f t="shared" si="16"/>
        <v>0.5308746455134058</v>
      </c>
      <c r="AB20" s="340">
        <f t="shared" si="16"/>
        <v>9.136352649285714</v>
      </c>
      <c r="AC20" s="244">
        <f t="shared" si="16"/>
        <v>2.41383161143612</v>
      </c>
      <c r="AD20" s="244">
        <f t="shared" si="16"/>
        <v>383.72681127</v>
      </c>
      <c r="AE20" s="244">
        <f t="shared" si="16"/>
        <v>73.04907886350657</v>
      </c>
    </row>
    <row r="21" spans="1:31" ht="12.75">
      <c r="A21" s="195" t="s">
        <v>408</v>
      </c>
      <c r="B21" s="336"/>
      <c r="C21" s="244">
        <f t="shared" si="3"/>
        <v>0.3202393248700714</v>
      </c>
      <c r="D21" s="381">
        <f t="shared" si="17"/>
        <v>0.5153611455134058</v>
      </c>
      <c r="E21" s="404">
        <f t="shared" si="4"/>
        <v>8.869365314285714</v>
      </c>
      <c r="F21" s="308">
        <f t="shared" si="5"/>
        <v>2.3432933459143235</v>
      </c>
      <c r="G21" s="244">
        <f t="shared" si="6"/>
        <v>372.5133432</v>
      </c>
      <c r="H21" s="308">
        <v>70.9144</v>
      </c>
      <c r="J21" s="244">
        <v>17.21</v>
      </c>
      <c r="L21" s="190">
        <f t="shared" si="7"/>
        <v>5.35E-05</v>
      </c>
      <c r="M21" s="427">
        <v>0.0535</v>
      </c>
      <c r="N21" s="428">
        <f t="shared" si="8"/>
        <v>0.0012305</v>
      </c>
      <c r="O21" s="448">
        <f t="shared" si="9"/>
        <v>5.02E-05</v>
      </c>
      <c r="P21" s="446">
        <v>0.0502</v>
      </c>
      <c r="Q21" s="190">
        <f t="shared" si="10"/>
        <v>0.0148592</v>
      </c>
      <c r="S21" s="244">
        <f t="shared" si="11"/>
        <v>0.009997949419002049</v>
      </c>
      <c r="T21" s="443">
        <f t="shared" si="18"/>
        <v>0.0160897</v>
      </c>
      <c r="U21" s="435">
        <f t="shared" si="12"/>
        <v>0.276903737</v>
      </c>
      <c r="V21" s="340">
        <f t="shared" si="13"/>
        <v>0.07315818678996036</v>
      </c>
      <c r="W21" s="244">
        <f t="shared" si="14"/>
        <v>11.629956953999999</v>
      </c>
      <c r="X21" s="244">
        <f t="shared" si="15"/>
        <v>2.2139647732724157</v>
      </c>
      <c r="Z21" s="244">
        <f t="shared" si="16"/>
        <v>0.33023727428907346</v>
      </c>
      <c r="AA21" s="449">
        <f t="shared" si="16"/>
        <v>0.5314508455134058</v>
      </c>
      <c r="AB21" s="340">
        <f t="shared" si="16"/>
        <v>9.146269051285714</v>
      </c>
      <c r="AC21" s="244">
        <f t="shared" si="16"/>
        <v>2.4164515327042837</v>
      </c>
      <c r="AD21" s="244">
        <f t="shared" si="16"/>
        <v>384.14330015400003</v>
      </c>
      <c r="AE21" s="244">
        <f t="shared" si="16"/>
        <v>73.12836477327241</v>
      </c>
    </row>
    <row r="22" spans="1:31" ht="12.75">
      <c r="A22" s="175" t="s">
        <v>433</v>
      </c>
      <c r="B22" s="336"/>
      <c r="C22" s="424">
        <f t="shared" si="3"/>
        <v>0.3200533554595777</v>
      </c>
      <c r="D22" s="381">
        <f t="shared" si="17"/>
        <v>0.5150618649410984</v>
      </c>
      <c r="E22" s="404">
        <f t="shared" si="4"/>
        <v>8.869365314285714</v>
      </c>
      <c r="F22" s="259">
        <f t="shared" si="5"/>
        <v>2.3432933459143235</v>
      </c>
      <c r="G22" s="244">
        <f t="shared" si="6"/>
        <v>372.5133432</v>
      </c>
      <c r="H22" s="308">
        <v>70.9144</v>
      </c>
      <c r="J22" s="244">
        <v>17.22</v>
      </c>
      <c r="L22" s="190">
        <f t="shared" si="7"/>
        <v>4.84E-05</v>
      </c>
      <c r="M22" s="427">
        <v>0.0484</v>
      </c>
      <c r="N22" s="428">
        <f t="shared" si="8"/>
        <v>0.0011132</v>
      </c>
      <c r="O22" s="448">
        <f t="shared" si="9"/>
        <v>3.56E-05</v>
      </c>
      <c r="P22" s="446">
        <v>0.0356</v>
      </c>
      <c r="Q22" s="190">
        <f t="shared" si="10"/>
        <v>0.0105376</v>
      </c>
      <c r="S22" s="244">
        <f t="shared" si="11"/>
        <v>0.007239669421487603</v>
      </c>
      <c r="T22" s="443">
        <f t="shared" si="18"/>
        <v>0.0116508</v>
      </c>
      <c r="U22" s="435">
        <f t="shared" si="12"/>
        <v>0.20062677599999998</v>
      </c>
      <c r="V22" s="340">
        <f t="shared" si="13"/>
        <v>0.0530057532364597</v>
      </c>
      <c r="W22" s="244">
        <f t="shared" si="14"/>
        <v>8.426324591999999</v>
      </c>
      <c r="X22" s="244">
        <f t="shared" si="15"/>
        <v>1.6040975808109648</v>
      </c>
      <c r="Z22" s="424">
        <f t="shared" si="16"/>
        <v>0.3272930248810653</v>
      </c>
      <c r="AA22" s="449">
        <f t="shared" si="16"/>
        <v>0.5267126649410984</v>
      </c>
      <c r="AB22" s="340">
        <f t="shared" si="16"/>
        <v>9.069992090285714</v>
      </c>
      <c r="AC22" s="244">
        <f t="shared" si="16"/>
        <v>2.396299099150783</v>
      </c>
      <c r="AD22" s="244">
        <f t="shared" si="16"/>
        <v>380.939667792</v>
      </c>
      <c r="AE22" s="244">
        <f t="shared" si="16"/>
        <v>72.51849758081096</v>
      </c>
    </row>
    <row r="23" spans="1:29" ht="12.75">
      <c r="A23" s="314" t="s">
        <v>348</v>
      </c>
      <c r="B23" s="314"/>
      <c r="C23" s="80"/>
      <c r="D23" s="80"/>
      <c r="E23" s="1"/>
      <c r="F23" s="1"/>
      <c r="S23" s="80"/>
      <c r="T23" s="429"/>
      <c r="Z23" s="80"/>
      <c r="AA23" s="80"/>
      <c r="AB23" s="1"/>
      <c r="AC23" s="1"/>
    </row>
    <row r="24" spans="1:31" ht="12.75">
      <c r="A24" s="195" t="s">
        <v>434</v>
      </c>
      <c r="B24" s="334"/>
      <c r="C24" s="425">
        <f t="shared" si="3"/>
        <v>0.918553130168988</v>
      </c>
      <c r="D24" s="381">
        <f aca="true" t="shared" si="19" ref="D24:D33">E24/J24</f>
        <v>1.4782275523809523</v>
      </c>
      <c r="E24" s="404">
        <f aca="true" t="shared" si="20" ref="E24:E33">G24/42</f>
        <v>8.869365314285714</v>
      </c>
      <c r="F24" s="259">
        <f aca="true" t="shared" si="21" ref="F24:F33">E24/3.785</f>
        <v>2.3432933459143235</v>
      </c>
      <c r="G24" s="244">
        <f aca="true" t="shared" si="22" ref="G24:G33">H24*5.253</f>
        <v>372.5133432</v>
      </c>
      <c r="H24" s="308">
        <v>70.9144</v>
      </c>
      <c r="J24" s="244">
        <v>6</v>
      </c>
      <c r="L24" s="190">
        <f t="shared" si="7"/>
        <v>0.0001984</v>
      </c>
      <c r="M24" s="427">
        <v>0.1984</v>
      </c>
      <c r="N24" s="428">
        <f t="shared" si="8"/>
        <v>0.0045632</v>
      </c>
      <c r="O24" s="448">
        <f t="shared" si="9"/>
        <v>3.92E-05</v>
      </c>
      <c r="P24" s="446">
        <v>0.0392</v>
      </c>
      <c r="Q24" s="190">
        <f t="shared" si="10"/>
        <v>0.0116032</v>
      </c>
      <c r="S24" s="244">
        <f t="shared" si="11"/>
        <v>0.010045609892499844</v>
      </c>
      <c r="T24" s="443">
        <f aca="true" t="shared" si="23" ref="T24:T33">N24+Q24</f>
        <v>0.016166399999999997</v>
      </c>
      <c r="U24" s="435">
        <f t="shared" si="12"/>
        <v>0.09699839999999998</v>
      </c>
      <c r="V24" s="340">
        <f t="shared" si="13"/>
        <v>0.02562705416116248</v>
      </c>
      <c r="W24" s="244">
        <f t="shared" si="14"/>
        <v>4.0739328</v>
      </c>
      <c r="X24" s="244">
        <f t="shared" si="15"/>
        <v>0.7755440319817246</v>
      </c>
      <c r="Z24" s="425">
        <f t="shared" si="16"/>
        <v>0.9285987400614878</v>
      </c>
      <c r="AA24" s="449">
        <f t="shared" si="16"/>
        <v>1.4943939523809522</v>
      </c>
      <c r="AB24" s="340">
        <f t="shared" si="16"/>
        <v>8.966363714285714</v>
      </c>
      <c r="AC24" s="244">
        <f t="shared" si="16"/>
        <v>2.3689204000754858</v>
      </c>
      <c r="AD24" s="244">
        <f t="shared" si="16"/>
        <v>376.58727600000003</v>
      </c>
      <c r="AE24" s="244">
        <f t="shared" si="16"/>
        <v>71.68994403198172</v>
      </c>
    </row>
    <row r="25" spans="1:31" ht="12.75">
      <c r="A25" s="195" t="s">
        <v>435</v>
      </c>
      <c r="B25" s="335"/>
      <c r="C25" s="244">
        <f t="shared" si="3"/>
        <v>0.918553130168988</v>
      </c>
      <c r="D25" s="381">
        <f t="shared" si="19"/>
        <v>1.4782275523809523</v>
      </c>
      <c r="E25" s="404">
        <f t="shared" si="20"/>
        <v>8.869365314285714</v>
      </c>
      <c r="F25" s="308">
        <f t="shared" si="21"/>
        <v>2.3432933459143235</v>
      </c>
      <c r="G25" s="244">
        <f t="shared" si="22"/>
        <v>372.5133432</v>
      </c>
      <c r="H25" s="308">
        <v>70.9144</v>
      </c>
      <c r="J25" s="244">
        <v>6</v>
      </c>
      <c r="L25" s="190">
        <f t="shared" si="7"/>
        <v>0.0001807</v>
      </c>
      <c r="M25" s="427">
        <v>0.1807</v>
      </c>
      <c r="N25" s="428">
        <f t="shared" si="8"/>
        <v>0.0041561</v>
      </c>
      <c r="O25" s="448">
        <f t="shared" si="9"/>
        <v>6.759999999999999E-05</v>
      </c>
      <c r="P25" s="446">
        <v>0.0676</v>
      </c>
      <c r="Q25" s="190">
        <f t="shared" si="10"/>
        <v>0.020009599999999995</v>
      </c>
      <c r="S25" s="244">
        <f t="shared" si="11"/>
        <v>0.015016280370347353</v>
      </c>
      <c r="T25" s="443">
        <f t="shared" si="23"/>
        <v>0.024165699999999995</v>
      </c>
      <c r="U25" s="435">
        <f t="shared" si="12"/>
        <v>0.14499419999999996</v>
      </c>
      <c r="V25" s="340">
        <f t="shared" si="13"/>
        <v>0.038307582562747675</v>
      </c>
      <c r="W25" s="244">
        <f t="shared" si="14"/>
        <v>6.089756399999999</v>
      </c>
      <c r="X25" s="244">
        <f t="shared" si="15"/>
        <v>1.1592911479154766</v>
      </c>
      <c r="Z25" s="244">
        <f t="shared" si="16"/>
        <v>0.9335694105393353</v>
      </c>
      <c r="AA25" s="449">
        <f t="shared" si="16"/>
        <v>1.5023932523809522</v>
      </c>
      <c r="AB25" s="340">
        <f t="shared" si="16"/>
        <v>9.014359514285713</v>
      </c>
      <c r="AC25" s="244">
        <f t="shared" si="16"/>
        <v>2.381600928477071</v>
      </c>
      <c r="AD25" s="244">
        <f t="shared" si="16"/>
        <v>378.6030996</v>
      </c>
      <c r="AE25" s="244">
        <f t="shared" si="16"/>
        <v>72.07369114791548</v>
      </c>
    </row>
    <row r="26" spans="1:31" ht="12.75">
      <c r="A26" s="195" t="s">
        <v>436</v>
      </c>
      <c r="B26" s="335"/>
      <c r="C26" s="244">
        <f t="shared" si="3"/>
        <v>0.918553130168988</v>
      </c>
      <c r="D26" s="381">
        <f t="shared" si="19"/>
        <v>1.4782275523809523</v>
      </c>
      <c r="E26" s="404">
        <f t="shared" si="20"/>
        <v>8.869365314285714</v>
      </c>
      <c r="F26" s="308">
        <f t="shared" si="21"/>
        <v>2.3432933459143235</v>
      </c>
      <c r="G26" s="244">
        <f t="shared" si="22"/>
        <v>372.5133432</v>
      </c>
      <c r="H26" s="308">
        <v>70.9144</v>
      </c>
      <c r="J26" s="244">
        <v>6</v>
      </c>
      <c r="L26" s="190">
        <f t="shared" si="7"/>
        <v>0.000175</v>
      </c>
      <c r="M26" s="427">
        <v>0.175</v>
      </c>
      <c r="N26" s="428">
        <f t="shared" si="8"/>
        <v>0.004025</v>
      </c>
      <c r="O26" s="448">
        <f t="shared" si="9"/>
        <v>7.52E-05</v>
      </c>
      <c r="P26" s="446">
        <v>0.0752</v>
      </c>
      <c r="Q26" s="190">
        <f t="shared" si="10"/>
        <v>0.0222592</v>
      </c>
      <c r="S26" s="244">
        <f t="shared" si="11"/>
        <v>0.016332691232212763</v>
      </c>
      <c r="T26" s="443">
        <f t="shared" si="23"/>
        <v>0.0262842</v>
      </c>
      <c r="U26" s="435">
        <f t="shared" si="12"/>
        <v>0.1577052</v>
      </c>
      <c r="V26" s="340">
        <f t="shared" si="13"/>
        <v>0.04166583883751651</v>
      </c>
      <c r="W26" s="244">
        <f t="shared" si="14"/>
        <v>6.6236184</v>
      </c>
      <c r="X26" s="244">
        <f t="shared" si="15"/>
        <v>1.2609210736721872</v>
      </c>
      <c r="Z26" s="244">
        <f t="shared" si="16"/>
        <v>0.9348858214012008</v>
      </c>
      <c r="AA26" s="449">
        <f t="shared" si="16"/>
        <v>1.5045117523809524</v>
      </c>
      <c r="AB26" s="340">
        <f t="shared" si="16"/>
        <v>9.027070514285715</v>
      </c>
      <c r="AC26" s="244">
        <f t="shared" si="16"/>
        <v>2.38495918475184</v>
      </c>
      <c r="AD26" s="244">
        <f t="shared" si="16"/>
        <v>379.1369616</v>
      </c>
      <c r="AE26" s="244">
        <f t="shared" si="16"/>
        <v>72.1753210736722</v>
      </c>
    </row>
    <row r="27" spans="1:31" ht="12.75">
      <c r="A27" s="195" t="s">
        <v>437</v>
      </c>
      <c r="B27" s="335"/>
      <c r="C27" s="244">
        <f t="shared" si="3"/>
        <v>0.918553130168988</v>
      </c>
      <c r="D27" s="381">
        <f t="shared" si="19"/>
        <v>1.4782275523809523</v>
      </c>
      <c r="E27" s="404">
        <f t="shared" si="20"/>
        <v>8.869365314285714</v>
      </c>
      <c r="F27" s="308">
        <f t="shared" si="21"/>
        <v>2.3432933459143235</v>
      </c>
      <c r="G27" s="244">
        <f t="shared" si="22"/>
        <v>372.5133432</v>
      </c>
      <c r="H27" s="308">
        <v>70.9144</v>
      </c>
      <c r="J27" s="244">
        <v>6</v>
      </c>
      <c r="L27" s="190">
        <f t="shared" si="7"/>
        <v>0.0001642</v>
      </c>
      <c r="M27" s="427">
        <v>0.1642</v>
      </c>
      <c r="N27" s="428">
        <f t="shared" si="8"/>
        <v>0.0037766</v>
      </c>
      <c r="O27" s="448">
        <f t="shared" si="9"/>
        <v>9.29E-05</v>
      </c>
      <c r="P27" s="446">
        <v>0.0929</v>
      </c>
      <c r="Q27" s="190">
        <f t="shared" si="10"/>
        <v>0.0274984</v>
      </c>
      <c r="S27" s="244">
        <f t="shared" si="11"/>
        <v>0.01943391536692972</v>
      </c>
      <c r="T27" s="443">
        <f t="shared" si="23"/>
        <v>0.031275</v>
      </c>
      <c r="U27" s="435">
        <f t="shared" si="12"/>
        <v>0.18764999999999998</v>
      </c>
      <c r="V27" s="340">
        <f t="shared" si="13"/>
        <v>0.04957727873183619</v>
      </c>
      <c r="W27" s="244">
        <f t="shared" si="14"/>
        <v>7.8812999999999995</v>
      </c>
      <c r="X27" s="244">
        <f t="shared" si="15"/>
        <v>1.500342661336379</v>
      </c>
      <c r="Z27" s="244">
        <f t="shared" si="16"/>
        <v>0.9379870455359177</v>
      </c>
      <c r="AA27" s="449">
        <f t="shared" si="16"/>
        <v>1.5095025523809522</v>
      </c>
      <c r="AB27" s="340">
        <f t="shared" si="16"/>
        <v>9.057015314285714</v>
      </c>
      <c r="AC27" s="244">
        <f t="shared" si="16"/>
        <v>2.3928706246461595</v>
      </c>
      <c r="AD27" s="244">
        <f t="shared" si="16"/>
        <v>380.3946432</v>
      </c>
      <c r="AE27" s="244">
        <f t="shared" si="16"/>
        <v>72.41474266133638</v>
      </c>
    </row>
    <row r="28" spans="1:31" ht="12.75">
      <c r="A28" s="195" t="s">
        <v>404</v>
      </c>
      <c r="B28" s="335"/>
      <c r="C28" s="244">
        <f t="shared" si="3"/>
        <v>0.918553130168988</v>
      </c>
      <c r="D28" s="381">
        <f t="shared" si="19"/>
        <v>1.4782275523809523</v>
      </c>
      <c r="E28" s="404">
        <f t="shared" si="20"/>
        <v>8.869365314285714</v>
      </c>
      <c r="F28" s="308">
        <f t="shared" si="21"/>
        <v>2.3432933459143235</v>
      </c>
      <c r="G28" s="244">
        <f t="shared" si="22"/>
        <v>372.5133432</v>
      </c>
      <c r="H28" s="308">
        <v>70.9144</v>
      </c>
      <c r="J28" s="244">
        <v>6</v>
      </c>
      <c r="L28" s="190">
        <f t="shared" si="7"/>
        <v>0.0001111</v>
      </c>
      <c r="M28" s="427">
        <v>0.1111</v>
      </c>
      <c r="N28" s="428">
        <f t="shared" si="8"/>
        <v>0.0025553</v>
      </c>
      <c r="O28" s="448">
        <f t="shared" si="9"/>
        <v>0.0001358</v>
      </c>
      <c r="P28" s="446">
        <v>0.1358</v>
      </c>
      <c r="Q28" s="190">
        <f t="shared" si="10"/>
        <v>0.0401968</v>
      </c>
      <c r="S28" s="244">
        <f t="shared" si="11"/>
        <v>0.026565649661343442</v>
      </c>
      <c r="T28" s="443">
        <f t="shared" si="23"/>
        <v>0.0427521</v>
      </c>
      <c r="U28" s="435">
        <f t="shared" si="12"/>
        <v>0.2565126</v>
      </c>
      <c r="V28" s="340">
        <f t="shared" si="13"/>
        <v>0.06777083223249669</v>
      </c>
      <c r="W28" s="244">
        <f t="shared" si="14"/>
        <v>10.773529199999999</v>
      </c>
      <c r="X28" s="244">
        <f t="shared" si="15"/>
        <v>2.050928840662478</v>
      </c>
      <c r="Z28" s="244">
        <f t="shared" si="16"/>
        <v>0.9451187798303314</v>
      </c>
      <c r="AA28" s="449">
        <f t="shared" si="16"/>
        <v>1.5209796523809522</v>
      </c>
      <c r="AB28" s="340">
        <f t="shared" si="16"/>
        <v>9.125877914285715</v>
      </c>
      <c r="AC28" s="244">
        <f t="shared" si="16"/>
        <v>2.41106417814682</v>
      </c>
      <c r="AD28" s="244">
        <f t="shared" si="16"/>
        <v>383.2868724</v>
      </c>
      <c r="AE28" s="244">
        <f t="shared" si="16"/>
        <v>72.96532884066248</v>
      </c>
    </row>
    <row r="29" spans="1:31" ht="12.75">
      <c r="A29" s="195" t="s">
        <v>405</v>
      </c>
      <c r="B29" s="335"/>
      <c r="C29" s="244">
        <f t="shared" si="3"/>
        <v>0.918553130168988</v>
      </c>
      <c r="D29" s="381">
        <f t="shared" si="19"/>
        <v>1.4782275523809523</v>
      </c>
      <c r="E29" s="404">
        <f t="shared" si="20"/>
        <v>8.869365314285714</v>
      </c>
      <c r="F29" s="308">
        <f t="shared" si="21"/>
        <v>2.3432933459143235</v>
      </c>
      <c r="G29" s="244">
        <f t="shared" si="22"/>
        <v>372.5133432</v>
      </c>
      <c r="H29" s="308">
        <v>70.9144</v>
      </c>
      <c r="J29" s="244">
        <v>6</v>
      </c>
      <c r="L29" s="190">
        <f t="shared" si="7"/>
        <v>0.0001026</v>
      </c>
      <c r="M29" s="427">
        <v>0.1026</v>
      </c>
      <c r="N29" s="428">
        <f t="shared" si="8"/>
        <v>0.0023598</v>
      </c>
      <c r="O29" s="448">
        <f t="shared" si="9"/>
        <v>0.0001383</v>
      </c>
      <c r="P29" s="446">
        <v>0.1383</v>
      </c>
      <c r="Q29" s="190">
        <f t="shared" si="10"/>
        <v>0.0409368</v>
      </c>
      <c r="S29" s="244">
        <f t="shared" si="11"/>
        <v>0.0269039955260051</v>
      </c>
      <c r="T29" s="443">
        <f t="shared" si="23"/>
        <v>0.043296600000000005</v>
      </c>
      <c r="U29" s="435">
        <f t="shared" si="12"/>
        <v>0.2597796</v>
      </c>
      <c r="V29" s="340">
        <f t="shared" si="13"/>
        <v>0.06863397622192867</v>
      </c>
      <c r="W29" s="244">
        <f t="shared" si="14"/>
        <v>10.9107432</v>
      </c>
      <c r="X29" s="244">
        <f t="shared" si="15"/>
        <v>2.077049914334666</v>
      </c>
      <c r="Z29" s="244">
        <f t="shared" si="16"/>
        <v>0.9454571256949931</v>
      </c>
      <c r="AA29" s="449">
        <f t="shared" si="16"/>
        <v>1.5215241523809522</v>
      </c>
      <c r="AB29" s="340">
        <f t="shared" si="16"/>
        <v>9.129144914285714</v>
      </c>
      <c r="AC29" s="244">
        <f t="shared" si="16"/>
        <v>2.4119273221362523</v>
      </c>
      <c r="AD29" s="244">
        <f t="shared" si="16"/>
        <v>383.4240864</v>
      </c>
      <c r="AE29" s="244">
        <f t="shared" si="16"/>
        <v>72.99144991433467</v>
      </c>
    </row>
    <row r="30" spans="1:31" ht="12.75">
      <c r="A30" s="195" t="s">
        <v>406</v>
      </c>
      <c r="B30" s="335"/>
      <c r="C30" s="244">
        <f t="shared" si="3"/>
        <v>0.918553130168988</v>
      </c>
      <c r="D30" s="381">
        <f t="shared" si="19"/>
        <v>1.4782275523809523</v>
      </c>
      <c r="E30" s="404">
        <f t="shared" si="20"/>
        <v>8.869365314285714</v>
      </c>
      <c r="F30" s="308">
        <f t="shared" si="21"/>
        <v>2.3432933459143235</v>
      </c>
      <c r="G30" s="244">
        <f t="shared" si="22"/>
        <v>372.5133432</v>
      </c>
      <c r="H30" s="308">
        <v>70.9144</v>
      </c>
      <c r="J30" s="244">
        <v>6</v>
      </c>
      <c r="L30" s="190">
        <f t="shared" si="7"/>
        <v>9.56E-05</v>
      </c>
      <c r="M30" s="427">
        <v>0.0956</v>
      </c>
      <c r="N30" s="428">
        <f t="shared" si="8"/>
        <v>0.0021988000000000003</v>
      </c>
      <c r="O30" s="448">
        <f t="shared" si="9"/>
        <v>0.0001384</v>
      </c>
      <c r="P30" s="446">
        <v>0.1384</v>
      </c>
      <c r="Q30" s="190">
        <f t="shared" si="10"/>
        <v>0.0409664</v>
      </c>
      <c r="S30" s="244">
        <f t="shared" si="11"/>
        <v>0.02682234511899584</v>
      </c>
      <c r="T30" s="443">
        <f t="shared" si="23"/>
        <v>0.0431652</v>
      </c>
      <c r="U30" s="435">
        <f t="shared" si="12"/>
        <v>0.2589912</v>
      </c>
      <c r="V30" s="340">
        <f t="shared" si="13"/>
        <v>0.06842568031704094</v>
      </c>
      <c r="W30" s="244">
        <f t="shared" si="14"/>
        <v>10.8776304</v>
      </c>
      <c r="X30" s="244">
        <f t="shared" si="15"/>
        <v>2.070746316390634</v>
      </c>
      <c r="Z30" s="244">
        <f t="shared" si="16"/>
        <v>0.9453754752879838</v>
      </c>
      <c r="AA30" s="449">
        <f t="shared" si="16"/>
        <v>1.5213927523809523</v>
      </c>
      <c r="AB30" s="340">
        <f t="shared" si="16"/>
        <v>9.128356514285715</v>
      </c>
      <c r="AC30" s="244">
        <f t="shared" si="16"/>
        <v>2.4117190262313644</v>
      </c>
      <c r="AD30" s="244">
        <f t="shared" si="16"/>
        <v>383.3909736</v>
      </c>
      <c r="AE30" s="244">
        <f t="shared" si="16"/>
        <v>72.98514631639064</v>
      </c>
    </row>
    <row r="31" spans="1:31" ht="12.75">
      <c r="A31" s="195" t="s">
        <v>407</v>
      </c>
      <c r="B31" s="335"/>
      <c r="C31" s="244">
        <f t="shared" si="3"/>
        <v>0.918553130168988</v>
      </c>
      <c r="D31" s="381">
        <f t="shared" si="19"/>
        <v>1.4782275523809523</v>
      </c>
      <c r="E31" s="404">
        <f t="shared" si="20"/>
        <v>8.869365314285714</v>
      </c>
      <c r="F31" s="308">
        <f t="shared" si="21"/>
        <v>2.3432933459143235</v>
      </c>
      <c r="G31" s="244">
        <f t="shared" si="22"/>
        <v>372.5133432</v>
      </c>
      <c r="H31" s="308">
        <v>70.9144</v>
      </c>
      <c r="J31" s="244">
        <v>6</v>
      </c>
      <c r="L31" s="190">
        <f t="shared" si="7"/>
        <v>9.09E-05</v>
      </c>
      <c r="M31" s="427">
        <v>0.0909</v>
      </c>
      <c r="N31" s="428">
        <f t="shared" si="8"/>
        <v>0.0020907</v>
      </c>
      <c r="O31" s="448">
        <f t="shared" si="9"/>
        <v>0.00013370000000000002</v>
      </c>
      <c r="P31" s="446">
        <v>0.1337</v>
      </c>
      <c r="Q31" s="190">
        <f t="shared" si="10"/>
        <v>0.039575200000000005</v>
      </c>
      <c r="S31" s="244">
        <f t="shared" si="11"/>
        <v>0.02589069781892749</v>
      </c>
      <c r="T31" s="443">
        <f t="shared" si="23"/>
        <v>0.041665900000000006</v>
      </c>
      <c r="U31" s="435">
        <f t="shared" si="12"/>
        <v>0.24999540000000003</v>
      </c>
      <c r="V31" s="340">
        <f t="shared" si="13"/>
        <v>0.06604898282694849</v>
      </c>
      <c r="W31" s="244">
        <f t="shared" si="14"/>
        <v>10.499806800000002</v>
      </c>
      <c r="X31" s="244">
        <f t="shared" si="15"/>
        <v>1.9988210165619649</v>
      </c>
      <c r="Z31" s="244">
        <f t="shared" si="16"/>
        <v>0.9444438279879155</v>
      </c>
      <c r="AA31" s="449">
        <f t="shared" si="16"/>
        <v>1.5198934523809522</v>
      </c>
      <c r="AB31" s="340">
        <f t="shared" si="16"/>
        <v>9.119360714285714</v>
      </c>
      <c r="AC31" s="244">
        <f t="shared" si="16"/>
        <v>2.409342328741272</v>
      </c>
      <c r="AD31" s="244">
        <f t="shared" si="16"/>
        <v>383.01315</v>
      </c>
      <c r="AE31" s="244">
        <f t="shared" si="16"/>
        <v>72.91322101656196</v>
      </c>
    </row>
    <row r="32" spans="1:31" ht="12.75">
      <c r="A32" s="195" t="s">
        <v>408</v>
      </c>
      <c r="B32" s="335"/>
      <c r="C32" s="244">
        <f t="shared" si="3"/>
        <v>0.918553130168988</v>
      </c>
      <c r="D32" s="381">
        <f t="shared" si="19"/>
        <v>1.4782275523809523</v>
      </c>
      <c r="E32" s="432">
        <f t="shared" si="20"/>
        <v>8.869365314285714</v>
      </c>
      <c r="F32" s="308">
        <f t="shared" si="21"/>
        <v>2.3432933459143235</v>
      </c>
      <c r="G32" s="244">
        <f t="shared" si="22"/>
        <v>372.5133432</v>
      </c>
      <c r="H32" s="308">
        <v>70.9144</v>
      </c>
      <c r="J32" s="244">
        <v>6</v>
      </c>
      <c r="L32" s="190">
        <f t="shared" si="7"/>
        <v>8.47E-05</v>
      </c>
      <c r="M32" s="427">
        <v>0.0847</v>
      </c>
      <c r="N32" s="428">
        <f t="shared" si="8"/>
        <v>0.0019481</v>
      </c>
      <c r="O32" s="448">
        <f t="shared" si="9"/>
        <v>0.0001274</v>
      </c>
      <c r="P32" s="446">
        <v>0.1274</v>
      </c>
      <c r="Q32" s="190">
        <f t="shared" si="10"/>
        <v>0.037710400000000005</v>
      </c>
      <c r="S32" s="244">
        <f t="shared" si="11"/>
        <v>0.024643323183993045</v>
      </c>
      <c r="T32" s="443">
        <f t="shared" si="23"/>
        <v>0.039658500000000006</v>
      </c>
      <c r="U32" s="435">
        <f t="shared" si="12"/>
        <v>0.23795100000000002</v>
      </c>
      <c r="V32" s="340">
        <f t="shared" si="13"/>
        <v>0.0628668428005284</v>
      </c>
      <c r="W32" s="244">
        <f t="shared" si="14"/>
        <v>9.993942</v>
      </c>
      <c r="X32" s="244">
        <f t="shared" si="15"/>
        <v>1.9025208452312965</v>
      </c>
      <c r="Z32" s="244">
        <f t="shared" si="16"/>
        <v>0.9431964533529811</v>
      </c>
      <c r="AA32" s="449">
        <f t="shared" si="16"/>
        <v>1.5178860523809523</v>
      </c>
      <c r="AB32" s="340">
        <f t="shared" si="16"/>
        <v>9.107316314285715</v>
      </c>
      <c r="AC32" s="244">
        <f t="shared" si="16"/>
        <v>2.406160188714852</v>
      </c>
      <c r="AD32" s="244">
        <f t="shared" si="16"/>
        <v>382.5072852</v>
      </c>
      <c r="AE32" s="244">
        <f t="shared" si="16"/>
        <v>72.8169208452313</v>
      </c>
    </row>
    <row r="33" spans="1:31" ht="12.75">
      <c r="A33" s="195" t="s">
        <v>433</v>
      </c>
      <c r="B33" s="335"/>
      <c r="C33" s="244">
        <f t="shared" si="3"/>
        <v>0.918553130168988</v>
      </c>
      <c r="D33" s="381">
        <f t="shared" si="19"/>
        <v>1.4782275523809523</v>
      </c>
      <c r="E33" s="404">
        <f t="shared" si="20"/>
        <v>8.869365314285714</v>
      </c>
      <c r="F33" s="308">
        <f t="shared" si="21"/>
        <v>2.3432933459143235</v>
      </c>
      <c r="G33" s="244">
        <f t="shared" si="22"/>
        <v>372.5133432</v>
      </c>
      <c r="H33" s="308">
        <v>70.9144</v>
      </c>
      <c r="J33" s="244">
        <v>6</v>
      </c>
      <c r="L33" s="190">
        <f t="shared" si="7"/>
        <v>8.730000000000001E-05</v>
      </c>
      <c r="M33" s="427">
        <v>0.0873</v>
      </c>
      <c r="N33" s="428">
        <f t="shared" si="8"/>
        <v>0.0020079</v>
      </c>
      <c r="O33" s="448">
        <f t="shared" si="9"/>
        <v>0.00013000000000000002</v>
      </c>
      <c r="P33" s="446">
        <v>0.13</v>
      </c>
      <c r="Q33" s="190">
        <f t="shared" si="10"/>
        <v>0.03848000000000001</v>
      </c>
      <c r="S33" s="244">
        <f t="shared" si="11"/>
        <v>0.025158702541477666</v>
      </c>
      <c r="T33" s="443">
        <f t="shared" si="23"/>
        <v>0.04048790000000001</v>
      </c>
      <c r="U33" s="435">
        <f t="shared" si="12"/>
        <v>0.24292740000000004</v>
      </c>
      <c r="V33" s="340">
        <f t="shared" si="13"/>
        <v>0.06418161162483488</v>
      </c>
      <c r="W33" s="244">
        <f t="shared" si="14"/>
        <v>10.202950800000002</v>
      </c>
      <c r="X33" s="244">
        <f t="shared" si="15"/>
        <v>1.9423093089663053</v>
      </c>
      <c r="Z33" s="244">
        <f t="shared" si="16"/>
        <v>0.9437118327104657</v>
      </c>
      <c r="AA33" s="449">
        <f t="shared" si="16"/>
        <v>1.5187154523809523</v>
      </c>
      <c r="AB33" s="340">
        <f t="shared" si="16"/>
        <v>9.112292714285713</v>
      </c>
      <c r="AC33" s="244">
        <f t="shared" si="16"/>
        <v>2.4074749575391583</v>
      </c>
      <c r="AD33" s="244">
        <f t="shared" si="16"/>
        <v>382.716294</v>
      </c>
      <c r="AE33" s="244">
        <f t="shared" si="16"/>
        <v>72.8567093089663</v>
      </c>
    </row>
    <row r="34" spans="1:27" ht="12.75">
      <c r="A34" s="332"/>
      <c r="B34" s="332"/>
      <c r="C34" s="1"/>
      <c r="D34" s="1"/>
      <c r="S34" s="5"/>
      <c r="T34" s="429"/>
      <c r="Z34" s="1"/>
      <c r="AA34" s="1"/>
    </row>
    <row r="35" spans="1:27" ht="12.75">
      <c r="A35" s="332"/>
      <c r="B35" s="332"/>
      <c r="C35" s="1"/>
      <c r="D35" s="1"/>
      <c r="S35" s="1"/>
      <c r="T35" s="429"/>
      <c r="Z35" s="1"/>
      <c r="AA35" s="1"/>
    </row>
    <row r="36" spans="1:27" ht="12.75">
      <c r="A36" s="312" t="s">
        <v>350</v>
      </c>
      <c r="B36" s="312"/>
      <c r="C36" s="1"/>
      <c r="D36" s="1"/>
      <c r="S36" s="8"/>
      <c r="T36" s="429"/>
      <c r="Z36" s="1"/>
      <c r="AA36" s="1"/>
    </row>
    <row r="37" spans="1:31" ht="12.75">
      <c r="A37" s="321" t="s">
        <v>443</v>
      </c>
      <c r="B37" s="334"/>
      <c r="C37" s="244">
        <f t="shared" si="3"/>
        <v>0.23687770562770563</v>
      </c>
      <c r="D37" s="381">
        <f>E37/J37</f>
        <v>0.38120729166666667</v>
      </c>
      <c r="E37" s="404">
        <f>G37/42</f>
        <v>9.148975</v>
      </c>
      <c r="F37" s="308">
        <f>E37/3.785</f>
        <v>2.4171664464993396</v>
      </c>
      <c r="G37" s="244">
        <f>H37*5.253</f>
        <v>384.25695</v>
      </c>
      <c r="H37" s="308">
        <v>73.15</v>
      </c>
      <c r="J37" s="244">
        <v>24</v>
      </c>
      <c r="L37" s="244">
        <f t="shared" si="7"/>
        <v>1.61E-05</v>
      </c>
      <c r="M37" s="364">
        <v>0.0161</v>
      </c>
      <c r="N37" s="381">
        <f t="shared" si="8"/>
        <v>0.00037029999999999995</v>
      </c>
      <c r="O37" s="435">
        <f t="shared" si="9"/>
        <v>1.61E-05</v>
      </c>
      <c r="P37" s="447">
        <v>0.0161</v>
      </c>
      <c r="Q37" s="244">
        <f t="shared" si="10"/>
        <v>0.004765599999999999</v>
      </c>
      <c r="S37" s="244">
        <f>T37/1.6093</f>
        <v>0.0031913875598086117</v>
      </c>
      <c r="T37" s="443">
        <f>N37+Q37</f>
        <v>0.005135899999999999</v>
      </c>
      <c r="U37" s="435">
        <f>T37*J37</f>
        <v>0.12326159999999997</v>
      </c>
      <c r="V37" s="340">
        <f>U37/3.785</f>
        <v>0.032565812417437244</v>
      </c>
      <c r="W37" s="244">
        <f>U37*42</f>
        <v>5.176987199999999</v>
      </c>
      <c r="X37" s="244">
        <f>W37/5.253</f>
        <v>0.9855296402055966</v>
      </c>
      <c r="Z37" s="244">
        <f aca="true" t="shared" si="24" ref="Z37:AE37">S37+C37</f>
        <v>0.24006909318751424</v>
      </c>
      <c r="AA37" s="449">
        <f t="shared" si="24"/>
        <v>0.38634319166666664</v>
      </c>
      <c r="AB37" s="340">
        <f t="shared" si="24"/>
        <v>9.2722366</v>
      </c>
      <c r="AC37" s="244">
        <f t="shared" si="24"/>
        <v>2.449732258916777</v>
      </c>
      <c r="AD37" s="244">
        <f t="shared" si="24"/>
        <v>389.4339372</v>
      </c>
      <c r="AE37" s="244">
        <f t="shared" si="24"/>
        <v>74.1355296402056</v>
      </c>
    </row>
    <row r="38" spans="1:27" ht="12.75">
      <c r="A38" s="314" t="s">
        <v>351</v>
      </c>
      <c r="B38" s="314"/>
      <c r="C38" s="1"/>
      <c r="D38" s="1"/>
      <c r="S38" s="80"/>
      <c r="T38" s="429"/>
      <c r="Z38" s="1"/>
      <c r="AA38" s="1"/>
    </row>
    <row r="39" spans="1:31" ht="12.75">
      <c r="A39" s="321" t="s">
        <v>443</v>
      </c>
      <c r="B39" s="334"/>
      <c r="C39" s="244">
        <f t="shared" si="3"/>
        <v>0.379004329004329</v>
      </c>
      <c r="D39" s="381">
        <f>E39/J39</f>
        <v>0.6099316666666666</v>
      </c>
      <c r="E39" s="404">
        <f>G39/42</f>
        <v>9.148975</v>
      </c>
      <c r="F39" s="308">
        <f>E39/3.785</f>
        <v>2.4171664464993396</v>
      </c>
      <c r="G39" s="244">
        <f>H39*5.253</f>
        <v>384.25695</v>
      </c>
      <c r="H39" s="308">
        <v>73.15</v>
      </c>
      <c r="J39" s="244">
        <v>15</v>
      </c>
      <c r="L39" s="244">
        <f t="shared" si="7"/>
        <v>1.61E-05</v>
      </c>
      <c r="M39" s="364">
        <v>0.0161</v>
      </c>
      <c r="N39" s="381">
        <f t="shared" si="8"/>
        <v>0.00037029999999999995</v>
      </c>
      <c r="O39" s="435">
        <f t="shared" si="9"/>
        <v>3.22E-05</v>
      </c>
      <c r="P39" s="447">
        <v>0.0322</v>
      </c>
      <c r="Q39" s="244">
        <f t="shared" si="10"/>
        <v>0.009531199999999998</v>
      </c>
      <c r="S39" s="244">
        <f>T39/1.6093</f>
        <v>0.006152675076120052</v>
      </c>
      <c r="T39" s="443">
        <f>N39+Q39</f>
        <v>0.009901499999999999</v>
      </c>
      <c r="U39" s="435">
        <f>T39*J39</f>
        <v>0.14852249999999997</v>
      </c>
      <c r="V39" s="340">
        <f>U39/3.785</f>
        <v>0.03923976221928665</v>
      </c>
      <c r="W39" s="244">
        <f>U39*42</f>
        <v>6.237944999999999</v>
      </c>
      <c r="X39" s="244">
        <f>W39/5.253</f>
        <v>1.187501427755568</v>
      </c>
      <c r="Z39" s="244">
        <f aca="true" t="shared" si="25" ref="Z39:AE39">S39+C39</f>
        <v>0.38515700408044906</v>
      </c>
      <c r="AA39" s="449">
        <f t="shared" si="25"/>
        <v>0.6198331666666667</v>
      </c>
      <c r="AB39" s="340">
        <f t="shared" si="25"/>
        <v>9.2974975</v>
      </c>
      <c r="AC39" s="244">
        <f t="shared" si="25"/>
        <v>2.4564062087186262</v>
      </c>
      <c r="AD39" s="244">
        <f t="shared" si="25"/>
        <v>390.49489500000004</v>
      </c>
      <c r="AE39" s="244">
        <f t="shared" si="25"/>
        <v>74.33750142775557</v>
      </c>
    </row>
    <row r="40" spans="1:27" ht="12.75">
      <c r="A40" s="314" t="s">
        <v>352</v>
      </c>
      <c r="B40" s="314"/>
      <c r="C40" s="1"/>
      <c r="D40" s="1"/>
      <c r="S40" s="80"/>
      <c r="T40" s="429"/>
      <c r="Z40" s="1"/>
      <c r="AA40" s="1"/>
    </row>
    <row r="41" spans="1:31" ht="12.75">
      <c r="A41" s="403" t="s">
        <v>438</v>
      </c>
      <c r="B41" s="334"/>
      <c r="C41" s="244">
        <f t="shared" si="3"/>
        <v>0.812152133580705</v>
      </c>
      <c r="D41" s="381">
        <f>E41/J41</f>
        <v>1.3069964285714286</v>
      </c>
      <c r="E41" s="404">
        <f>G41/42</f>
        <v>9.148975</v>
      </c>
      <c r="F41" s="308">
        <f>E41/3.785</f>
        <v>2.4171664464993396</v>
      </c>
      <c r="G41" s="244">
        <f>H41*5.253</f>
        <v>384.25695</v>
      </c>
      <c r="H41" s="308">
        <v>73.15</v>
      </c>
      <c r="J41" s="244">
        <v>7</v>
      </c>
      <c r="L41" s="244">
        <f t="shared" si="7"/>
        <v>9.66E-05</v>
      </c>
      <c r="M41" s="364">
        <v>0.0966</v>
      </c>
      <c r="N41" s="381">
        <f t="shared" si="8"/>
        <v>0.0022218</v>
      </c>
      <c r="O41" s="435">
        <f t="shared" si="9"/>
        <v>4.83E-05</v>
      </c>
      <c r="P41" s="447">
        <v>0.0483</v>
      </c>
      <c r="Q41" s="244">
        <f t="shared" si="10"/>
        <v>0.0142968</v>
      </c>
      <c r="S41" s="244">
        <f>T41/1.6093</f>
        <v>0.010264462809917356</v>
      </c>
      <c r="T41" s="443">
        <f>N41+Q41</f>
        <v>0.0165186</v>
      </c>
      <c r="U41" s="435">
        <f>T41*J41</f>
        <v>0.11563020000000002</v>
      </c>
      <c r="V41" s="340">
        <f>U41/3.785</f>
        <v>0.03054959048877147</v>
      </c>
      <c r="W41" s="244">
        <f>U41*42</f>
        <v>4.856468400000001</v>
      </c>
      <c r="X41" s="244">
        <f>W41/5.253</f>
        <v>0.9245133066818961</v>
      </c>
      <c r="Z41" s="244">
        <f aca="true" t="shared" si="26" ref="Z41:AE43">S41+C41</f>
        <v>0.8224165963906224</v>
      </c>
      <c r="AA41" s="449">
        <f t="shared" si="26"/>
        <v>1.3235150285714286</v>
      </c>
      <c r="AB41" s="340">
        <f t="shared" si="26"/>
        <v>9.2646052</v>
      </c>
      <c r="AC41" s="244">
        <f t="shared" si="26"/>
        <v>2.447716036988111</v>
      </c>
      <c r="AD41" s="244">
        <f t="shared" si="26"/>
        <v>389.1134184</v>
      </c>
      <c r="AE41" s="244">
        <f t="shared" si="26"/>
        <v>74.07451330668191</v>
      </c>
    </row>
    <row r="42" spans="1:31" ht="12.75">
      <c r="A42" s="146" t="s">
        <v>439</v>
      </c>
      <c r="B42" s="335"/>
      <c r="C42" s="244">
        <f t="shared" si="3"/>
        <v>0.812152133580705</v>
      </c>
      <c r="D42" s="381">
        <f>E42/J42</f>
        <v>1.3069964285714286</v>
      </c>
      <c r="E42" s="404">
        <f>G42/42</f>
        <v>9.148975</v>
      </c>
      <c r="F42" s="308">
        <f>E42/3.785</f>
        <v>2.4171664464993396</v>
      </c>
      <c r="G42" s="244">
        <f>H42*5.253</f>
        <v>384.25695</v>
      </c>
      <c r="H42" s="308">
        <v>73.15</v>
      </c>
      <c r="J42" s="244">
        <v>7</v>
      </c>
      <c r="L42" s="244">
        <f t="shared" si="7"/>
        <v>8.05E-05</v>
      </c>
      <c r="M42" s="364">
        <v>0.0805</v>
      </c>
      <c r="N42" s="381">
        <f t="shared" si="8"/>
        <v>0.0018515</v>
      </c>
      <c r="O42" s="435">
        <f t="shared" si="9"/>
        <v>4.83E-05</v>
      </c>
      <c r="P42" s="447">
        <v>0.0483</v>
      </c>
      <c r="Q42" s="244">
        <f t="shared" si="10"/>
        <v>0.0142968</v>
      </c>
      <c r="S42" s="244">
        <f>T42/1.6093</f>
        <v>0.010034362766420184</v>
      </c>
      <c r="T42" s="443">
        <f>N42+Q42</f>
        <v>0.0161483</v>
      </c>
      <c r="U42" s="435">
        <f>T42*J42</f>
        <v>0.1130381</v>
      </c>
      <c r="V42" s="340">
        <f>U42/3.785</f>
        <v>0.029864755614266842</v>
      </c>
      <c r="W42" s="244">
        <f>U42*42</f>
        <v>4.7476002</v>
      </c>
      <c r="X42" s="244">
        <f>W42/5.253</f>
        <v>0.9037883495145631</v>
      </c>
      <c r="Z42" s="244">
        <f t="shared" si="26"/>
        <v>0.8221864963471253</v>
      </c>
      <c r="AA42" s="449">
        <f t="shared" si="26"/>
        <v>1.3231447285714286</v>
      </c>
      <c r="AB42" s="340">
        <f t="shared" si="26"/>
        <v>9.2620131</v>
      </c>
      <c r="AC42" s="244">
        <f t="shared" si="26"/>
        <v>2.4470312021136067</v>
      </c>
      <c r="AD42" s="244">
        <f t="shared" si="26"/>
        <v>389.00455020000004</v>
      </c>
      <c r="AE42" s="244">
        <f t="shared" si="26"/>
        <v>74.05378834951456</v>
      </c>
    </row>
    <row r="43" spans="1:31" ht="12.75">
      <c r="A43" s="195" t="s">
        <v>440</v>
      </c>
      <c r="B43" s="336"/>
      <c r="C43" s="244">
        <f t="shared" si="3"/>
        <v>0.812152133580705</v>
      </c>
      <c r="D43" s="381">
        <f>E43/J43</f>
        <v>1.3069964285714286</v>
      </c>
      <c r="E43" s="404">
        <f>G43/42</f>
        <v>9.148975</v>
      </c>
      <c r="F43" s="308">
        <f>E43/3.785</f>
        <v>2.4171664464993396</v>
      </c>
      <c r="G43" s="244">
        <f>H43*5.253</f>
        <v>384.25695</v>
      </c>
      <c r="H43" s="308">
        <v>73.15</v>
      </c>
      <c r="J43" s="244">
        <v>7</v>
      </c>
      <c r="L43" s="244">
        <f t="shared" si="7"/>
        <v>6.44E-05</v>
      </c>
      <c r="M43" s="364">
        <v>0.0644</v>
      </c>
      <c r="N43" s="381">
        <f t="shared" si="8"/>
        <v>0.0014811999999999998</v>
      </c>
      <c r="O43" s="435">
        <f t="shared" si="9"/>
        <v>4.83E-05</v>
      </c>
      <c r="P43" s="447">
        <v>0.0483</v>
      </c>
      <c r="Q43" s="244">
        <f t="shared" si="10"/>
        <v>0.0142968</v>
      </c>
      <c r="S43" s="244">
        <f>T43/1.6093</f>
        <v>0.00980426272292301</v>
      </c>
      <c r="T43" s="443">
        <f>N43+Q43</f>
        <v>0.015778</v>
      </c>
      <c r="U43" s="435">
        <f>T43*J43</f>
        <v>0.110446</v>
      </c>
      <c r="V43" s="340">
        <f>U43/3.785</f>
        <v>0.02917992073976222</v>
      </c>
      <c r="W43" s="244">
        <f>U43*42</f>
        <v>4.638732</v>
      </c>
      <c r="X43" s="244">
        <f>W43/5.253</f>
        <v>0.8830633923472302</v>
      </c>
      <c r="Z43" s="244">
        <f t="shared" si="26"/>
        <v>0.821956396303628</v>
      </c>
      <c r="AA43" s="449">
        <f t="shared" si="26"/>
        <v>1.3227744285714287</v>
      </c>
      <c r="AB43" s="340">
        <f t="shared" si="26"/>
        <v>9.259421</v>
      </c>
      <c r="AC43" s="244">
        <f t="shared" si="26"/>
        <v>2.446346367239102</v>
      </c>
      <c r="AD43" s="244">
        <f t="shared" si="26"/>
        <v>388.895682</v>
      </c>
      <c r="AE43" s="244">
        <f t="shared" si="26"/>
        <v>74.03306339234723</v>
      </c>
    </row>
    <row r="44" spans="1:27" ht="12.75">
      <c r="A44" s="315"/>
      <c r="B44" s="315"/>
      <c r="C44" s="1"/>
      <c r="D44" s="1"/>
      <c r="S44" s="5"/>
      <c r="T44" s="429"/>
      <c r="Z44" s="1"/>
      <c r="AA44" s="1"/>
    </row>
    <row r="45" spans="1:27" ht="12.75">
      <c r="A45" s="312" t="s">
        <v>353</v>
      </c>
      <c r="B45" s="312"/>
      <c r="C45" s="1"/>
      <c r="D45" s="1"/>
      <c r="S45" s="8"/>
      <c r="T45" s="429"/>
      <c r="Z45" s="1"/>
      <c r="AA45" s="1"/>
    </row>
    <row r="46" spans="1:31" ht="12.75">
      <c r="A46" s="146" t="s">
        <v>441</v>
      </c>
      <c r="B46" s="334"/>
      <c r="C46" s="244">
        <f t="shared" si="3"/>
        <v>0.0918553130168988</v>
      </c>
      <c r="D46" s="381">
        <f>E46/J46</f>
        <v>0.14782275523809524</v>
      </c>
      <c r="E46" s="404">
        <f>G46/42</f>
        <v>8.869365314285714</v>
      </c>
      <c r="F46" s="308">
        <f>E46/3.785</f>
        <v>2.3432933459143235</v>
      </c>
      <c r="G46" s="244">
        <f>H46*5.253</f>
        <v>372.5133432</v>
      </c>
      <c r="H46" s="308">
        <v>70.9144</v>
      </c>
      <c r="J46" s="244">
        <v>60</v>
      </c>
      <c r="L46" s="244">
        <f t="shared" si="7"/>
        <v>0.0004184</v>
      </c>
      <c r="M46" s="364">
        <v>0.4184</v>
      </c>
      <c r="N46" s="381">
        <f t="shared" si="8"/>
        <v>0.0096232</v>
      </c>
      <c r="O46" s="435">
        <f t="shared" si="9"/>
        <v>7.100000000000001E-06</v>
      </c>
      <c r="P46" s="447">
        <v>0.0071</v>
      </c>
      <c r="Q46" s="244">
        <f t="shared" si="10"/>
        <v>0.0021016000000000003</v>
      </c>
      <c r="S46" s="244">
        <f>T46/1.6093</f>
        <v>0.007285652146896166</v>
      </c>
      <c r="T46" s="443">
        <f>N46+Q46</f>
        <v>0.0117248</v>
      </c>
      <c r="U46" s="435">
        <f>T46*J46</f>
        <v>0.703488</v>
      </c>
      <c r="V46" s="340">
        <f>U46/3.785</f>
        <v>0.18586208718626154</v>
      </c>
      <c r="W46" s="244">
        <f>U46*42</f>
        <v>29.546496</v>
      </c>
      <c r="X46" s="244">
        <f>W46/5.253</f>
        <v>5.6246898914905765</v>
      </c>
      <c r="Z46" s="244">
        <f aca="true" t="shared" si="27" ref="Z46:AE47">S46+C46</f>
        <v>0.09914096516379496</v>
      </c>
      <c r="AA46" s="449">
        <f t="shared" si="27"/>
        <v>0.15954755523809525</v>
      </c>
      <c r="AB46" s="340">
        <f t="shared" si="27"/>
        <v>9.572853314285714</v>
      </c>
      <c r="AC46" s="244">
        <f t="shared" si="27"/>
        <v>2.529155433100585</v>
      </c>
      <c r="AD46" s="244">
        <f t="shared" si="27"/>
        <v>402.0598392</v>
      </c>
      <c r="AE46" s="244">
        <f t="shared" si="27"/>
        <v>76.53908989149058</v>
      </c>
    </row>
    <row r="47" spans="1:31" ht="12.75">
      <c r="A47" s="195" t="s">
        <v>442</v>
      </c>
      <c r="B47" s="335"/>
      <c r="C47" s="244">
        <f t="shared" si="3"/>
        <v>0.0918553130168988</v>
      </c>
      <c r="D47" s="381">
        <f>E47/J47</f>
        <v>0.14782275523809524</v>
      </c>
      <c r="E47" s="404">
        <f>G47/42</f>
        <v>8.869365314285714</v>
      </c>
      <c r="F47" s="308">
        <f>E47/3.785</f>
        <v>2.3432933459143235</v>
      </c>
      <c r="G47" s="244">
        <f>H47*5.253</f>
        <v>372.5133432</v>
      </c>
      <c r="H47" s="308">
        <v>70.9144</v>
      </c>
      <c r="J47" s="244">
        <v>60</v>
      </c>
      <c r="L47" s="244">
        <f t="shared" si="7"/>
        <v>0.0002092</v>
      </c>
      <c r="M47" s="364">
        <v>0.2092</v>
      </c>
      <c r="N47" s="381">
        <f t="shared" si="8"/>
        <v>0.0048116</v>
      </c>
      <c r="O47" s="435">
        <f t="shared" si="9"/>
        <v>7.100000000000001E-06</v>
      </c>
      <c r="P47" s="447">
        <v>0.0071</v>
      </c>
      <c r="Q47" s="244">
        <f t="shared" si="10"/>
        <v>0.0021016000000000003</v>
      </c>
      <c r="S47" s="244">
        <f>T47/1.6093</f>
        <v>0.004295780774249674</v>
      </c>
      <c r="T47" s="443">
        <f>N47+Q47</f>
        <v>0.0069132</v>
      </c>
      <c r="U47" s="435">
        <f>T47*J47</f>
        <v>0.41479200000000005</v>
      </c>
      <c r="V47" s="340">
        <f>U47/3.785</f>
        <v>0.1095883751651255</v>
      </c>
      <c r="W47" s="244">
        <f>U47*42</f>
        <v>17.421264</v>
      </c>
      <c r="X47" s="244">
        <f>W47/5.253</f>
        <v>3.3164408909194747</v>
      </c>
      <c r="Z47" s="244">
        <f t="shared" si="27"/>
        <v>0.09615109379114847</v>
      </c>
      <c r="AA47" s="449">
        <f t="shared" si="27"/>
        <v>0.15473595523809525</v>
      </c>
      <c r="AB47" s="340">
        <f t="shared" si="27"/>
        <v>9.284157314285714</v>
      </c>
      <c r="AC47" s="244">
        <f t="shared" si="27"/>
        <v>2.452881721079449</v>
      </c>
      <c r="AD47" s="244">
        <f t="shared" si="27"/>
        <v>389.9346072</v>
      </c>
      <c r="AE47" s="244">
        <f t="shared" si="27"/>
        <v>74.23084089091948</v>
      </c>
    </row>
    <row r="48" ht="12.75">
      <c r="S48" s="1"/>
    </row>
    <row r="49" ht="12.75">
      <c r="A49" s="372" t="s">
        <v>418</v>
      </c>
    </row>
    <row r="50" ht="12.75">
      <c r="A50" s="372" t="s">
        <v>419</v>
      </c>
    </row>
    <row r="51" ht="12.75">
      <c r="A51" s="372" t="s">
        <v>420</v>
      </c>
    </row>
    <row r="52" ht="12.75">
      <c r="A52" s="372" t="s">
        <v>421</v>
      </c>
    </row>
    <row r="53" ht="12.75">
      <c r="A53" s="372" t="s">
        <v>422</v>
      </c>
    </row>
    <row r="54" ht="12.75">
      <c r="A54" s="372" t="s">
        <v>423</v>
      </c>
    </row>
    <row r="55" ht="12.75">
      <c r="A55" s="372" t="s">
        <v>424</v>
      </c>
    </row>
    <row r="56" ht="12.75">
      <c r="A56" s="372" t="s">
        <v>425</v>
      </c>
    </row>
    <row r="57" ht="12.75">
      <c r="A57" s="372" t="s">
        <v>426</v>
      </c>
    </row>
    <row r="58" ht="12.75">
      <c r="A58" s="372" t="s">
        <v>427</v>
      </c>
    </row>
    <row r="59" ht="12.75">
      <c r="A59" s="372" t="s">
        <v>428</v>
      </c>
    </row>
  </sheetData>
  <mergeCells count="13">
    <mergeCell ref="A12:B12"/>
    <mergeCell ref="A4:B4"/>
    <mergeCell ref="A5:B5"/>
    <mergeCell ref="A6:B6"/>
    <mergeCell ref="A7:B7"/>
    <mergeCell ref="A8:B8"/>
    <mergeCell ref="A9:B9"/>
    <mergeCell ref="A10:B10"/>
    <mergeCell ref="L1:Q1"/>
    <mergeCell ref="S1:X1"/>
    <mergeCell ref="Z1:AE1"/>
    <mergeCell ref="A11:B11"/>
    <mergeCell ref="C1:H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Q91"/>
  <sheetViews>
    <sheetView zoomScale="75" zoomScaleNormal="75" workbookViewId="0" topLeftCell="A1">
      <selection activeCell="F64" sqref="F64"/>
    </sheetView>
  </sheetViews>
  <sheetFormatPr defaultColWidth="9.140625" defaultRowHeight="12.75"/>
  <cols>
    <col min="1" max="1" width="3.7109375" style="0" customWidth="1"/>
    <col min="2" max="2" width="11.28125" style="0" customWidth="1"/>
    <col min="3" max="3" width="14.8515625" style="0" bestFit="1" customWidth="1"/>
    <col min="4" max="4" width="16.57421875" style="0" customWidth="1"/>
    <col min="5" max="5" width="13.8515625" style="0" customWidth="1"/>
    <col min="6" max="6" width="18.8515625" style="0" customWidth="1"/>
    <col min="7" max="7" width="16.7109375" style="0" customWidth="1"/>
    <col min="9" max="9" width="19.28125" style="0" customWidth="1"/>
    <col min="10" max="10" width="8.7109375" style="0" customWidth="1"/>
    <col min="12" max="12" width="10.7109375" style="0" customWidth="1"/>
    <col min="17" max="17" width="12.00390625" style="0" bestFit="1" customWidth="1"/>
  </cols>
  <sheetData>
    <row r="1" ht="12.75">
      <c r="C1" t="s">
        <v>431</v>
      </c>
    </row>
    <row r="2" spans="2:11" ht="12.75">
      <c r="B2" s="153"/>
      <c r="C2" s="154"/>
      <c r="D2" s="574" t="s">
        <v>410</v>
      </c>
      <c r="E2" s="635"/>
      <c r="F2" s="575"/>
      <c r="G2" s="575"/>
      <c r="H2" s="575"/>
      <c r="I2" s="576"/>
      <c r="K2" s="372" t="s">
        <v>418</v>
      </c>
    </row>
    <row r="3" spans="2:13" ht="12.75">
      <c r="B3" s="153"/>
      <c r="C3" s="153"/>
      <c r="D3" s="374" t="s">
        <v>333</v>
      </c>
      <c r="E3" s="310" t="s">
        <v>334</v>
      </c>
      <c r="F3" s="354" t="s">
        <v>335</v>
      </c>
      <c r="G3" s="359" t="s">
        <v>336</v>
      </c>
      <c r="H3" s="359" t="s">
        <v>337</v>
      </c>
      <c r="I3" s="354" t="s">
        <v>338</v>
      </c>
      <c r="K3" s="372" t="s">
        <v>419</v>
      </c>
      <c r="M3">
        <f>(29+23+19)/3</f>
        <v>23.666666666666668</v>
      </c>
    </row>
    <row r="4" spans="2:11" ht="12.75">
      <c r="B4" s="312" t="s">
        <v>341</v>
      </c>
      <c r="C4" s="333"/>
      <c r="D4" s="147"/>
      <c r="E4" s="375"/>
      <c r="F4" s="153"/>
      <c r="G4" s="156"/>
      <c r="H4" s="153"/>
      <c r="I4" s="156"/>
      <c r="K4" s="372" t="s">
        <v>420</v>
      </c>
    </row>
    <row r="5" spans="2:11" ht="12.75">
      <c r="B5" s="580" t="s">
        <v>401</v>
      </c>
      <c r="C5" s="641"/>
      <c r="D5" s="360">
        <f>E5/1.6093</f>
        <v>0.23353045682262405</v>
      </c>
      <c r="E5" s="307">
        <f>F5/23.6</f>
        <v>0.3758205641646489</v>
      </c>
      <c r="F5" s="308">
        <f>H5/42</f>
        <v>8.869365314285714</v>
      </c>
      <c r="G5" s="259">
        <f>F5/3.785</f>
        <v>2.3432933459143235</v>
      </c>
      <c r="H5" s="244">
        <f>I5*5.253</f>
        <v>372.5133432</v>
      </c>
      <c r="I5" s="308">
        <v>70.9144</v>
      </c>
      <c r="K5" s="372" t="s">
        <v>421</v>
      </c>
    </row>
    <row r="6" spans="2:11" ht="12.75">
      <c r="B6" s="580" t="s">
        <v>402</v>
      </c>
      <c r="C6" s="641"/>
      <c r="D6" s="360">
        <f aca="true" t="shared" si="0" ref="D6:D13">E6/1.6093</f>
        <v>0.23353045682262405</v>
      </c>
      <c r="E6" s="307">
        <f>F6/23.6</f>
        <v>0.3758205641646489</v>
      </c>
      <c r="F6" s="308">
        <f aca="true" t="shared" si="1" ref="F6:F13">H6/42</f>
        <v>8.869365314285714</v>
      </c>
      <c r="G6" s="259">
        <f aca="true" t="shared" si="2" ref="G6:G13">F6/3.785</f>
        <v>2.3432933459143235</v>
      </c>
      <c r="H6" s="244">
        <f aca="true" t="shared" si="3" ref="H6:H13">I6*5.253</f>
        <v>372.5133432</v>
      </c>
      <c r="I6" s="308">
        <v>70.9144</v>
      </c>
      <c r="K6" s="372" t="s">
        <v>422</v>
      </c>
    </row>
    <row r="7" spans="2:11" ht="12.75">
      <c r="B7" s="580" t="s">
        <v>403</v>
      </c>
      <c r="C7" s="641"/>
      <c r="D7" s="360">
        <f t="shared" si="0"/>
        <v>0.23353045682262405</v>
      </c>
      <c r="E7" s="307">
        <f aca="true" t="shared" si="4" ref="E7:E13">F7/23.6</f>
        <v>0.3758205641646489</v>
      </c>
      <c r="F7" s="308">
        <f t="shared" si="1"/>
        <v>8.869365314285714</v>
      </c>
      <c r="G7" s="259">
        <f t="shared" si="2"/>
        <v>2.3432933459143235</v>
      </c>
      <c r="H7" s="244">
        <f t="shared" si="3"/>
        <v>372.5133432</v>
      </c>
      <c r="I7" s="308">
        <v>70.9144</v>
      </c>
      <c r="K7" s="372" t="s">
        <v>423</v>
      </c>
    </row>
    <row r="8" spans="2:11" ht="12.75">
      <c r="B8" s="580" t="s">
        <v>404</v>
      </c>
      <c r="C8" s="641"/>
      <c r="D8" s="360">
        <f t="shared" si="0"/>
        <v>0.23353045682262405</v>
      </c>
      <c r="E8" s="307">
        <f t="shared" si="4"/>
        <v>0.3758205641646489</v>
      </c>
      <c r="F8" s="308">
        <f t="shared" si="1"/>
        <v>8.869365314285714</v>
      </c>
      <c r="G8" s="259">
        <f t="shared" si="2"/>
        <v>2.3432933459143235</v>
      </c>
      <c r="H8" s="244">
        <f t="shared" si="3"/>
        <v>372.5133432</v>
      </c>
      <c r="I8" s="308">
        <v>70.9144</v>
      </c>
      <c r="K8" s="372" t="s">
        <v>424</v>
      </c>
    </row>
    <row r="9" spans="2:11" ht="12.75">
      <c r="B9" s="580" t="s">
        <v>405</v>
      </c>
      <c r="C9" s="641"/>
      <c r="D9" s="360">
        <f t="shared" si="0"/>
        <v>0.23353045682262405</v>
      </c>
      <c r="E9" s="307">
        <f t="shared" si="4"/>
        <v>0.3758205641646489</v>
      </c>
      <c r="F9" s="308">
        <f t="shared" si="1"/>
        <v>8.869365314285714</v>
      </c>
      <c r="G9" s="259">
        <f t="shared" si="2"/>
        <v>2.3432933459143235</v>
      </c>
      <c r="H9" s="244">
        <f t="shared" si="3"/>
        <v>372.5133432</v>
      </c>
      <c r="I9" s="308">
        <v>70.9144</v>
      </c>
      <c r="K9" s="372" t="s">
        <v>425</v>
      </c>
    </row>
    <row r="10" spans="2:11" ht="12.75">
      <c r="B10" s="580" t="s">
        <v>406</v>
      </c>
      <c r="C10" s="641"/>
      <c r="D10" s="360">
        <f t="shared" si="0"/>
        <v>0.23353045682262405</v>
      </c>
      <c r="E10" s="307">
        <f t="shared" si="4"/>
        <v>0.3758205641646489</v>
      </c>
      <c r="F10" s="308">
        <f t="shared" si="1"/>
        <v>8.869365314285714</v>
      </c>
      <c r="G10" s="259">
        <f t="shared" si="2"/>
        <v>2.3432933459143235</v>
      </c>
      <c r="H10" s="244">
        <f t="shared" si="3"/>
        <v>372.5133432</v>
      </c>
      <c r="I10" s="308">
        <v>70.9144</v>
      </c>
      <c r="K10" s="372" t="s">
        <v>426</v>
      </c>
    </row>
    <row r="11" spans="2:11" ht="12.75">
      <c r="B11" s="580" t="s">
        <v>407</v>
      </c>
      <c r="C11" s="641"/>
      <c r="D11" s="360">
        <f t="shared" si="0"/>
        <v>0.23353045682262405</v>
      </c>
      <c r="E11" s="307">
        <f t="shared" si="4"/>
        <v>0.3758205641646489</v>
      </c>
      <c r="F11" s="308">
        <f t="shared" si="1"/>
        <v>8.869365314285714</v>
      </c>
      <c r="G11" s="259">
        <f t="shared" si="2"/>
        <v>2.3432933459143235</v>
      </c>
      <c r="H11" s="244">
        <f t="shared" si="3"/>
        <v>372.5133432</v>
      </c>
      <c r="I11" s="308">
        <v>70.9144</v>
      </c>
      <c r="K11" s="372" t="s">
        <v>427</v>
      </c>
    </row>
    <row r="12" spans="2:11" ht="12.75">
      <c r="B12" s="580" t="s">
        <v>408</v>
      </c>
      <c r="C12" s="641"/>
      <c r="D12" s="360">
        <f t="shared" si="0"/>
        <v>0.23353045682262405</v>
      </c>
      <c r="E12" s="307">
        <f t="shared" si="4"/>
        <v>0.3758205641646489</v>
      </c>
      <c r="F12" s="308">
        <f t="shared" si="1"/>
        <v>8.869365314285714</v>
      </c>
      <c r="G12" s="259">
        <f t="shared" si="2"/>
        <v>2.3432933459143235</v>
      </c>
      <c r="H12" s="244">
        <f t="shared" si="3"/>
        <v>372.5133432</v>
      </c>
      <c r="I12" s="308">
        <v>70.9144</v>
      </c>
      <c r="K12" s="372" t="s">
        <v>428</v>
      </c>
    </row>
    <row r="13" spans="2:9" ht="12.75">
      <c r="B13" s="580" t="s">
        <v>409</v>
      </c>
      <c r="C13" s="641"/>
      <c r="D13" s="360">
        <f t="shared" si="0"/>
        <v>0.23353045682262405</v>
      </c>
      <c r="E13" s="307">
        <f t="shared" si="4"/>
        <v>0.3758205641646489</v>
      </c>
      <c r="F13" s="308">
        <f t="shared" si="1"/>
        <v>8.869365314285714</v>
      </c>
      <c r="G13" s="259">
        <f t="shared" si="2"/>
        <v>2.3432933459143235</v>
      </c>
      <c r="H13" s="244">
        <f t="shared" si="3"/>
        <v>372.5133432</v>
      </c>
      <c r="I13" s="308">
        <v>70.9144</v>
      </c>
    </row>
    <row r="17" spans="2:6" ht="12.75">
      <c r="B17" s="361" t="s">
        <v>417</v>
      </c>
      <c r="C17" s="49"/>
      <c r="D17" s="361"/>
      <c r="E17" s="49"/>
      <c r="F17" t="s">
        <v>430</v>
      </c>
    </row>
    <row r="18" spans="2:5" ht="12.75">
      <c r="B18" s="49" t="s">
        <v>444</v>
      </c>
      <c r="C18" s="49"/>
      <c r="D18" s="49"/>
      <c r="E18" s="49"/>
    </row>
    <row r="19" spans="2:9" ht="12.75">
      <c r="B19" s="362" t="s">
        <v>412</v>
      </c>
      <c r="C19" s="362" t="s">
        <v>411</v>
      </c>
      <c r="D19" s="362" t="s">
        <v>415</v>
      </c>
      <c r="E19" s="362" t="s">
        <v>413</v>
      </c>
      <c r="F19" s="362" t="s">
        <v>414</v>
      </c>
      <c r="G19" s="362" t="s">
        <v>416</v>
      </c>
      <c r="I19" s="362" t="s">
        <v>445</v>
      </c>
    </row>
    <row r="20" spans="2:10" ht="12.75">
      <c r="B20" s="363">
        <v>6.44E-05</v>
      </c>
      <c r="C20" s="364">
        <v>0.0644</v>
      </c>
      <c r="D20" s="365">
        <v>0.0014811999999999998</v>
      </c>
      <c r="E20" s="363">
        <v>8.16E-05</v>
      </c>
      <c r="F20" s="364">
        <v>0.0816</v>
      </c>
      <c r="G20" s="365">
        <v>0.0241536</v>
      </c>
      <c r="I20" s="377">
        <f aca="true" t="shared" si="5" ref="I20:I28">G20+D20</f>
        <v>0.0256348</v>
      </c>
      <c r="J20">
        <f>I20*$M$3</f>
        <v>0.6066902666666667</v>
      </c>
    </row>
    <row r="21" spans="2:10" ht="12.75">
      <c r="B21" s="363">
        <v>5.8E-05</v>
      </c>
      <c r="C21" s="364">
        <v>0.058</v>
      </c>
      <c r="D21" s="365">
        <v>0.0013340000000000001</v>
      </c>
      <c r="E21" s="363">
        <v>6.75E-05</v>
      </c>
      <c r="F21" s="364">
        <v>0.0675</v>
      </c>
      <c r="G21" s="365">
        <v>0.01998</v>
      </c>
      <c r="I21" s="377">
        <f t="shared" si="5"/>
        <v>0.021314</v>
      </c>
      <c r="J21">
        <f aca="true" t="shared" si="6" ref="J21:J28">I21*$M$3</f>
        <v>0.5044313333333333</v>
      </c>
    </row>
    <row r="22" spans="2:17" ht="12.75">
      <c r="B22" s="363">
        <v>5.15E-05</v>
      </c>
      <c r="C22" s="364">
        <v>0.0515</v>
      </c>
      <c r="D22" s="365">
        <v>0.0011845</v>
      </c>
      <c r="E22" s="363">
        <v>5.3400000000000004E-05</v>
      </c>
      <c r="F22" s="364">
        <v>0.0534</v>
      </c>
      <c r="G22" s="365">
        <v>0.0158064</v>
      </c>
      <c r="I22" s="377">
        <f t="shared" si="5"/>
        <v>0.016990900000000003</v>
      </c>
      <c r="J22">
        <f t="shared" si="6"/>
        <v>0.40211796666666677</v>
      </c>
      <c r="L22" s="392"/>
      <c r="M22" s="393"/>
      <c r="N22" s="337"/>
      <c r="O22" s="394"/>
      <c r="P22" s="394"/>
      <c r="Q22" s="337"/>
    </row>
    <row r="23" spans="2:17" ht="12.75">
      <c r="B23" s="363">
        <v>4.83E-05</v>
      </c>
      <c r="C23" s="364">
        <v>0.0483</v>
      </c>
      <c r="D23" s="365">
        <v>0.0011109</v>
      </c>
      <c r="E23" s="363">
        <v>4.63E-05</v>
      </c>
      <c r="F23" s="364">
        <v>0.0463</v>
      </c>
      <c r="G23" s="365">
        <v>0.0137048</v>
      </c>
      <c r="I23" s="377">
        <f t="shared" si="5"/>
        <v>0.0148157</v>
      </c>
      <c r="J23">
        <f t="shared" si="6"/>
        <v>0.3506382333333333</v>
      </c>
      <c r="N23" s="308"/>
      <c r="O23" s="259"/>
      <c r="P23" s="244"/>
      <c r="Q23" s="308"/>
    </row>
    <row r="24" spans="2:15" ht="12.75">
      <c r="B24" s="363">
        <v>4.81E-05</v>
      </c>
      <c r="C24" s="364">
        <v>0.0481</v>
      </c>
      <c r="D24" s="365">
        <v>0.0011063</v>
      </c>
      <c r="E24" s="363">
        <v>4.5900000000000004E-05</v>
      </c>
      <c r="F24" s="364">
        <v>0.0459</v>
      </c>
      <c r="G24" s="365">
        <v>0.013586400000000002</v>
      </c>
      <c r="I24" s="377">
        <f t="shared" si="5"/>
        <v>0.014692700000000001</v>
      </c>
      <c r="J24">
        <f t="shared" si="6"/>
        <v>0.3477272333333334</v>
      </c>
      <c r="M24" s="376"/>
      <c r="N24" s="395"/>
      <c r="O24" s="259"/>
    </row>
    <row r="25" spans="2:14" ht="12.75">
      <c r="B25" s="363">
        <v>4.7300000000000005E-05</v>
      </c>
      <c r="C25" s="364">
        <v>0.0473</v>
      </c>
      <c r="D25" s="365">
        <v>0.0010879000000000002</v>
      </c>
      <c r="E25" s="363">
        <v>4.4E-05</v>
      </c>
      <c r="F25" s="364">
        <v>0.044</v>
      </c>
      <c r="G25" s="365">
        <v>0.013023999999999999</v>
      </c>
      <c r="I25" s="377">
        <f t="shared" si="5"/>
        <v>0.0141119</v>
      </c>
      <c r="J25">
        <f t="shared" si="6"/>
        <v>0.33398163333333336</v>
      </c>
      <c r="N25" s="395"/>
    </row>
    <row r="26" spans="2:10" ht="12.75">
      <c r="B26" s="363">
        <v>4.5600000000000004E-05</v>
      </c>
      <c r="C26" s="364">
        <v>0.0456</v>
      </c>
      <c r="D26" s="365">
        <v>0.0010488000000000001</v>
      </c>
      <c r="E26" s="363">
        <v>4.04E-05</v>
      </c>
      <c r="F26" s="364">
        <v>0.0404</v>
      </c>
      <c r="G26" s="365">
        <v>0.0119584</v>
      </c>
      <c r="I26" s="377">
        <f t="shared" si="5"/>
        <v>0.0130072</v>
      </c>
      <c r="J26">
        <f t="shared" si="6"/>
        <v>0.30783706666666666</v>
      </c>
    </row>
    <row r="27" spans="2:10" ht="12.75">
      <c r="B27" s="363">
        <v>4.38E-05</v>
      </c>
      <c r="C27" s="364">
        <v>0.0438</v>
      </c>
      <c r="D27" s="365">
        <v>0.0010074</v>
      </c>
      <c r="E27" s="363">
        <v>3.6200000000000006E-05</v>
      </c>
      <c r="F27" s="364">
        <v>0.0362</v>
      </c>
      <c r="G27" s="365">
        <v>0.010715200000000001</v>
      </c>
      <c r="I27" s="377">
        <f t="shared" si="5"/>
        <v>0.011722600000000001</v>
      </c>
      <c r="J27">
        <f t="shared" si="6"/>
        <v>0.2774348666666667</v>
      </c>
    </row>
    <row r="28" spans="2:11" ht="12.75">
      <c r="B28" s="363">
        <v>4.04E-05</v>
      </c>
      <c r="C28" s="364">
        <v>0.0404</v>
      </c>
      <c r="D28" s="365">
        <v>0.0009292</v>
      </c>
      <c r="E28" s="363">
        <v>2.88E-05</v>
      </c>
      <c r="F28" s="364">
        <v>0.0288</v>
      </c>
      <c r="G28" s="365">
        <v>0.008524799999999999</v>
      </c>
      <c r="I28" s="377">
        <f t="shared" si="5"/>
        <v>0.009453999999999999</v>
      </c>
      <c r="J28">
        <f t="shared" si="6"/>
        <v>0.22374466666666665</v>
      </c>
      <c r="K28">
        <f>I28*56</f>
        <v>0.5294239999999999</v>
      </c>
    </row>
    <row r="31" spans="2:9" ht="12.75">
      <c r="B31" s="153"/>
      <c r="C31" s="154"/>
      <c r="D31" s="574" t="s">
        <v>429</v>
      </c>
      <c r="E31" s="635"/>
      <c r="F31" s="575"/>
      <c r="G31" s="575"/>
      <c r="H31" s="575"/>
      <c r="I31" s="576"/>
    </row>
    <row r="32" spans="2:9" ht="12.75">
      <c r="B32" s="153"/>
      <c r="C32" s="153"/>
      <c r="D32" s="374" t="s">
        <v>333</v>
      </c>
      <c r="E32" s="310" t="s">
        <v>334</v>
      </c>
      <c r="F32" s="354" t="s">
        <v>335</v>
      </c>
      <c r="G32" s="359" t="s">
        <v>336</v>
      </c>
      <c r="H32" s="359" t="s">
        <v>337</v>
      </c>
      <c r="I32" s="354" t="s">
        <v>338</v>
      </c>
    </row>
    <row r="33" spans="2:9" ht="12.75">
      <c r="B33" s="312" t="s">
        <v>341</v>
      </c>
      <c r="C33" s="333"/>
      <c r="D33" s="147"/>
      <c r="E33" s="375"/>
      <c r="F33" s="153"/>
      <c r="G33" s="156"/>
      <c r="H33" s="153"/>
      <c r="I33" s="156"/>
    </row>
    <row r="34" spans="2:9" ht="12.75">
      <c r="B34" s="580" t="s">
        <v>401</v>
      </c>
      <c r="C34" s="641"/>
      <c r="D34" s="360">
        <f>E34/1.6093</f>
        <v>0.24945961856996762</v>
      </c>
      <c r="E34" s="307">
        <f>E5+I20</f>
        <v>0.4014553641646489</v>
      </c>
      <c r="F34" s="308">
        <f>F5+J20</f>
        <v>9.47605558095238</v>
      </c>
      <c r="G34" s="259">
        <f>F34/3.785</f>
        <v>2.5035813952318042</v>
      </c>
      <c r="H34" s="244">
        <f>F34*42</f>
        <v>397.99433439999996</v>
      </c>
      <c r="I34" s="308">
        <f>H34/5.253</f>
        <v>75.76515027603273</v>
      </c>
    </row>
    <row r="35" spans="2:9" ht="12.75" customHeight="1">
      <c r="B35" s="580" t="s">
        <v>402</v>
      </c>
      <c r="C35" s="641"/>
      <c r="D35" s="360">
        <f aca="true" t="shared" si="7" ref="D35:D42">E35/1.6093</f>
        <v>0.2467747245166525</v>
      </c>
      <c r="E35" s="307">
        <f aca="true" t="shared" si="8" ref="E35:E42">E6+I21</f>
        <v>0.3971345641646489</v>
      </c>
      <c r="F35" s="308">
        <f aca="true" t="shared" si="9" ref="F35:F42">F6+J21</f>
        <v>9.373796647619047</v>
      </c>
      <c r="G35" s="259">
        <f aca="true" t="shared" si="10" ref="G35:G42">F35/3.785</f>
        <v>2.476564503994464</v>
      </c>
      <c r="H35" s="244">
        <f aca="true" t="shared" si="11" ref="H35:H42">F35*42</f>
        <v>393.6994592</v>
      </c>
      <c r="I35" s="308">
        <f aca="true" t="shared" si="12" ref="I35:I42">H35/5.253</f>
        <v>74.94754601180277</v>
      </c>
    </row>
    <row r="36" spans="2:9" ht="12.75" customHeight="1">
      <c r="B36" s="580" t="s">
        <v>403</v>
      </c>
      <c r="C36" s="641"/>
      <c r="D36" s="360">
        <f t="shared" si="7"/>
        <v>0.24408840127052064</v>
      </c>
      <c r="E36" s="307">
        <f t="shared" si="8"/>
        <v>0.39281146416464885</v>
      </c>
      <c r="F36" s="308">
        <f t="shared" si="9"/>
        <v>9.271483280952381</v>
      </c>
      <c r="G36" s="259">
        <f t="shared" si="10"/>
        <v>2.4495332314273135</v>
      </c>
      <c r="H36" s="244">
        <f t="shared" si="11"/>
        <v>389.40229780000004</v>
      </c>
      <c r="I36" s="308">
        <f t="shared" si="12"/>
        <v>74.12950652960214</v>
      </c>
    </row>
    <row r="37" spans="2:9" ht="12.75" customHeight="1">
      <c r="B37" s="580" t="s">
        <v>404</v>
      </c>
      <c r="C37" s="641"/>
      <c r="D37" s="360">
        <f t="shared" si="7"/>
        <v>0.2427367576987814</v>
      </c>
      <c r="E37" s="307">
        <f t="shared" si="8"/>
        <v>0.39063626416464886</v>
      </c>
      <c r="F37" s="308">
        <f t="shared" si="9"/>
        <v>9.220003547619047</v>
      </c>
      <c r="G37" s="259">
        <f t="shared" si="10"/>
        <v>2.4359322450776872</v>
      </c>
      <c r="H37" s="244">
        <f t="shared" si="11"/>
        <v>387.240149</v>
      </c>
      <c r="I37" s="308">
        <f t="shared" si="12"/>
        <v>73.71790386445839</v>
      </c>
    </row>
    <row r="38" spans="2:9" ht="12.75" customHeight="1">
      <c r="B38" s="580" t="s">
        <v>405</v>
      </c>
      <c r="C38" s="641"/>
      <c r="D38" s="360">
        <f t="shared" si="7"/>
        <v>0.24266032695249418</v>
      </c>
      <c r="E38" s="307">
        <f t="shared" si="8"/>
        <v>0.3905132641646489</v>
      </c>
      <c r="F38" s="308">
        <f t="shared" si="9"/>
        <v>9.217092547619048</v>
      </c>
      <c r="G38" s="259">
        <f t="shared" si="10"/>
        <v>2.435163156570422</v>
      </c>
      <c r="H38" s="244">
        <f t="shared" si="11"/>
        <v>387.117887</v>
      </c>
      <c r="I38" s="308">
        <f t="shared" si="12"/>
        <v>73.69462916428706</v>
      </c>
    </row>
    <row r="39" spans="2:9" ht="12.75" customHeight="1">
      <c r="B39" s="580" t="s">
        <v>406</v>
      </c>
      <c r="C39" s="641"/>
      <c r="D39" s="360">
        <f t="shared" si="7"/>
        <v>0.2422994246968551</v>
      </c>
      <c r="E39" s="307">
        <f t="shared" si="8"/>
        <v>0.3899324641646489</v>
      </c>
      <c r="F39" s="308">
        <f t="shared" si="9"/>
        <v>9.203346947619048</v>
      </c>
      <c r="G39" s="259">
        <f t="shared" si="10"/>
        <v>2.4315315581556267</v>
      </c>
      <c r="H39" s="244">
        <f t="shared" si="11"/>
        <v>386.5405718</v>
      </c>
      <c r="I39" s="308">
        <f t="shared" si="12"/>
        <v>73.58472716542929</v>
      </c>
    </row>
    <row r="40" spans="2:9" ht="12.75" customHeight="1">
      <c r="B40" s="580" t="s">
        <v>407</v>
      </c>
      <c r="C40" s="641"/>
      <c r="D40" s="360">
        <f t="shared" si="7"/>
        <v>0.241612977173087</v>
      </c>
      <c r="E40" s="307">
        <f t="shared" si="8"/>
        <v>0.38882776416464887</v>
      </c>
      <c r="F40" s="308">
        <f t="shared" si="9"/>
        <v>9.17720238095238</v>
      </c>
      <c r="G40" s="259">
        <f t="shared" si="10"/>
        <v>2.4246241429200475</v>
      </c>
      <c r="H40" s="244">
        <f t="shared" si="11"/>
        <v>385.4425</v>
      </c>
      <c r="I40" s="308">
        <f t="shared" si="12"/>
        <v>73.37569008185798</v>
      </c>
    </row>
    <row r="41" spans="2:9" ht="12.75">
      <c r="B41" s="580" t="s">
        <v>408</v>
      </c>
      <c r="C41" s="641"/>
      <c r="D41" s="360">
        <f t="shared" si="7"/>
        <v>0.2408147419155216</v>
      </c>
      <c r="E41" s="307">
        <f t="shared" si="8"/>
        <v>0.3875431641646489</v>
      </c>
      <c r="F41" s="308">
        <f t="shared" si="9"/>
        <v>9.146800180952381</v>
      </c>
      <c r="G41" s="259">
        <f t="shared" si="10"/>
        <v>2.4165918575831915</v>
      </c>
      <c r="H41" s="244">
        <f t="shared" si="11"/>
        <v>384.1656076</v>
      </c>
      <c r="I41" s="308">
        <f t="shared" si="12"/>
        <v>73.13261138397107</v>
      </c>
    </row>
    <row r="42" spans="2:9" ht="12.75">
      <c r="B42" s="580" t="s">
        <v>409</v>
      </c>
      <c r="C42" s="641"/>
      <c r="D42" s="360">
        <f t="shared" si="7"/>
        <v>0.23940506068765854</v>
      </c>
      <c r="E42" s="307">
        <f t="shared" si="8"/>
        <v>0.3852745641646489</v>
      </c>
      <c r="F42" s="308">
        <f t="shared" si="9"/>
        <v>9.09310998095238</v>
      </c>
      <c r="G42" s="259">
        <f t="shared" si="10"/>
        <v>2.4024068641882113</v>
      </c>
      <c r="H42" s="244">
        <f t="shared" si="11"/>
        <v>381.9106192</v>
      </c>
      <c r="I42" s="308">
        <f t="shared" si="12"/>
        <v>72.70333508471349</v>
      </c>
    </row>
    <row r="46" spans="2:10" ht="12.75">
      <c r="B46" s="105" t="s">
        <v>44</v>
      </c>
      <c r="C46" s="5"/>
      <c r="D46" s="244" t="s">
        <v>471</v>
      </c>
      <c r="F46" s="381" t="s">
        <v>448</v>
      </c>
      <c r="G46" s="340" t="s">
        <v>471</v>
      </c>
      <c r="I46" s="244" t="s">
        <v>472</v>
      </c>
      <c r="J46" s="244" t="s">
        <v>471</v>
      </c>
    </row>
    <row r="47" spans="2:10" ht="12.75">
      <c r="B47" s="580" t="s">
        <v>401</v>
      </c>
      <c r="C47" s="641"/>
      <c r="D47" s="244">
        <v>20.2</v>
      </c>
      <c r="F47" s="423" t="s">
        <v>432</v>
      </c>
      <c r="G47" s="244">
        <v>16.1</v>
      </c>
      <c r="I47" s="122" t="s">
        <v>434</v>
      </c>
      <c r="J47" s="244">
        <v>6</v>
      </c>
    </row>
    <row r="48" spans="2:10" ht="12.75">
      <c r="B48" s="580" t="s">
        <v>402</v>
      </c>
      <c r="C48" s="641"/>
      <c r="D48" s="244">
        <f>($D$47+$D$51)/2</f>
        <v>20.85</v>
      </c>
      <c r="F48" s="189" t="s">
        <v>402</v>
      </c>
      <c r="G48" s="244">
        <f>($G$47+$G$51)/2</f>
        <v>16.65</v>
      </c>
      <c r="I48" s="122" t="s">
        <v>435</v>
      </c>
      <c r="J48" s="244">
        <v>6</v>
      </c>
    </row>
    <row r="49" spans="2:10" ht="12.75">
      <c r="B49" s="580" t="s">
        <v>403</v>
      </c>
      <c r="C49" s="641"/>
      <c r="D49" s="244">
        <f>($D$47+$D$51)/2</f>
        <v>20.85</v>
      </c>
      <c r="F49" s="189" t="s">
        <v>403</v>
      </c>
      <c r="G49" s="244">
        <f>($G$47+$G$51)/2</f>
        <v>16.65</v>
      </c>
      <c r="I49" s="122" t="s">
        <v>436</v>
      </c>
      <c r="J49" s="244">
        <v>6</v>
      </c>
    </row>
    <row r="50" spans="2:10" ht="12.75">
      <c r="B50" s="580" t="s">
        <v>404</v>
      </c>
      <c r="C50" s="641"/>
      <c r="D50" s="244">
        <f>($D$47+$D$51)/2</f>
        <v>20.85</v>
      </c>
      <c r="F50" s="189" t="s">
        <v>404</v>
      </c>
      <c r="G50" s="244">
        <f>($G$47+$G$51)/2</f>
        <v>16.65</v>
      </c>
      <c r="I50" s="122" t="s">
        <v>437</v>
      </c>
      <c r="J50" s="244">
        <v>6</v>
      </c>
    </row>
    <row r="51" spans="2:10" ht="12.75">
      <c r="B51" s="580" t="s">
        <v>405</v>
      </c>
      <c r="C51" s="641"/>
      <c r="D51" s="244">
        <v>21.5</v>
      </c>
      <c r="F51" s="189" t="s">
        <v>405</v>
      </c>
      <c r="G51" s="244">
        <v>17.2</v>
      </c>
      <c r="I51" s="122" t="s">
        <v>404</v>
      </c>
      <c r="J51" s="244">
        <v>6</v>
      </c>
    </row>
    <row r="52" spans="2:10" ht="12.75">
      <c r="B52" s="580" t="s">
        <v>406</v>
      </c>
      <c r="C52" s="641"/>
      <c r="D52" s="244">
        <f>($D$51+$D$55)/2</f>
        <v>22.583333333333336</v>
      </c>
      <c r="F52" s="189" t="s">
        <v>406</v>
      </c>
      <c r="G52" s="244">
        <f>($G$51+$G$55)/2</f>
        <v>17.21</v>
      </c>
      <c r="I52" s="122" t="s">
        <v>405</v>
      </c>
      <c r="J52" s="244">
        <v>6</v>
      </c>
    </row>
    <row r="53" spans="2:10" ht="12.75">
      <c r="B53" s="580" t="s">
        <v>407</v>
      </c>
      <c r="C53" s="641"/>
      <c r="D53" s="244">
        <f>($D$51+$D$55)/2</f>
        <v>22.583333333333336</v>
      </c>
      <c r="F53" s="189" t="s">
        <v>407</v>
      </c>
      <c r="G53" s="244">
        <f>($G$51+$G$55)/2</f>
        <v>17.21</v>
      </c>
      <c r="I53" s="122" t="s">
        <v>406</v>
      </c>
      <c r="J53" s="244">
        <v>6</v>
      </c>
    </row>
    <row r="54" spans="2:10" ht="12.75">
      <c r="B54" s="580" t="s">
        <v>408</v>
      </c>
      <c r="C54" s="641"/>
      <c r="D54" s="244">
        <f>($D$51+$D$55)/2</f>
        <v>22.583333333333336</v>
      </c>
      <c r="F54" s="189" t="s">
        <v>408</v>
      </c>
      <c r="G54" s="244">
        <f>($G$51+$G$55)/2</f>
        <v>17.21</v>
      </c>
      <c r="I54" s="122" t="s">
        <v>407</v>
      </c>
      <c r="J54" s="244">
        <v>6</v>
      </c>
    </row>
    <row r="55" spans="2:10" ht="12.75">
      <c r="B55" s="580" t="s">
        <v>409</v>
      </c>
      <c r="C55" s="641"/>
      <c r="D55" s="244">
        <f>D60</f>
        <v>23.666666666666668</v>
      </c>
      <c r="F55" s="189" t="s">
        <v>433</v>
      </c>
      <c r="G55" s="244">
        <v>17.22</v>
      </c>
      <c r="I55" s="122" t="s">
        <v>408</v>
      </c>
      <c r="J55" s="244">
        <v>6</v>
      </c>
    </row>
    <row r="56" spans="9:10" ht="12.75">
      <c r="I56" s="122" t="s">
        <v>433</v>
      </c>
      <c r="J56" s="244">
        <v>6</v>
      </c>
    </row>
    <row r="58" spans="2:4" ht="12.75">
      <c r="B58" s="410" t="s">
        <v>466</v>
      </c>
      <c r="C58" s="244"/>
      <c r="D58" s="244" t="s">
        <v>446</v>
      </c>
    </row>
    <row r="59" spans="2:4" ht="12.75">
      <c r="B59" s="372" t="s">
        <v>418</v>
      </c>
      <c r="C59" s="244"/>
      <c r="D59" s="244"/>
    </row>
    <row r="60" spans="2:4" ht="12.75">
      <c r="B60" s="372" t="s">
        <v>419</v>
      </c>
      <c r="C60" s="244"/>
      <c r="D60" s="642">
        <f>(29+23+19)/3</f>
        <v>23.666666666666668</v>
      </c>
    </row>
    <row r="61" spans="2:4" ht="12.75">
      <c r="B61" s="372" t="s">
        <v>420</v>
      </c>
      <c r="C61" s="244"/>
      <c r="D61" s="643"/>
    </row>
    <row r="62" spans="2:4" ht="12.75">
      <c r="B62" s="372" t="s">
        <v>421</v>
      </c>
      <c r="C62" s="244"/>
      <c r="D62" s="644"/>
    </row>
    <row r="63" spans="2:4" ht="12.75">
      <c r="B63" s="372" t="s">
        <v>422</v>
      </c>
      <c r="C63" s="244"/>
      <c r="D63" s="244"/>
    </row>
    <row r="64" spans="2:4" ht="12.75">
      <c r="B64" s="372" t="s">
        <v>423</v>
      </c>
      <c r="C64" s="244"/>
      <c r="D64" s="244"/>
    </row>
    <row r="65" spans="2:4" ht="12.75">
      <c r="B65" s="372" t="s">
        <v>424</v>
      </c>
      <c r="C65" s="244"/>
      <c r="D65" s="244"/>
    </row>
    <row r="66" spans="2:4" ht="12.75">
      <c r="B66" s="372" t="s">
        <v>425</v>
      </c>
      <c r="C66" s="244"/>
      <c r="D66" s="244"/>
    </row>
    <row r="67" spans="2:4" ht="12.75">
      <c r="B67" s="372" t="s">
        <v>426</v>
      </c>
      <c r="C67" s="244"/>
      <c r="D67" s="244"/>
    </row>
    <row r="68" spans="2:4" ht="12.75">
      <c r="B68" s="372" t="s">
        <v>427</v>
      </c>
      <c r="C68" s="244"/>
      <c r="D68" s="244"/>
    </row>
    <row r="69" spans="2:4" ht="12.75">
      <c r="B69" s="372" t="s">
        <v>428</v>
      </c>
      <c r="C69" s="244"/>
      <c r="D69" s="244"/>
    </row>
    <row r="72" spans="2:4" ht="12.75">
      <c r="B72" s="407" t="s">
        <v>449</v>
      </c>
      <c r="C72" s="408"/>
      <c r="D72" s="409" t="s">
        <v>450</v>
      </c>
    </row>
    <row r="73" spans="2:4" ht="12.75">
      <c r="B73" s="410" t="s">
        <v>451</v>
      </c>
      <c r="C73" s="411"/>
      <c r="D73" s="412"/>
    </row>
    <row r="74" spans="2:4" ht="12.75">
      <c r="B74" s="413" t="s">
        <v>452</v>
      </c>
      <c r="C74" s="414"/>
      <c r="D74" s="356">
        <v>21.5</v>
      </c>
    </row>
    <row r="75" spans="2:4" ht="12.75">
      <c r="B75" s="413" t="s">
        <v>453</v>
      </c>
      <c r="C75" s="414"/>
      <c r="D75" s="356">
        <v>17.2</v>
      </c>
    </row>
    <row r="76" spans="2:4" ht="12.75">
      <c r="B76" s="413" t="s">
        <v>454</v>
      </c>
      <c r="C76" s="414"/>
      <c r="D76" s="356">
        <f>1.2*D74</f>
        <v>25.8</v>
      </c>
    </row>
    <row r="77" spans="2:4" ht="12.75">
      <c r="B77" s="413" t="s">
        <v>455</v>
      </c>
      <c r="C77" s="414"/>
      <c r="D77" s="356">
        <v>20.2</v>
      </c>
    </row>
    <row r="78" spans="2:4" ht="12.75">
      <c r="B78" s="413" t="s">
        <v>456</v>
      </c>
      <c r="C78" s="414"/>
      <c r="D78" s="356">
        <v>16.1</v>
      </c>
    </row>
    <row r="79" spans="2:4" ht="12.75">
      <c r="B79" s="413" t="s">
        <v>457</v>
      </c>
      <c r="C79" s="414"/>
      <c r="D79" s="356">
        <f>1.2*D77</f>
        <v>24.24</v>
      </c>
    </row>
    <row r="80" spans="2:6" ht="12.75">
      <c r="B80" s="410" t="s">
        <v>467</v>
      </c>
      <c r="C80" s="410"/>
      <c r="D80" s="410"/>
      <c r="E80" s="420" t="s">
        <v>469</v>
      </c>
      <c r="F80" s="420" t="s">
        <v>470</v>
      </c>
    </row>
    <row r="81" spans="2:6" ht="12.75">
      <c r="B81" s="417" t="s">
        <v>458</v>
      </c>
      <c r="C81" s="416"/>
      <c r="D81" s="415">
        <v>24</v>
      </c>
      <c r="E81" s="244">
        <f>D81*0.45</f>
        <v>10.8</v>
      </c>
      <c r="F81" s="640">
        <f>(E81+E82)</f>
        <v>20.700000000000003</v>
      </c>
    </row>
    <row r="82" spans="2:6" ht="12.75">
      <c r="B82" s="413" t="s">
        <v>459</v>
      </c>
      <c r="C82" s="340"/>
      <c r="D82" s="415">
        <v>18</v>
      </c>
      <c r="E82" s="244">
        <f>D82*0.55</f>
        <v>9.9</v>
      </c>
      <c r="F82" s="640"/>
    </row>
    <row r="83" spans="2:6" ht="12.75">
      <c r="B83" s="413" t="s">
        <v>460</v>
      </c>
      <c r="C83" s="340"/>
      <c r="D83" s="415">
        <v>18</v>
      </c>
      <c r="E83" s="244">
        <f>D83*0.45</f>
        <v>8.1</v>
      </c>
      <c r="F83" s="640">
        <f>(E83+E84)</f>
        <v>15.8</v>
      </c>
    </row>
    <row r="84" spans="2:6" ht="12.75">
      <c r="B84" s="418" t="s">
        <v>461</v>
      </c>
      <c r="D84" s="415">
        <v>14</v>
      </c>
      <c r="E84" s="244">
        <f>D84*0.55</f>
        <v>7.700000000000001</v>
      </c>
      <c r="F84" s="640"/>
    </row>
    <row r="85" spans="2:6" ht="12.75">
      <c r="B85" s="413" t="s">
        <v>462</v>
      </c>
      <c r="C85" s="340"/>
      <c r="D85" s="415">
        <v>22</v>
      </c>
      <c r="E85" s="244">
        <f>D85*0.45</f>
        <v>9.9</v>
      </c>
      <c r="F85" s="640">
        <f>(E85+E86)</f>
        <v>19.25</v>
      </c>
    </row>
    <row r="86" spans="2:6" ht="12.75">
      <c r="B86" s="418" t="s">
        <v>463</v>
      </c>
      <c r="D86" s="415">
        <v>17</v>
      </c>
      <c r="E86" s="244">
        <f>D86*0.55</f>
        <v>9.350000000000001</v>
      </c>
      <c r="F86" s="640"/>
    </row>
    <row r="87" spans="2:6" ht="12.75">
      <c r="B87" s="413" t="s">
        <v>464</v>
      </c>
      <c r="C87" s="340"/>
      <c r="D87" s="415">
        <v>18</v>
      </c>
      <c r="E87" s="244">
        <f>D87*0.45</f>
        <v>8.1</v>
      </c>
      <c r="F87" s="640">
        <f>(E87+E88)</f>
        <v>16.35</v>
      </c>
    </row>
    <row r="88" spans="2:6" ht="12.75">
      <c r="B88" s="413" t="s">
        <v>465</v>
      </c>
      <c r="C88" s="340"/>
      <c r="D88" s="415">
        <v>15</v>
      </c>
      <c r="E88" s="244">
        <f>D88*0.55</f>
        <v>8.25</v>
      </c>
      <c r="F88" s="640"/>
    </row>
    <row r="89" spans="2:6" ht="12.75">
      <c r="B89" s="372" t="s">
        <v>468</v>
      </c>
      <c r="C89" s="340"/>
      <c r="D89" s="419">
        <v>14</v>
      </c>
      <c r="E89" s="244">
        <v>14</v>
      </c>
      <c r="F89" s="244">
        <v>14</v>
      </c>
    </row>
    <row r="91" spans="2:6" ht="12.75">
      <c r="B91" s="421" t="s">
        <v>446</v>
      </c>
      <c r="F91" s="422">
        <f>(F81+F83+F85+F87+F89)/5</f>
        <v>17.22</v>
      </c>
    </row>
  </sheetData>
  <mergeCells count="34">
    <mergeCell ref="D2:I2"/>
    <mergeCell ref="B5:C5"/>
    <mergeCell ref="B6:C6"/>
    <mergeCell ref="B7:C7"/>
    <mergeCell ref="B8:C8"/>
    <mergeCell ref="B13:C13"/>
    <mergeCell ref="B9:C9"/>
    <mergeCell ref="B10:C10"/>
    <mergeCell ref="B11:C11"/>
    <mergeCell ref="B12:C12"/>
    <mergeCell ref="B40:C40"/>
    <mergeCell ref="B41:C41"/>
    <mergeCell ref="B42:C42"/>
    <mergeCell ref="B37:C37"/>
    <mergeCell ref="B38:C38"/>
    <mergeCell ref="B39:C39"/>
    <mergeCell ref="D31:I31"/>
    <mergeCell ref="B34:C34"/>
    <mergeCell ref="B35:C35"/>
    <mergeCell ref="B36:C36"/>
    <mergeCell ref="B47:C47"/>
    <mergeCell ref="B48:C48"/>
    <mergeCell ref="B49:C49"/>
    <mergeCell ref="B50:C50"/>
    <mergeCell ref="B51:C51"/>
    <mergeCell ref="B52:C52"/>
    <mergeCell ref="B53:C53"/>
    <mergeCell ref="B54:C54"/>
    <mergeCell ref="F85:F86"/>
    <mergeCell ref="F87:F88"/>
    <mergeCell ref="B55:C55"/>
    <mergeCell ref="D60:D62"/>
    <mergeCell ref="F81:F82"/>
    <mergeCell ref="F83:F84"/>
  </mergeCells>
  <hyperlinks>
    <hyperlink ref="IV65471" location="'small emit. cutoff'!B50" display="Stationary Fuel Combustion"/>
    <hyperlink ref="IV65472" location="INDIRECT_EMISSIONS__Purchased_Electricity" display="Indirect Purchased Electricity"/>
    <hyperlink ref="IV65473" location="INDIRECT_EMISSIONS__Purchased_Heat__Steam__and_Chilled_Water" display="Indirect Purchased Heat"/>
    <hyperlink ref="IV65474" location="DIRECT_EMISSIONS__Stationary_Fuel_Combustion" display="Stationary Fuel Combustion"/>
    <hyperlink ref="IV65475" location="DIRECT_EMISSIONS__Mobile_Fuel_Combustion" display="Mobile Fuel Combustion"/>
    <hyperlink ref="IV65476" location="PROCESS_EMISSIONS__Industrial_Processes" display="Industrial Processes"/>
    <hyperlink ref="IV65477" location="PROCESS_EMISSIONS__Coal_Mine_Methane___General" display="Process Emissions ( Coal Mining)"/>
    <hyperlink ref="IV65479" location="PROCESS_EMISSIONS__Waste_and_Wastewater" display="Process Emissions (Waste &amp; Wastewater)"/>
    <hyperlink ref="IV65480" location="PROCESS_EMISSIONS__HCFC_22_Production" display="Process Emissions (High GWP Gases)"/>
    <hyperlink ref="IV65481" location="DEFORESTATION_EMISSIONS__Benchmarks_for_Small_Emitters" display="Deforestation"/>
    <hyperlink ref="IV65482" location="AGRICULTURAL_EMISSIONS" display="Agriculture"/>
    <hyperlink ref="IV65478" location="PROCESS_EMISSIONS__Oil_and_Gas_Industries" display="Process Emissions (Oil and Gas)"/>
  </hyperlink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STAUB</dc:creator>
  <cp:keywords/>
  <dc:description/>
  <cp:lastModifiedBy>Grace Sutherland</cp:lastModifiedBy>
  <cp:lastPrinted>2006-07-11T14:50:59Z</cp:lastPrinted>
  <dcterms:created xsi:type="dcterms:W3CDTF">2004-02-04T21:26:36Z</dcterms:created>
  <dcterms:modified xsi:type="dcterms:W3CDTF">2006-12-11T16:39:58Z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