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Calculations" sheetId="1" r:id="rId1"/>
    <sheet name="Assumptions" sheetId="2" r:id="rId2"/>
  </sheets>
  <externalReferences>
    <externalReference r:id="rId5"/>
  </externalReferences>
  <definedNames>
    <definedName name="_ftn1" localSheetId="1">'Assumptions'!$A$42</definedName>
    <definedName name="_ftnref1" localSheetId="1">'Assumptions'!#REF!</definedName>
    <definedName name="ALI2008">'Assumptions'!$B$35</definedName>
    <definedName name="ALI2009">'Assumptions'!$B$36</definedName>
    <definedName name="ALI2010">'Assumptions'!$B$37</definedName>
    <definedName name="ConfigureFollowup">'Assumptions'!$B$20</definedName>
    <definedName name="ConfigureProvider">'Assumptions'!$B$21</definedName>
    <definedName name="ConfigureUser">'Assumptions'!$B$19</definedName>
    <definedName name="ConnectNewCity">'Assumptions'!$B$32</definedName>
    <definedName name="ConnectSameCity">'Assumptions'!$B$31</definedName>
    <definedName name="GatewayAmortization">'Assumptions'!$B$30</definedName>
    <definedName name="GatewayPrice">'Assumptions'!$B$29</definedName>
    <definedName name="Gateways">'Assumptions'!$B$28</definedName>
    <definedName name="HourlyService">'Assumptions'!$B$8</definedName>
    <definedName name="HourlySoftware">'Assumptions'!$B$7</definedName>
    <definedName name="HourlyUser">'Assumptions'!$B$9</definedName>
    <definedName name="HoursCompliance">'[1]Assumptions'!$B$40</definedName>
    <definedName name="HoursDevelopProvisioning">'Assumptions'!$B$16</definedName>
    <definedName name="HoursDevelopRegistration">'Assumptions'!$B$14</definedName>
    <definedName name="HoursDevelopRouting">'Assumptions'!$B$12</definedName>
    <definedName name="HoursMaintainProvisioning">'Assumptions'!$B$17</definedName>
    <definedName name="HoursMaintainRegistration">'Assumptions'!$B$15</definedName>
    <definedName name="HoursMaintainRouting">'Assumptions'!$B$13</definedName>
    <definedName name="HoursStorage">'Assumptions'!$B$18</definedName>
    <definedName name="MaintainRegistration">'Assumptions'!$B$11</definedName>
    <definedName name="MaintainRouting">'Assumptions'!$B$10</definedName>
    <definedName name="PaperCost">'Assumptions'!$B$39</definedName>
    <definedName name="PaperStorage">'Assumptions'!$B$38</definedName>
    <definedName name="PriceNewCity">'Assumptions'!$B$34</definedName>
    <definedName name="PriceRouting">'Assumptions'!$B$10</definedName>
    <definedName name="PriceSameCity">'Assumptions'!$B$33</definedName>
    <definedName name="_xlnm.Print_Titles" localSheetId="0">'Calculations'!$1:$2</definedName>
    <definedName name="Providers">'Assumptions'!$B$1</definedName>
    <definedName name="RegisterContact">'Assumptions'!$B$23</definedName>
    <definedName name="RegisterProvider">'Assumptions'!$B$24</definedName>
    <definedName name="RegisterUser">'Assumptions'!$B$22</definedName>
    <definedName name="UpdateContact">'Assumptions'!$B$26</definedName>
    <definedName name="UpdateProvider">'Assumptions'!$B$27</definedName>
    <definedName name="UpdateUser">'Assumptions'!$B$25</definedName>
    <definedName name="Users2008">'Assumptions'!$B$2</definedName>
    <definedName name="Users2009">'Assumptions'!$B$3</definedName>
    <definedName name="Users2010">'Assumptions'!$B$4</definedName>
    <definedName name="UsersChange">'Assumptions'!$B$5</definedName>
    <definedName name="UsersNewProvider">'Assumptions'!$B$5</definedName>
    <definedName name="UsersUpdate">'Assumptions'!$B$6</definedName>
  </definedNames>
  <calcPr fullCalcOnLoad="1"/>
</workbook>
</file>

<file path=xl/sharedStrings.xml><?xml version="1.0" encoding="utf-8"?>
<sst xmlns="http://schemas.openxmlformats.org/spreadsheetml/2006/main" count="80" uniqueCount="73">
  <si>
    <t>Average</t>
  </si>
  <si>
    <t>Subtotal</t>
  </si>
  <si>
    <t>(C) Collection of Registered Location</t>
  </si>
  <si>
    <t>(D) Provisioning of Registered Location and other information to ALI databases</t>
  </si>
  <si>
    <t>(E) User Advisory</t>
  </si>
  <si>
    <t>(hours included in (C) above)</t>
  </si>
  <si>
    <t>(costs included in (C) above)</t>
  </si>
  <si>
    <t>(F) Record of Affirmative Acknowledgement</t>
  </si>
  <si>
    <t>Costs to providers and users of obtaining affirmative acknowledgement included in (C) above</t>
  </si>
  <si>
    <t>Costs to providers and users of posting and reading advisory included in (C) above</t>
  </si>
  <si>
    <t>Providers</t>
  </si>
  <si>
    <t>Users2008</t>
  </si>
  <si>
    <t>Users2009</t>
  </si>
  <si>
    <t>Users2010</t>
  </si>
  <si>
    <t>UsersChange</t>
  </si>
  <si>
    <t>UsersUpdate</t>
  </si>
  <si>
    <t>HourlySoftware</t>
  </si>
  <si>
    <t>HourlyService</t>
  </si>
  <si>
    <t>HourlyUser</t>
  </si>
  <si>
    <t>MaintainRouting</t>
  </si>
  <si>
    <t>MaintainRegister</t>
  </si>
  <si>
    <t>HoursDevelopRouting</t>
  </si>
  <si>
    <t>HoursDevelopRegister</t>
  </si>
  <si>
    <t>HoursMaintainRouting</t>
  </si>
  <si>
    <t>HoursMaintainRegister</t>
  </si>
  <si>
    <t>HoursDevelopProvisioning</t>
  </si>
  <si>
    <t>HoursMaintainProvisioning</t>
  </si>
  <si>
    <t>HoursStorage</t>
  </si>
  <si>
    <t>ConfigureUser</t>
  </si>
  <si>
    <t>ConfigureFollowup</t>
  </si>
  <si>
    <t>ConfigureProvider</t>
  </si>
  <si>
    <t>RegisterUser</t>
  </si>
  <si>
    <t>RegisterContact</t>
  </si>
  <si>
    <t>RegisterProvider</t>
  </si>
  <si>
    <t>UpdateUser</t>
  </si>
  <si>
    <t>UpdateContact</t>
  </si>
  <si>
    <t>UpdateProvider</t>
  </si>
  <si>
    <t>Gateways</t>
  </si>
  <si>
    <t>GatewayPrice</t>
  </si>
  <si>
    <t>GatewayAmortization</t>
  </si>
  <si>
    <t>ConnectSameCity</t>
  </si>
  <si>
    <t>ConnectNewCity</t>
  </si>
  <si>
    <t>PriceSameCity</t>
  </si>
  <si>
    <t>PriceNewCity</t>
  </si>
  <si>
    <t>ALI2008</t>
  </si>
  <si>
    <t>ALI2009</t>
  </si>
  <si>
    <t>ALI2010</t>
  </si>
  <si>
    <t>PaperStorage</t>
  </si>
  <si>
    <t>PaperCost</t>
  </si>
  <si>
    <t>Total</t>
  </si>
  <si>
    <t>Estimated Burden to the Public in Hours</t>
  </si>
  <si>
    <t>(A) Collection of Routing Information</t>
  </si>
  <si>
    <t>(B) Provisioning of Routing Information</t>
  </si>
  <si>
    <t>Costs to providers and users of provisioning routing information included in (A) above</t>
  </si>
  <si>
    <t>(hours included in (A) above)</t>
  </si>
  <si>
    <t>(costs included in (A) above)</t>
  </si>
  <si>
    <t>Estimated "In-House" Cost Burden in Dollars</t>
  </si>
  <si>
    <t>Cost to providers for development, testing, and deployment of systems to automatically obtain, retain, and provision routing information from registered users. [Providers x Hours/Provider x Software Cost/Hour and amortized over three years]</t>
  </si>
  <si>
    <t>Annual cost to providers for maintenance of systems to automatically obtain, retain, and provision routing information from registered users.  [Providers x Hours/Provider x Software Cost/Hour]</t>
  </si>
  <si>
    <r>
      <t xml:space="preserve">Cost to providers for configuring consumer premises equipment for automatic provisioning of routing information. [Number of registrations each year </t>
    </r>
    <r>
      <rPr>
        <sz val="10"/>
        <rFont val="Arial"/>
        <family val="0"/>
      </rPr>
      <t>x Configuration attempts needing follow-up x Hours/User x Service costs/Hour]</t>
    </r>
  </si>
  <si>
    <t>Cost to users for configuring consumer premises equipment for automatic provisioning of routing information. [Number of registrations each year x (User hours + (Configuration attempts needing follow-up x Follow-up hours/user) x User costs/Hour]</t>
  </si>
  <si>
    <t>Cost to providers for development, testing, and deployment of a webpage to collect registration information, including FAQs, etc., and to develop a separate tracking system for mail-in registration. [Providers x Hours/Provider x Software cost/Hour and amortized over three years]</t>
  </si>
  <si>
    <t>Annual cost to providers for maintenance of systems associated with registration services.  [Providers x Hours/Provider x Software cost/Hour]</t>
  </si>
  <si>
    <r>
      <t xml:space="preserve">Cost to providers for registration. [Number of registrations each year </t>
    </r>
    <r>
      <rPr>
        <sz val="10"/>
        <rFont val="Arial"/>
        <family val="0"/>
      </rPr>
      <t>x Telephone Registrations x Hours/User x Service costs/Hour]</t>
    </r>
  </si>
  <si>
    <t>Cost to users for registration. [Number of registrations each year x ((Online registrations x User hours) + (Telephone registrations x Hours/user)) x User costs/Hour]</t>
  </si>
  <si>
    <t>Cost to users for Registered Location updates. (Number of users x Number of updates x ((Online updates x User hours) + (Telephone updates x Hours/User)) x User costs/Hour)</t>
  </si>
  <si>
    <t>Cost to providers for Registered Location updates. (Number of users x Number of updates x Telephone updates x Hours/User x Service costs/Hour)</t>
  </si>
  <si>
    <t>Cost to providers to develop, test, and deploy automated system for provisioning information to ALI databases. [Providers x Hours/Provider x Software cost/Hour amortized over three years]</t>
  </si>
  <si>
    <t>Annual cost to providers to maintain automated system for provisioning information to ALI databases. [Providers x Hours/Provider x Software cost/Hour]</t>
  </si>
  <si>
    <t>(G) Interstate TRS Fund Submission</t>
  </si>
  <si>
    <t>Costs to providers of overseeing electronic storage of affirmative acknowledgement for users registered online.  [Providers x Cost/Provider x Software cost/Hour]</t>
  </si>
  <si>
    <r>
      <t xml:space="preserve">Costs to providers to collect and submit costs of complying with the numbering and emergency handling requirements of the </t>
    </r>
    <r>
      <rPr>
        <i/>
        <sz val="10"/>
        <rFont val="Arial"/>
        <family val="2"/>
      </rPr>
      <t>Order</t>
    </r>
    <r>
      <rPr>
        <sz val="10"/>
        <rFont val="Arial"/>
        <family val="2"/>
      </rPr>
      <t>.  [Providers x Hours/Provider x Compliance Cost/Hour]</t>
    </r>
  </si>
  <si>
    <t>APPENDIX B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</si>
</sst>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u val="single"/>
      <sz val="12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169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9" fontId="3" fillId="0" borderId="0" xfId="0" applyNumberFormat="1" applyFont="1" applyAlignment="1">
      <alignment horizontal="left"/>
    </xf>
    <xf numFmtId="168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4" fillId="0" borderId="0" xfId="2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1" fontId="6" fillId="0" borderId="0" xfId="0" applyNumberFormat="1" applyFont="1" applyBorder="1" applyAlignment="1">
      <alignment/>
    </xf>
    <xf numFmtId="169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" xfId="0" applyFont="1" applyBorder="1" applyAlignment="1">
      <alignment wrapText="1"/>
    </xf>
    <xf numFmtId="169" fontId="0" fillId="0" borderId="2" xfId="0" applyNumberFormat="1" applyBorder="1" applyAlignment="1">
      <alignment/>
    </xf>
    <xf numFmtId="0" fontId="0" fillId="0" borderId="1" xfId="0" applyBorder="1" applyAlignment="1">
      <alignment horizontal="left" wrapText="1" indent="1"/>
    </xf>
    <xf numFmtId="0" fontId="6" fillId="0" borderId="1" xfId="0" applyFont="1" applyBorder="1" applyAlignment="1">
      <alignment horizontal="left" wrapText="1" indent="2"/>
    </xf>
    <xf numFmtId="169" fontId="6" fillId="0" borderId="2" xfId="0" applyNumberFormat="1" applyFont="1" applyBorder="1" applyAlignment="1">
      <alignment/>
    </xf>
    <xf numFmtId="0" fontId="7" fillId="0" borderId="3" xfId="0" applyFont="1" applyBorder="1" applyAlignment="1">
      <alignment wrapText="1"/>
    </xf>
    <xf numFmtId="1" fontId="7" fillId="0" borderId="4" xfId="0" applyNumberFormat="1" applyFont="1" applyBorder="1" applyAlignment="1">
      <alignment/>
    </xf>
    <xf numFmtId="169" fontId="7" fillId="0" borderId="4" xfId="0" applyNumberFormat="1" applyFont="1" applyBorder="1" applyAlignment="1">
      <alignment/>
    </xf>
    <xf numFmtId="169" fontId="7" fillId="0" borderId="5" xfId="0" applyNumberFormat="1" applyFont="1" applyBorder="1" applyAlignment="1">
      <alignment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" fontId="0" fillId="0" borderId="8" xfId="0" applyNumberFormat="1" applyBorder="1" applyAlignment="1">
      <alignment/>
    </xf>
    <xf numFmtId="1" fontId="0" fillId="0" borderId="9" xfId="0" applyNumberFormat="1" applyBorder="1" applyAlignment="1">
      <alignment/>
    </xf>
    <xf numFmtId="1" fontId="6" fillId="0" borderId="8" xfId="0" applyNumberFormat="1" applyFont="1" applyBorder="1" applyAlignment="1">
      <alignment/>
    </xf>
    <xf numFmtId="1" fontId="6" fillId="0" borderId="9" xfId="0" applyNumberFormat="1" applyFont="1" applyBorder="1" applyAlignment="1">
      <alignment/>
    </xf>
    <xf numFmtId="1" fontId="7" fillId="0" borderId="6" xfId="0" applyNumberFormat="1" applyFont="1" applyBorder="1" applyAlignment="1">
      <alignment/>
    </xf>
    <xf numFmtId="0" fontId="7" fillId="0" borderId="7" xfId="0" applyFont="1" applyBorder="1" applyAlignment="1">
      <alignment/>
    </xf>
    <xf numFmtId="0" fontId="5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" fillId="0" borderId="15" xfId="0" applyFont="1" applyBorder="1" applyAlignment="1">
      <alignment horizontal="left" wrapText="1" indent="2"/>
    </xf>
    <xf numFmtId="1" fontId="6" fillId="0" borderId="16" xfId="0" applyNumberFormat="1" applyFont="1" applyBorder="1" applyAlignment="1">
      <alignment/>
    </xf>
    <xf numFmtId="1" fontId="6" fillId="0" borderId="17" xfId="0" applyNumberFormat="1" applyFont="1" applyBorder="1" applyAlignment="1">
      <alignment/>
    </xf>
    <xf numFmtId="1" fontId="6" fillId="0" borderId="18" xfId="0" applyNumberFormat="1" applyFont="1" applyBorder="1" applyAlignment="1">
      <alignment/>
    </xf>
    <xf numFmtId="169" fontId="6" fillId="0" borderId="17" xfId="0" applyNumberFormat="1" applyFont="1" applyBorder="1" applyAlignment="1">
      <alignment/>
    </xf>
    <xf numFmtId="169" fontId="6" fillId="0" borderId="19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9" fontId="0" fillId="0" borderId="12" xfId="0" applyNumberFormat="1" applyBorder="1" applyAlignment="1">
      <alignment horizontal="center"/>
    </xf>
    <xf numFmtId="169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left" wrapText="1" indent="1"/>
    </xf>
    <xf numFmtId="169" fontId="0" fillId="0" borderId="12" xfId="0" applyNumberFormat="1" applyBorder="1" applyAlignment="1">
      <alignment/>
    </xf>
    <xf numFmtId="169" fontId="0" fillId="0" borderId="14" xfId="0" applyNumberFormat="1" applyBorder="1" applyAlignment="1">
      <alignment/>
    </xf>
    <xf numFmtId="0" fontId="5" fillId="0" borderId="20" xfId="0" applyFont="1" applyBorder="1" applyAlignment="1">
      <alignment wrapText="1"/>
    </xf>
    <xf numFmtId="1" fontId="6" fillId="0" borderId="11" xfId="0" applyNumberFormat="1" applyFont="1" applyBorder="1" applyAlignment="1">
      <alignment/>
    </xf>
    <xf numFmtId="1" fontId="6" fillId="0" borderId="12" xfId="0" applyNumberFormat="1" applyFont="1" applyBorder="1" applyAlignment="1">
      <alignment/>
    </xf>
    <xf numFmtId="1" fontId="6" fillId="0" borderId="13" xfId="0" applyNumberFormat="1" applyFont="1" applyBorder="1" applyAlignment="1">
      <alignment/>
    </xf>
    <xf numFmtId="169" fontId="6" fillId="0" borderId="12" xfId="0" applyNumberFormat="1" applyFont="1" applyBorder="1" applyAlignment="1">
      <alignment/>
    </xf>
    <xf numFmtId="169" fontId="6" fillId="0" borderId="14" xfId="0" applyNumberFormat="1" applyFont="1" applyBorder="1" applyAlignment="1">
      <alignment/>
    </xf>
    <xf numFmtId="0" fontId="0" fillId="0" borderId="21" xfId="0" applyBorder="1" applyAlignment="1">
      <alignment horizontal="left" wrapText="1" indent="1"/>
    </xf>
    <xf numFmtId="1" fontId="0" fillId="0" borderId="8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9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169" fontId="0" fillId="0" borderId="2" xfId="0" applyNumberFormat="1" applyFont="1" applyBorder="1" applyAlignment="1">
      <alignment/>
    </xf>
    <xf numFmtId="0" fontId="5" fillId="0" borderId="22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169" fontId="0" fillId="0" borderId="17" xfId="0" applyNumberFormat="1" applyBorder="1" applyAlignment="1">
      <alignment horizontal="center"/>
    </xf>
    <xf numFmtId="169" fontId="0" fillId="0" borderId="19" xfId="0" applyNumberForma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169" fontId="0" fillId="0" borderId="2" xfId="0" applyNumberFormat="1" applyBorder="1" applyAlignment="1">
      <alignment horizontal="center"/>
    </xf>
    <xf numFmtId="0" fontId="5" fillId="0" borderId="26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icholas.degani\Local%20Settings\Temporary%20Internet%20Files\OLK193\Chart%20for%20TRS%20Numbering%20Order%20PRA%20AppendixB%20(100308)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ations"/>
      <sheetName val="Assumptions"/>
    </sheetNames>
    <sheetDataSet>
      <sheetData sheetId="1">
        <row r="40">
          <cell r="B40">
            <v>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K5" sqref="K5"/>
    </sheetView>
  </sheetViews>
  <sheetFormatPr defaultColWidth="9.140625" defaultRowHeight="12.75"/>
  <cols>
    <col min="1" max="1" width="43.7109375" style="1" customWidth="1"/>
    <col min="2" max="2" width="8.57421875" style="2" bestFit="1" customWidth="1"/>
    <col min="3" max="3" width="7.57421875" style="2" bestFit="1" customWidth="1"/>
    <col min="4" max="4" width="6.57421875" style="2" bestFit="1" customWidth="1"/>
    <col min="5" max="5" width="8.57421875" style="2" bestFit="1" customWidth="1"/>
    <col min="6" max="6" width="10.7109375" style="2" bestFit="1" customWidth="1"/>
    <col min="7" max="7" width="11.7109375" style="2" bestFit="1" customWidth="1"/>
    <col min="8" max="9" width="10.7109375" style="2" bestFit="1" customWidth="1"/>
    <col min="10" max="16384" width="9.140625" style="2" customWidth="1"/>
  </cols>
  <sheetData>
    <row r="1" spans="1:9" s="12" customFormat="1" ht="27.75" customHeight="1" thickTop="1">
      <c r="A1" s="86" t="s">
        <v>72</v>
      </c>
      <c r="B1" s="70" t="s">
        <v>50</v>
      </c>
      <c r="C1" s="71"/>
      <c r="D1" s="71"/>
      <c r="E1" s="72"/>
      <c r="F1" s="73" t="s">
        <v>56</v>
      </c>
      <c r="G1" s="74"/>
      <c r="H1" s="74"/>
      <c r="I1" s="75"/>
    </row>
    <row r="2" spans="1:9" s="11" customFormat="1" ht="13.5" thickBot="1">
      <c r="A2" s="26"/>
      <c r="B2" s="29">
        <v>2008</v>
      </c>
      <c r="C2" s="27">
        <v>2009</v>
      </c>
      <c r="D2" s="27">
        <v>2010</v>
      </c>
      <c r="E2" s="30" t="s">
        <v>0</v>
      </c>
      <c r="F2" s="27">
        <v>2008</v>
      </c>
      <c r="G2" s="27">
        <v>2009</v>
      </c>
      <c r="H2" s="27">
        <v>2010</v>
      </c>
      <c r="I2" s="28" t="s">
        <v>0</v>
      </c>
    </row>
    <row r="3" spans="1:9" ht="13.5" thickTop="1">
      <c r="A3" s="17" t="s">
        <v>51</v>
      </c>
      <c r="B3" s="31"/>
      <c r="E3" s="32"/>
      <c r="F3" s="3"/>
      <c r="G3" s="3"/>
      <c r="H3" s="3"/>
      <c r="I3" s="18"/>
    </row>
    <row r="4" spans="1:9" ht="76.5">
      <c r="A4" s="19" t="s">
        <v>57</v>
      </c>
      <c r="B4" s="33">
        <f>Providers*HoursDevelopRouting</f>
        <v>8800</v>
      </c>
      <c r="C4" s="4">
        <v>0</v>
      </c>
      <c r="D4" s="4">
        <v>0</v>
      </c>
      <c r="E4" s="34">
        <f>SUM(B4:D4)/3</f>
        <v>2933.3333333333335</v>
      </c>
      <c r="F4" s="3">
        <f>B4*HourlySoftware/3</f>
        <v>142120</v>
      </c>
      <c r="G4" s="3">
        <f>F4</f>
        <v>142120</v>
      </c>
      <c r="H4" s="3">
        <f>F4</f>
        <v>142120</v>
      </c>
      <c r="I4" s="18">
        <f>SUM(F4:H4)/3</f>
        <v>142120</v>
      </c>
    </row>
    <row r="5" spans="1:9" ht="63.75">
      <c r="A5" s="19" t="s">
        <v>58</v>
      </c>
      <c r="B5" s="33">
        <f>Providers*HoursMaintainRouting</f>
        <v>2750</v>
      </c>
      <c r="C5" s="4">
        <f>Providers*HoursMaintainRouting</f>
        <v>2750</v>
      </c>
      <c r="D5" s="4">
        <f>Providers*HoursMaintainRouting</f>
        <v>2750</v>
      </c>
      <c r="E5" s="34">
        <f>SUM(B5:D5)/3</f>
        <v>2750</v>
      </c>
      <c r="F5" s="3">
        <f>B5*HourlySoftware</f>
        <v>133237.5</v>
      </c>
      <c r="G5" s="3">
        <f>C5*HourlySoftware</f>
        <v>133237.5</v>
      </c>
      <c r="H5" s="3">
        <f>D5*HourlySoftware</f>
        <v>133237.5</v>
      </c>
      <c r="I5" s="18">
        <f>SUM(F5:H5)/3</f>
        <v>133237.5</v>
      </c>
    </row>
    <row r="6" spans="1:9" ht="63.75">
      <c r="A6" s="19" t="s">
        <v>59</v>
      </c>
      <c r="B6" s="33">
        <v>0</v>
      </c>
      <c r="C6" s="4">
        <f>(Users2009+(Users2008*UsersChange))*ConfigureFollowup*ConfigureProvider</f>
        <v>27450</v>
      </c>
      <c r="D6" s="4">
        <f>((Users2010-Users2009)+(Users2009*UsersChange))*ConfigureFollowup*ConfigureProvider</f>
        <v>7470</v>
      </c>
      <c r="E6" s="34">
        <f>SUM(B6:D6)/3</f>
        <v>11640</v>
      </c>
      <c r="F6" s="3">
        <f>B6*HourlyService</f>
        <v>0</v>
      </c>
      <c r="G6" s="3">
        <f>C6*HourlyService</f>
        <v>630526.5</v>
      </c>
      <c r="H6" s="3">
        <f>D6*HourlyService</f>
        <v>171585.9</v>
      </c>
      <c r="I6" s="18">
        <f>SUM(F6:H6)/3</f>
        <v>267370.8</v>
      </c>
    </row>
    <row r="7" spans="1:9" ht="76.5">
      <c r="A7" s="19" t="s">
        <v>60</v>
      </c>
      <c r="B7" s="33">
        <v>0</v>
      </c>
      <c r="C7" s="4">
        <f>(Users2009+(Users2008*UsersChange))*(ConfigureUser+(ConfigureFollowup*ConfigureProvider))</f>
        <v>88450.00000000001</v>
      </c>
      <c r="D7" s="4">
        <f>((Users2010-Users2009)+(Users2009*UsersChange))*(ConfigureUser+(ConfigureFollowup*ConfigureProvider))</f>
        <v>24070.000000000004</v>
      </c>
      <c r="E7" s="34">
        <f>SUM(B7:D7)/3</f>
        <v>37506.66666666667</v>
      </c>
      <c r="F7" s="3">
        <f>B7*HourlyUser</f>
        <v>0</v>
      </c>
      <c r="G7" s="3">
        <f>C7*HourlyUser</f>
        <v>1539914.5000000002</v>
      </c>
      <c r="H7" s="3">
        <f>D7*HourlyUser</f>
        <v>419058.70000000007</v>
      </c>
      <c r="I7" s="18">
        <f>SUM(F7:H7)/3</f>
        <v>652991.0666666668</v>
      </c>
    </row>
    <row r="8" spans="1:9" s="15" customFormat="1" ht="12.75">
      <c r="A8" s="20" t="s">
        <v>1</v>
      </c>
      <c r="B8" s="35">
        <f>SUM(B4:B7)</f>
        <v>11550</v>
      </c>
      <c r="C8" s="13">
        <f aca="true" t="shared" si="0" ref="C8:H8">SUM(C4:C7)</f>
        <v>118650.00000000001</v>
      </c>
      <c r="D8" s="13">
        <f t="shared" si="0"/>
        <v>34290</v>
      </c>
      <c r="E8" s="36">
        <f>SUM(B8:D8)/3</f>
        <v>54830</v>
      </c>
      <c r="F8" s="14">
        <f t="shared" si="0"/>
        <v>275357.5</v>
      </c>
      <c r="G8" s="14">
        <f t="shared" si="0"/>
        <v>2445798.5</v>
      </c>
      <c r="H8" s="14">
        <f t="shared" si="0"/>
        <v>866002.1000000001</v>
      </c>
      <c r="I8" s="21">
        <f>ROUNDUP((SUM(F8:H8)/3),-1)</f>
        <v>1195720</v>
      </c>
    </row>
    <row r="9" spans="1:9" ht="12.75">
      <c r="A9" s="39" t="s">
        <v>52</v>
      </c>
      <c r="B9" s="50"/>
      <c r="C9" s="51"/>
      <c r="D9" s="51"/>
      <c r="E9" s="52"/>
      <c r="F9" s="53"/>
      <c r="G9" s="53"/>
      <c r="H9" s="53"/>
      <c r="I9" s="54"/>
    </row>
    <row r="10" spans="1:9" ht="25.5">
      <c r="A10" s="55" t="s">
        <v>53</v>
      </c>
      <c r="B10" s="76" t="s">
        <v>54</v>
      </c>
      <c r="C10" s="77"/>
      <c r="D10" s="77"/>
      <c r="E10" s="78"/>
      <c r="F10" s="82" t="s">
        <v>55</v>
      </c>
      <c r="G10" s="82"/>
      <c r="H10" s="82"/>
      <c r="I10" s="83"/>
    </row>
    <row r="11" spans="1:9" ht="12.75">
      <c r="A11" s="39" t="s">
        <v>2</v>
      </c>
      <c r="B11" s="40"/>
      <c r="C11" s="41"/>
      <c r="D11" s="41"/>
      <c r="E11" s="42"/>
      <c r="F11" s="56"/>
      <c r="G11" s="56"/>
      <c r="H11" s="56"/>
      <c r="I11" s="57"/>
    </row>
    <row r="12" spans="1:9" ht="89.25">
      <c r="A12" s="19" t="s">
        <v>61</v>
      </c>
      <c r="B12" s="33">
        <f>Providers*HoursDevelopRegistration</f>
        <v>3300</v>
      </c>
      <c r="C12" s="4">
        <v>0</v>
      </c>
      <c r="D12" s="4">
        <v>0</v>
      </c>
      <c r="E12" s="34">
        <f aca="true" t="shared" si="1" ref="E12:E18">SUM(B12:D12)/3</f>
        <v>1100</v>
      </c>
      <c r="F12" s="3">
        <f>B12*HourlySoftware/3</f>
        <v>53295</v>
      </c>
      <c r="G12" s="3">
        <f>F12</f>
        <v>53295</v>
      </c>
      <c r="H12" s="3">
        <f>F12</f>
        <v>53295</v>
      </c>
      <c r="I12" s="18">
        <f aca="true" t="shared" si="2" ref="I12:I18">SUM(F12:H12)/3</f>
        <v>53295</v>
      </c>
    </row>
    <row r="13" spans="1:9" ht="37.5" customHeight="1">
      <c r="A13" s="19" t="s">
        <v>62</v>
      </c>
      <c r="B13" s="33">
        <f>Providers*HoursMaintainRegistration</f>
        <v>2750</v>
      </c>
      <c r="C13" s="4">
        <f>Providers*HoursMaintainRegistration</f>
        <v>2750</v>
      </c>
      <c r="D13" s="4">
        <f>Providers*HoursMaintainRegistration</f>
        <v>2750</v>
      </c>
      <c r="E13" s="34">
        <f t="shared" si="1"/>
        <v>2750</v>
      </c>
      <c r="F13" s="3">
        <f>B13*HourlySoftware</f>
        <v>133237.5</v>
      </c>
      <c r="G13" s="3">
        <f>C13*HourlySoftware</f>
        <v>133237.5</v>
      </c>
      <c r="H13" s="3">
        <f>D13*HourlySoftware</f>
        <v>133237.5</v>
      </c>
      <c r="I13" s="18">
        <f t="shared" si="2"/>
        <v>133237.5</v>
      </c>
    </row>
    <row r="14" spans="1:9" ht="39" customHeight="1">
      <c r="A14" s="19" t="s">
        <v>63</v>
      </c>
      <c r="B14" s="33">
        <v>0</v>
      </c>
      <c r="C14" s="4">
        <f>(Users2009+(Users2008*UsersChange))*RegisterContact*RegisterProvider</f>
        <v>7625</v>
      </c>
      <c r="D14" s="4">
        <f>((Users2010-Users2009)+(Users2009*UsersChange))*RegisterContact*RegisterProvider</f>
        <v>2075</v>
      </c>
      <c r="E14" s="34">
        <f t="shared" si="1"/>
        <v>3233.3333333333335</v>
      </c>
      <c r="F14" s="3">
        <f>B14*HourlyService</f>
        <v>0</v>
      </c>
      <c r="G14" s="3">
        <f>C14*HourlyService</f>
        <v>175146.25</v>
      </c>
      <c r="H14" s="3">
        <f>D14*HourlyService</f>
        <v>47662.75</v>
      </c>
      <c r="I14" s="18">
        <f t="shared" si="2"/>
        <v>74269.66666666667</v>
      </c>
    </row>
    <row r="15" spans="1:9" ht="51">
      <c r="A15" s="19" t="s">
        <v>64</v>
      </c>
      <c r="B15" s="33">
        <v>0</v>
      </c>
      <c r="C15" s="4">
        <f>(Users2009+(Users2008*UsersChange))*(((1-RegisterContact)*RegisterUser)+(RegisterContact*RegisterProvider))</f>
        <v>48800</v>
      </c>
      <c r="D15" s="4">
        <f>((Users2010-Users2009)+(Users2009*UsersChange))*(((1-RegisterContact)*RegisterUser)+(RegisterContact*RegisterProvider))</f>
        <v>13280</v>
      </c>
      <c r="E15" s="34">
        <f t="shared" si="1"/>
        <v>20693.333333333332</v>
      </c>
      <c r="F15" s="3">
        <f>B15*HourlyUser</f>
        <v>0</v>
      </c>
      <c r="G15" s="3">
        <f>C15*HourlyUser</f>
        <v>849608</v>
      </c>
      <c r="H15" s="3">
        <f>D15*HourlyUser</f>
        <v>231204.8</v>
      </c>
      <c r="I15" s="18">
        <f t="shared" si="2"/>
        <v>360270.93333333335</v>
      </c>
    </row>
    <row r="16" spans="1:9" ht="51">
      <c r="A16" s="19" t="s">
        <v>66</v>
      </c>
      <c r="B16" s="33">
        <v>0</v>
      </c>
      <c r="C16" s="4">
        <f>(Users2009*UsersUpdate)*UpdateContact*UpdateProvider</f>
        <v>848</v>
      </c>
      <c r="D16" s="4">
        <f>(Users2010*UsersUpdate)*UpdateContact*UpdateProvider</f>
        <v>944</v>
      </c>
      <c r="E16" s="34">
        <f t="shared" si="1"/>
        <v>597.3333333333334</v>
      </c>
      <c r="F16" s="3">
        <f>B16*HourlyService</f>
        <v>0</v>
      </c>
      <c r="G16" s="3">
        <f>C16*HourlyService</f>
        <v>19478.559999999998</v>
      </c>
      <c r="H16" s="3">
        <f>D16*HourlyService</f>
        <v>21683.68</v>
      </c>
      <c r="I16" s="18">
        <f t="shared" si="2"/>
        <v>13720.746666666666</v>
      </c>
    </row>
    <row r="17" spans="1:9" ht="51">
      <c r="A17" s="19" t="s">
        <v>65</v>
      </c>
      <c r="B17" s="33">
        <v>0</v>
      </c>
      <c r="C17" s="4">
        <f>(Users2009*UsersUpdate)*(((1-UpdateContact)*UpdateUser)+(UpdateContact*UpdateProvider))</f>
        <v>5618.000000000001</v>
      </c>
      <c r="D17" s="4">
        <f>(Users2010*UsersUpdate)*(((1-UpdateContact)*UpdateUser)+(UpdateContact*UpdateProvider))</f>
        <v>6254.000000000001</v>
      </c>
      <c r="E17" s="34">
        <f t="shared" si="1"/>
        <v>3957.333333333334</v>
      </c>
      <c r="F17" s="3">
        <f>B17*HourlyUser</f>
        <v>0</v>
      </c>
      <c r="G17" s="3">
        <f>C17*HourlyUser</f>
        <v>97809.38000000002</v>
      </c>
      <c r="H17" s="3">
        <f>D17*HourlyUser</f>
        <v>108882.14000000001</v>
      </c>
      <c r="I17" s="18">
        <f t="shared" si="2"/>
        <v>68897.17333333334</v>
      </c>
    </row>
    <row r="18" spans="1:9" s="15" customFormat="1" ht="12.75">
      <c r="A18" s="44" t="s">
        <v>1</v>
      </c>
      <c r="B18" s="45">
        <f>SUM(B12:B17)</f>
        <v>6050</v>
      </c>
      <c r="C18" s="46">
        <f>SUM(C12:C17)</f>
        <v>65641</v>
      </c>
      <c r="D18" s="46">
        <f>SUM(D12:D17)</f>
        <v>25303</v>
      </c>
      <c r="E18" s="47">
        <f t="shared" si="1"/>
        <v>32331.333333333332</v>
      </c>
      <c r="F18" s="48">
        <f>SUM(F12:F17)</f>
        <v>186532.5</v>
      </c>
      <c r="G18" s="48">
        <f>SUM(G12:G17)</f>
        <v>1328574.6900000002</v>
      </c>
      <c r="H18" s="48">
        <f>SUM(H12:H17)</f>
        <v>595965.87</v>
      </c>
      <c r="I18" s="49">
        <f t="shared" si="2"/>
        <v>703691.02</v>
      </c>
    </row>
    <row r="19" spans="1:9" ht="25.5">
      <c r="A19" s="17" t="s">
        <v>3</v>
      </c>
      <c r="B19" s="31"/>
      <c r="E19" s="32"/>
      <c r="F19" s="3"/>
      <c r="G19" s="3"/>
      <c r="H19" s="3"/>
      <c r="I19" s="18"/>
    </row>
    <row r="20" spans="1:9" ht="51">
      <c r="A20" s="19" t="s">
        <v>67</v>
      </c>
      <c r="B20" s="33">
        <f>Providers*HoursDevelopProvisioning</f>
        <v>17600</v>
      </c>
      <c r="C20" s="4">
        <v>0</v>
      </c>
      <c r="D20" s="4">
        <v>0</v>
      </c>
      <c r="E20" s="34">
        <f>SUM(B20:D20)/3</f>
        <v>5866.666666666667</v>
      </c>
      <c r="F20" s="3">
        <f>B20*HourlySoftware/3</f>
        <v>284240</v>
      </c>
      <c r="G20" s="3">
        <f>F20</f>
        <v>284240</v>
      </c>
      <c r="H20" s="3">
        <f>F20</f>
        <v>284240</v>
      </c>
      <c r="I20" s="18">
        <f>SUM(F20:H20)/3</f>
        <v>284240</v>
      </c>
    </row>
    <row r="21" spans="1:9" ht="51">
      <c r="A21" s="19" t="s">
        <v>68</v>
      </c>
      <c r="B21" s="33">
        <f>Providers*HoursMaintainProvisioning</f>
        <v>4400</v>
      </c>
      <c r="C21" s="4">
        <f>Providers*HoursMaintainProvisioning</f>
        <v>4400</v>
      </c>
      <c r="D21" s="4">
        <f>Providers*HoursMaintainProvisioning</f>
        <v>4400</v>
      </c>
      <c r="E21" s="34">
        <f>SUM(B21:D21)/3</f>
        <v>4400</v>
      </c>
      <c r="F21" s="3">
        <f>B21*HourlySoftware</f>
        <v>213180</v>
      </c>
      <c r="G21" s="3">
        <f>C21*HourlySoftware</f>
        <v>213180</v>
      </c>
      <c r="H21" s="3">
        <f>D21*HourlySoftware</f>
        <v>213180</v>
      </c>
      <c r="I21" s="18">
        <f>SUM(F21:H21)/3</f>
        <v>213180</v>
      </c>
    </row>
    <row r="22" spans="1:9" s="15" customFormat="1" ht="12.75">
      <c r="A22" s="20" t="s">
        <v>1</v>
      </c>
      <c r="B22" s="35">
        <f>SUM(B20:B21)</f>
        <v>22000</v>
      </c>
      <c r="C22" s="13">
        <f>SUM(C20:C21)</f>
        <v>4400</v>
      </c>
      <c r="D22" s="13">
        <f>SUM(D20:D21)</f>
        <v>4400</v>
      </c>
      <c r="E22" s="36">
        <f>SUM(B22:D22)/3</f>
        <v>10266.666666666666</v>
      </c>
      <c r="F22" s="14">
        <f>SUM(F20:F21)</f>
        <v>497420</v>
      </c>
      <c r="G22" s="14">
        <f>SUM(G20:G21)</f>
        <v>497420</v>
      </c>
      <c r="H22" s="14">
        <f>SUM(H20:H21)</f>
        <v>497420</v>
      </c>
      <c r="I22" s="21">
        <f>SUM(F22:H22)/3</f>
        <v>497420</v>
      </c>
    </row>
    <row r="23" spans="1:9" ht="12.75">
      <c r="A23" s="39" t="s">
        <v>4</v>
      </c>
      <c r="B23" s="50"/>
      <c r="C23" s="51"/>
      <c r="D23" s="51"/>
      <c r="E23" s="52"/>
      <c r="F23" s="53"/>
      <c r="G23" s="53"/>
      <c r="H23" s="53"/>
      <c r="I23" s="54"/>
    </row>
    <row r="24" spans="1:9" ht="25.5">
      <c r="A24" s="55" t="s">
        <v>9</v>
      </c>
      <c r="B24" s="76" t="s">
        <v>5</v>
      </c>
      <c r="C24" s="77"/>
      <c r="D24" s="77"/>
      <c r="E24" s="78"/>
      <c r="F24" s="82" t="s">
        <v>6</v>
      </c>
      <c r="G24" s="82"/>
      <c r="H24" s="82"/>
      <c r="I24" s="83"/>
    </row>
    <row r="25" spans="1:9" ht="12.75">
      <c r="A25" s="39" t="s">
        <v>7</v>
      </c>
      <c r="B25" s="40"/>
      <c r="C25" s="41"/>
      <c r="D25" s="41"/>
      <c r="E25" s="42"/>
      <c r="F25" s="41"/>
      <c r="G25" s="41"/>
      <c r="H25" s="41"/>
      <c r="I25" s="43"/>
    </row>
    <row r="26" spans="1:9" ht="26.25" customHeight="1">
      <c r="A26" s="19" t="s">
        <v>8</v>
      </c>
      <c r="B26" s="79" t="s">
        <v>5</v>
      </c>
      <c r="C26" s="80"/>
      <c r="D26" s="80"/>
      <c r="E26" s="81"/>
      <c r="F26" s="84" t="s">
        <v>6</v>
      </c>
      <c r="G26" s="84"/>
      <c r="H26" s="84"/>
      <c r="I26" s="85"/>
    </row>
    <row r="27" spans="1:9" ht="51">
      <c r="A27" s="19" t="s">
        <v>70</v>
      </c>
      <c r="B27" s="33">
        <f>Providers*HoursStorage</f>
        <v>132</v>
      </c>
      <c r="C27" s="4">
        <f>Providers*HoursStorage</f>
        <v>132</v>
      </c>
      <c r="D27" s="4">
        <f>Providers*HoursStorage</f>
        <v>132</v>
      </c>
      <c r="E27" s="34">
        <f>SUM(B27:D27)/3</f>
        <v>132</v>
      </c>
      <c r="F27" s="3">
        <f>B27*HourlySoftware</f>
        <v>6395.400000000001</v>
      </c>
      <c r="G27" s="3">
        <f>C27*HourlySoftware</f>
        <v>6395.400000000001</v>
      </c>
      <c r="H27" s="3">
        <f>D27*HourlySoftware</f>
        <v>6395.400000000001</v>
      </c>
      <c r="I27" s="18">
        <f>SUM(F27:H27)/3</f>
        <v>6395.400000000001</v>
      </c>
    </row>
    <row r="28" spans="1:9" s="15" customFormat="1" ht="12.75">
      <c r="A28" s="44" t="s">
        <v>1</v>
      </c>
      <c r="B28" s="45">
        <f>SUM(B27:B27)</f>
        <v>132</v>
      </c>
      <c r="C28" s="46">
        <f>SUM(C27:C27)</f>
        <v>132</v>
      </c>
      <c r="D28" s="46">
        <f>SUM(D27:D27)</f>
        <v>132</v>
      </c>
      <c r="E28" s="47">
        <f>SUM(B28:D28)/3</f>
        <v>132</v>
      </c>
      <c r="F28" s="48">
        <f>SUM(F27:F27)</f>
        <v>6395.400000000001</v>
      </c>
      <c r="G28" s="48">
        <f>SUM(G27:G27)</f>
        <v>6395.400000000001</v>
      </c>
      <c r="H28" s="48">
        <f>SUM(H27:H27)</f>
        <v>6395.400000000001</v>
      </c>
      <c r="I28" s="49">
        <f>SUM(F28:H28)/3</f>
        <v>6395.400000000001</v>
      </c>
    </row>
    <row r="29" spans="1:9" s="16" customFormat="1" ht="12.75">
      <c r="A29" s="58" t="s">
        <v>69</v>
      </c>
      <c r="B29" s="59"/>
      <c r="C29" s="60"/>
      <c r="D29" s="60"/>
      <c r="E29" s="61"/>
      <c r="F29" s="62"/>
      <c r="G29" s="62"/>
      <c r="H29" s="62"/>
      <c r="I29" s="63"/>
    </row>
    <row r="30" spans="1:9" ht="51">
      <c r="A30" s="64" t="s">
        <v>71</v>
      </c>
      <c r="B30" s="65">
        <f>Providers*HoursCompliance</f>
        <v>1056</v>
      </c>
      <c r="C30" s="66">
        <f>Providers*HoursCompliance</f>
        <v>1056</v>
      </c>
      <c r="D30" s="66">
        <f>Providers*HoursCompliance</f>
        <v>1056</v>
      </c>
      <c r="E30" s="67">
        <f>SUM(B30:D30)/3</f>
        <v>1056</v>
      </c>
      <c r="F30" s="68">
        <f>B30*HourlySoftware</f>
        <v>51163.200000000004</v>
      </c>
      <c r="G30" s="68">
        <f>C30*HourlySoftware</f>
        <v>51163.200000000004</v>
      </c>
      <c r="H30" s="68">
        <f>D30*HourlySoftware</f>
        <v>51163.200000000004</v>
      </c>
      <c r="I30" s="69">
        <f>E30*HourlySoftware</f>
        <v>51163.200000000004</v>
      </c>
    </row>
    <row r="31" spans="1:9" s="15" customFormat="1" ht="12.75">
      <c r="A31" s="44" t="s">
        <v>1</v>
      </c>
      <c r="B31" s="45">
        <f>SUM(B30:B30)</f>
        <v>1056</v>
      </c>
      <c r="C31" s="46">
        <f>SUM(C30:C30)</f>
        <v>1056</v>
      </c>
      <c r="D31" s="46">
        <f>SUM(D30:D30)</f>
        <v>1056</v>
      </c>
      <c r="E31" s="47">
        <f>SUM(B31:D31)/3</f>
        <v>1056</v>
      </c>
      <c r="F31" s="48">
        <f>SUM(F30:F30)</f>
        <v>51163.200000000004</v>
      </c>
      <c r="G31" s="48">
        <f>SUM(G30:G30)</f>
        <v>51163.200000000004</v>
      </c>
      <c r="H31" s="48">
        <f>SUM(H30:H30)</f>
        <v>51163.200000000004</v>
      </c>
      <c r="I31" s="49">
        <f>SUM(F31:H31)/3</f>
        <v>51163.200000000004</v>
      </c>
    </row>
    <row r="32" spans="1:9" ht="13.5" thickBot="1">
      <c r="A32" s="22" t="s">
        <v>49</v>
      </c>
      <c r="B32" s="37">
        <f>SUM(B8,B18,B22,B28,B31)</f>
        <v>40788</v>
      </c>
      <c r="C32" s="23">
        <f>SUM(C8,C18,C22,C28,C31)</f>
        <v>189879</v>
      </c>
      <c r="D32" s="23">
        <f>SUM(D8,D18,D22,D28,D31)</f>
        <v>65181</v>
      </c>
      <c r="E32" s="38">
        <f>SUM(B32:D32)/3</f>
        <v>98616</v>
      </c>
      <c r="F32" s="24">
        <f>SUM(F8,F18,F22,F28,F31)</f>
        <v>1016868.6</v>
      </c>
      <c r="G32" s="24">
        <f>SUM(G8,G18,G22,G28,G31)</f>
        <v>4329351.790000001</v>
      </c>
      <c r="H32" s="24">
        <f>ROUNDDOWN((SUM(H8,H18,H22,H28,H31)),0.1)</f>
        <v>2016946</v>
      </c>
      <c r="I32" s="25">
        <f>SUM(F32:H32)/3</f>
        <v>2454388.796666667</v>
      </c>
    </row>
    <row r="33" ht="13.5" thickTop="1"/>
  </sheetData>
  <mergeCells count="8">
    <mergeCell ref="B1:E1"/>
    <mergeCell ref="F1:I1"/>
    <mergeCell ref="B24:E24"/>
    <mergeCell ref="B26:E26"/>
    <mergeCell ref="F24:I24"/>
    <mergeCell ref="F26:I26"/>
    <mergeCell ref="B10:E10"/>
    <mergeCell ref="F10:I10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2"/>
  <sheetViews>
    <sheetView workbookViewId="0" topLeftCell="A1">
      <selection activeCell="B9" sqref="B9"/>
    </sheetView>
  </sheetViews>
  <sheetFormatPr defaultColWidth="9.140625" defaultRowHeight="12.75"/>
  <cols>
    <col min="1" max="1" width="28.421875" style="9" bestFit="1" customWidth="1"/>
    <col min="2" max="2" width="14.140625" style="9" bestFit="1" customWidth="1"/>
  </cols>
  <sheetData>
    <row r="1" spans="1:2" ht="15">
      <c r="A1" s="5" t="s">
        <v>10</v>
      </c>
      <c r="B1" s="6">
        <v>11</v>
      </c>
    </row>
    <row r="2" spans="1:2" ht="15">
      <c r="A2" s="5" t="s">
        <v>11</v>
      </c>
      <c r="B2" s="6">
        <v>200000</v>
      </c>
    </row>
    <row r="3" spans="1:2" ht="15">
      <c r="A3" s="5" t="s">
        <v>12</v>
      </c>
      <c r="B3" s="6">
        <v>265000</v>
      </c>
    </row>
    <row r="4" spans="1:2" ht="15">
      <c r="A4" s="5" t="s">
        <v>13</v>
      </c>
      <c r="B4" s="6">
        <v>295000</v>
      </c>
    </row>
    <row r="5" spans="1:2" ht="15">
      <c r="A5" s="5" t="s">
        <v>14</v>
      </c>
      <c r="B5" s="7">
        <v>0.2</v>
      </c>
    </row>
    <row r="6" spans="1:2" ht="15">
      <c r="A6" s="5" t="s">
        <v>15</v>
      </c>
      <c r="B6" s="7">
        <v>0.4</v>
      </c>
    </row>
    <row r="7" spans="1:2" ht="15">
      <c r="A7" s="5" t="s">
        <v>16</v>
      </c>
      <c r="B7" s="8">
        <v>48.45</v>
      </c>
    </row>
    <row r="8" spans="1:2" ht="15">
      <c r="A8" s="5" t="s">
        <v>17</v>
      </c>
      <c r="B8" s="8">
        <v>22.97</v>
      </c>
    </row>
    <row r="9" spans="1:2" ht="15">
      <c r="A9" s="5" t="s">
        <v>18</v>
      </c>
      <c r="B9" s="8">
        <v>17.41</v>
      </c>
    </row>
    <row r="10" spans="1:2" ht="15">
      <c r="A10" s="5" t="s">
        <v>19</v>
      </c>
      <c r="B10" s="8">
        <v>2600</v>
      </c>
    </row>
    <row r="11" spans="1:2" ht="15">
      <c r="A11" s="5" t="s">
        <v>20</v>
      </c>
      <c r="B11" s="8">
        <v>2600</v>
      </c>
    </row>
    <row r="12" spans="1:2" ht="15">
      <c r="A12" s="5" t="s">
        <v>21</v>
      </c>
      <c r="B12" s="6">
        <v>800</v>
      </c>
    </row>
    <row r="13" spans="1:2" ht="15">
      <c r="A13" s="5" t="s">
        <v>23</v>
      </c>
      <c r="B13" s="6">
        <v>250</v>
      </c>
    </row>
    <row r="14" spans="1:2" ht="15">
      <c r="A14" s="5" t="s">
        <v>22</v>
      </c>
      <c r="B14" s="6">
        <v>300</v>
      </c>
    </row>
    <row r="15" spans="1:2" ht="15">
      <c r="A15" s="5" t="s">
        <v>24</v>
      </c>
      <c r="B15" s="6">
        <v>250</v>
      </c>
    </row>
    <row r="16" spans="1:2" ht="15">
      <c r="A16" s="5" t="s">
        <v>25</v>
      </c>
      <c r="B16" s="6">
        <v>1600</v>
      </c>
    </row>
    <row r="17" spans="1:2" ht="15">
      <c r="A17" s="5" t="s">
        <v>26</v>
      </c>
      <c r="B17" s="6">
        <v>400</v>
      </c>
    </row>
    <row r="18" spans="1:2" ht="15">
      <c r="A18" s="5" t="s">
        <v>27</v>
      </c>
      <c r="B18" s="6">
        <v>12</v>
      </c>
    </row>
    <row r="19" spans="1:2" ht="15">
      <c r="A19" s="5" t="s">
        <v>28</v>
      </c>
      <c r="B19" s="6">
        <v>0.2</v>
      </c>
    </row>
    <row r="20" spans="1:2" ht="15">
      <c r="A20" s="5" t="s">
        <v>29</v>
      </c>
      <c r="B20" s="7">
        <v>0.3</v>
      </c>
    </row>
    <row r="21" spans="1:2" ht="15">
      <c r="A21" s="5" t="s">
        <v>30</v>
      </c>
      <c r="B21" s="6">
        <v>0.3</v>
      </c>
    </row>
    <row r="22" spans="1:2" ht="15">
      <c r="A22" s="5" t="s">
        <v>31</v>
      </c>
      <c r="B22" s="6">
        <v>0.15</v>
      </c>
    </row>
    <row r="23" spans="1:2" ht="15">
      <c r="A23" s="5" t="s">
        <v>32</v>
      </c>
      <c r="B23" s="7">
        <v>0.1</v>
      </c>
    </row>
    <row r="24" spans="1:2" ht="15">
      <c r="A24" s="5" t="s">
        <v>33</v>
      </c>
      <c r="B24" s="6">
        <v>0.25</v>
      </c>
    </row>
    <row r="25" spans="1:2" ht="15">
      <c r="A25" s="5" t="s">
        <v>34</v>
      </c>
      <c r="B25" s="6">
        <v>0.05</v>
      </c>
    </row>
    <row r="26" spans="1:2" ht="15">
      <c r="A26" s="5" t="s">
        <v>35</v>
      </c>
      <c r="B26" s="7">
        <v>0.1</v>
      </c>
    </row>
    <row r="27" spans="1:2" ht="15">
      <c r="A27" s="5" t="s">
        <v>36</v>
      </c>
      <c r="B27" s="6">
        <v>0.08</v>
      </c>
    </row>
    <row r="28" spans="1:2" ht="15">
      <c r="A28" s="5" t="s">
        <v>37</v>
      </c>
      <c r="B28" s="6">
        <v>75</v>
      </c>
    </row>
    <row r="29" spans="1:2" ht="15">
      <c r="A29" s="5" t="s">
        <v>38</v>
      </c>
      <c r="B29" s="8">
        <v>140000</v>
      </c>
    </row>
    <row r="30" spans="1:2" ht="15">
      <c r="A30" s="5" t="s">
        <v>39</v>
      </c>
      <c r="B30" s="6">
        <v>5</v>
      </c>
    </row>
    <row r="31" spans="1:2" ht="15">
      <c r="A31" s="9" t="s">
        <v>40</v>
      </c>
      <c r="B31" s="6">
        <v>75</v>
      </c>
    </row>
    <row r="32" spans="1:2" ht="15">
      <c r="A32" s="9" t="s">
        <v>41</v>
      </c>
      <c r="B32" s="6">
        <v>125</v>
      </c>
    </row>
    <row r="33" spans="1:2" ht="15">
      <c r="A33" s="9" t="s">
        <v>42</v>
      </c>
      <c r="B33" s="8">
        <v>4200</v>
      </c>
    </row>
    <row r="34" spans="1:2" ht="15">
      <c r="A34" s="9" t="s">
        <v>43</v>
      </c>
      <c r="B34" s="8">
        <v>13000</v>
      </c>
    </row>
    <row r="35" spans="1:2" ht="15">
      <c r="A35" s="5" t="s">
        <v>44</v>
      </c>
      <c r="B35" s="8">
        <v>0.5</v>
      </c>
    </row>
    <row r="36" spans="1:2" ht="15">
      <c r="A36" s="5" t="s">
        <v>45</v>
      </c>
      <c r="B36" s="8">
        <v>0.5</v>
      </c>
    </row>
    <row r="37" spans="1:2" ht="15">
      <c r="A37" s="5" t="s">
        <v>46</v>
      </c>
      <c r="B37" s="8">
        <v>0.5</v>
      </c>
    </row>
    <row r="38" spans="1:2" ht="15">
      <c r="A38" s="5" t="s">
        <v>47</v>
      </c>
      <c r="B38" s="6">
        <v>500</v>
      </c>
    </row>
    <row r="39" spans="1:2" ht="15">
      <c r="A39" s="5" t="s">
        <v>48</v>
      </c>
      <c r="B39" s="8">
        <v>11</v>
      </c>
    </row>
    <row r="42" ht="15">
      <c r="A42" s="10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Communications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nicholas.degani</dc:creator>
  <cp:keywords/>
  <dc:description/>
  <cp:lastModifiedBy>cathy.williams</cp:lastModifiedBy>
  <cp:lastPrinted>2008-10-07T15:46:56Z</cp:lastPrinted>
  <dcterms:created xsi:type="dcterms:W3CDTF">2008-06-20T18:03:34Z</dcterms:created>
  <dcterms:modified xsi:type="dcterms:W3CDTF">2008-10-07T15:47:06Z</dcterms:modified>
  <cp:category/>
  <cp:version/>
  <cp:contentType/>
  <cp:contentStatus/>
</cp:coreProperties>
</file>