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9720" windowHeight="6375" tabRatio="750" firstSheet="2" activeTab="9"/>
  </bookViews>
  <sheets>
    <sheet name="Assumptions" sheetId="1" r:id="rId1"/>
    <sheet name="MRR Costs (old)" sheetId="2" state="hidden" r:id="rId2"/>
    <sheet name="Industry Yr 1" sheetId="3" r:id="rId3"/>
    <sheet name="Industry Yr 2" sheetId="4" r:id="rId4"/>
    <sheet name="Industry Yr 3" sheetId="5" r:id="rId5"/>
    <sheet name="IndSum" sheetId="6" r:id="rId6"/>
    <sheet name="Agency Yr 1" sheetId="7" r:id="rId7"/>
    <sheet name="Agency Yr 2" sheetId="8" r:id="rId8"/>
    <sheet name="Agency Yr 3" sheetId="9" r:id="rId9"/>
    <sheet name="AgencySum" sheetId="10" r:id="rId10"/>
  </sheets>
  <externalReferences>
    <externalReference r:id="rId13"/>
  </externalReferences>
  <definedNames>
    <definedName name="cler">'[1]basis'!$C$26</definedName>
    <definedName name="comptime" localSheetId="6">'Agency Yr 1'!$Q$12</definedName>
    <definedName name="comptime" localSheetId="7">'Agency Yr 2'!$Q$12</definedName>
    <definedName name="comptime" localSheetId="8">'Agency Yr 3'!$Q$12</definedName>
    <definedName name="excd">'[1]basis'!$C$19</definedName>
    <definedName name="lit">'[1]basis'!$C$13</definedName>
    <definedName name="mang">'[1]basis'!$C$25</definedName>
    <definedName name="new_respondents">'[1]basis'!$C$17</definedName>
    <definedName name="noexcd">'[1]basis'!$C$20</definedName>
    <definedName name="_xlnm.Print_Area" localSheetId="6">'Agency Yr 1'!$A$1:$N$35</definedName>
    <definedName name="_xlnm.Print_Area" localSheetId="7">'Agency Yr 2'!$A$1:$N$35</definedName>
    <definedName name="_xlnm.Print_Area" localSheetId="8">'Agency Yr 3'!$A$1:$N$35</definedName>
    <definedName name="_xlnm.Print_Area" localSheetId="9">'AgencySum'!$A$1:$H$7</definedName>
    <definedName name="_xlnm.Print_Area" localSheetId="0">'Assumptions'!$A$1:$C$29</definedName>
    <definedName name="_xlnm.Print_Area" localSheetId="5">'IndSum'!$A$1:$H$7</definedName>
    <definedName name="_xlnm.Print_Area" localSheetId="2">'Industry Yr 1'!$A$1:$O$48</definedName>
    <definedName name="_xlnm.Print_Area" localSheetId="3">'Industry Yr 2'!$A$1:$O$48</definedName>
    <definedName name="_xlnm.Print_Area" localSheetId="4">'Industry Yr 3'!$A$1:$O$48</definedName>
    <definedName name="read1">'Assumptions'!#REF!</definedName>
    <definedName name="respondents" localSheetId="6">'Agency Yr 1'!$Q$13</definedName>
    <definedName name="respondents" localSheetId="7">'Agency Yr 2'!$Q$13</definedName>
    <definedName name="respondents" localSheetId="8">'Agency Yr 3'!$Q$13</definedName>
    <definedName name="retest" localSheetId="6">'Agency Yr 1'!$Q$10</definedName>
    <definedName name="retest" localSheetId="7">'Agency Yr 2'!$Q$10</definedName>
    <definedName name="retest" localSheetId="8">'Agency Yr 3'!$Q$10</definedName>
    <definedName name="sperfac" localSheetId="6">'Agency Yr 1'!$Q$9</definedName>
    <definedName name="sperfac" localSheetId="7">'Agency Yr 2'!$Q$9</definedName>
    <definedName name="sperfac" localSheetId="8">'Agency Yr 3'!$Q$9</definedName>
    <definedName name="ssmalf">'[1]basis'!$C$21</definedName>
    <definedName name="tech">'[1]basis'!$C$24</definedName>
  </definedNames>
  <calcPr fullCalcOnLoad="1"/>
</workbook>
</file>

<file path=xl/sharedStrings.xml><?xml version="1.0" encoding="utf-8"?>
<sst xmlns="http://schemas.openxmlformats.org/spreadsheetml/2006/main" count="745" uniqueCount="240">
  <si>
    <t>1.</t>
  </si>
  <si>
    <t>2.</t>
  </si>
  <si>
    <t>3.</t>
  </si>
  <si>
    <t>4.</t>
  </si>
  <si>
    <t>A.</t>
  </si>
  <si>
    <t>B.</t>
  </si>
  <si>
    <t>C.</t>
  </si>
  <si>
    <t>D.</t>
  </si>
  <si>
    <t>E.</t>
  </si>
  <si>
    <t>5.</t>
  </si>
  <si>
    <t>No. of new facilities each year to respond</t>
  </si>
  <si>
    <t>Labor Rates:</t>
  </si>
  <si>
    <t>Footnotes</t>
  </si>
  <si>
    <t>Notification requirements</t>
  </si>
  <si>
    <t>Reporting requirements</t>
  </si>
  <si>
    <t>Review notification of compliance status</t>
  </si>
  <si>
    <t>Burden Item</t>
  </si>
  <si>
    <t xml:space="preserve">Read and understand rule requirements </t>
  </si>
  <si>
    <t>6.</t>
  </si>
  <si>
    <t>Continuous parameter monitoring</t>
  </si>
  <si>
    <t>7.</t>
  </si>
  <si>
    <t>Notification of compliance status</t>
  </si>
  <si>
    <t>a</t>
  </si>
  <si>
    <t>b</t>
  </si>
  <si>
    <t>c</t>
  </si>
  <si>
    <t>d</t>
  </si>
  <si>
    <t>e</t>
  </si>
  <si>
    <t>f</t>
  </si>
  <si>
    <t>g</t>
  </si>
  <si>
    <t>h</t>
  </si>
  <si>
    <t>Read and understand rule requirements</t>
  </si>
  <si>
    <t>Enter and update information into agency recordkeeping system</t>
  </si>
  <si>
    <t>Year</t>
  </si>
  <si>
    <t>Total Hours</t>
  </si>
  <si>
    <t>Labor Costs</t>
  </si>
  <si>
    <t>Total Costs</t>
  </si>
  <si>
    <t>Average Burden</t>
  </si>
  <si>
    <t xml:space="preserve"> </t>
  </si>
  <si>
    <t>Required activities</t>
  </si>
  <si>
    <t>Notification of intent to construct/reconstruct</t>
  </si>
  <si>
    <t>Notification of commencement of construction/reconstruction</t>
  </si>
  <si>
    <t>Notification of startup</t>
  </si>
  <si>
    <t>Request for compliance extension</t>
  </si>
  <si>
    <t xml:space="preserve">DEFINITIONS, PARAMETERS, AND ASSUMPTIONS </t>
  </si>
  <si>
    <t>Definition</t>
  </si>
  <si>
    <t xml:space="preserve">No. of existing facilities to respond </t>
  </si>
  <si>
    <t>TOTALS</t>
  </si>
  <si>
    <t>Summary of Industry Burden</t>
  </si>
  <si>
    <t>Total Labor Cost</t>
  </si>
  <si>
    <t>Total Non-Labor Cost</t>
  </si>
  <si>
    <t>Total Cost</t>
  </si>
  <si>
    <t>Total Annualized Capital</t>
  </si>
  <si>
    <t>Summary of O&amp;M</t>
  </si>
  <si>
    <t>O&amp;M costs per report</t>
  </si>
  <si>
    <t>Agency loaded technical (GS-12, Step 5)</t>
  </si>
  <si>
    <t>Agency loaded managerial (GS-15, Step 5)</t>
  </si>
  <si>
    <t>Agency loaded clerical (GS-7, Step 5)</t>
  </si>
  <si>
    <t>Total Non-Labor (O&amp;M) Costs per Year</t>
  </si>
  <si>
    <t>Non-Labor (O&amp;M) Costs</t>
  </si>
  <si>
    <t>i</t>
  </si>
  <si>
    <t>Review notification of intent to construct/reconstruct</t>
  </si>
  <si>
    <t>Review notification of commencement of construction/reconstruction</t>
  </si>
  <si>
    <t>Review notification of startup</t>
  </si>
  <si>
    <t>Notification of initial performance tests</t>
  </si>
  <si>
    <t>Review notification of initial performance tests</t>
  </si>
  <si>
    <t>One-time only costs.</t>
  </si>
  <si>
    <t>Review request for compliance extension</t>
  </si>
  <si>
    <t>Summary of Agency Burden</t>
  </si>
  <si>
    <t>Semiannual compliance reports</t>
  </si>
  <si>
    <t>Compliance time for existing facilities (years)</t>
  </si>
  <si>
    <t xml:space="preserve">Review initial notification that existing facilities are subject to the standard </t>
  </si>
  <si>
    <t xml:space="preserve">Initial notification that existing facilities are subject to the standard </t>
  </si>
  <si>
    <t>Testing contractor cost for initial performance test (Method 5A) of a PM control device</t>
  </si>
  <si>
    <t>Non-Labor (O&amp;M) Costs:</t>
  </si>
  <si>
    <t>Facility Info:</t>
  </si>
  <si>
    <t>Technical Hours</t>
  </si>
  <si>
    <t>Management Hours</t>
  </si>
  <si>
    <t>Clerical Hours</t>
  </si>
  <si>
    <t>j</t>
  </si>
  <si>
    <t>k</t>
  </si>
  <si>
    <t>Recordkeeping requirements</t>
  </si>
  <si>
    <t>Implement activities</t>
  </si>
  <si>
    <t>Store, file, and maintain records</t>
  </si>
  <si>
    <t>Record performance tests</t>
  </si>
  <si>
    <t>Prepare for and participate in audits</t>
  </si>
  <si>
    <t>Train personnel</t>
  </si>
  <si>
    <t>Gather information for semi-annual reports</t>
  </si>
  <si>
    <t>Total Burden</t>
  </si>
  <si>
    <t>Assumption/Reference</t>
  </si>
  <si>
    <t>Estimate provided by Ray Merrill, Senior Program Manager at ERG Analytical Lab</t>
  </si>
  <si>
    <t>Assumes that compliance extensions will not be necessary.</t>
  </si>
  <si>
    <t>Facilities requiring control</t>
  </si>
  <si>
    <t>Industry labor rates taken from:  http://www.bls.gov/oes/current/naics3_324000.htm#b51-0000</t>
  </si>
  <si>
    <t>Initial performance tests</t>
  </si>
  <si>
    <t>There is no additional burden for monitoring equipment because add-on control devices are not expected to be needed to demonstrate compliance with the proposed emission limits and facilities are already equipped with equipment to monitor process and existing control device parameters.</t>
  </si>
  <si>
    <t xml:space="preserve">Existing facilities must submit notification that they are subject to the standard within 120 days of the effective date (in Year 1).  </t>
  </si>
  <si>
    <t xml:space="preserve">Notifications for new area sources </t>
  </si>
  <si>
    <t>No new sources are expected in Year 1 following promulgation.</t>
  </si>
  <si>
    <t>(1)</t>
  </si>
  <si>
    <t>(2)</t>
  </si>
  <si>
    <t>(3)</t>
  </si>
  <si>
    <t>Assume audits will not be performed in Year 1 due to limited compliance history.</t>
  </si>
  <si>
    <t>Non-labor costs include operation and maintenance (O&amp;M) costs for photocopying and mailing reports (assumed to be $7.50 per report).</t>
  </si>
  <si>
    <t>One-time activity for each facility in Year 1.</t>
  </si>
  <si>
    <t>Total</t>
  </si>
  <si>
    <t>Average</t>
  </si>
  <si>
    <r>
      <t>Total Labor Costs per Year</t>
    </r>
    <r>
      <rPr>
        <b/>
        <vertAlign val="superscript"/>
        <sz val="10"/>
        <rFont val="Courier New"/>
        <family val="3"/>
      </rPr>
      <t>a</t>
    </r>
  </si>
  <si>
    <t>(A)</t>
  </si>
  <si>
    <t>(B)</t>
  </si>
  <si>
    <t xml:space="preserve">Technical Hours per Facility per Year </t>
  </si>
  <si>
    <t>Technical Hours per Occurrence</t>
  </si>
  <si>
    <t>Number of Occurrences per Facility per Year</t>
  </si>
  <si>
    <t>(D)</t>
  </si>
  <si>
    <t>Number of Facilities</t>
  </si>
  <si>
    <t>Technical Hours per Year</t>
  </si>
  <si>
    <t>(E=CxD)</t>
  </si>
  <si>
    <t>(F=Ex0.05)</t>
  </si>
  <si>
    <t xml:space="preserve"> Management Hours per Year</t>
  </si>
  <si>
    <t>(G=Ex0.1)</t>
  </si>
  <si>
    <t>Clerical Hours per Year</t>
  </si>
  <si>
    <t>(C=AxB)</t>
  </si>
  <si>
    <t>Observe initial performance tests</t>
  </si>
  <si>
    <t>b, c</t>
  </si>
  <si>
    <t>(D=Cx0.05)</t>
  </si>
  <si>
    <t>Number of Occurrences per Year</t>
  </si>
  <si>
    <t>Management Hours per Year</t>
  </si>
  <si>
    <t>Existing area source facilities must submit notification that they are subject to the standard within 120 days of the effective date (in Year 1).</t>
  </si>
  <si>
    <t>http://www.epa.gov/naaujydh/pages/opportunities/icrhndbk.pdf</t>
  </si>
  <si>
    <t>Testing Costs</t>
  </si>
  <si>
    <t>Photo Copies and Postage</t>
  </si>
  <si>
    <t>Pressure drop monitor</t>
  </si>
  <si>
    <t>Reporting requirements - review semiannual compliance reports</t>
  </si>
  <si>
    <t xml:space="preserve">Excess emissions - enforcement activities </t>
  </si>
  <si>
    <t>Assumes EPA technical personnel will review 25% of the performance test and monitoring parameter reports in Year 1.</t>
  </si>
  <si>
    <t>Assumes EPA technical personnel review will 25% of the semiannual compliance reports in Year 1.</t>
  </si>
  <si>
    <t>(E=CX0.1)</t>
  </si>
  <si>
    <t>U.S. Office of Personnel Management.  Salary Table 2009-GS.  Effective January 2009.  http://www.opm.gov/flsa/oca/09tables/pdf/gs_h.pdf</t>
  </si>
  <si>
    <t>Agency managerial hourly rate (GS-15, Step 5)</t>
  </si>
  <si>
    <t>Agency technical hourly rate (GS-12, Step 5)</t>
  </si>
  <si>
    <t>Agency clerical hourly rate (GS-7, Step 5)</t>
  </si>
  <si>
    <t>Industry technical hourly rate</t>
  </si>
  <si>
    <t>Industry managerial hourly rate</t>
  </si>
  <si>
    <t>Industry clerical hourly rate</t>
  </si>
  <si>
    <t>Industry loaded technical hourly rate</t>
  </si>
  <si>
    <t>Industry loaded managerial hourly rate</t>
  </si>
  <si>
    <t>Industry loaded clerical hourly rate</t>
  </si>
  <si>
    <t>Includes photocopying, and postage costs ($0.10/page)(15 pages/report)($0.50/report)</t>
  </si>
  <si>
    <t>Value</t>
  </si>
  <si>
    <t>Assumed factor not needed.  Discussion on page A-42 of U.S. EPA ICR Handbook (http://www.epa.gov/naaujydh/pages/opportunities/icrhndbk.pdf) is for back-calculating an annual pay rate into an hourly rate.</t>
  </si>
  <si>
    <t>http://www.omega.com/ppt/pptsc.asp?ref=OM-CP-PRTC210&amp;Nav=dase01</t>
  </si>
  <si>
    <t>data logger</t>
  </si>
  <si>
    <t>http://www.hvactool.com/catalog.php3?hcategory=23&amp;hsubcat=199&amp;hpagenum=1&amp;hproductid=DWYER-4000-1KPA</t>
  </si>
  <si>
    <t>for pressure gauge</t>
  </si>
  <si>
    <t>Capital recovery factor</t>
  </si>
  <si>
    <t>Annualized cost</t>
  </si>
  <si>
    <t>Assume audits will not be performed in Year 2 due to limited compliance history.</t>
  </si>
  <si>
    <t>No new sources are expected in Year 2 following promulgation.</t>
  </si>
  <si>
    <t>Based upon training for continuous parameter monitoring system.</t>
  </si>
  <si>
    <t>Assume audits will not be performed in Year 3 due to limited compliance history.</t>
  </si>
  <si>
    <t>No new sources are expected in Year 3 following promulgation.</t>
  </si>
  <si>
    <t>Assumes EPA technical personnel review will 25% of the semiannual compliance reports in Year 2.</t>
  </si>
  <si>
    <t>Assumes EPA technical personnel review will 25% of the semiannual compliance reports in Year 3.</t>
  </si>
  <si>
    <t xml:space="preserve">Average per facility per year </t>
  </si>
  <si>
    <t>Industry scalar for benefits and overhead</t>
  </si>
  <si>
    <t xml:space="preserve"> Agency scalar for benefits and overhead</t>
  </si>
  <si>
    <t>Burden item</t>
  </si>
  <si>
    <t>(A) Person-hours per occurrence</t>
  </si>
  <si>
    <t>(B)  No. of occurrences per plant</t>
  </si>
  <si>
    <t>(C) Person-hours per plant (C=A*B)</t>
  </si>
  <si>
    <t xml:space="preserve">      (D) Number of plants</t>
  </si>
  <si>
    <t>(E) Technical person-hours (E=C*D)</t>
  </si>
  <si>
    <t>(F) Management person-hours (E*0.05)</t>
  </si>
  <si>
    <t>(G) Clerical person-hours (E*0.1)</t>
  </si>
  <si>
    <t>Read the rule</t>
  </si>
  <si>
    <t>Initial notification of applicability</t>
  </si>
  <si>
    <t>Time to enter information</t>
  </si>
  <si>
    <t>52/yr</t>
  </si>
  <si>
    <t>Time to transmit or disclose information</t>
  </si>
  <si>
    <t>2/yr</t>
  </si>
  <si>
    <t>Time to adjust existing ways</t>
  </si>
  <si>
    <t>Total per plant (Above Threshold Plants Only)</t>
  </si>
  <si>
    <r>
      <t>(H) One time costs</t>
    </r>
    <r>
      <rPr>
        <b/>
        <vertAlign val="superscript"/>
        <sz val="9"/>
        <color indexed="8"/>
        <rFont val="Times New Roman"/>
        <family val="1"/>
      </rPr>
      <t>a</t>
    </r>
    <r>
      <rPr>
        <b/>
        <sz val="9"/>
        <color indexed="8"/>
        <rFont val="Times New Roman"/>
        <family val="1"/>
      </rPr>
      <t xml:space="preserve">, $ </t>
    </r>
  </si>
  <si>
    <r>
      <t>(I) Annual costs</t>
    </r>
    <r>
      <rPr>
        <b/>
        <vertAlign val="superscript"/>
        <sz val="9"/>
        <color indexed="8"/>
        <rFont val="Times New Roman"/>
        <family val="1"/>
      </rPr>
      <t>a</t>
    </r>
    <r>
      <rPr>
        <b/>
        <sz val="9"/>
        <color indexed="8"/>
        <rFont val="Times New Roman"/>
        <family val="1"/>
      </rPr>
      <t xml:space="preserve">, $/yr </t>
    </r>
  </si>
  <si>
    <r>
      <t>Develop record system</t>
    </r>
    <r>
      <rPr>
        <b/>
        <vertAlign val="superscript"/>
        <sz val="9"/>
        <color indexed="8"/>
        <rFont val="Times New Roman"/>
        <family val="1"/>
      </rPr>
      <t xml:space="preserve"> </t>
    </r>
  </si>
  <si>
    <r>
      <t>Time to train personne</t>
    </r>
    <r>
      <rPr>
        <sz val="9"/>
        <rFont val="Times New Roman"/>
        <family val="1"/>
      </rPr>
      <t>l</t>
    </r>
  </si>
  <si>
    <t>a)  Labor rate data from Bureau of Labor Statistics (www.bls.org), May 2007 National Industry-Specific Occupational Employment and Wage Estimates for NAICS code 325900.  Unloaded rate for technical (health and safety engineer) is $34.49, engineering manager is $52.02, and clerical is $14.95.  Assume 60% overhead to determine loaded labor rates of $55.18, $83.23, and $23.92 for technical, management, and clerical, respectively.</t>
  </si>
  <si>
    <t>Labor rate data from Bureau of Labor Statistics (www.bls.org), May 2007 National Industry-Specific Occupational Employment and Wage Estimates for NAICS code 325900.  Unloaded rate for technical (health and safety engineer) is $34.49, engineering manager is $52.02, and clerical is $14.95.</t>
  </si>
  <si>
    <t>No. of initial performance tests observed by EPA personnel (assume either performed testing already or will use engineering calculations or perfomance guarantee information for compliance)</t>
  </si>
  <si>
    <t>Assumed to either have this already or will use engineering calcs.</t>
  </si>
  <si>
    <t>Not needed because no equipment purchase necessary.</t>
  </si>
  <si>
    <t>Engineering calculations or performance guarantees</t>
  </si>
  <si>
    <t>Record periods of target HAP service and deviations</t>
  </si>
  <si>
    <t>Develop a record system</t>
  </si>
  <si>
    <t>(4)</t>
  </si>
  <si>
    <t>Vent collection systems and control inspections</t>
  </si>
  <si>
    <t>Continuous parameter monitoring system inspections, calibration and maintenance</t>
  </si>
  <si>
    <t>Develop a monitoring plan</t>
  </si>
  <si>
    <t xml:space="preserve">Attachment A - Table 1.  Annual Respondent Burden and Cost of Recordkeeping and Reporting Requirements for Year 1 of the Proposed NESHAP for Area Sources:  Chemical Preparations Industry </t>
  </si>
  <si>
    <t>Labor costs are based upon the following hourly rates for 2007 from the Bureau of Labor Statistics (Technical $34.49, Management $52.02, and Clerical $14.95) and an index loading factor of 1.2.</t>
  </si>
  <si>
    <t>Assumes 50 percent of existing facilities will use their existing continuous parameter monitoring equipment.  The remaining 50 percent are assumed to utilize performance guarantees and engineering calculations to establish compliance.</t>
  </si>
  <si>
    <t>Assumes that performance tests are not required for any of the existing facilities to demonstrate compliance with the proposed emission limits.  The assumption was made that 50 percent of the industry have existing performance tests that demonstrate compliance with the proposed emission limits, and the other 50 percent will use performance guarantees or engineering calculations to demonstrate compliance.</t>
  </si>
  <si>
    <t xml:space="preserve">d, e </t>
  </si>
  <si>
    <t>c, d</t>
  </si>
  <si>
    <t>b, f, i</t>
  </si>
  <si>
    <t xml:space="preserve">Attachment A - Table 2.  Annual Respondent Burden and Cost of Recordkeeping and Reporting Requirements for Year 2 of the Proposed NESHAP for Area Sources:  Chemical Preparations Industry </t>
  </si>
  <si>
    <t>Assumes all existing facilities will use their existing continuous parameter monitoring equipment to demonstrate continuous compliance.</t>
  </si>
  <si>
    <t>b, i</t>
  </si>
  <si>
    <t>b, d</t>
  </si>
  <si>
    <t>Annualized Parameter Monitor Cost</t>
  </si>
  <si>
    <t xml:space="preserve">Facilities subject to the proposed standards are located in 13 States.  </t>
  </si>
  <si>
    <t>Assumes that EPA technical personnel will review 25% of the initial compliance status notifications in Year 1.</t>
  </si>
  <si>
    <t>Assume no emissions tests will need to be performed.  Facilities will utilize existing performance tests, performance guarantees, or engineering calculations to demonstrate initial compliance.</t>
  </si>
  <si>
    <t>Assumes no enforcement activities for Year 1.</t>
  </si>
  <si>
    <t>c, d, e</t>
  </si>
  <si>
    <t>c, e</t>
  </si>
  <si>
    <t>c, g</t>
  </si>
  <si>
    <t>c, j</t>
  </si>
  <si>
    <t>Assumes that EPA technical personnel will review 75% of the initial compliance status notifications in Year 2.</t>
  </si>
  <si>
    <t>Assumes no enforcement activities for Year 2.</t>
  </si>
  <si>
    <t>Assumes EPA technical personnel will review 75% of the performance test and monitoring parameter reports in Year 2.</t>
  </si>
  <si>
    <t>Assumes no enforcement activities for Year 3.</t>
  </si>
  <si>
    <t>Assumes EPA technical personnel will review all of the performance test and monitoring parameter reports in Years 1 and 2.</t>
  </si>
  <si>
    <t>Assumes that EPA technical personnel will review all of the initial compliance status notifications in Years 1 and 2.</t>
  </si>
  <si>
    <t>Review initial performance test reports, performance guarantees, engineering calculations, and operating parameters</t>
  </si>
  <si>
    <t xml:space="preserve">Attachment A - Table 4.  Summary of Respondent Burden for the Proposed NESHAP for Area Sources (Years 1 through 3):  Chemical Preparations Industry </t>
  </si>
  <si>
    <t>b, j</t>
  </si>
  <si>
    <t>Employment cost index (http://www.bls.gov/news.release/eci.t02.htm); percent increase from June 2007 to December 2008)</t>
  </si>
  <si>
    <t xml:space="preserve">Attachment B - Table 1.  Annual Government Burden and Cost of Recordkeeping and Reporting Requirements for Year 1 of the Proposed NESHAP for Area Sources:  Chemical Preparations Industry </t>
  </si>
  <si>
    <t>Attachment B - Table 4.  Summary of Government Burden for the Proposed NESHAP for Area Sources (Years 1 through 3):  Chemical Preparations Industry</t>
  </si>
  <si>
    <t>Labor costs are based on the following loaded hourly rates for 2009 from the Office of Personnel Management (loading factor = 0.6):  Technical $51.60, Management $85.28, and Clerical $29.04.</t>
  </si>
  <si>
    <r>
      <t>Total Labor Costs per Year</t>
    </r>
    <r>
      <rPr>
        <b/>
        <vertAlign val="superscript"/>
        <sz val="10"/>
        <color indexed="8"/>
        <rFont val="Courier New"/>
        <family val="3"/>
      </rPr>
      <t>a</t>
    </r>
  </si>
  <si>
    <t xml:space="preserve">Attachment B - Table 2.  Annual Government Burden and Cost of Recordkeeping and Reporting Requirements for Year 2 of the Proposed NESHAP for Area Sources:  Chemical Preparations Industry </t>
  </si>
  <si>
    <t xml:space="preserve">Attachment B - Table 3.  Annual Government Burden and Cost of Recordkeeping and Reporting Requirements for Year 3 of the Proposed NESHAP for Area Sources:  Chemical Preparations Industry </t>
  </si>
  <si>
    <t xml:space="preserve">Attachment A - Table 3.  Annual Respondent Burden and Cost of Recordkeeping and Reporting Requirements for Year 3 of the Proposed NESHAP for Area Sources:  Chemical Preparations Industry </t>
  </si>
  <si>
    <t>Steady State (years 2 onward)</t>
  </si>
  <si>
    <t xml:space="preserve">Reporting hours per semiannual report = </t>
  </si>
  <si>
    <t xml:space="preserve">Cost per semiannual report = </t>
  </si>
  <si>
    <t xml:space="preserve">Recordkeeping hours per year = </t>
  </si>
  <si>
    <t xml:space="preserve">Reporting costs per semiannual report = </t>
  </si>
  <si>
    <t>Recordkeeping costs per year =</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</si>
</sst>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00"/>
    <numFmt numFmtId="168" formatCode="0.0000"/>
    <numFmt numFmtId="169" formatCode="&quot;$&quot;#,##0"/>
    <numFmt numFmtId="170" formatCode="&quot;$&quot;#,##0.00"/>
    <numFmt numFmtId="171" formatCode="0.0000000"/>
    <numFmt numFmtId="172" formatCode="0.000000"/>
    <numFmt numFmtId="173" formatCode="&quot;$&quot;#,##0.0"/>
    <numFmt numFmtId="174" formatCode="&quot;$&quot;#,##0.000"/>
    <numFmt numFmtId="175" formatCode="&quot;$&quot;#,##0.0000"/>
    <numFmt numFmtId="176" formatCode="_(* #,##0.0_);_(* \(#,##0.0\);_(* &quot;-&quot;??_);_(@_)"/>
    <numFmt numFmtId="177" formatCode="_(* #,##0_);_(* \(#,##0\);_(* &quot;-&quot;??_);_(@_)"/>
    <numFmt numFmtId="178" formatCode="_(&quot;$&quot;* #,##0.0_);_(&quot;$&quot;* \(#,##0.0\);_(&quot;$&quot;* &quot;-&quot;??_);_(@_)"/>
    <numFmt numFmtId="179" formatCode="_(&quot;$&quot;* #,##0_);_(&quot;$&quot;* \(#,##0\);_(&quot;$&quot;* &quot;-&quot;??_);_(@_)"/>
    <numFmt numFmtId="180" formatCode="_(* #,##0.000_);_(* \(#,##0.000\);_(* &quot;-&quot;??_);_(@_)"/>
    <numFmt numFmtId="181" formatCode="_(* #,##0.0000_);_(* \(#,##0.0000\);_(* &quot;-&quot;??_);_(@_)"/>
    <numFmt numFmtId="182" formatCode="_(* #,##0.00000_);_(* \(#,##0.00000\);_(* &quot;-&quot;??_);_(@_)"/>
    <numFmt numFmtId="183" formatCode="_(* #,##0.000000_);_(* \(#,##0.000000\);_(* &quot;-&quot;??_);_(@_)"/>
    <numFmt numFmtId="184" formatCode="#,##0.000"/>
    <numFmt numFmtId="185" formatCode="#,##0.0000"/>
    <numFmt numFmtId="186" formatCode="&quot;Yes&quot;;&quot;Yes&quot;;&quot;No&quot;"/>
    <numFmt numFmtId="187" formatCode="&quot;True&quot;;&quot;True&quot;;&quot;False&quot;"/>
    <numFmt numFmtId="188" formatCode="&quot;On&quot;;&quot;On&quot;;&quot;Off&quot;"/>
    <numFmt numFmtId="189" formatCode="[$€-2]\ #,##0.00_);[Red]\([$€-2]\ #,##0.00\)"/>
    <numFmt numFmtId="190" formatCode="&quot;$&quot;#,##0.0_);\(&quot;$&quot;#,##0.0\)"/>
    <numFmt numFmtId="191" formatCode="&quot;$&quot;#,##0.00000_);\(&quot;$&quot;#,##0.00000\)"/>
    <numFmt numFmtId="192" formatCode="0.00000000"/>
    <numFmt numFmtId="193" formatCode="_(* #,##0.000_);_(* \(#,##0.000\);_(* &quot;-&quot;???_);_(@_)"/>
    <numFmt numFmtId="194" formatCode="_(&quot;$&quot;* #,##0.00000_);_(&quot;$&quot;* \(#,##0.00000\);_(&quot;$&quot;* &quot;-&quot;?????_);_(@_)"/>
    <numFmt numFmtId="195" formatCode="_(&quot;$&quot;* #,##0.000_);_(&quot;$&quot;* \(#,##0.000\);_(&quot;$&quot;* &quot;-&quot;??_);_(@_)"/>
    <numFmt numFmtId="196" formatCode="_(&quot;$&quot;* #,##0.000_);_(&quot;$&quot;* \(#,##0.000\);_(&quot;$&quot;* &quot;-&quot;???_);_(@_)"/>
  </numFmts>
  <fonts count="20">
    <font>
      <sz val="10"/>
      <name val="Arial"/>
      <family val="0"/>
    </font>
    <font>
      <b/>
      <sz val="10"/>
      <name val="Arial"/>
      <family val="2"/>
    </font>
    <font>
      <sz val="10"/>
      <color indexed="10"/>
      <name val="Arial"/>
      <family val="0"/>
    </font>
    <font>
      <sz val="10"/>
      <name val="Courier New"/>
      <family val="3"/>
    </font>
    <font>
      <b/>
      <sz val="10"/>
      <name val="Courier New"/>
      <family val="3"/>
    </font>
    <font>
      <b/>
      <vertAlign val="superscript"/>
      <sz val="10"/>
      <name val="Courier New"/>
      <family val="3"/>
    </font>
    <font>
      <vertAlign val="superscript"/>
      <sz val="10"/>
      <name val="Courier New"/>
      <family val="3"/>
    </font>
    <font>
      <i/>
      <sz val="10"/>
      <name val="Courier New"/>
      <family val="3"/>
    </font>
    <font>
      <u val="single"/>
      <sz val="10"/>
      <color indexed="12"/>
      <name val="Arial"/>
      <family val="0"/>
    </font>
    <font>
      <sz val="8"/>
      <name val="Arial"/>
      <family val="0"/>
    </font>
    <font>
      <u val="single"/>
      <sz val="10"/>
      <color indexed="36"/>
      <name val="Arial"/>
      <family val="0"/>
    </font>
    <font>
      <b/>
      <sz val="9"/>
      <color indexed="8"/>
      <name val="Times New Roman"/>
      <family val="1"/>
    </font>
    <font>
      <b/>
      <vertAlign val="superscript"/>
      <sz val="9"/>
      <color indexed="8"/>
      <name val="Times New Roman"/>
      <family val="1"/>
    </font>
    <font>
      <sz val="9"/>
      <color indexed="8"/>
      <name val="Times New Roman"/>
      <family val="1"/>
    </font>
    <font>
      <sz val="9"/>
      <name val="Times New Roman"/>
      <family val="1"/>
    </font>
    <font>
      <b/>
      <sz val="10"/>
      <color indexed="8"/>
      <name val="Courier New"/>
      <family val="3"/>
    </font>
    <font>
      <sz val="10"/>
      <color indexed="8"/>
      <name val="Courier New"/>
      <family val="3"/>
    </font>
    <font>
      <b/>
      <vertAlign val="superscript"/>
      <sz val="10"/>
      <color indexed="8"/>
      <name val="Courier New"/>
      <family val="3"/>
    </font>
    <font>
      <vertAlign val="superscript"/>
      <sz val="10"/>
      <color indexed="8"/>
      <name val="Courier New"/>
      <family val="3"/>
    </font>
    <font>
      <sz val="10"/>
      <color indexed="8"/>
      <name val="Arial"/>
      <family val="0"/>
    </font>
  </fonts>
  <fills count="3">
    <fill>
      <patternFill/>
    </fill>
    <fill>
      <patternFill patternType="gray125"/>
    </fill>
    <fill>
      <patternFill patternType="solid">
        <fgColor indexed="22"/>
        <bgColor indexed="64"/>
      </patternFill>
    </fill>
  </fills>
  <borders count="48">
    <border>
      <left/>
      <right/>
      <top/>
      <bottom/>
      <diagonal/>
    </border>
    <border>
      <left>
        <color indexed="63"/>
      </left>
      <right>
        <color indexed="63"/>
      </right>
      <top>
        <color indexed="63"/>
      </top>
      <bottom style="thin"/>
    </border>
    <border>
      <left>
        <color indexed="63"/>
      </left>
      <right style="medium"/>
      <top>
        <color indexed="63"/>
      </top>
      <bottom style="thin"/>
    </border>
    <border>
      <left>
        <color indexed="63"/>
      </left>
      <right style="medium"/>
      <top>
        <color indexed="63"/>
      </top>
      <bottom>
        <color indexed="63"/>
      </bottom>
    </border>
    <border>
      <left style="thin"/>
      <right style="thin"/>
      <top style="thin"/>
      <bottom style="thin"/>
    </border>
    <border>
      <left style="thin"/>
      <right style="thin"/>
      <top style="medium"/>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color indexed="63"/>
      </left>
      <right style="thin"/>
      <top style="thin"/>
      <bottom style="thin"/>
    </border>
    <border>
      <left style="medium"/>
      <right>
        <color indexed="63"/>
      </right>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double"/>
    </border>
    <border>
      <left style="medium"/>
      <right style="thin"/>
      <top>
        <color indexed="63"/>
      </top>
      <bottom style="thin"/>
    </border>
    <border>
      <left style="thin"/>
      <right style="thin"/>
      <top style="medium"/>
      <bottom style="double"/>
    </border>
    <border>
      <left>
        <color indexed="63"/>
      </left>
      <right style="thin"/>
      <top style="medium"/>
      <bottom style="thin"/>
    </border>
    <border>
      <left style="thin"/>
      <right>
        <color indexed="63"/>
      </right>
      <top style="thin"/>
      <bottom style="thin"/>
    </border>
    <border>
      <left style="medium"/>
      <right style="thin"/>
      <top style="thin"/>
      <bottom style="thin"/>
    </border>
    <border>
      <left style="medium"/>
      <right style="thin"/>
      <top style="medium"/>
      <bottom style="double"/>
    </border>
    <border>
      <left style="thin"/>
      <right style="medium"/>
      <top style="medium"/>
      <bottom style="double"/>
    </border>
    <border>
      <left style="double"/>
      <right style="medium"/>
      <top>
        <color indexed="63"/>
      </top>
      <bottom style="medium"/>
    </border>
    <border>
      <left style="medium"/>
      <right style="medium"/>
      <top>
        <color indexed="63"/>
      </top>
      <bottom style="medium"/>
    </border>
    <border>
      <left>
        <color indexed="63"/>
      </left>
      <right style="double"/>
      <top>
        <color indexed="63"/>
      </top>
      <bottom style="medium"/>
    </border>
    <border>
      <left style="double"/>
      <right style="medium"/>
      <top style="double"/>
      <bottom>
        <color indexed="63"/>
      </botto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medium"/>
      <top style="double"/>
      <bottom>
        <color indexed="63"/>
      </bottom>
    </border>
    <border>
      <left style="double"/>
      <right>
        <color indexed="63"/>
      </right>
      <top style="medium"/>
      <bottom style="medium"/>
    </border>
    <border>
      <left>
        <color indexed="63"/>
      </left>
      <right>
        <color indexed="63"/>
      </right>
      <top style="medium"/>
      <bottom style="medium"/>
    </border>
    <border>
      <left>
        <color indexed="63"/>
      </left>
      <right style="medium">
        <color indexed="8"/>
      </right>
      <top style="medium"/>
      <bottom style="medium"/>
    </border>
    <border>
      <left style="medium"/>
      <right style="medium"/>
      <top>
        <color indexed="63"/>
      </top>
      <bottom style="medium">
        <color indexed="8"/>
      </bottom>
    </border>
    <border>
      <left style="thin"/>
      <right style="medium"/>
      <top style="medium"/>
      <bottom>
        <color indexed="63"/>
      </bottom>
    </border>
    <border>
      <left style="thin"/>
      <right style="medium"/>
      <top>
        <color indexed="63"/>
      </top>
      <bottom style="double"/>
    </border>
    <border>
      <left style="thin"/>
      <right style="thin"/>
      <top style="medium"/>
      <bottom>
        <color indexed="63"/>
      </bottom>
    </border>
    <border>
      <left style="thin"/>
      <right style="thin"/>
      <top>
        <color indexed="63"/>
      </top>
      <bottom style="double"/>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317">
    <xf numFmtId="0" fontId="0" fillId="0" borderId="0" xfId="0" applyAlignment="1">
      <alignment/>
    </xf>
    <xf numFmtId="0" fontId="0" fillId="0" borderId="0" xfId="0" applyFont="1" applyBorder="1" applyAlignment="1">
      <alignment horizontal="center" vertical="top" wrapText="1"/>
    </xf>
    <xf numFmtId="0" fontId="1" fillId="0" borderId="1" xfId="0" applyFont="1" applyBorder="1" applyAlignment="1">
      <alignment horizontal="center" vertical="top" wrapText="1"/>
    </xf>
    <xf numFmtId="0" fontId="1" fillId="0" borderId="2" xfId="0" applyFont="1" applyBorder="1" applyAlignment="1">
      <alignment horizontal="center" vertical="top" wrapText="1"/>
    </xf>
    <xf numFmtId="0" fontId="1" fillId="0" borderId="0" xfId="0" applyFont="1" applyBorder="1" applyAlignment="1">
      <alignment horizontal="center" vertical="top" wrapText="1"/>
    </xf>
    <xf numFmtId="0" fontId="1" fillId="0" borderId="3" xfId="0" applyFont="1" applyBorder="1" applyAlignment="1">
      <alignment horizontal="center" vertical="top" wrapText="1"/>
    </xf>
    <xf numFmtId="0" fontId="0" fillId="0" borderId="3" xfId="0" applyFont="1" applyBorder="1" applyAlignment="1">
      <alignment horizontal="center" vertical="top" wrapText="1"/>
    </xf>
    <xf numFmtId="9" fontId="0" fillId="0" borderId="0" xfId="0" applyNumberFormat="1" applyFont="1" applyBorder="1" applyAlignment="1">
      <alignment horizontal="center" vertical="top" wrapText="1"/>
    </xf>
    <xf numFmtId="0" fontId="2" fillId="0" borderId="0" xfId="0" applyFont="1" applyAlignment="1">
      <alignment/>
    </xf>
    <xf numFmtId="0" fontId="3" fillId="0" borderId="0" xfId="0" applyFont="1" applyAlignment="1">
      <alignment/>
    </xf>
    <xf numFmtId="0" fontId="3" fillId="0" borderId="4" xfId="0" applyFont="1" applyBorder="1" applyAlignment="1">
      <alignment horizontal="center" wrapText="1"/>
    </xf>
    <xf numFmtId="3" fontId="3" fillId="0" borderId="4" xfId="0" applyNumberFormat="1" applyFont="1" applyBorder="1" applyAlignment="1">
      <alignment horizontal="center"/>
    </xf>
    <xf numFmtId="166" fontId="3" fillId="0" borderId="4" xfId="0" applyNumberFormat="1" applyFont="1" applyBorder="1" applyAlignment="1">
      <alignment horizontal="center"/>
    </xf>
    <xf numFmtId="169" fontId="3" fillId="0" borderId="4" xfId="0" applyNumberFormat="1" applyFont="1" applyBorder="1" applyAlignment="1">
      <alignment horizontal="center"/>
    </xf>
    <xf numFmtId="169" fontId="3" fillId="0" borderId="0" xfId="0" applyNumberFormat="1" applyFont="1" applyAlignment="1">
      <alignment/>
    </xf>
    <xf numFmtId="0" fontId="3" fillId="0" borderId="0" xfId="0" applyFont="1" applyBorder="1" applyAlignment="1">
      <alignment horizontal="center"/>
    </xf>
    <xf numFmtId="3" fontId="3" fillId="0" borderId="0" xfId="0" applyNumberFormat="1" applyFont="1" applyBorder="1" applyAlignment="1">
      <alignment horizontal="center"/>
    </xf>
    <xf numFmtId="166" fontId="3" fillId="0" borderId="0" xfId="0" applyNumberFormat="1" applyFont="1" applyBorder="1" applyAlignment="1">
      <alignment horizontal="center"/>
    </xf>
    <xf numFmtId="169" fontId="3" fillId="0" borderId="0" xfId="0" applyNumberFormat="1" applyFont="1" applyBorder="1" applyAlignment="1">
      <alignment horizontal="center"/>
    </xf>
    <xf numFmtId="0" fontId="3" fillId="0" borderId="0" xfId="0" applyFont="1" applyBorder="1" applyAlignment="1">
      <alignment horizontal="left"/>
    </xf>
    <xf numFmtId="0" fontId="3" fillId="0" borderId="0" xfId="0" applyFont="1" applyBorder="1" applyAlignment="1">
      <alignment horizontal="centerContinuous"/>
    </xf>
    <xf numFmtId="0" fontId="3" fillId="0" borderId="0" xfId="0" applyFont="1" applyAlignment="1">
      <alignment horizontal="center"/>
    </xf>
    <xf numFmtId="0" fontId="3" fillId="0" borderId="0" xfId="0" applyFont="1" applyBorder="1" applyAlignment="1">
      <alignment/>
    </xf>
    <xf numFmtId="3" fontId="4" fillId="0" borderId="5" xfId="0" applyNumberFormat="1" applyFont="1" applyBorder="1" applyAlignment="1">
      <alignment horizontal="center" wrapText="1"/>
    </xf>
    <xf numFmtId="3" fontId="4" fillId="0" borderId="0" xfId="0" applyNumberFormat="1" applyFont="1" applyAlignment="1">
      <alignment/>
    </xf>
    <xf numFmtId="3" fontId="3" fillId="0" borderId="0" xfId="0" applyNumberFormat="1" applyFont="1" applyAlignment="1">
      <alignment/>
    </xf>
    <xf numFmtId="49" fontId="4" fillId="0" borderId="6" xfId="0" applyNumberFormat="1" applyFont="1" applyBorder="1" applyAlignment="1">
      <alignment horizontal="right" vertical="top"/>
    </xf>
    <xf numFmtId="49" fontId="4" fillId="0" borderId="7" xfId="0" applyNumberFormat="1" applyFont="1" applyBorder="1" applyAlignment="1">
      <alignment vertical="top"/>
    </xf>
    <xf numFmtId="3" fontId="3" fillId="0" borderId="4" xfId="0" applyNumberFormat="1" applyFont="1" applyBorder="1" applyAlignment="1">
      <alignment horizontal="center" wrapText="1"/>
    </xf>
    <xf numFmtId="164" fontId="3" fillId="0" borderId="4" xfId="0" applyNumberFormat="1" applyFont="1" applyBorder="1" applyAlignment="1">
      <alignment horizontal="center" wrapText="1"/>
    </xf>
    <xf numFmtId="169" fontId="3" fillId="0" borderId="4" xfId="0" applyNumberFormat="1" applyFont="1" applyBorder="1" applyAlignment="1">
      <alignment horizontal="center" wrapText="1"/>
    </xf>
    <xf numFmtId="3" fontId="3" fillId="0" borderId="8" xfId="0" applyNumberFormat="1" applyFont="1" applyBorder="1" applyAlignment="1">
      <alignment horizontal="center"/>
    </xf>
    <xf numFmtId="3" fontId="3" fillId="0" borderId="4" xfId="0" applyNumberFormat="1" applyFont="1" applyBorder="1" applyAlignment="1">
      <alignment/>
    </xf>
    <xf numFmtId="3" fontId="4" fillId="0" borderId="9" xfId="0" applyNumberFormat="1" applyFont="1" applyBorder="1" applyAlignment="1" quotePrefix="1">
      <alignment vertical="top"/>
    </xf>
    <xf numFmtId="3" fontId="3" fillId="0" borderId="9" xfId="0" applyNumberFormat="1" applyFont="1" applyBorder="1" applyAlignment="1">
      <alignment/>
    </xf>
    <xf numFmtId="3" fontId="4" fillId="0" borderId="9" xfId="0" applyNumberFormat="1" applyFont="1" applyBorder="1" applyAlignment="1">
      <alignment vertical="top"/>
    </xf>
    <xf numFmtId="3" fontId="3" fillId="0" borderId="7" xfId="0" applyNumberFormat="1" applyFont="1" applyBorder="1" applyAlignment="1">
      <alignment/>
    </xf>
    <xf numFmtId="3" fontId="4" fillId="0" borderId="7" xfId="0" applyNumberFormat="1" applyFont="1" applyBorder="1" applyAlignment="1">
      <alignment/>
    </xf>
    <xf numFmtId="4" fontId="3" fillId="0" borderId="4" xfId="0" applyNumberFormat="1" applyFont="1" applyBorder="1" applyAlignment="1">
      <alignment horizontal="center" wrapText="1"/>
    </xf>
    <xf numFmtId="3" fontId="3" fillId="0" borderId="8" xfId="0" applyNumberFormat="1" applyFont="1" applyBorder="1" applyAlignment="1">
      <alignment horizontal="center" wrapText="1"/>
    </xf>
    <xf numFmtId="3" fontId="4" fillId="0" borderId="7" xfId="0" applyNumberFormat="1" applyFont="1" applyBorder="1" applyAlignment="1">
      <alignment vertical="top"/>
    </xf>
    <xf numFmtId="49" fontId="4" fillId="0" borderId="10" xfId="0" applyNumberFormat="1" applyFont="1" applyBorder="1" applyAlignment="1">
      <alignment horizontal="right" vertical="top"/>
    </xf>
    <xf numFmtId="49" fontId="4" fillId="0" borderId="1" xfId="0" applyNumberFormat="1" applyFont="1" applyBorder="1" applyAlignment="1">
      <alignment vertical="top"/>
    </xf>
    <xf numFmtId="3" fontId="4" fillId="0" borderId="1" xfId="0" applyNumberFormat="1" applyFont="1" applyBorder="1" applyAlignment="1">
      <alignment vertical="top"/>
    </xf>
    <xf numFmtId="3" fontId="3" fillId="0" borderId="1" xfId="0" applyNumberFormat="1" applyFont="1" applyBorder="1" applyAlignment="1">
      <alignment horizontal="center"/>
    </xf>
    <xf numFmtId="3" fontId="3" fillId="0" borderId="1" xfId="0" applyNumberFormat="1" applyFont="1" applyBorder="1" applyAlignment="1">
      <alignment horizontal="center" wrapText="1"/>
    </xf>
    <xf numFmtId="3" fontId="3" fillId="0" borderId="11" xfId="0" applyNumberFormat="1" applyFont="1" applyBorder="1" applyAlignment="1">
      <alignment horizontal="center" wrapText="1"/>
    </xf>
    <xf numFmtId="164" fontId="3" fillId="0" borderId="11" xfId="0" applyNumberFormat="1" applyFont="1" applyBorder="1" applyAlignment="1">
      <alignment horizontal="center" wrapText="1"/>
    </xf>
    <xf numFmtId="169" fontId="3" fillId="0" borderId="11" xfId="0" applyNumberFormat="1" applyFont="1" applyBorder="1" applyAlignment="1">
      <alignment horizontal="center" wrapText="1"/>
    </xf>
    <xf numFmtId="3" fontId="3" fillId="0" borderId="12" xfId="0" applyNumberFormat="1" applyFont="1" applyBorder="1" applyAlignment="1">
      <alignment horizontal="center"/>
    </xf>
    <xf numFmtId="49" fontId="4" fillId="0" borderId="13" xfId="0" applyNumberFormat="1" applyFont="1" applyBorder="1" applyAlignment="1">
      <alignment horizontal="right" vertical="top"/>
    </xf>
    <xf numFmtId="49" fontId="4" fillId="0" borderId="0" xfId="0" applyNumberFormat="1" applyFont="1" applyBorder="1" applyAlignment="1">
      <alignment vertical="top"/>
    </xf>
    <xf numFmtId="3" fontId="4" fillId="0" borderId="0" xfId="0" applyNumberFormat="1" applyFont="1" applyBorder="1" applyAlignment="1">
      <alignment vertical="top"/>
    </xf>
    <xf numFmtId="3" fontId="4" fillId="0" borderId="0" xfId="0" applyNumberFormat="1" applyFont="1" applyBorder="1" applyAlignment="1">
      <alignment/>
    </xf>
    <xf numFmtId="3" fontId="4" fillId="0" borderId="0" xfId="0" applyNumberFormat="1" applyFont="1" applyBorder="1" applyAlignment="1">
      <alignment horizontal="center"/>
    </xf>
    <xf numFmtId="3" fontId="4" fillId="0" borderId="0" xfId="0" applyNumberFormat="1" applyFont="1" applyBorder="1" applyAlignment="1">
      <alignment horizontal="center" wrapText="1"/>
    </xf>
    <xf numFmtId="3" fontId="3" fillId="0" borderId="0" xfId="0" applyNumberFormat="1" applyFont="1" applyBorder="1" applyAlignment="1">
      <alignment horizontal="center" wrapText="1"/>
    </xf>
    <xf numFmtId="169" fontId="3" fillId="0" borderId="0" xfId="0" applyNumberFormat="1" applyFont="1" applyBorder="1" applyAlignment="1">
      <alignment horizontal="center" wrapText="1"/>
    </xf>
    <xf numFmtId="3" fontId="3" fillId="0" borderId="3" xfId="0" applyNumberFormat="1" applyFont="1" applyBorder="1" applyAlignment="1">
      <alignment horizontal="center"/>
    </xf>
    <xf numFmtId="3" fontId="4" fillId="0" borderId="0" xfId="0" applyNumberFormat="1" applyFont="1" applyBorder="1" applyAlignment="1">
      <alignment horizontal="left"/>
    </xf>
    <xf numFmtId="169" fontId="4" fillId="0" borderId="0" xfId="0" applyNumberFormat="1" applyFont="1" applyBorder="1" applyAlignment="1">
      <alignment horizontal="center" wrapText="1"/>
    </xf>
    <xf numFmtId="5" fontId="4" fillId="0" borderId="0" xfId="17" applyNumberFormat="1" applyFont="1" applyBorder="1" applyAlignment="1">
      <alignment horizontal="center" wrapText="1"/>
    </xf>
    <xf numFmtId="49" fontId="4" fillId="0" borderId="14" xfId="0" applyNumberFormat="1" applyFont="1" applyBorder="1" applyAlignment="1">
      <alignment horizontal="right" vertical="top"/>
    </xf>
    <xf numFmtId="49" fontId="4" fillId="0" borderId="15" xfId="0" applyNumberFormat="1" applyFont="1" applyBorder="1" applyAlignment="1">
      <alignment vertical="top"/>
    </xf>
    <xf numFmtId="3" fontId="4" fillId="0" borderId="15" xfId="0" applyNumberFormat="1" applyFont="1" applyBorder="1" applyAlignment="1">
      <alignment vertical="top"/>
    </xf>
    <xf numFmtId="3" fontId="4" fillId="0" borderId="15" xfId="0" applyNumberFormat="1" applyFont="1" applyBorder="1" applyAlignment="1">
      <alignment horizontal="left"/>
    </xf>
    <xf numFmtId="3" fontId="4" fillId="0" borderId="15" xfId="0" applyNumberFormat="1" applyFont="1" applyBorder="1" applyAlignment="1">
      <alignment horizontal="center"/>
    </xf>
    <xf numFmtId="3" fontId="4" fillId="0" borderId="15" xfId="0" applyNumberFormat="1" applyFont="1" applyBorder="1" applyAlignment="1">
      <alignment horizontal="center" wrapText="1"/>
    </xf>
    <xf numFmtId="5" fontId="4" fillId="0" borderId="15" xfId="17" applyNumberFormat="1" applyFont="1" applyBorder="1" applyAlignment="1">
      <alignment horizontal="center" wrapText="1"/>
    </xf>
    <xf numFmtId="169" fontId="4" fillId="0" borderId="15" xfId="0" applyNumberFormat="1" applyFont="1" applyBorder="1" applyAlignment="1">
      <alignment horizontal="center" wrapText="1"/>
    </xf>
    <xf numFmtId="3" fontId="3" fillId="0" borderId="15" xfId="0" applyNumberFormat="1" applyFont="1" applyBorder="1" applyAlignment="1">
      <alignment horizontal="center" wrapText="1"/>
    </xf>
    <xf numFmtId="169" fontId="3" fillId="0" borderId="15" xfId="0" applyNumberFormat="1" applyFont="1" applyBorder="1" applyAlignment="1">
      <alignment horizontal="center" wrapText="1"/>
    </xf>
    <xf numFmtId="3" fontId="3" fillId="0" borderId="16" xfId="0" applyNumberFormat="1" applyFont="1" applyBorder="1" applyAlignment="1">
      <alignment horizontal="center"/>
    </xf>
    <xf numFmtId="3" fontId="6" fillId="0" borderId="0" xfId="0" applyNumberFormat="1" applyFont="1" applyAlignment="1">
      <alignment horizontal="right" vertical="top"/>
    </xf>
    <xf numFmtId="3" fontId="3" fillId="0" borderId="0" xfId="0" applyNumberFormat="1" applyFont="1" applyAlignment="1">
      <alignment horizontal="center" wrapText="1"/>
    </xf>
    <xf numFmtId="169" fontId="3" fillId="0" borderId="0" xfId="0" applyNumberFormat="1" applyFont="1" applyAlignment="1">
      <alignment horizontal="center" wrapText="1"/>
    </xf>
    <xf numFmtId="3" fontId="3" fillId="0" borderId="0" xfId="0" applyNumberFormat="1" applyFont="1" applyBorder="1" applyAlignment="1">
      <alignment/>
    </xf>
    <xf numFmtId="3" fontId="3" fillId="0" borderId="0" xfId="0" applyNumberFormat="1" applyFont="1" applyAlignment="1">
      <alignment horizontal="left"/>
    </xf>
    <xf numFmtId="3" fontId="3" fillId="0" borderId="0" xfId="0" applyNumberFormat="1" applyFont="1" applyAlignment="1">
      <alignment horizontal="right"/>
    </xf>
    <xf numFmtId="49" fontId="4" fillId="0" borderId="7" xfId="0" applyNumberFormat="1" applyFont="1" applyBorder="1" applyAlignment="1">
      <alignment horizontal="left" vertical="top"/>
    </xf>
    <xf numFmtId="49" fontId="4" fillId="0" borderId="7" xfId="0" applyNumberFormat="1" applyFont="1" applyBorder="1" applyAlignment="1">
      <alignment horizontal="left" vertical="top" wrapText="1"/>
    </xf>
    <xf numFmtId="3" fontId="4" fillId="0" borderId="17" xfId="0" applyNumberFormat="1" applyFont="1" applyBorder="1" applyAlignment="1">
      <alignment horizontal="center" wrapText="1"/>
    </xf>
    <xf numFmtId="169" fontId="3" fillId="0" borderId="8" xfId="0" applyNumberFormat="1"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3" fontId="3" fillId="0" borderId="15" xfId="0" applyNumberFormat="1" applyFont="1" applyBorder="1" applyAlignment="1">
      <alignment horizontal="center"/>
    </xf>
    <xf numFmtId="0" fontId="3" fillId="0" borderId="18" xfId="0" applyFont="1" applyBorder="1" applyAlignment="1">
      <alignment horizontal="center"/>
    </xf>
    <xf numFmtId="3" fontId="3" fillId="0" borderId="11" xfId="0" applyNumberFormat="1" applyFont="1" applyBorder="1" applyAlignment="1">
      <alignment horizontal="center"/>
    </xf>
    <xf numFmtId="166" fontId="3" fillId="0" borderId="11" xfId="0" applyNumberFormat="1" applyFont="1" applyBorder="1" applyAlignment="1">
      <alignment horizontal="center"/>
    </xf>
    <xf numFmtId="169" fontId="3" fillId="0" borderId="11" xfId="0" applyNumberFormat="1" applyFont="1" applyBorder="1" applyAlignment="1">
      <alignment horizontal="center"/>
    </xf>
    <xf numFmtId="169" fontId="3" fillId="0" borderId="12" xfId="0" applyNumberFormat="1" applyFont="1" applyBorder="1" applyAlignment="1">
      <alignment horizontal="center"/>
    </xf>
    <xf numFmtId="0" fontId="3" fillId="0" borderId="19" xfId="0" applyFont="1" applyBorder="1" applyAlignment="1">
      <alignment horizontal="center" wrapText="1"/>
    </xf>
    <xf numFmtId="0" fontId="4" fillId="0" borderId="20" xfId="0" applyFont="1" applyBorder="1" applyAlignment="1">
      <alignment horizontal="center" wrapText="1"/>
    </xf>
    <xf numFmtId="0" fontId="4" fillId="0" borderId="5" xfId="0" applyFont="1" applyBorder="1" applyAlignment="1">
      <alignment horizontal="center" wrapText="1"/>
    </xf>
    <xf numFmtId="0" fontId="4" fillId="0" borderId="0" xfId="0" applyFont="1" applyAlignment="1">
      <alignment/>
    </xf>
    <xf numFmtId="1" fontId="3" fillId="0" borderId="4" xfId="0" applyNumberFormat="1" applyFont="1" applyBorder="1" applyAlignment="1">
      <alignment horizontal="center" wrapText="1"/>
    </xf>
    <xf numFmtId="0" fontId="3" fillId="0" borderId="8" xfId="0" applyFont="1" applyBorder="1" applyAlignment="1">
      <alignment horizontal="center"/>
    </xf>
    <xf numFmtId="0" fontId="4" fillId="0" borderId="0" xfId="0" applyFont="1" applyBorder="1" applyAlignment="1">
      <alignment horizontal="left" vertical="center"/>
    </xf>
    <xf numFmtId="0" fontId="3" fillId="0" borderId="0" xfId="0" applyFont="1" applyBorder="1" applyAlignment="1">
      <alignment horizontal="center" vertical="top" wrapText="1"/>
    </xf>
    <xf numFmtId="0" fontId="3" fillId="0" borderId="4" xfId="0" applyFont="1" applyBorder="1" applyAlignment="1">
      <alignment/>
    </xf>
    <xf numFmtId="0" fontId="4" fillId="0" borderId="0" xfId="0" applyFont="1" applyBorder="1" applyAlignment="1">
      <alignment horizontal="center" vertical="top" wrapText="1"/>
    </xf>
    <xf numFmtId="0" fontId="4" fillId="0" borderId="0" xfId="0" applyFont="1" applyBorder="1" applyAlignment="1">
      <alignment horizontal="centerContinuous" vertical="center"/>
    </xf>
    <xf numFmtId="0" fontId="3" fillId="0" borderId="0" xfId="0" applyFont="1" applyBorder="1" applyAlignment="1">
      <alignment horizontal="centerContinuous" vertical="top" wrapText="1"/>
    </xf>
    <xf numFmtId="0" fontId="3" fillId="0" borderId="9" xfId="0" applyFont="1" applyBorder="1" applyAlignment="1">
      <alignment horizontal="center" wrapText="1"/>
    </xf>
    <xf numFmtId="0" fontId="7" fillId="0" borderId="0" xfId="0" applyFont="1" applyBorder="1" applyAlignment="1">
      <alignment horizontal="center" vertical="top" wrapText="1"/>
    </xf>
    <xf numFmtId="0" fontId="3" fillId="0" borderId="7" xfId="0" applyFont="1" applyBorder="1" applyAlignment="1">
      <alignment/>
    </xf>
    <xf numFmtId="0" fontId="3" fillId="0" borderId="7" xfId="0" applyFont="1" applyBorder="1" applyAlignment="1">
      <alignment horizontal="center" wrapText="1"/>
    </xf>
    <xf numFmtId="0" fontId="3" fillId="0" borderId="0" xfId="0" applyFont="1" applyAlignment="1">
      <alignment horizontal="center" wrapText="1"/>
    </xf>
    <xf numFmtId="49" fontId="4" fillId="0" borderId="6" xfId="0" applyNumberFormat="1" applyFont="1" applyBorder="1" applyAlignment="1">
      <alignment horizontal="left" vertical="top"/>
    </xf>
    <xf numFmtId="49" fontId="4" fillId="0" borderId="13" xfId="0" applyNumberFormat="1" applyFont="1" applyBorder="1" applyAlignment="1">
      <alignment horizontal="left" vertical="top"/>
    </xf>
    <xf numFmtId="49" fontId="4" fillId="0" borderId="0" xfId="0" applyNumberFormat="1" applyFont="1" applyBorder="1" applyAlignment="1">
      <alignment horizontal="left" vertical="top"/>
    </xf>
    <xf numFmtId="0" fontId="3" fillId="0" borderId="3" xfId="0" applyFont="1" applyBorder="1" applyAlignment="1">
      <alignment horizontal="center"/>
    </xf>
    <xf numFmtId="49" fontId="4" fillId="0" borderId="14" xfId="0" applyNumberFormat="1" applyFont="1" applyBorder="1" applyAlignment="1">
      <alignment horizontal="left" vertical="top"/>
    </xf>
    <xf numFmtId="49" fontId="4" fillId="0" borderId="15" xfId="0" applyNumberFormat="1" applyFont="1" applyBorder="1" applyAlignment="1">
      <alignment horizontal="left" vertical="top"/>
    </xf>
    <xf numFmtId="3" fontId="3" fillId="0" borderId="15" xfId="0" applyNumberFormat="1" applyFont="1" applyBorder="1" applyAlignment="1">
      <alignment/>
    </xf>
    <xf numFmtId="0" fontId="3" fillId="0" borderId="15" xfId="0" applyFont="1" applyBorder="1" applyAlignment="1">
      <alignment/>
    </xf>
    <xf numFmtId="0" fontId="3" fillId="0" borderId="16" xfId="0" applyFont="1" applyBorder="1" applyAlignment="1">
      <alignment horizontal="center"/>
    </xf>
    <xf numFmtId="0" fontId="3" fillId="0" borderId="0" xfId="0" applyFont="1" applyAlignment="1">
      <alignment horizontal="right"/>
    </xf>
    <xf numFmtId="0" fontId="6" fillId="0" borderId="0" xfId="0" applyFont="1" applyAlignment="1">
      <alignment horizontal="right" vertical="top"/>
    </xf>
    <xf numFmtId="169" fontId="4" fillId="0" borderId="0" xfId="0" applyNumberFormat="1" applyFont="1" applyBorder="1" applyAlignment="1">
      <alignment horizontal="center"/>
    </xf>
    <xf numFmtId="3" fontId="3" fillId="0" borderId="4" xfId="0" applyNumberFormat="1" applyFont="1" applyFill="1" applyBorder="1" applyAlignment="1">
      <alignment horizontal="center" wrapText="1"/>
    </xf>
    <xf numFmtId="169" fontId="3" fillId="0" borderId="11" xfId="0" applyNumberFormat="1" applyFont="1" applyBorder="1" applyAlignment="1" quotePrefix="1">
      <alignment horizontal="center"/>
    </xf>
    <xf numFmtId="169" fontId="3" fillId="0" borderId="21" xfId="0" applyNumberFormat="1" applyFont="1" applyBorder="1" applyAlignment="1">
      <alignment horizontal="center" wrapText="1"/>
    </xf>
    <xf numFmtId="0" fontId="3" fillId="0" borderId="12" xfId="0" applyFont="1" applyBorder="1" applyAlignment="1">
      <alignment horizontal="center"/>
    </xf>
    <xf numFmtId="0" fontId="3" fillId="0" borderId="11" xfId="0" applyFont="1" applyBorder="1" applyAlignment="1">
      <alignment horizontal="center" wrapText="1"/>
    </xf>
    <xf numFmtId="1" fontId="3" fillId="0" borderId="11" xfId="0" applyNumberFormat="1" applyFont="1" applyBorder="1" applyAlignment="1">
      <alignment horizontal="center" wrapText="1"/>
    </xf>
    <xf numFmtId="0" fontId="4" fillId="0" borderId="17" xfId="0" applyFont="1" applyBorder="1" applyAlignment="1">
      <alignment horizontal="center" wrapText="1"/>
    </xf>
    <xf numFmtId="49" fontId="4" fillId="0" borderId="10" xfId="0" applyNumberFormat="1" applyFont="1" applyBorder="1" applyAlignment="1">
      <alignment horizontal="right"/>
    </xf>
    <xf numFmtId="0" fontId="3" fillId="0" borderId="0" xfId="0" applyFont="1" applyBorder="1" applyAlignment="1">
      <alignment horizontal="center" wrapText="1"/>
    </xf>
    <xf numFmtId="169" fontId="3" fillId="0" borderId="3" xfId="0" applyNumberFormat="1" applyFont="1" applyBorder="1" applyAlignment="1">
      <alignment horizontal="center"/>
    </xf>
    <xf numFmtId="3" fontId="3" fillId="0" borderId="22" xfId="0" applyNumberFormat="1" applyFont="1" applyBorder="1" applyAlignment="1">
      <alignment horizontal="center"/>
    </xf>
    <xf numFmtId="3" fontId="3" fillId="0" borderId="13" xfId="0" applyNumberFormat="1" applyFont="1" applyBorder="1" applyAlignment="1">
      <alignment horizontal="left"/>
    </xf>
    <xf numFmtId="3" fontId="3" fillId="0" borderId="14" xfId="0" applyNumberFormat="1" applyFont="1" applyBorder="1" applyAlignment="1">
      <alignment horizontal="left"/>
    </xf>
    <xf numFmtId="49" fontId="4" fillId="0" borderId="9" xfId="0" applyNumberFormat="1" applyFont="1" applyBorder="1" applyAlignment="1">
      <alignment horizontal="left" vertical="top"/>
    </xf>
    <xf numFmtId="7" fontId="0" fillId="0" borderId="4" xfId="17" applyNumberFormat="1" applyFont="1" applyBorder="1" applyAlignment="1">
      <alignment horizontal="center" vertical="top" wrapText="1"/>
    </xf>
    <xf numFmtId="170" fontId="0" fillId="0" borderId="4" xfId="0" applyNumberFormat="1" applyFont="1" applyBorder="1" applyAlignment="1">
      <alignment horizontal="center"/>
    </xf>
    <xf numFmtId="0" fontId="0" fillId="0" borderId="4" xfId="0" applyFont="1" applyBorder="1" applyAlignment="1">
      <alignment horizontal="center" vertical="justify" wrapText="1"/>
    </xf>
    <xf numFmtId="0" fontId="0" fillId="0" borderId="4" xfId="0" applyFont="1" applyBorder="1" applyAlignment="1">
      <alignment horizontal="center" vertical="top" wrapText="1"/>
    </xf>
    <xf numFmtId="1" fontId="0" fillId="0" borderId="4" xfId="0" applyNumberFormat="1" applyFont="1" applyBorder="1" applyAlignment="1">
      <alignment horizontal="center" vertical="top" wrapText="1"/>
    </xf>
    <xf numFmtId="169" fontId="0" fillId="0" borderId="4" xfId="0" applyNumberFormat="1" applyFont="1" applyBorder="1" applyAlignment="1">
      <alignment horizontal="center" vertical="top" wrapText="1"/>
    </xf>
    <xf numFmtId="170" fontId="0" fillId="0" borderId="4" xfId="0" applyNumberFormat="1" applyFont="1" applyBorder="1" applyAlignment="1">
      <alignment horizontal="center" vertical="top" wrapText="1"/>
    </xf>
    <xf numFmtId="170" fontId="0" fillId="0" borderId="4" xfId="0" applyNumberFormat="1" applyBorder="1" applyAlignment="1">
      <alignment horizontal="center"/>
    </xf>
    <xf numFmtId="170" fontId="0" fillId="0" borderId="11" xfId="0" applyNumberFormat="1" applyFont="1" applyBorder="1" applyAlignment="1">
      <alignment horizontal="center" vertical="top" wrapText="1"/>
    </xf>
    <xf numFmtId="0" fontId="0" fillId="0" borderId="0" xfId="0" applyAlignment="1">
      <alignment horizontal="left"/>
    </xf>
    <xf numFmtId="0" fontId="1" fillId="0" borderId="10" xfId="0" applyFont="1" applyBorder="1" applyAlignment="1">
      <alignment horizontal="left" vertical="top" wrapText="1"/>
    </xf>
    <xf numFmtId="0" fontId="1" fillId="0" borderId="13" xfId="0" applyFont="1" applyBorder="1" applyAlignment="1">
      <alignment horizontal="left" vertical="top" wrapText="1"/>
    </xf>
    <xf numFmtId="0" fontId="0" fillId="0" borderId="4" xfId="0" applyFont="1" applyBorder="1" applyAlignment="1">
      <alignment horizontal="left" vertical="top" wrapText="1"/>
    </xf>
    <xf numFmtId="0" fontId="0" fillId="0" borderId="4" xfId="0" applyFont="1" applyBorder="1" applyAlignment="1">
      <alignment horizontal="left"/>
    </xf>
    <xf numFmtId="0" fontId="0" fillId="0" borderId="0" xfId="0" applyFont="1" applyFill="1" applyBorder="1" applyAlignment="1">
      <alignment horizontal="left"/>
    </xf>
    <xf numFmtId="0" fontId="8" fillId="0" borderId="0" xfId="20" applyAlignment="1">
      <alignment horizontal="left"/>
    </xf>
    <xf numFmtId="9" fontId="0" fillId="0" borderId="4" xfId="21" applyFont="1" applyBorder="1" applyAlignment="1">
      <alignment horizontal="center" vertical="top" wrapText="1"/>
    </xf>
    <xf numFmtId="44" fontId="0" fillId="0" borderId="0" xfId="17" applyAlignment="1">
      <alignment/>
    </xf>
    <xf numFmtId="0" fontId="8" fillId="0" borderId="0" xfId="20" applyAlignment="1">
      <alignment/>
    </xf>
    <xf numFmtId="44" fontId="0" fillId="0" borderId="0" xfId="0" applyNumberFormat="1" applyAlignment="1">
      <alignment/>
    </xf>
    <xf numFmtId="185" fontId="0" fillId="0" borderId="4" xfId="15" applyNumberFormat="1" applyFont="1" applyBorder="1" applyAlignment="1">
      <alignment horizontal="center" vertical="top" wrapText="1"/>
    </xf>
    <xf numFmtId="3" fontId="3" fillId="0" borderId="0" xfId="0" applyNumberFormat="1" applyFont="1" applyBorder="1" applyAlignment="1" quotePrefix="1">
      <alignment horizontal="center"/>
    </xf>
    <xf numFmtId="0" fontId="3" fillId="0" borderId="23" xfId="0" applyFont="1" applyBorder="1" applyAlignment="1">
      <alignment horizontal="center"/>
    </xf>
    <xf numFmtId="0" fontId="3" fillId="0" borderId="24" xfId="0" applyFont="1" applyBorder="1" applyAlignment="1">
      <alignment horizontal="center" wrapText="1"/>
    </xf>
    <xf numFmtId="169" fontId="3" fillId="0" borderId="15" xfId="0" applyNumberFormat="1" applyFont="1" applyBorder="1" applyAlignment="1">
      <alignment horizontal="center"/>
    </xf>
    <xf numFmtId="169" fontId="3" fillId="0" borderId="16" xfId="0" applyNumberFormat="1" applyFont="1" applyBorder="1" applyAlignment="1">
      <alignment horizontal="center"/>
    </xf>
    <xf numFmtId="169" fontId="3" fillId="0" borderId="0" xfId="0" applyNumberFormat="1" applyFont="1" applyBorder="1" applyAlignment="1" quotePrefix="1">
      <alignment horizontal="center"/>
    </xf>
    <xf numFmtId="0" fontId="3" fillId="0" borderId="22" xfId="0" applyFont="1" applyBorder="1" applyAlignment="1">
      <alignment horizontal="center"/>
    </xf>
    <xf numFmtId="170" fontId="0" fillId="0" borderId="0" xfId="0" applyNumberFormat="1" applyAlignment="1">
      <alignment/>
    </xf>
    <xf numFmtId="0" fontId="13" fillId="0" borderId="25" xfId="0" applyFont="1" applyBorder="1" applyAlignment="1">
      <alignment vertical="top" wrapText="1"/>
    </xf>
    <xf numFmtId="0" fontId="13" fillId="0" borderId="16" xfId="0" applyFont="1" applyBorder="1" applyAlignment="1">
      <alignment horizontal="center" vertical="top" wrapText="1"/>
    </xf>
    <xf numFmtId="6" fontId="13" fillId="0" borderId="16" xfId="0" applyNumberFormat="1" applyFont="1" applyBorder="1" applyAlignment="1">
      <alignment horizontal="right" vertical="top" wrapText="1"/>
    </xf>
    <xf numFmtId="0" fontId="13" fillId="0" borderId="26" xfId="0" applyFont="1" applyBorder="1" applyAlignment="1">
      <alignment horizontal="right" vertical="top" wrapText="1"/>
    </xf>
    <xf numFmtId="6" fontId="13" fillId="0" borderId="26" xfId="0" applyNumberFormat="1" applyFont="1" applyBorder="1" applyAlignment="1">
      <alignment horizontal="right" vertical="top" wrapText="1"/>
    </xf>
    <xf numFmtId="0" fontId="13" fillId="0" borderId="16" xfId="0" applyFont="1" applyBorder="1" applyAlignment="1">
      <alignment horizontal="right" vertical="top" wrapText="1"/>
    </xf>
    <xf numFmtId="6" fontId="11" fillId="0" borderId="16" xfId="0" applyNumberFormat="1" applyFont="1" applyBorder="1" applyAlignment="1">
      <alignment horizontal="right" vertical="top" wrapText="1"/>
    </xf>
    <xf numFmtId="6" fontId="11" fillId="0" borderId="27" xfId="0" applyNumberFormat="1" applyFont="1" applyBorder="1" applyAlignment="1">
      <alignment horizontal="right" vertical="top" wrapText="1"/>
    </xf>
    <xf numFmtId="3" fontId="15" fillId="0" borderId="15" xfId="0" applyNumberFormat="1" applyFont="1" applyBorder="1" applyAlignment="1">
      <alignment horizontal="center" wrapText="1"/>
    </xf>
    <xf numFmtId="3" fontId="16" fillId="0" borderId="0" xfId="0" applyNumberFormat="1" applyFont="1" applyAlignment="1">
      <alignment/>
    </xf>
    <xf numFmtId="3" fontId="15" fillId="0" borderId="5" xfId="0" applyNumberFormat="1" applyFont="1" applyBorder="1" applyAlignment="1">
      <alignment horizontal="center" wrapText="1"/>
    </xf>
    <xf numFmtId="3" fontId="15" fillId="0" borderId="0" xfId="0" applyNumberFormat="1" applyFont="1" applyAlignment="1">
      <alignment/>
    </xf>
    <xf numFmtId="3" fontId="15" fillId="0" borderId="17" xfId="0" applyNumberFormat="1" applyFont="1" applyBorder="1" applyAlignment="1">
      <alignment horizontal="center" wrapText="1"/>
    </xf>
    <xf numFmtId="49" fontId="15" fillId="0" borderId="6" xfId="0" applyNumberFormat="1" applyFont="1" applyBorder="1" applyAlignment="1">
      <alignment horizontal="right" vertical="top"/>
    </xf>
    <xf numFmtId="3" fontId="16" fillId="0" borderId="4" xfId="0" applyNumberFormat="1" applyFont="1" applyBorder="1" applyAlignment="1">
      <alignment horizontal="center" wrapText="1"/>
    </xf>
    <xf numFmtId="3" fontId="16" fillId="0" borderId="4" xfId="0" applyNumberFormat="1" applyFont="1" applyFill="1" applyBorder="1" applyAlignment="1">
      <alignment horizontal="center" wrapText="1"/>
    </xf>
    <xf numFmtId="164" fontId="16" fillId="0" borderId="4" xfId="0" applyNumberFormat="1" applyFont="1" applyBorder="1" applyAlignment="1">
      <alignment horizontal="center" wrapText="1"/>
    </xf>
    <xf numFmtId="169" fontId="16" fillId="0" borderId="4" xfId="0" applyNumberFormat="1" applyFont="1" applyBorder="1" applyAlignment="1">
      <alignment horizontal="center" wrapText="1"/>
    </xf>
    <xf numFmtId="3" fontId="16" fillId="0" borderId="8" xfId="0" applyNumberFormat="1" applyFont="1" applyBorder="1" applyAlignment="1">
      <alignment horizontal="center"/>
    </xf>
    <xf numFmtId="49" fontId="15" fillId="0" borderId="7" xfId="0" applyNumberFormat="1" applyFont="1" applyBorder="1" applyAlignment="1">
      <alignment vertical="top"/>
    </xf>
    <xf numFmtId="49" fontId="15" fillId="0" borderId="7" xfId="0" applyNumberFormat="1" applyFont="1" applyBorder="1" applyAlignment="1">
      <alignment horizontal="left" vertical="top"/>
    </xf>
    <xf numFmtId="49" fontId="15" fillId="0" borderId="9" xfId="0" applyNumberFormat="1" applyFont="1" applyBorder="1" applyAlignment="1">
      <alignment horizontal="left" vertical="top"/>
    </xf>
    <xf numFmtId="3" fontId="16" fillId="0" borderId="9" xfId="0" applyNumberFormat="1" applyFont="1" applyBorder="1" applyAlignment="1">
      <alignment/>
    </xf>
    <xf numFmtId="3" fontId="16" fillId="0" borderId="4" xfId="0" applyNumberFormat="1" applyFont="1" applyBorder="1" applyAlignment="1">
      <alignment/>
    </xf>
    <xf numFmtId="3" fontId="16" fillId="0" borderId="7" xfId="0" applyNumberFormat="1" applyFont="1" applyBorder="1" applyAlignment="1">
      <alignment/>
    </xf>
    <xf numFmtId="3" fontId="15" fillId="0" borderId="7" xfId="0" applyNumberFormat="1" applyFont="1" applyBorder="1" applyAlignment="1">
      <alignment/>
    </xf>
    <xf numFmtId="4" fontId="16" fillId="0" borderId="4" xfId="0" applyNumberFormat="1" applyFont="1" applyBorder="1" applyAlignment="1">
      <alignment horizontal="center" wrapText="1"/>
    </xf>
    <xf numFmtId="3" fontId="15" fillId="0" borderId="9" xfId="0" applyNumberFormat="1" applyFont="1" applyBorder="1" applyAlignment="1">
      <alignment vertical="top"/>
    </xf>
    <xf numFmtId="3" fontId="16" fillId="0" borderId="8" xfId="0" applyNumberFormat="1" applyFont="1" applyBorder="1" applyAlignment="1">
      <alignment horizontal="center" wrapText="1"/>
    </xf>
    <xf numFmtId="3" fontId="15" fillId="0" borderId="9" xfId="0" applyNumberFormat="1" applyFont="1" applyBorder="1" applyAlignment="1" quotePrefix="1">
      <alignment vertical="top"/>
    </xf>
    <xf numFmtId="3" fontId="15" fillId="0" borderId="7" xfId="0" applyNumberFormat="1" applyFont="1" applyBorder="1" applyAlignment="1">
      <alignment vertical="top"/>
    </xf>
    <xf numFmtId="49" fontId="15" fillId="0" borderId="10" xfId="0" applyNumberFormat="1" applyFont="1" applyBorder="1" applyAlignment="1">
      <alignment horizontal="right" vertical="top"/>
    </xf>
    <xf numFmtId="49" fontId="15" fillId="0" borderId="1" xfId="0" applyNumberFormat="1" applyFont="1" applyBorder="1" applyAlignment="1">
      <alignment vertical="top"/>
    </xf>
    <xf numFmtId="3" fontId="15" fillId="0" borderId="1" xfId="0" applyNumberFormat="1" applyFont="1" applyBorder="1" applyAlignment="1">
      <alignment vertical="top"/>
    </xf>
    <xf numFmtId="3" fontId="16" fillId="0" borderId="1" xfId="0" applyNumberFormat="1" applyFont="1" applyBorder="1" applyAlignment="1">
      <alignment horizontal="center"/>
    </xf>
    <xf numFmtId="3" fontId="16" fillId="0" borderId="1" xfId="0" applyNumberFormat="1" applyFont="1" applyBorder="1" applyAlignment="1">
      <alignment horizontal="center" wrapText="1"/>
    </xf>
    <xf numFmtId="3" fontId="16" fillId="0" borderId="11" xfId="0" applyNumberFormat="1" applyFont="1" applyBorder="1" applyAlignment="1">
      <alignment horizontal="center" wrapText="1"/>
    </xf>
    <xf numFmtId="1" fontId="16" fillId="0" borderId="11" xfId="0" applyNumberFormat="1" applyFont="1" applyBorder="1" applyAlignment="1">
      <alignment horizontal="center" wrapText="1"/>
    </xf>
    <xf numFmtId="169" fontId="16" fillId="0" borderId="11" xfId="0" applyNumberFormat="1" applyFont="1" applyBorder="1" applyAlignment="1">
      <alignment horizontal="center" wrapText="1"/>
    </xf>
    <xf numFmtId="3" fontId="16" fillId="0" borderId="12" xfId="0" applyNumberFormat="1" applyFont="1" applyBorder="1" applyAlignment="1">
      <alignment horizontal="center"/>
    </xf>
    <xf numFmtId="49" fontId="15" fillId="0" borderId="13" xfId="0" applyNumberFormat="1" applyFont="1" applyBorder="1" applyAlignment="1">
      <alignment horizontal="right" vertical="top"/>
    </xf>
    <xf numFmtId="49" fontId="15" fillId="0" borderId="0" xfId="0" applyNumberFormat="1" applyFont="1" applyBorder="1" applyAlignment="1">
      <alignment vertical="top"/>
    </xf>
    <xf numFmtId="3" fontId="15" fillId="0" borderId="0" xfId="0" applyNumberFormat="1" applyFont="1" applyBorder="1" applyAlignment="1">
      <alignment vertical="top"/>
    </xf>
    <xf numFmtId="3" fontId="15" fillId="0" borderId="0" xfId="0" applyNumberFormat="1" applyFont="1" applyBorder="1" applyAlignment="1">
      <alignment/>
    </xf>
    <xf numFmtId="3" fontId="15" fillId="0" borderId="0" xfId="0" applyNumberFormat="1" applyFont="1" applyBorder="1" applyAlignment="1">
      <alignment horizontal="center"/>
    </xf>
    <xf numFmtId="3" fontId="15" fillId="0" borderId="0" xfId="0" applyNumberFormat="1" applyFont="1" applyBorder="1" applyAlignment="1">
      <alignment horizontal="center" wrapText="1"/>
    </xf>
    <xf numFmtId="3" fontId="16" fillId="0" borderId="0" xfId="0" applyNumberFormat="1" applyFont="1" applyBorder="1" applyAlignment="1">
      <alignment horizontal="center" wrapText="1"/>
    </xf>
    <xf numFmtId="169" fontId="16" fillId="0" borderId="0" xfId="0" applyNumberFormat="1" applyFont="1" applyBorder="1" applyAlignment="1">
      <alignment horizontal="center" wrapText="1"/>
    </xf>
    <xf numFmtId="3" fontId="16" fillId="0" borderId="3" xfId="0" applyNumberFormat="1" applyFont="1" applyBorder="1" applyAlignment="1">
      <alignment horizontal="center"/>
    </xf>
    <xf numFmtId="3" fontId="15" fillId="0" borderId="0" xfId="0" applyNumberFormat="1" applyFont="1" applyBorder="1" applyAlignment="1">
      <alignment horizontal="left"/>
    </xf>
    <xf numFmtId="169" fontId="15" fillId="0" borderId="0" xfId="0" applyNumberFormat="1" applyFont="1" applyBorder="1" applyAlignment="1">
      <alignment horizontal="center" wrapText="1"/>
    </xf>
    <xf numFmtId="5" fontId="15" fillId="0" borderId="0" xfId="17" applyNumberFormat="1" applyFont="1" applyBorder="1" applyAlignment="1">
      <alignment horizontal="center" wrapText="1"/>
    </xf>
    <xf numFmtId="49" fontId="15" fillId="0" borderId="14" xfId="0" applyNumberFormat="1" applyFont="1" applyBorder="1" applyAlignment="1">
      <alignment horizontal="right" vertical="top"/>
    </xf>
    <xf numFmtId="49" fontId="15" fillId="0" borderId="15" xfId="0" applyNumberFormat="1" applyFont="1" applyBorder="1" applyAlignment="1">
      <alignment vertical="top"/>
    </xf>
    <xf numFmtId="3" fontId="15" fillId="0" borderId="15" xfId="0" applyNumberFormat="1" applyFont="1" applyBorder="1" applyAlignment="1">
      <alignment vertical="top"/>
    </xf>
    <xf numFmtId="3" fontId="15" fillId="0" borderId="15" xfId="0" applyNumberFormat="1" applyFont="1" applyBorder="1" applyAlignment="1">
      <alignment horizontal="left"/>
    </xf>
    <xf numFmtId="3" fontId="15" fillId="0" borderId="15" xfId="0" applyNumberFormat="1" applyFont="1" applyBorder="1" applyAlignment="1">
      <alignment horizontal="center"/>
    </xf>
    <xf numFmtId="169" fontId="15" fillId="0" borderId="15" xfId="0" applyNumberFormat="1" applyFont="1" applyBorder="1" applyAlignment="1">
      <alignment horizontal="center" wrapText="1"/>
    </xf>
    <xf numFmtId="3" fontId="16" fillId="0" borderId="15" xfId="0" applyNumberFormat="1" applyFont="1" applyBorder="1" applyAlignment="1">
      <alignment horizontal="center" wrapText="1"/>
    </xf>
    <xf numFmtId="169" fontId="16" fillId="0" borderId="15" xfId="0" applyNumberFormat="1" applyFont="1" applyBorder="1" applyAlignment="1">
      <alignment horizontal="center" wrapText="1"/>
    </xf>
    <xf numFmtId="3" fontId="16" fillId="0" borderId="16" xfId="0" applyNumberFormat="1" applyFont="1" applyBorder="1" applyAlignment="1">
      <alignment horizontal="center"/>
    </xf>
    <xf numFmtId="3" fontId="18" fillId="0" borderId="0" xfId="0" applyNumberFormat="1" applyFont="1" applyAlignment="1">
      <alignment horizontal="right" vertical="top"/>
    </xf>
    <xf numFmtId="3" fontId="16" fillId="0" borderId="0" xfId="0" applyNumberFormat="1" applyFont="1" applyAlignment="1">
      <alignment horizontal="center" wrapText="1"/>
    </xf>
    <xf numFmtId="169" fontId="16" fillId="0" borderId="0" xfId="0" applyNumberFormat="1" applyFont="1" applyAlignment="1">
      <alignment horizontal="center" wrapText="1"/>
    </xf>
    <xf numFmtId="3" fontId="16" fillId="0" borderId="0" xfId="0" applyNumberFormat="1" applyFont="1" applyAlignment="1">
      <alignment horizontal="left"/>
    </xf>
    <xf numFmtId="3" fontId="16" fillId="0" borderId="0" xfId="0" applyNumberFormat="1" applyFont="1" applyAlignment="1">
      <alignment horizontal="right"/>
    </xf>
    <xf numFmtId="4" fontId="3" fillId="0" borderId="0" xfId="0" applyNumberFormat="1" applyFont="1" applyBorder="1" applyAlignment="1">
      <alignment horizontal="center"/>
    </xf>
    <xf numFmtId="0" fontId="16" fillId="0" borderId="0" xfId="0" applyFont="1" applyAlignment="1">
      <alignment wrapText="1"/>
    </xf>
    <xf numFmtId="3" fontId="16" fillId="0" borderId="0" xfId="0" applyNumberFormat="1" applyFont="1" applyAlignment="1">
      <alignment horizontal="left" wrapText="1"/>
    </xf>
    <xf numFmtId="3" fontId="16" fillId="0" borderId="0" xfId="0" applyNumberFormat="1" applyFont="1" applyAlignment="1">
      <alignment wrapText="1"/>
    </xf>
    <xf numFmtId="0" fontId="11" fillId="0" borderId="28" xfId="0" applyFont="1" applyBorder="1" applyAlignment="1">
      <alignment horizontal="center" vertical="top" wrapText="1"/>
    </xf>
    <xf numFmtId="0" fontId="11" fillId="0" borderId="25" xfId="0" applyFont="1" applyBorder="1" applyAlignment="1">
      <alignment horizontal="center" vertical="top" wrapText="1"/>
    </xf>
    <xf numFmtId="3" fontId="16" fillId="0" borderId="29" xfId="0" applyNumberFormat="1" applyFont="1" applyBorder="1" applyAlignment="1">
      <alignment horizontal="left" wrapText="1"/>
    </xf>
    <xf numFmtId="3" fontId="16" fillId="0" borderId="0" xfId="0" applyNumberFormat="1" applyFont="1" applyBorder="1" applyAlignment="1">
      <alignment wrapText="1"/>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0" fillId="2" borderId="4" xfId="0" applyFont="1" applyFill="1" applyBorder="1" applyAlignment="1">
      <alignment horizontal="center" vertical="top" wrapText="1"/>
    </xf>
    <xf numFmtId="0" fontId="0" fillId="2" borderId="4" xfId="0" applyFont="1" applyFill="1" applyBorder="1" applyAlignment="1">
      <alignment horizontal="center" vertical="justify" wrapText="1"/>
    </xf>
    <xf numFmtId="0" fontId="0" fillId="0" borderId="4" xfId="0" applyFont="1" applyBorder="1" applyAlignment="1">
      <alignment horizontal="center" vertical="justify" wrapText="1"/>
    </xf>
    <xf numFmtId="0" fontId="11" fillId="0" borderId="33" xfId="0" applyFont="1" applyBorder="1" applyAlignment="1">
      <alignment horizontal="center" vertical="top" wrapText="1"/>
    </xf>
    <xf numFmtId="0" fontId="11" fillId="0" borderId="26" xfId="0" applyFont="1" applyBorder="1" applyAlignment="1">
      <alignment horizontal="center" vertical="top" wrapText="1"/>
    </xf>
    <xf numFmtId="0" fontId="11" fillId="0" borderId="34" xfId="0" applyFont="1" applyBorder="1" applyAlignment="1">
      <alignment wrapText="1"/>
    </xf>
    <xf numFmtId="0" fontId="11" fillId="0" borderId="35" xfId="0" applyFont="1" applyBorder="1" applyAlignment="1">
      <alignment wrapText="1"/>
    </xf>
    <xf numFmtId="0" fontId="11" fillId="0" borderId="36" xfId="0" applyFont="1" applyBorder="1" applyAlignment="1">
      <alignment wrapText="1"/>
    </xf>
    <xf numFmtId="0" fontId="0" fillId="0" borderId="0" xfId="0" applyAlignment="1">
      <alignment horizontal="left" wrapText="1"/>
    </xf>
    <xf numFmtId="0" fontId="11" fillId="0" borderId="37" xfId="0" applyFont="1" applyBorder="1" applyAlignment="1">
      <alignment horizontal="center" vertical="top" wrapText="1"/>
    </xf>
    <xf numFmtId="0" fontId="11" fillId="0" borderId="33" xfId="0" applyFont="1" applyBorder="1" applyAlignment="1">
      <alignment vertical="top" wrapText="1"/>
    </xf>
    <xf numFmtId="0" fontId="11" fillId="0" borderId="37" xfId="0" applyFont="1" applyBorder="1" applyAlignment="1">
      <alignment vertical="top" wrapText="1"/>
    </xf>
    <xf numFmtId="0" fontId="19" fillId="0" borderId="0" xfId="0" applyFont="1" applyAlignment="1">
      <alignment wrapText="1"/>
    </xf>
    <xf numFmtId="3" fontId="15" fillId="0" borderId="15" xfId="0" applyNumberFormat="1" applyFont="1" applyBorder="1" applyAlignment="1">
      <alignment horizontal="center" wrapText="1"/>
    </xf>
    <xf numFmtId="49" fontId="15" fillId="0" borderId="7" xfId="0" applyNumberFormat="1" applyFont="1" applyBorder="1" applyAlignment="1">
      <alignment horizontal="left" vertical="top"/>
    </xf>
    <xf numFmtId="49" fontId="15" fillId="0" borderId="9" xfId="0" applyNumberFormat="1" applyFont="1" applyBorder="1" applyAlignment="1">
      <alignment horizontal="left" vertical="top"/>
    </xf>
    <xf numFmtId="3" fontId="15" fillId="0" borderId="7" xfId="0" applyNumberFormat="1" applyFont="1" applyBorder="1" applyAlignment="1">
      <alignment horizontal="left" vertical="top"/>
    </xf>
    <xf numFmtId="3" fontId="15" fillId="0" borderId="9" xfId="0" applyNumberFormat="1" applyFont="1" applyBorder="1" applyAlignment="1">
      <alignment horizontal="left" vertical="top"/>
    </xf>
    <xf numFmtId="3" fontId="15" fillId="0" borderId="7" xfId="0" applyNumberFormat="1" applyFont="1" applyBorder="1" applyAlignment="1">
      <alignment horizontal="left" vertical="top" wrapText="1"/>
    </xf>
    <xf numFmtId="3" fontId="15" fillId="0" borderId="9" xfId="0" applyNumberFormat="1" applyFont="1" applyBorder="1" applyAlignment="1">
      <alignment horizontal="left" vertical="top" wrapText="1"/>
    </xf>
    <xf numFmtId="3" fontId="15" fillId="0" borderId="38" xfId="0" applyNumberFormat="1" applyFont="1" applyBorder="1" applyAlignment="1">
      <alignment horizontal="center"/>
    </xf>
    <xf numFmtId="3" fontId="15" fillId="0" borderId="39" xfId="0" applyNumberFormat="1" applyFont="1" applyBorder="1" applyAlignment="1">
      <alignment horizontal="center"/>
    </xf>
    <xf numFmtId="169" fontId="15" fillId="0" borderId="40" xfId="0" applyNumberFormat="1" applyFont="1" applyBorder="1" applyAlignment="1">
      <alignment horizontal="center" wrapText="1"/>
    </xf>
    <xf numFmtId="169" fontId="15" fillId="0" borderId="41" xfId="0" applyNumberFormat="1" applyFont="1" applyBorder="1" applyAlignment="1">
      <alignment horizontal="center" wrapText="1"/>
    </xf>
    <xf numFmtId="49" fontId="15" fillId="0" borderId="7" xfId="0" applyNumberFormat="1" applyFont="1" applyBorder="1" applyAlignment="1">
      <alignment horizontal="left" vertical="top" wrapText="1"/>
    </xf>
    <xf numFmtId="49" fontId="15" fillId="0" borderId="9" xfId="0" applyNumberFormat="1" applyFont="1" applyBorder="1" applyAlignment="1">
      <alignment horizontal="left" vertical="top" wrapText="1"/>
    </xf>
    <xf numFmtId="3" fontId="15" fillId="0" borderId="7" xfId="0" applyNumberFormat="1" applyFont="1" applyBorder="1" applyAlignment="1">
      <alignment horizontal="left" wrapText="1"/>
    </xf>
    <xf numFmtId="3" fontId="15" fillId="0" borderId="9" xfId="0" applyNumberFormat="1" applyFont="1" applyBorder="1" applyAlignment="1">
      <alignment horizontal="left" wrapText="1"/>
    </xf>
    <xf numFmtId="3" fontId="15" fillId="0" borderId="42" xfId="0" applyNumberFormat="1" applyFont="1" applyBorder="1" applyAlignment="1">
      <alignment horizontal="center"/>
    </xf>
    <xf numFmtId="3" fontId="15" fillId="0" borderId="29" xfId="0" applyNumberFormat="1" applyFont="1" applyBorder="1" applyAlignment="1">
      <alignment horizontal="center"/>
    </xf>
    <xf numFmtId="3" fontId="15" fillId="0" borderId="43" xfId="0" applyNumberFormat="1" applyFont="1" applyBorder="1" applyAlignment="1">
      <alignment horizontal="center"/>
    </xf>
    <xf numFmtId="3" fontId="15" fillId="0" borderId="44" xfId="0" applyNumberFormat="1" applyFont="1" applyBorder="1" applyAlignment="1">
      <alignment horizontal="center"/>
    </xf>
    <xf numFmtId="3" fontId="15" fillId="0" borderId="45" xfId="0" applyNumberFormat="1" applyFont="1" applyBorder="1" applyAlignment="1">
      <alignment horizontal="center"/>
    </xf>
    <xf numFmtId="3" fontId="15" fillId="0" borderId="46" xfId="0" applyNumberFormat="1" applyFont="1" applyBorder="1" applyAlignment="1">
      <alignment horizontal="center"/>
    </xf>
    <xf numFmtId="169" fontId="4" fillId="0" borderId="40" xfId="0" applyNumberFormat="1" applyFont="1" applyBorder="1" applyAlignment="1">
      <alignment horizontal="center" wrapText="1"/>
    </xf>
    <xf numFmtId="169" fontId="4" fillId="0" borderId="41" xfId="0" applyNumberFormat="1" applyFont="1" applyBorder="1" applyAlignment="1">
      <alignment horizontal="center" wrapText="1"/>
    </xf>
    <xf numFmtId="3" fontId="4" fillId="0" borderId="7" xfId="0" applyNumberFormat="1" applyFont="1" applyBorder="1" applyAlignment="1">
      <alignment horizontal="left" wrapText="1"/>
    </xf>
    <xf numFmtId="3" fontId="4" fillId="0" borderId="9" xfId="0" applyNumberFormat="1" applyFont="1" applyBorder="1" applyAlignment="1">
      <alignment horizontal="left" wrapText="1"/>
    </xf>
    <xf numFmtId="3" fontId="4" fillId="0" borderId="7" xfId="0" applyNumberFormat="1" applyFont="1" applyBorder="1" applyAlignment="1">
      <alignment horizontal="left" vertical="top"/>
    </xf>
    <xf numFmtId="3" fontId="4" fillId="0" borderId="9" xfId="0" applyNumberFormat="1" applyFont="1" applyBorder="1" applyAlignment="1">
      <alignment horizontal="left" vertical="top"/>
    </xf>
    <xf numFmtId="49" fontId="4" fillId="0" borderId="7" xfId="0" applyNumberFormat="1" applyFont="1" applyBorder="1" applyAlignment="1">
      <alignment horizontal="left" vertical="top" wrapText="1"/>
    </xf>
    <xf numFmtId="49" fontId="4" fillId="0" borderId="9" xfId="0" applyNumberFormat="1" applyFont="1" applyBorder="1" applyAlignment="1">
      <alignment horizontal="left" vertical="top" wrapText="1"/>
    </xf>
    <xf numFmtId="3" fontId="4" fillId="0" borderId="42" xfId="0" applyNumberFormat="1" applyFont="1" applyBorder="1" applyAlignment="1">
      <alignment horizontal="center"/>
    </xf>
    <xf numFmtId="3" fontId="4" fillId="0" borderId="29" xfId="0" applyNumberFormat="1" applyFont="1" applyBorder="1" applyAlignment="1">
      <alignment horizontal="center"/>
    </xf>
    <xf numFmtId="3" fontId="4" fillId="0" borderId="43" xfId="0" applyNumberFormat="1" applyFont="1" applyBorder="1" applyAlignment="1">
      <alignment horizontal="center"/>
    </xf>
    <xf numFmtId="3" fontId="4" fillId="0" borderId="44" xfId="0" applyNumberFormat="1" applyFont="1" applyBorder="1" applyAlignment="1">
      <alignment horizontal="center"/>
    </xf>
    <xf numFmtId="3" fontId="4" fillId="0" borderId="45" xfId="0" applyNumberFormat="1" applyFont="1" applyBorder="1" applyAlignment="1">
      <alignment horizontal="center"/>
    </xf>
    <xf numFmtId="3" fontId="4" fillId="0" borderId="46" xfId="0" applyNumberFormat="1" applyFont="1" applyBorder="1" applyAlignment="1">
      <alignment horizontal="center"/>
    </xf>
    <xf numFmtId="3" fontId="4" fillId="0" borderId="15" xfId="0" applyNumberFormat="1" applyFont="1" applyBorder="1" applyAlignment="1">
      <alignment horizontal="center" wrapText="1"/>
    </xf>
    <xf numFmtId="49" fontId="4" fillId="0" borderId="7" xfId="0" applyNumberFormat="1" applyFont="1" applyBorder="1" applyAlignment="1">
      <alignment horizontal="left" vertical="top"/>
    </xf>
    <xf numFmtId="49" fontId="4" fillId="0" borderId="9" xfId="0" applyNumberFormat="1" applyFont="1" applyBorder="1" applyAlignment="1">
      <alignment horizontal="left" vertical="top"/>
    </xf>
    <xf numFmtId="3" fontId="4" fillId="0" borderId="7" xfId="0" applyNumberFormat="1" applyFont="1" applyBorder="1" applyAlignment="1">
      <alignment horizontal="left" vertical="top" wrapText="1"/>
    </xf>
    <xf numFmtId="3" fontId="4" fillId="0" borderId="9" xfId="0" applyNumberFormat="1" applyFont="1" applyBorder="1" applyAlignment="1">
      <alignment horizontal="left" vertical="top" wrapText="1"/>
    </xf>
    <xf numFmtId="3" fontId="4" fillId="0" borderId="38" xfId="0" applyNumberFormat="1" applyFont="1" applyBorder="1" applyAlignment="1">
      <alignment horizontal="center"/>
    </xf>
    <xf numFmtId="3" fontId="4" fillId="0" borderId="39" xfId="0" applyNumberFormat="1" applyFont="1" applyBorder="1" applyAlignment="1">
      <alignment horizontal="center"/>
    </xf>
    <xf numFmtId="3" fontId="3" fillId="0" borderId="29" xfId="0" applyNumberFormat="1" applyFont="1" applyBorder="1" applyAlignment="1">
      <alignment horizontal="left" wrapText="1"/>
    </xf>
    <xf numFmtId="3" fontId="3" fillId="0" borderId="0" xfId="0" applyNumberFormat="1" applyFont="1" applyBorder="1" applyAlignment="1">
      <alignment wrapText="1"/>
    </xf>
    <xf numFmtId="0" fontId="3" fillId="0" borderId="0" xfId="0" applyFont="1" applyAlignment="1">
      <alignment wrapText="1"/>
    </xf>
    <xf numFmtId="3" fontId="3" fillId="0" borderId="0" xfId="0" applyNumberFormat="1" applyFont="1" applyAlignment="1">
      <alignment horizontal="left" wrapText="1"/>
    </xf>
    <xf numFmtId="3" fontId="3" fillId="0" borderId="0" xfId="0" applyNumberFormat="1" applyFont="1" applyAlignment="1">
      <alignment wrapText="1"/>
    </xf>
    <xf numFmtId="0" fontId="0" fillId="0" borderId="0" xfId="0" applyAlignment="1">
      <alignment wrapText="1"/>
    </xf>
    <xf numFmtId="0" fontId="4" fillId="0" borderId="15" xfId="0" applyFont="1" applyBorder="1" applyAlignment="1">
      <alignment horizontal="center" wrapText="1"/>
    </xf>
    <xf numFmtId="0" fontId="3" fillId="0" borderId="0" xfId="0" applyFont="1" applyBorder="1" applyAlignment="1">
      <alignment horizontal="center"/>
    </xf>
    <xf numFmtId="0" fontId="3" fillId="0" borderId="0" xfId="0" applyFont="1" applyAlignment="1">
      <alignment horizontal="left"/>
    </xf>
    <xf numFmtId="3" fontId="4" fillId="0" borderId="40" xfId="0" applyNumberFormat="1" applyFont="1" applyBorder="1" applyAlignment="1">
      <alignment horizontal="center" wrapText="1"/>
    </xf>
    <xf numFmtId="3" fontId="4" fillId="0" borderId="41" xfId="0" applyNumberFormat="1" applyFont="1" applyBorder="1" applyAlignment="1">
      <alignment horizontal="center" wrapText="1"/>
    </xf>
    <xf numFmtId="0" fontId="4" fillId="0" borderId="38" xfId="0" applyFont="1" applyBorder="1" applyAlignment="1">
      <alignment horizontal="center"/>
    </xf>
    <xf numFmtId="0" fontId="4" fillId="0" borderId="39" xfId="0" applyFont="1" applyBorder="1" applyAlignment="1">
      <alignment horizontal="center"/>
    </xf>
    <xf numFmtId="0" fontId="4" fillId="0" borderId="42" xfId="0" applyFont="1" applyBorder="1" applyAlignment="1">
      <alignment horizontal="center"/>
    </xf>
    <xf numFmtId="0" fontId="4" fillId="0" borderId="29" xfId="0" applyFont="1" applyBorder="1" applyAlignment="1">
      <alignment horizontal="center"/>
    </xf>
    <xf numFmtId="0" fontId="4" fillId="0" borderId="43" xfId="0" applyFont="1" applyBorder="1" applyAlignment="1">
      <alignment horizontal="center"/>
    </xf>
    <xf numFmtId="0" fontId="4" fillId="0" borderId="44" xfId="0" applyFont="1" applyBorder="1" applyAlignment="1">
      <alignment horizontal="center"/>
    </xf>
    <xf numFmtId="0" fontId="4" fillId="0" borderId="45" xfId="0" applyFont="1" applyBorder="1" applyAlignment="1">
      <alignment horizontal="center"/>
    </xf>
    <xf numFmtId="0" fontId="4" fillId="0" borderId="46" xfId="0" applyFont="1" applyBorder="1" applyAlignment="1">
      <alignment horizontal="center"/>
    </xf>
    <xf numFmtId="0" fontId="3" fillId="0" borderId="4" xfId="0" applyFont="1" applyBorder="1" applyAlignment="1">
      <alignment horizontal="left" wrapText="1"/>
    </xf>
    <xf numFmtId="0" fontId="4" fillId="0" borderId="1" xfId="0" applyFont="1" applyBorder="1" applyAlignment="1">
      <alignment horizontal="left" wrapText="1"/>
    </xf>
    <xf numFmtId="0" fontId="4" fillId="0" borderId="47" xfId="0" applyFont="1" applyBorder="1" applyAlignment="1">
      <alignment horizontal="lef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BOATS\SURVEY\COST\MRR\MRRBOAT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pa.gov/naaujydh/pages/opportunities/icrhndbk.pdf" TargetMode="External" /><Relationship Id="rId2" Type="http://schemas.openxmlformats.org/officeDocument/2006/relationships/hyperlink" Target="http://www.omega.com/ppt/pptsc.asp?ref=OM-CP-PRTC210&amp;Nav=dase01"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F36"/>
  <sheetViews>
    <sheetView workbookViewId="0" topLeftCell="A1">
      <selection activeCell="C19" sqref="C19"/>
    </sheetView>
  </sheetViews>
  <sheetFormatPr defaultColWidth="9.140625" defaultRowHeight="12.75"/>
  <cols>
    <col min="1" max="1" width="44.8515625" style="143" customWidth="1"/>
    <col min="2" max="2" width="13.421875" style="0" customWidth="1"/>
    <col min="3" max="3" width="57.57421875" style="0" customWidth="1"/>
  </cols>
  <sheetData>
    <row r="1" ht="13.5" thickBot="1"/>
    <row r="2" spans="1:3" ht="12.75">
      <c r="A2" s="237" t="s">
        <v>43</v>
      </c>
      <c r="B2" s="238"/>
      <c r="C2" s="239"/>
    </row>
    <row r="3" spans="1:3" ht="12.75">
      <c r="A3" s="144" t="s">
        <v>44</v>
      </c>
      <c r="B3" s="2" t="s">
        <v>147</v>
      </c>
      <c r="C3" s="3" t="s">
        <v>88</v>
      </c>
    </row>
    <row r="4" spans="1:3" ht="12.75">
      <c r="A4" s="145" t="s">
        <v>74</v>
      </c>
      <c r="B4" s="4"/>
      <c r="C4" s="5"/>
    </row>
    <row r="5" spans="1:3" ht="12.75">
      <c r="A5" s="146" t="s">
        <v>69</v>
      </c>
      <c r="B5" s="137">
        <v>1</v>
      </c>
      <c r="C5" s="137"/>
    </row>
    <row r="6" spans="1:3" ht="12.75">
      <c r="A6" s="146" t="s">
        <v>45</v>
      </c>
      <c r="B6" s="138">
        <v>26</v>
      </c>
      <c r="C6" s="137"/>
    </row>
    <row r="7" spans="1:3" ht="12.75">
      <c r="A7" s="146" t="s">
        <v>10</v>
      </c>
      <c r="B7" s="138">
        <v>0</v>
      </c>
      <c r="C7" s="137"/>
    </row>
    <row r="8" spans="1:5" ht="51">
      <c r="A8" s="146" t="s">
        <v>187</v>
      </c>
      <c r="B8" s="138">
        <v>0</v>
      </c>
      <c r="C8" s="137"/>
      <c r="E8" s="8"/>
    </row>
    <row r="9" spans="1:5" ht="12.75">
      <c r="A9" s="145" t="s">
        <v>73</v>
      </c>
      <c r="B9" s="7"/>
      <c r="C9" s="6"/>
      <c r="E9" t="s">
        <v>91</v>
      </c>
    </row>
    <row r="10" spans="1:6" ht="12.75">
      <c r="A10" s="146" t="s">
        <v>130</v>
      </c>
      <c r="B10" s="139">
        <v>0</v>
      </c>
      <c r="C10" s="137" t="s">
        <v>188</v>
      </c>
      <c r="D10">
        <v>649</v>
      </c>
      <c r="E10" t="s">
        <v>150</v>
      </c>
      <c r="F10" s="152" t="s">
        <v>149</v>
      </c>
    </row>
    <row r="11" spans="1:6" ht="12.75">
      <c r="A11" s="146" t="s">
        <v>153</v>
      </c>
      <c r="B11" s="154">
        <v>0.1424</v>
      </c>
      <c r="C11" s="137" t="s">
        <v>189</v>
      </c>
      <c r="F11" s="152"/>
    </row>
    <row r="12" spans="1:6" ht="12.75">
      <c r="A12" s="146" t="s">
        <v>154</v>
      </c>
      <c r="B12" s="139">
        <f>+B11*B10</f>
        <v>0</v>
      </c>
      <c r="C12" s="137" t="s">
        <v>189</v>
      </c>
      <c r="F12" s="152"/>
    </row>
    <row r="13" spans="1:6" ht="25.5">
      <c r="A13" s="146" t="s">
        <v>72</v>
      </c>
      <c r="B13" s="139">
        <v>6000</v>
      </c>
      <c r="C13" s="137" t="s">
        <v>89</v>
      </c>
      <c r="D13" s="151">
        <v>327.7</v>
      </c>
      <c r="E13" t="s">
        <v>152</v>
      </c>
      <c r="F13" t="s">
        <v>151</v>
      </c>
    </row>
    <row r="14" spans="1:4" ht="25.5">
      <c r="A14" s="146" t="s">
        <v>53</v>
      </c>
      <c r="B14" s="140">
        <f>0.1*15*5</f>
        <v>7.5</v>
      </c>
      <c r="C14" s="137" t="s">
        <v>146</v>
      </c>
      <c r="D14" s="153">
        <f>+D13+D10</f>
        <v>976.7</v>
      </c>
    </row>
    <row r="15" spans="1:3" ht="12.75">
      <c r="A15" s="145" t="s">
        <v>11</v>
      </c>
      <c r="B15" s="1"/>
      <c r="C15" s="6"/>
    </row>
    <row r="16" spans="1:3" ht="18" customHeight="1">
      <c r="A16" s="146" t="s">
        <v>140</v>
      </c>
      <c r="B16" s="141">
        <v>34.49</v>
      </c>
      <c r="C16" s="242" t="s">
        <v>186</v>
      </c>
    </row>
    <row r="17" spans="1:3" ht="18" customHeight="1">
      <c r="A17" s="146" t="s">
        <v>141</v>
      </c>
      <c r="B17" s="141">
        <v>52.02</v>
      </c>
      <c r="C17" s="242"/>
    </row>
    <row r="18" spans="1:3" ht="32.25" customHeight="1">
      <c r="A18" s="146" t="s">
        <v>142</v>
      </c>
      <c r="B18" s="141">
        <v>14.95</v>
      </c>
      <c r="C18" s="242"/>
    </row>
    <row r="19" spans="1:5" ht="38.25">
      <c r="A19" s="146" t="s">
        <v>163</v>
      </c>
      <c r="B19" s="150">
        <v>1.2</v>
      </c>
      <c r="C19" s="136" t="s">
        <v>226</v>
      </c>
      <c r="E19" s="162"/>
    </row>
    <row r="20" spans="1:3" ht="18" customHeight="1">
      <c r="A20" s="146" t="s">
        <v>143</v>
      </c>
      <c r="B20" s="142">
        <f>+(1+$B$19)*B16</f>
        <v>75.87800000000001</v>
      </c>
      <c r="C20" s="241"/>
    </row>
    <row r="21" spans="1:3" ht="18" customHeight="1">
      <c r="A21" s="146" t="s">
        <v>144</v>
      </c>
      <c r="B21" s="142">
        <f>+(1+$B$19)*B17</f>
        <v>114.44400000000002</v>
      </c>
      <c r="C21" s="241"/>
    </row>
    <row r="22" spans="1:3" ht="18" customHeight="1">
      <c r="A22" s="146" t="s">
        <v>145</v>
      </c>
      <c r="B22" s="142">
        <f>+(1+$B$19)*B18</f>
        <v>32.89</v>
      </c>
      <c r="C22" s="241"/>
    </row>
    <row r="23" spans="1:3" ht="12.75">
      <c r="A23" s="147" t="s">
        <v>138</v>
      </c>
      <c r="B23" s="134">
        <v>32.25</v>
      </c>
      <c r="C23" s="242" t="s">
        <v>136</v>
      </c>
    </row>
    <row r="24" spans="1:3" ht="12.75">
      <c r="A24" s="147" t="s">
        <v>137</v>
      </c>
      <c r="B24" s="134">
        <v>53.3</v>
      </c>
      <c r="C24" s="242"/>
    </row>
    <row r="25" spans="1:3" ht="12.75">
      <c r="A25" s="147" t="s">
        <v>139</v>
      </c>
      <c r="B25" s="134">
        <v>18.18</v>
      </c>
      <c r="C25" s="242"/>
    </row>
    <row r="26" spans="1:3" ht="51">
      <c r="A26" s="146" t="s">
        <v>164</v>
      </c>
      <c r="B26" s="150">
        <v>0.6</v>
      </c>
      <c r="C26" s="136" t="s">
        <v>148</v>
      </c>
    </row>
    <row r="27" spans="1:3" ht="18" customHeight="1">
      <c r="A27" s="147" t="s">
        <v>54</v>
      </c>
      <c r="B27" s="135">
        <f>(1+$B$26)*B23</f>
        <v>51.6</v>
      </c>
      <c r="C27" s="240"/>
    </row>
    <row r="28" spans="1:3" ht="18" customHeight="1">
      <c r="A28" s="147" t="s">
        <v>55</v>
      </c>
      <c r="B28" s="135">
        <f>(1+$B$26)*B24</f>
        <v>85.28</v>
      </c>
      <c r="C28" s="240"/>
    </row>
    <row r="29" spans="1:3" ht="18" customHeight="1">
      <c r="A29" s="147" t="s">
        <v>56</v>
      </c>
      <c r="B29" s="135">
        <f>(1+$B$26)*B25</f>
        <v>29.088</v>
      </c>
      <c r="C29" s="240"/>
    </row>
    <row r="31" ht="12.75">
      <c r="A31" s="148" t="s">
        <v>92</v>
      </c>
    </row>
    <row r="36" ht="12.75">
      <c r="A36" s="149" t="s">
        <v>127</v>
      </c>
    </row>
  </sheetData>
  <mergeCells count="5">
    <mergeCell ref="A2:C2"/>
    <mergeCell ref="C27:C29"/>
    <mergeCell ref="C20:C22"/>
    <mergeCell ref="C23:C25"/>
    <mergeCell ref="C16:C18"/>
  </mergeCells>
  <hyperlinks>
    <hyperlink ref="A36" r:id="rId1" display="http://www.epa.gov/naaujydh/pages/opportunities/icrhndbk.pdf"/>
    <hyperlink ref="F10" r:id="rId2" display="http://www.omega.com/ppt/pptsc.asp?ref=OM-CP-PRTC210&amp;Nav=dase01"/>
  </hyperlinks>
  <printOptions horizontalCentered="1"/>
  <pageMargins left="0.75" right="0.75" top="1" bottom="1" header="0.5" footer="0.5"/>
  <pageSetup fitToHeight="1" fitToWidth="1" horizontalDpi="600" verticalDpi="600" orientation="landscape" scale="84" r:id="rId3"/>
</worksheet>
</file>

<file path=xl/worksheets/sheet10.xml><?xml version="1.0" encoding="utf-8"?>
<worksheet xmlns="http://schemas.openxmlformats.org/spreadsheetml/2006/main" xmlns:r="http://schemas.openxmlformats.org/officeDocument/2006/relationships">
  <sheetPr>
    <pageSetUpPr fitToPage="1"/>
  </sheetPr>
  <dimension ref="A1:K7"/>
  <sheetViews>
    <sheetView tabSelected="1" workbookViewId="0" topLeftCell="A1">
      <selection activeCell="G17" sqref="G17"/>
    </sheetView>
  </sheetViews>
  <sheetFormatPr defaultColWidth="9.140625" defaultRowHeight="12.75"/>
  <cols>
    <col min="1" max="1" width="18.140625" style="9" customWidth="1"/>
    <col min="2" max="8" width="13.57421875" style="21" customWidth="1"/>
    <col min="9" max="16384" width="9.140625" style="9" customWidth="1"/>
  </cols>
  <sheetData>
    <row r="1" spans="1:8" ht="27" customHeight="1" thickBot="1">
      <c r="A1" s="301" t="s">
        <v>228</v>
      </c>
      <c r="B1" s="301"/>
      <c r="C1" s="301"/>
      <c r="D1" s="301"/>
      <c r="E1" s="301"/>
      <c r="F1" s="301"/>
      <c r="G1" s="301"/>
      <c r="H1" s="301"/>
    </row>
    <row r="2" spans="1:11" ht="54.75" thickBot="1">
      <c r="A2" s="156" t="s">
        <v>32</v>
      </c>
      <c r="B2" s="91" t="s">
        <v>75</v>
      </c>
      <c r="C2" s="91" t="s">
        <v>76</v>
      </c>
      <c r="D2" s="91" t="s">
        <v>77</v>
      </c>
      <c r="E2" s="91" t="s">
        <v>33</v>
      </c>
      <c r="F2" s="91" t="s">
        <v>34</v>
      </c>
      <c r="G2" s="91" t="s">
        <v>58</v>
      </c>
      <c r="H2" s="157" t="s">
        <v>35</v>
      </c>
      <c r="J2" s="91" t="s">
        <v>128</v>
      </c>
      <c r="K2" s="91" t="s">
        <v>129</v>
      </c>
    </row>
    <row r="3" spans="1:8" ht="14.25" thickTop="1">
      <c r="A3" s="130">
        <v>1</v>
      </c>
      <c r="B3" s="11">
        <f>+'Agency Yr 1'!I20</f>
        <v>136.5</v>
      </c>
      <c r="C3" s="12">
        <f>+'Agency Yr 1'!J20</f>
        <v>6.825</v>
      </c>
      <c r="D3" s="12">
        <f>+'Agency Yr 1'!K20</f>
        <v>13.65</v>
      </c>
      <c r="E3" s="11">
        <f>SUM(B3:D3)</f>
        <v>156.975</v>
      </c>
      <c r="F3" s="13">
        <f>'Agency Yr 1'!J22</f>
        <v>8022.487200000001</v>
      </c>
      <c r="G3" s="13">
        <f>'Agency Yr 1'!K22</f>
        <v>0</v>
      </c>
      <c r="H3" s="82">
        <f>SUM(F3:G3)</f>
        <v>8022.487200000001</v>
      </c>
    </row>
    <row r="4" spans="1:8" ht="13.5">
      <c r="A4" s="130">
        <v>2</v>
      </c>
      <c r="B4" s="11">
        <f>+'Agency Yr 2'!I20</f>
        <v>197</v>
      </c>
      <c r="C4" s="12">
        <f>+'Agency Yr 2'!J20</f>
        <v>9.850000000000001</v>
      </c>
      <c r="D4" s="12">
        <f>+'Agency Yr 2'!K20</f>
        <v>19.700000000000003</v>
      </c>
      <c r="E4" s="11">
        <f>SUM(B4:D4)</f>
        <v>226.55</v>
      </c>
      <c r="F4" s="13">
        <f>+'Agency Yr 2'!J22</f>
        <v>11578.2416</v>
      </c>
      <c r="G4" s="13">
        <f>+'Agency Yr 2'!K22</f>
        <v>0</v>
      </c>
      <c r="H4" s="82">
        <f>SUM(F4:G4)</f>
        <v>11578.2416</v>
      </c>
    </row>
    <row r="5" spans="1:8" ht="13.5">
      <c r="A5" s="130">
        <v>3</v>
      </c>
      <c r="B5" s="11">
        <f>+'Agency Yr 3'!I20</f>
        <v>26</v>
      </c>
      <c r="C5" s="12">
        <f>+'Agency Yr 3'!J20</f>
        <v>1.3</v>
      </c>
      <c r="D5" s="12">
        <f>+'Agency Yr 3'!K20</f>
        <v>2.6</v>
      </c>
      <c r="E5" s="11">
        <f>SUM(B5:D5)</f>
        <v>29.900000000000002</v>
      </c>
      <c r="F5" s="13">
        <f>+'Agency Yr 3'!J22</f>
        <v>1528.0928000000001</v>
      </c>
      <c r="G5" s="13">
        <f>+'Agency Yr 3'!K22</f>
        <v>0</v>
      </c>
      <c r="H5" s="82">
        <f>SUM(F5:G5)</f>
        <v>1528.0928000000001</v>
      </c>
    </row>
    <row r="6" spans="1:8" ht="13.5">
      <c r="A6" s="131" t="s">
        <v>87</v>
      </c>
      <c r="B6" s="16">
        <f aca="true" t="shared" si="0" ref="B6:H6">SUM(B3:B5)</f>
        <v>359.5</v>
      </c>
      <c r="C6" s="16">
        <f t="shared" si="0"/>
        <v>17.975</v>
      </c>
      <c r="D6" s="16">
        <f t="shared" si="0"/>
        <v>35.95</v>
      </c>
      <c r="E6" s="16">
        <f t="shared" si="0"/>
        <v>413.42499999999995</v>
      </c>
      <c r="F6" s="18">
        <f t="shared" si="0"/>
        <v>21128.8216</v>
      </c>
      <c r="G6" s="18">
        <f t="shared" si="0"/>
        <v>0</v>
      </c>
      <c r="H6" s="129">
        <f t="shared" si="0"/>
        <v>21128.8216</v>
      </c>
    </row>
    <row r="7" spans="1:8" ht="14.25" thickBot="1">
      <c r="A7" s="132" t="s">
        <v>36</v>
      </c>
      <c r="B7" s="85">
        <f aca="true" t="shared" si="1" ref="B7:H7">AVERAGE(B3:B5)</f>
        <v>119.83333333333333</v>
      </c>
      <c r="C7" s="85">
        <f t="shared" si="1"/>
        <v>5.991666666666667</v>
      </c>
      <c r="D7" s="85">
        <f t="shared" si="1"/>
        <v>11.983333333333334</v>
      </c>
      <c r="E7" s="85">
        <f t="shared" si="1"/>
        <v>137.8083333333333</v>
      </c>
      <c r="F7" s="158">
        <f t="shared" si="1"/>
        <v>7042.940533333333</v>
      </c>
      <c r="G7" s="158">
        <f t="shared" si="1"/>
        <v>0</v>
      </c>
      <c r="H7" s="159">
        <f t="shared" si="1"/>
        <v>7042.940533333333</v>
      </c>
    </row>
  </sheetData>
  <mergeCells count="1">
    <mergeCell ref="A1:H1"/>
  </mergeCells>
  <printOptions horizontalCentered="1"/>
  <pageMargins left="0.5" right="0.5" top="0.5" bottom="0.5" header="0.5" footer="0.5"/>
  <pageSetup fitToHeight="1" fitToWidth="1"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J15"/>
  <sheetViews>
    <sheetView workbookViewId="0" topLeftCell="A1">
      <selection activeCell="B8" sqref="B8"/>
    </sheetView>
  </sheetViews>
  <sheetFormatPr defaultColWidth="9.140625" defaultRowHeight="12.75"/>
  <cols>
    <col min="1" max="1" width="15.7109375" style="0" customWidth="1"/>
    <col min="3" max="3" width="12.140625" style="0" customWidth="1"/>
    <col min="7" max="7" width="11.28125" style="0" customWidth="1"/>
  </cols>
  <sheetData>
    <row r="1" spans="1:10" ht="46.5" customHeight="1" thickTop="1">
      <c r="A1" s="233" t="s">
        <v>165</v>
      </c>
      <c r="B1" s="243" t="s">
        <v>166</v>
      </c>
      <c r="C1" s="243" t="s">
        <v>167</v>
      </c>
      <c r="D1" s="243" t="s">
        <v>168</v>
      </c>
      <c r="E1" s="250" t="s">
        <v>169</v>
      </c>
      <c r="F1" s="243" t="s">
        <v>170</v>
      </c>
      <c r="G1" s="243" t="s">
        <v>171</v>
      </c>
      <c r="H1" s="243" t="s">
        <v>172</v>
      </c>
      <c r="I1" s="243" t="s">
        <v>181</v>
      </c>
      <c r="J1" s="243" t="s">
        <v>182</v>
      </c>
    </row>
    <row r="2" spans="1:10" ht="38.25" customHeight="1" thickBot="1">
      <c r="A2" s="234"/>
      <c r="B2" s="244"/>
      <c r="C2" s="244"/>
      <c r="D2" s="244"/>
      <c r="E2" s="251"/>
      <c r="F2" s="244"/>
      <c r="G2" s="244"/>
      <c r="H2" s="244"/>
      <c r="I2" s="249"/>
      <c r="J2" s="244"/>
    </row>
    <row r="3" spans="1:10" ht="13.5" thickBot="1">
      <c r="A3" s="163" t="s">
        <v>173</v>
      </c>
      <c r="B3" s="164">
        <v>4</v>
      </c>
      <c r="C3" s="164">
        <v>1</v>
      </c>
      <c r="D3" s="164">
        <f>B3*C3</f>
        <v>4</v>
      </c>
      <c r="E3" s="164">
        <v>1</v>
      </c>
      <c r="F3" s="164">
        <f aca="true" t="shared" si="0" ref="F3:F11">D3</f>
        <v>4</v>
      </c>
      <c r="G3" s="164">
        <f aca="true" t="shared" si="1" ref="G3:G11">F3*0.05</f>
        <v>0.2</v>
      </c>
      <c r="H3" s="164">
        <f aca="true" t="shared" si="2" ref="H3:H11">F3*0.1</f>
        <v>0.4</v>
      </c>
      <c r="I3" s="165">
        <f>F3*55.18+G3*83.23+H3*23.92</f>
        <v>246.934</v>
      </c>
      <c r="J3" s="166"/>
    </row>
    <row r="4" spans="1:10" ht="24.75" thickBot="1">
      <c r="A4" s="163" t="s">
        <v>174</v>
      </c>
      <c r="B4" s="164">
        <v>4</v>
      </c>
      <c r="C4" s="164">
        <v>1</v>
      </c>
      <c r="D4" s="164">
        <f>B4*C4</f>
        <v>4</v>
      </c>
      <c r="E4" s="164">
        <v>1</v>
      </c>
      <c r="F4" s="164">
        <f t="shared" si="0"/>
        <v>4</v>
      </c>
      <c r="G4" s="164">
        <f t="shared" si="1"/>
        <v>0.2</v>
      </c>
      <c r="H4" s="164">
        <f t="shared" si="2"/>
        <v>0.4</v>
      </c>
      <c r="I4" s="165">
        <f>F4*55.18+G4*83.23+H4*23.92</f>
        <v>246.934</v>
      </c>
      <c r="J4" s="166"/>
    </row>
    <row r="5" spans="1:10" ht="24.75" thickBot="1">
      <c r="A5" s="163" t="s">
        <v>21</v>
      </c>
      <c r="B5" s="164">
        <v>4</v>
      </c>
      <c r="C5" s="164">
        <v>1</v>
      </c>
      <c r="D5" s="164">
        <f>B5*C5</f>
        <v>4</v>
      </c>
      <c r="E5" s="164">
        <v>1</v>
      </c>
      <c r="F5" s="164">
        <f t="shared" si="0"/>
        <v>4</v>
      </c>
      <c r="G5" s="164">
        <f t="shared" si="1"/>
        <v>0.2</v>
      </c>
      <c r="H5" s="164">
        <f t="shared" si="2"/>
        <v>0.4</v>
      </c>
      <c r="I5" s="165">
        <f>F5*55.18+G5*83.23+H5*23.92</f>
        <v>246.934</v>
      </c>
      <c r="J5" s="166"/>
    </row>
    <row r="6" spans="1:10" ht="24.75" thickBot="1">
      <c r="A6" s="163" t="s">
        <v>68</v>
      </c>
      <c r="B6" s="164">
        <v>4</v>
      </c>
      <c r="C6" s="164">
        <v>1</v>
      </c>
      <c r="D6" s="164">
        <f>B6*C6</f>
        <v>4</v>
      </c>
      <c r="E6" s="164">
        <v>1</v>
      </c>
      <c r="F6" s="164">
        <f t="shared" si="0"/>
        <v>4</v>
      </c>
      <c r="G6" s="164">
        <f t="shared" si="1"/>
        <v>0.2</v>
      </c>
      <c r="H6" s="164">
        <f t="shared" si="2"/>
        <v>0.4</v>
      </c>
      <c r="I6" s="165"/>
      <c r="J6" s="167">
        <f>F6*55.18+G6*83.23+H6*23.92</f>
        <v>246.934</v>
      </c>
    </row>
    <row r="7" spans="1:10" ht="24.75" thickBot="1">
      <c r="A7" s="163" t="s">
        <v>183</v>
      </c>
      <c r="B7" s="164">
        <v>4</v>
      </c>
      <c r="C7" s="164">
        <v>1</v>
      </c>
      <c r="D7" s="164">
        <f>B7*C7</f>
        <v>4</v>
      </c>
      <c r="E7" s="164">
        <v>1</v>
      </c>
      <c r="F7" s="164">
        <f t="shared" si="0"/>
        <v>4</v>
      </c>
      <c r="G7" s="164">
        <f t="shared" si="1"/>
        <v>0.2</v>
      </c>
      <c r="H7" s="164">
        <f t="shared" si="2"/>
        <v>0.4</v>
      </c>
      <c r="I7" s="165">
        <f>F7*55.18+G7*83.23+H7*23.92</f>
        <v>246.934</v>
      </c>
      <c r="J7" s="166"/>
    </row>
    <row r="8" spans="1:10" ht="24.75" thickBot="1">
      <c r="A8" s="163" t="s">
        <v>175</v>
      </c>
      <c r="B8" s="164">
        <v>0.5</v>
      </c>
      <c r="C8" s="164" t="s">
        <v>176</v>
      </c>
      <c r="D8" s="164">
        <f>B8*52</f>
        <v>26</v>
      </c>
      <c r="E8" s="164">
        <v>1</v>
      </c>
      <c r="F8" s="164">
        <f t="shared" si="0"/>
        <v>26</v>
      </c>
      <c r="G8" s="164">
        <f t="shared" si="1"/>
        <v>1.3</v>
      </c>
      <c r="H8" s="164">
        <f t="shared" si="2"/>
        <v>2.6</v>
      </c>
      <c r="I8" s="168"/>
      <c r="J8" s="167">
        <f>F8*55.18+G8*83.23+H8*23.92</f>
        <v>1605.0710000000001</v>
      </c>
    </row>
    <row r="9" spans="1:10" ht="24.75" thickBot="1">
      <c r="A9" s="163" t="s">
        <v>177</v>
      </c>
      <c r="B9" s="164">
        <v>0.25</v>
      </c>
      <c r="C9" s="164" t="s">
        <v>178</v>
      </c>
      <c r="D9" s="164">
        <f>B9*2</f>
        <v>0.5</v>
      </c>
      <c r="E9" s="164">
        <v>1</v>
      </c>
      <c r="F9" s="164">
        <f t="shared" si="0"/>
        <v>0.5</v>
      </c>
      <c r="G9" s="164">
        <f t="shared" si="1"/>
        <v>0.025</v>
      </c>
      <c r="H9" s="164">
        <f t="shared" si="2"/>
        <v>0.05</v>
      </c>
      <c r="I9" s="168"/>
      <c r="J9" s="167">
        <f>F9*55.18+G9*83.23+H9*23.92</f>
        <v>30.86675</v>
      </c>
    </row>
    <row r="10" spans="1:10" ht="24.75" thickBot="1">
      <c r="A10" s="163" t="s">
        <v>179</v>
      </c>
      <c r="B10" s="164">
        <v>2</v>
      </c>
      <c r="C10" s="164">
        <v>1</v>
      </c>
      <c r="D10" s="164">
        <f>B10*C10</f>
        <v>2</v>
      </c>
      <c r="E10" s="164">
        <v>1</v>
      </c>
      <c r="F10" s="164">
        <f t="shared" si="0"/>
        <v>2</v>
      </c>
      <c r="G10" s="164">
        <f t="shared" si="1"/>
        <v>0.1</v>
      </c>
      <c r="H10" s="164">
        <f t="shared" si="2"/>
        <v>0.2</v>
      </c>
      <c r="I10" s="165">
        <f>F10*55.18+G10*83.23+H10*23.92</f>
        <v>123.467</v>
      </c>
      <c r="J10" s="166"/>
    </row>
    <row r="11" spans="1:10" ht="24.75" thickBot="1">
      <c r="A11" s="163" t="s">
        <v>184</v>
      </c>
      <c r="B11" s="164">
        <v>4</v>
      </c>
      <c r="C11" s="164">
        <v>1</v>
      </c>
      <c r="D11" s="164">
        <f>B11*C11</f>
        <v>4</v>
      </c>
      <c r="E11" s="164">
        <v>1</v>
      </c>
      <c r="F11" s="164">
        <f t="shared" si="0"/>
        <v>4</v>
      </c>
      <c r="G11" s="164">
        <f t="shared" si="1"/>
        <v>0.2</v>
      </c>
      <c r="H11" s="164">
        <f t="shared" si="2"/>
        <v>0.4</v>
      </c>
      <c r="I11" s="165">
        <f>F11*55.18+G11*83.23+H11*23.92</f>
        <v>246.934</v>
      </c>
      <c r="J11" s="166"/>
    </row>
    <row r="12" spans="1:10" ht="13.5" thickBot="1">
      <c r="A12" s="245" t="s">
        <v>180</v>
      </c>
      <c r="B12" s="246"/>
      <c r="C12" s="246"/>
      <c r="D12" s="246"/>
      <c r="E12" s="246"/>
      <c r="F12" s="246"/>
      <c r="G12" s="246"/>
      <c r="H12" s="247"/>
      <c r="I12" s="169">
        <f>I3+I4+I5+I7+I10+I11</f>
        <v>1358.137</v>
      </c>
      <c r="J12" s="170">
        <f>J8+J9</f>
        <v>1635.93775</v>
      </c>
    </row>
    <row r="14" spans="1:10" ht="22.5" customHeight="1">
      <c r="A14" s="248" t="s">
        <v>185</v>
      </c>
      <c r="B14" s="248"/>
      <c r="C14" s="248"/>
      <c r="D14" s="248"/>
      <c r="E14" s="248"/>
      <c r="F14" s="248"/>
      <c r="G14" s="248"/>
      <c r="H14" s="248"/>
      <c r="I14" s="248"/>
      <c r="J14" s="248"/>
    </row>
    <row r="15" spans="1:10" ht="37.5" customHeight="1">
      <c r="A15" s="248"/>
      <c r="B15" s="248"/>
      <c r="C15" s="248"/>
      <c r="D15" s="248"/>
      <c r="E15" s="248"/>
      <c r="F15" s="248"/>
      <c r="G15" s="248"/>
      <c r="H15" s="248"/>
      <c r="I15" s="248"/>
      <c r="J15" s="248"/>
    </row>
  </sheetData>
  <mergeCells count="12">
    <mergeCell ref="A1:A2"/>
    <mergeCell ref="B1:B2"/>
    <mergeCell ref="C1:C2"/>
    <mergeCell ref="D1:D2"/>
    <mergeCell ref="A12:H12"/>
    <mergeCell ref="A14:J15"/>
    <mergeCell ref="I1:I2"/>
    <mergeCell ref="J1:J2"/>
    <mergeCell ref="E1:E2"/>
    <mergeCell ref="F1:F2"/>
    <mergeCell ref="G1:G2"/>
    <mergeCell ref="H1:H2"/>
  </mergeCells>
  <printOptions/>
  <pageMargins left="0.75" right="0.75" top="1" bottom="1" header="0.5" footer="0.5"/>
  <pageSetup horizontalDpi="200" verticalDpi="2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U52"/>
  <sheetViews>
    <sheetView zoomScale="75" zoomScaleNormal="75" workbookViewId="0" topLeftCell="A12">
      <selection activeCell="G26" sqref="G26"/>
    </sheetView>
  </sheetViews>
  <sheetFormatPr defaultColWidth="9.140625" defaultRowHeight="12.75"/>
  <cols>
    <col min="1" max="1" width="3.140625" style="228" customWidth="1"/>
    <col min="2" max="2" width="3.140625" style="172" customWidth="1"/>
    <col min="3" max="3" width="4.8515625" style="172" customWidth="1"/>
    <col min="4" max="4" width="7.8515625" style="172" customWidth="1"/>
    <col min="5" max="5" width="58.8515625" style="172" customWidth="1"/>
    <col min="6" max="6" width="16.00390625" style="225" customWidth="1"/>
    <col min="7" max="7" width="17.421875" style="225" customWidth="1"/>
    <col min="8" max="8" width="16.57421875" style="225" customWidth="1"/>
    <col min="9" max="9" width="14.421875" style="225" customWidth="1"/>
    <col min="10" max="10" width="15.7109375" style="225" customWidth="1"/>
    <col min="11" max="11" width="14.57421875" style="225" customWidth="1"/>
    <col min="12" max="12" width="12.57421875" style="225" customWidth="1"/>
    <col min="13" max="13" width="12.8515625" style="226" customWidth="1"/>
    <col min="14" max="14" width="14.421875" style="226" customWidth="1"/>
    <col min="15" max="15" width="12.421875" style="172" bestFit="1" customWidth="1"/>
    <col min="16" max="16" width="11.421875" style="172" customWidth="1"/>
    <col min="17" max="17" width="9.140625" style="172" customWidth="1"/>
    <col min="18" max="18" width="10.00390625" style="172" bestFit="1" customWidth="1"/>
    <col min="19" max="16384" width="9.140625" style="172" customWidth="1"/>
  </cols>
  <sheetData>
    <row r="1" spans="1:15" ht="32.25" customHeight="1" thickBot="1">
      <c r="A1" s="253" t="s">
        <v>197</v>
      </c>
      <c r="B1" s="253"/>
      <c r="C1" s="253"/>
      <c r="D1" s="253"/>
      <c r="E1" s="253"/>
      <c r="F1" s="253"/>
      <c r="G1" s="253"/>
      <c r="H1" s="253"/>
      <c r="I1" s="253"/>
      <c r="J1" s="253"/>
      <c r="K1" s="253"/>
      <c r="L1" s="253"/>
      <c r="M1" s="253"/>
      <c r="N1" s="253"/>
      <c r="O1" s="253"/>
    </row>
    <row r="2" spans="1:21" s="174" customFormat="1" ht="54">
      <c r="A2" s="268" t="s">
        <v>16</v>
      </c>
      <c r="B2" s="269"/>
      <c r="C2" s="269"/>
      <c r="D2" s="269"/>
      <c r="E2" s="270"/>
      <c r="F2" s="173" t="s">
        <v>110</v>
      </c>
      <c r="G2" s="173" t="s">
        <v>111</v>
      </c>
      <c r="H2" s="173" t="s">
        <v>109</v>
      </c>
      <c r="I2" s="173" t="s">
        <v>113</v>
      </c>
      <c r="J2" s="173" t="s">
        <v>114</v>
      </c>
      <c r="K2" s="173" t="s">
        <v>117</v>
      </c>
      <c r="L2" s="173" t="s">
        <v>119</v>
      </c>
      <c r="M2" s="262" t="s">
        <v>230</v>
      </c>
      <c r="N2" s="262" t="s">
        <v>57</v>
      </c>
      <c r="O2" s="260" t="s">
        <v>12</v>
      </c>
      <c r="R2" s="172"/>
      <c r="S2" s="172"/>
      <c r="T2" s="172"/>
      <c r="U2" s="172"/>
    </row>
    <row r="3" spans="1:21" s="174" customFormat="1" ht="14.25" thickBot="1">
      <c r="A3" s="271"/>
      <c r="B3" s="272"/>
      <c r="C3" s="272"/>
      <c r="D3" s="272"/>
      <c r="E3" s="273"/>
      <c r="F3" s="175" t="s">
        <v>107</v>
      </c>
      <c r="G3" s="175" t="s">
        <v>108</v>
      </c>
      <c r="H3" s="175" t="s">
        <v>120</v>
      </c>
      <c r="I3" s="175" t="s">
        <v>112</v>
      </c>
      <c r="J3" s="175" t="s">
        <v>115</v>
      </c>
      <c r="K3" s="175" t="s">
        <v>116</v>
      </c>
      <c r="L3" s="175" t="s">
        <v>118</v>
      </c>
      <c r="M3" s="263"/>
      <c r="N3" s="263"/>
      <c r="O3" s="261"/>
      <c r="R3" s="172"/>
      <c r="S3" s="172"/>
      <c r="T3" s="172"/>
      <c r="U3" s="172"/>
    </row>
    <row r="4" spans="1:15" ht="14.25" thickTop="1">
      <c r="A4" s="176" t="s">
        <v>0</v>
      </c>
      <c r="B4" s="264" t="s">
        <v>17</v>
      </c>
      <c r="C4" s="264"/>
      <c r="D4" s="264"/>
      <c r="E4" s="265"/>
      <c r="F4" s="177">
        <v>4</v>
      </c>
      <c r="G4" s="177">
        <v>1</v>
      </c>
      <c r="H4" s="177">
        <f>F4*G4</f>
        <v>4</v>
      </c>
      <c r="I4" s="178">
        <v>26</v>
      </c>
      <c r="J4" s="177">
        <f>H4*I4</f>
        <v>104</v>
      </c>
      <c r="K4" s="179">
        <f>0.05*J4</f>
        <v>5.2</v>
      </c>
      <c r="L4" s="179">
        <f>0.1*J4</f>
        <v>10.4</v>
      </c>
      <c r="M4" s="180">
        <f>(J4*Assumptions!$B$20)+(K4*Assumptions!$B$21)+(L4*Assumptions!$B$22)</f>
        <v>8828.476800000002</v>
      </c>
      <c r="N4" s="180"/>
      <c r="O4" s="181" t="s">
        <v>23</v>
      </c>
    </row>
    <row r="5" spans="1:15" ht="14.25" customHeight="1">
      <c r="A5" s="176" t="s">
        <v>1</v>
      </c>
      <c r="B5" s="264" t="s">
        <v>38</v>
      </c>
      <c r="C5" s="264"/>
      <c r="D5" s="264"/>
      <c r="E5" s="265"/>
      <c r="F5" s="177"/>
      <c r="G5" s="177"/>
      <c r="H5" s="177"/>
      <c r="I5" s="177"/>
      <c r="J5" s="177"/>
      <c r="K5" s="179"/>
      <c r="L5" s="179"/>
      <c r="M5" s="180"/>
      <c r="N5" s="180"/>
      <c r="O5" s="181"/>
    </row>
    <row r="6" spans="1:18" ht="13.5">
      <c r="A6" s="176"/>
      <c r="B6" s="182" t="s">
        <v>4</v>
      </c>
      <c r="C6" s="254" t="s">
        <v>93</v>
      </c>
      <c r="D6" s="254"/>
      <c r="E6" s="255"/>
      <c r="F6" s="177">
        <v>8</v>
      </c>
      <c r="G6" s="177">
        <v>1</v>
      </c>
      <c r="H6" s="177">
        <f>F6*G6</f>
        <v>8</v>
      </c>
      <c r="I6" s="178">
        <v>0</v>
      </c>
      <c r="J6" s="177">
        <f>I6*H6</f>
        <v>0</v>
      </c>
      <c r="K6" s="179">
        <f>0.05*J6</f>
        <v>0</v>
      </c>
      <c r="L6" s="179">
        <f>0.1*J6</f>
        <v>0</v>
      </c>
      <c r="M6" s="180">
        <f>(J6*Assumptions!$B$20)+(K6*Assumptions!$B$21)+(L6*Assumptions!$B$22)</f>
        <v>0</v>
      </c>
      <c r="N6" s="180"/>
      <c r="O6" s="181" t="s">
        <v>122</v>
      </c>
      <c r="P6" s="172">
        <f>+M6+N6</f>
        <v>0</v>
      </c>
      <c r="R6" s="172">
        <f>+N6/2</f>
        <v>0</v>
      </c>
    </row>
    <row r="7" spans="1:15" ht="13.5">
      <c r="A7" s="176"/>
      <c r="B7" s="182" t="s">
        <v>5</v>
      </c>
      <c r="C7" s="183" t="s">
        <v>190</v>
      </c>
      <c r="D7" s="183"/>
      <c r="E7" s="184"/>
      <c r="F7" s="177">
        <v>8</v>
      </c>
      <c r="G7" s="177">
        <v>1</v>
      </c>
      <c r="H7" s="177">
        <f>F7*G7</f>
        <v>8</v>
      </c>
      <c r="I7" s="178">
        <v>13</v>
      </c>
      <c r="J7" s="177">
        <f>I7*H7</f>
        <v>104</v>
      </c>
      <c r="K7" s="179">
        <f>0.05*J7</f>
        <v>5.2</v>
      </c>
      <c r="L7" s="179">
        <f>0.1*J7</f>
        <v>10.4</v>
      </c>
      <c r="M7" s="180">
        <f>(J7*Assumptions!$B$20)+(K7*Assumptions!$B$21)+(L7*Assumptions!$B$22)</f>
        <v>8828.476800000002</v>
      </c>
      <c r="N7" s="180"/>
      <c r="O7" s="181" t="s">
        <v>202</v>
      </c>
    </row>
    <row r="8" spans="1:15" ht="13.5">
      <c r="A8" s="176"/>
      <c r="B8" s="182" t="s">
        <v>6</v>
      </c>
      <c r="C8" s="254" t="s">
        <v>19</v>
      </c>
      <c r="D8" s="254"/>
      <c r="E8" s="255"/>
      <c r="F8" s="177">
        <v>0</v>
      </c>
      <c r="G8" s="177">
        <v>0</v>
      </c>
      <c r="H8" s="177">
        <f>F8*G8</f>
        <v>0</v>
      </c>
      <c r="I8" s="177">
        <v>26</v>
      </c>
      <c r="J8" s="177">
        <f>H8*I8</f>
        <v>0</v>
      </c>
      <c r="K8" s="179">
        <f>0.05*J8</f>
        <v>0</v>
      </c>
      <c r="L8" s="179">
        <f>0.1*J8</f>
        <v>0</v>
      </c>
      <c r="M8" s="180">
        <f>(J8*Assumptions!$B$20)+(K8*Assumptions!$B$21)+(L8*Assumptions!$B$22)</f>
        <v>0</v>
      </c>
      <c r="N8" s="180"/>
      <c r="O8" s="181" t="s">
        <v>201</v>
      </c>
    </row>
    <row r="9" spans="1:15" ht="13.5">
      <c r="A9" s="176" t="s">
        <v>2</v>
      </c>
      <c r="B9" s="254" t="s">
        <v>13</v>
      </c>
      <c r="C9" s="254"/>
      <c r="D9" s="254"/>
      <c r="E9" s="255"/>
      <c r="F9" s="177"/>
      <c r="G9" s="177"/>
      <c r="H9" s="177"/>
      <c r="I9" s="177"/>
      <c r="J9" s="177"/>
      <c r="K9" s="179"/>
      <c r="L9" s="179"/>
      <c r="M9" s="180"/>
      <c r="N9" s="180"/>
      <c r="O9" s="181"/>
    </row>
    <row r="10" spans="1:19" ht="27.75" customHeight="1">
      <c r="A10" s="176"/>
      <c r="B10" s="182" t="s">
        <v>4</v>
      </c>
      <c r="C10" s="264" t="s">
        <v>71</v>
      </c>
      <c r="D10" s="264"/>
      <c r="E10" s="265"/>
      <c r="F10" s="177">
        <v>4</v>
      </c>
      <c r="G10" s="177">
        <v>1</v>
      </c>
      <c r="H10" s="177">
        <f>F10*G10</f>
        <v>4</v>
      </c>
      <c r="I10" s="177">
        <v>26</v>
      </c>
      <c r="J10" s="177">
        <f>H10*I10</f>
        <v>104</v>
      </c>
      <c r="K10" s="179">
        <f>0.05*J10</f>
        <v>5.2</v>
      </c>
      <c r="L10" s="179">
        <f>0.1*J10</f>
        <v>10.4</v>
      </c>
      <c r="M10" s="180">
        <f>(J10*Assumptions!$B$20)+(K10*Assumptions!$B$21)+(L10*Assumptions!$B$22)</f>
        <v>8828.476800000002</v>
      </c>
      <c r="N10" s="180">
        <f>Assumptions!$B$14*I10*G10</f>
        <v>195</v>
      </c>
      <c r="O10" s="181" t="s">
        <v>203</v>
      </c>
      <c r="S10" s="174">
        <f>SUM(J10:L10)</f>
        <v>119.60000000000001</v>
      </c>
    </row>
    <row r="11" spans="1:15" ht="13.5">
      <c r="A11" s="176"/>
      <c r="B11" s="182" t="s">
        <v>5</v>
      </c>
      <c r="C11" s="254" t="s">
        <v>96</v>
      </c>
      <c r="D11" s="254"/>
      <c r="E11" s="255"/>
      <c r="F11" s="177"/>
      <c r="G11" s="177"/>
      <c r="H11" s="177"/>
      <c r="I11" s="177"/>
      <c r="J11" s="177"/>
      <c r="K11" s="179"/>
      <c r="L11" s="179"/>
      <c r="M11" s="180"/>
      <c r="N11" s="180"/>
      <c r="O11" s="181"/>
    </row>
    <row r="12" spans="1:19" ht="13.5">
      <c r="A12" s="176"/>
      <c r="B12" s="182"/>
      <c r="C12" s="182" t="s">
        <v>98</v>
      </c>
      <c r="D12" s="256" t="s">
        <v>39</v>
      </c>
      <c r="E12" s="257"/>
      <c r="F12" s="177">
        <v>4</v>
      </c>
      <c r="G12" s="177">
        <v>0</v>
      </c>
      <c r="H12" s="177">
        <f aca="true" t="shared" si="0" ref="H12:H17">F12*G12</f>
        <v>0</v>
      </c>
      <c r="I12" s="177">
        <v>0</v>
      </c>
      <c r="J12" s="177">
        <f aca="true" t="shared" si="1" ref="J12:J17">H12*I12</f>
        <v>0</v>
      </c>
      <c r="K12" s="179">
        <f aca="true" t="shared" si="2" ref="K12:K17">0.05*J12</f>
        <v>0</v>
      </c>
      <c r="L12" s="179">
        <f aca="true" t="shared" si="3" ref="L12:L17">0.1*J12</f>
        <v>0</v>
      </c>
      <c r="M12" s="180">
        <f>(J12*Assumptions!$B$20)+(K12*Assumptions!$B$21)+(L12*Assumptions!$B$22)</f>
        <v>0</v>
      </c>
      <c r="N12" s="180"/>
      <c r="O12" s="181" t="s">
        <v>28</v>
      </c>
      <c r="S12" s="174">
        <f>SUM(J12:L12)</f>
        <v>0</v>
      </c>
    </row>
    <row r="13" spans="1:19" ht="13.5">
      <c r="A13" s="176" t="s">
        <v>37</v>
      </c>
      <c r="B13" s="182"/>
      <c r="C13" s="182" t="s">
        <v>99</v>
      </c>
      <c r="D13" s="258" t="s">
        <v>40</v>
      </c>
      <c r="E13" s="259"/>
      <c r="F13" s="177">
        <v>4</v>
      </c>
      <c r="G13" s="177">
        <v>0</v>
      </c>
      <c r="H13" s="177">
        <f t="shared" si="0"/>
        <v>0</v>
      </c>
      <c r="I13" s="177">
        <v>0</v>
      </c>
      <c r="J13" s="177">
        <f t="shared" si="1"/>
        <v>0</v>
      </c>
      <c r="K13" s="179">
        <f t="shared" si="2"/>
        <v>0</v>
      </c>
      <c r="L13" s="179">
        <f t="shared" si="3"/>
        <v>0</v>
      </c>
      <c r="M13" s="180">
        <f>(J13*Assumptions!$B$20)+(K13*Assumptions!$B$21)+(L13*Assumptions!$B$22)</f>
        <v>0</v>
      </c>
      <c r="N13" s="180"/>
      <c r="O13" s="181" t="s">
        <v>28</v>
      </c>
      <c r="S13" s="174">
        <f>SUM(J13:L13)</f>
        <v>0</v>
      </c>
    </row>
    <row r="14" spans="1:19" ht="13.5">
      <c r="A14" s="176"/>
      <c r="B14" s="182"/>
      <c r="C14" s="182" t="s">
        <v>100</v>
      </c>
      <c r="D14" s="256" t="s">
        <v>41</v>
      </c>
      <c r="E14" s="257"/>
      <c r="F14" s="177">
        <v>4</v>
      </c>
      <c r="G14" s="177">
        <v>0</v>
      </c>
      <c r="H14" s="177">
        <f t="shared" si="0"/>
        <v>0</v>
      </c>
      <c r="I14" s="177">
        <v>0</v>
      </c>
      <c r="J14" s="177">
        <f t="shared" si="1"/>
        <v>0</v>
      </c>
      <c r="K14" s="179">
        <f t="shared" si="2"/>
        <v>0</v>
      </c>
      <c r="L14" s="179">
        <f t="shared" si="3"/>
        <v>0</v>
      </c>
      <c r="M14" s="180">
        <f>(J14*Assumptions!$B$20)+(K14*Assumptions!$B$21)+(L14*Assumptions!$B$22)</f>
        <v>0</v>
      </c>
      <c r="N14" s="180"/>
      <c r="O14" s="181" t="s">
        <v>28</v>
      </c>
      <c r="S14" s="174">
        <f>SUM(J14:L14)</f>
        <v>0</v>
      </c>
    </row>
    <row r="15" spans="1:15" ht="13.5">
      <c r="A15" s="176"/>
      <c r="B15" s="182" t="s">
        <v>6</v>
      </c>
      <c r="C15" s="182" t="s">
        <v>42</v>
      </c>
      <c r="D15" s="185"/>
      <c r="E15" s="186"/>
      <c r="F15" s="177">
        <v>4</v>
      </c>
      <c r="G15" s="177">
        <v>0</v>
      </c>
      <c r="H15" s="177">
        <f t="shared" si="0"/>
        <v>0</v>
      </c>
      <c r="I15" s="177">
        <v>0</v>
      </c>
      <c r="J15" s="177">
        <f t="shared" si="1"/>
        <v>0</v>
      </c>
      <c r="K15" s="179">
        <f t="shared" si="2"/>
        <v>0</v>
      </c>
      <c r="L15" s="179">
        <f t="shared" si="3"/>
        <v>0</v>
      </c>
      <c r="M15" s="180">
        <f>(J15*Assumptions!$B$20)+(K15*Assumptions!$B$21)+(L15*Assumptions!$B$22)</f>
        <v>0</v>
      </c>
      <c r="N15" s="180"/>
      <c r="O15" s="181" t="s">
        <v>29</v>
      </c>
    </row>
    <row r="16" spans="1:15" ht="13.5">
      <c r="A16" s="176"/>
      <c r="B16" s="182" t="s">
        <v>7</v>
      </c>
      <c r="C16" s="182" t="s">
        <v>63</v>
      </c>
      <c r="D16" s="185"/>
      <c r="E16" s="186"/>
      <c r="F16" s="177">
        <v>2</v>
      </c>
      <c r="G16" s="177">
        <v>1</v>
      </c>
      <c r="H16" s="177">
        <f t="shared" si="0"/>
        <v>2</v>
      </c>
      <c r="I16" s="177">
        <f>+I6</f>
        <v>0</v>
      </c>
      <c r="J16" s="177">
        <f t="shared" si="1"/>
        <v>0</v>
      </c>
      <c r="K16" s="179">
        <f t="shared" si="2"/>
        <v>0</v>
      </c>
      <c r="L16" s="179">
        <f t="shared" si="3"/>
        <v>0</v>
      </c>
      <c r="M16" s="180">
        <f>(J16*Assumptions!$B$20)+(K16*Assumptions!$B$21)+(L16*Assumptions!$B$22)</f>
        <v>0</v>
      </c>
      <c r="N16" s="180"/>
      <c r="O16" s="181" t="s">
        <v>122</v>
      </c>
    </row>
    <row r="17" spans="1:19" ht="13.5">
      <c r="A17" s="176"/>
      <c r="B17" s="182" t="s">
        <v>8</v>
      </c>
      <c r="C17" s="182" t="s">
        <v>21</v>
      </c>
      <c r="D17" s="185"/>
      <c r="E17" s="186"/>
      <c r="F17" s="177">
        <v>4</v>
      </c>
      <c r="G17" s="177">
        <v>1</v>
      </c>
      <c r="H17" s="177">
        <f t="shared" si="0"/>
        <v>4</v>
      </c>
      <c r="I17" s="177">
        <v>26</v>
      </c>
      <c r="J17" s="177">
        <f t="shared" si="1"/>
        <v>104</v>
      </c>
      <c r="K17" s="179">
        <f t="shared" si="2"/>
        <v>5.2</v>
      </c>
      <c r="L17" s="179">
        <f t="shared" si="3"/>
        <v>10.4</v>
      </c>
      <c r="M17" s="180">
        <f>(J17*Assumptions!$B$20)+(K17*Assumptions!$B$21)+(L17*Assumptions!$B$22)</f>
        <v>8828.476800000002</v>
      </c>
      <c r="N17" s="180">
        <f>Assumptions!$B$14*I17*G17</f>
        <v>195</v>
      </c>
      <c r="O17" s="181" t="s">
        <v>206</v>
      </c>
      <c r="S17" s="174">
        <f>SUM(J17:L17)</f>
        <v>119.60000000000001</v>
      </c>
    </row>
    <row r="18" spans="1:15" ht="13.5">
      <c r="A18" s="176" t="s">
        <v>3</v>
      </c>
      <c r="B18" s="182" t="s">
        <v>80</v>
      </c>
      <c r="C18" s="182"/>
      <c r="D18" s="187"/>
      <c r="E18" s="185"/>
      <c r="F18" s="177"/>
      <c r="G18" s="177"/>
      <c r="H18" s="177"/>
      <c r="I18" s="177"/>
      <c r="J18" s="177"/>
      <c r="K18" s="179"/>
      <c r="L18" s="179"/>
      <c r="M18" s="180"/>
      <c r="N18" s="180"/>
      <c r="O18" s="181"/>
    </row>
    <row r="19" spans="1:15" ht="13.5">
      <c r="A19" s="176"/>
      <c r="B19" s="182" t="s">
        <v>4</v>
      </c>
      <c r="C19" s="182" t="s">
        <v>192</v>
      </c>
      <c r="D19" s="187"/>
      <c r="E19" s="185"/>
      <c r="F19" s="177">
        <v>4</v>
      </c>
      <c r="G19" s="177">
        <v>1</v>
      </c>
      <c r="H19" s="177">
        <f>F19*G19</f>
        <v>4</v>
      </c>
      <c r="I19" s="177">
        <v>26</v>
      </c>
      <c r="J19" s="177">
        <f>I19*H19</f>
        <v>104</v>
      </c>
      <c r="K19" s="179">
        <f>0.05*J19</f>
        <v>5.2</v>
      </c>
      <c r="L19" s="179">
        <f>0.1*J19</f>
        <v>10.4</v>
      </c>
      <c r="M19" s="180">
        <f>(J19*Assumptions!$B$20)+(K19*Assumptions!$B$21)+(L19*Assumptions!$B$22)</f>
        <v>8828.476800000002</v>
      </c>
      <c r="N19" s="180"/>
      <c r="O19" s="181" t="s">
        <v>23</v>
      </c>
    </row>
    <row r="20" spans="1:15" ht="13.5">
      <c r="A20" s="176"/>
      <c r="B20" s="182" t="s">
        <v>5</v>
      </c>
      <c r="C20" s="182" t="s">
        <v>196</v>
      </c>
      <c r="D20" s="187"/>
      <c r="E20" s="185"/>
      <c r="F20" s="177">
        <v>4</v>
      </c>
      <c r="G20" s="177">
        <v>1</v>
      </c>
      <c r="H20" s="177">
        <f>F20*G20</f>
        <v>4</v>
      </c>
      <c r="I20" s="177">
        <v>26</v>
      </c>
      <c r="J20" s="177">
        <f>I20*H20</f>
        <v>104</v>
      </c>
      <c r="K20" s="179">
        <f>0.05*J20</f>
        <v>5.2</v>
      </c>
      <c r="L20" s="179">
        <f>0.1*J20</f>
        <v>10.4</v>
      </c>
      <c r="M20" s="180">
        <f>(J20*Assumptions!$B$20)+(K20*Assumptions!$B$21)+(L20*Assumptions!$B$22)</f>
        <v>8828.476800000002</v>
      </c>
      <c r="N20" s="180"/>
      <c r="O20" s="181" t="s">
        <v>207</v>
      </c>
    </row>
    <row r="21" spans="1:15" ht="13.5">
      <c r="A21" s="176"/>
      <c r="B21" s="182" t="s">
        <v>6</v>
      </c>
      <c r="C21" s="182" t="s">
        <v>81</v>
      </c>
      <c r="D21" s="187"/>
      <c r="E21" s="185"/>
      <c r="F21" s="177"/>
      <c r="G21" s="177"/>
      <c r="H21" s="177"/>
      <c r="I21" s="177"/>
      <c r="J21" s="177"/>
      <c r="K21" s="179"/>
      <c r="L21" s="179"/>
      <c r="M21" s="180"/>
      <c r="N21" s="180"/>
      <c r="O21" s="181"/>
    </row>
    <row r="22" spans="1:15" ht="13.5">
      <c r="A22" s="176"/>
      <c r="B22" s="182"/>
      <c r="C22" s="182" t="s">
        <v>98</v>
      </c>
      <c r="D22" s="188" t="s">
        <v>83</v>
      </c>
      <c r="E22" s="185"/>
      <c r="F22" s="177">
        <v>1</v>
      </c>
      <c r="G22" s="177">
        <v>1</v>
      </c>
      <c r="H22" s="177">
        <f>F22*G22</f>
        <v>1</v>
      </c>
      <c r="I22" s="177">
        <f>+I6</f>
        <v>0</v>
      </c>
      <c r="J22" s="177">
        <f>I22*H22</f>
        <v>0</v>
      </c>
      <c r="K22" s="179">
        <f>0.05*J22</f>
        <v>0</v>
      </c>
      <c r="L22" s="179">
        <f>0.1*J22</f>
        <v>0</v>
      </c>
      <c r="M22" s="180">
        <f>(J22*Assumptions!$B$20)+(K22*Assumptions!$B$21)+(L22*Assumptions!$B$22)</f>
        <v>0</v>
      </c>
      <c r="N22" s="180"/>
      <c r="O22" s="181" t="s">
        <v>24</v>
      </c>
    </row>
    <row r="23" spans="1:15" ht="13.5">
      <c r="A23" s="176"/>
      <c r="B23" s="182"/>
      <c r="C23" s="182" t="s">
        <v>99</v>
      </c>
      <c r="D23" s="188" t="s">
        <v>191</v>
      </c>
      <c r="E23" s="185"/>
      <c r="F23" s="189">
        <v>0.5</v>
      </c>
      <c r="G23" s="177">
        <v>52</v>
      </c>
      <c r="H23" s="177">
        <f>F23*G23</f>
        <v>26</v>
      </c>
      <c r="I23" s="177">
        <v>26</v>
      </c>
      <c r="J23" s="177">
        <f>I23*H23</f>
        <v>676</v>
      </c>
      <c r="K23" s="179">
        <f>0.05*J23</f>
        <v>33.800000000000004</v>
      </c>
      <c r="L23" s="179">
        <f>0.1*J23</f>
        <v>67.60000000000001</v>
      </c>
      <c r="M23" s="180">
        <f>(J23*Assumptions!$B$20)+(K23*Assumptions!$B$21)+(L23*Assumptions!$B$22)</f>
        <v>57385.09920000002</v>
      </c>
      <c r="N23" s="180"/>
      <c r="O23" s="181"/>
    </row>
    <row r="24" spans="1:15" ht="27.75" customHeight="1">
      <c r="A24" s="176"/>
      <c r="B24" s="182"/>
      <c r="C24" s="182" t="s">
        <v>100</v>
      </c>
      <c r="D24" s="266" t="s">
        <v>195</v>
      </c>
      <c r="E24" s="267"/>
      <c r="F24" s="177">
        <v>1</v>
      </c>
      <c r="G24" s="177">
        <v>12</v>
      </c>
      <c r="H24" s="177">
        <f>F24*G24</f>
        <v>12</v>
      </c>
      <c r="I24" s="177">
        <v>26</v>
      </c>
      <c r="J24" s="177">
        <f>I24*H24</f>
        <v>312</v>
      </c>
      <c r="K24" s="179">
        <f>0.05*J24</f>
        <v>15.600000000000001</v>
      </c>
      <c r="L24" s="179">
        <f>0.1*J24</f>
        <v>31.200000000000003</v>
      </c>
      <c r="M24" s="180">
        <f>(J24*Assumptions!$B$20)+(K24*Assumptions!$B$21)+(L24*Assumptions!$B$22)</f>
        <v>26485.43040000001</v>
      </c>
      <c r="N24" s="180"/>
      <c r="O24" s="181" t="s">
        <v>25</v>
      </c>
    </row>
    <row r="25" spans="1:15" ht="13.5">
      <c r="A25" s="176"/>
      <c r="B25" s="182"/>
      <c r="C25" s="182" t="s">
        <v>193</v>
      </c>
      <c r="D25" s="266" t="s">
        <v>194</v>
      </c>
      <c r="E25" s="267"/>
      <c r="F25" s="177">
        <v>1</v>
      </c>
      <c r="G25" s="177">
        <v>12</v>
      </c>
      <c r="H25" s="177">
        <f>F25*G25</f>
        <v>12</v>
      </c>
      <c r="I25" s="177">
        <v>26</v>
      </c>
      <c r="J25" s="177">
        <f>I25*H25</f>
        <v>312</v>
      </c>
      <c r="K25" s="179">
        <f>0.05*J25</f>
        <v>15.600000000000001</v>
      </c>
      <c r="L25" s="179">
        <f>0.1*J25</f>
        <v>31.200000000000003</v>
      </c>
      <c r="M25" s="180">
        <f>(J25*Assumptions!$B$20)+(K25*Assumptions!$B$21)+(L25*Assumptions!$B$22)</f>
        <v>26485.43040000001</v>
      </c>
      <c r="N25" s="180"/>
      <c r="O25" s="181" t="s">
        <v>25</v>
      </c>
    </row>
    <row r="26" spans="1:15" ht="13.5">
      <c r="A26" s="176"/>
      <c r="B26" s="182" t="s">
        <v>7</v>
      </c>
      <c r="C26" s="182" t="s">
        <v>82</v>
      </c>
      <c r="D26" s="188"/>
      <c r="E26" s="185"/>
      <c r="F26" s="177">
        <v>4</v>
      </c>
      <c r="G26" s="177">
        <v>1</v>
      </c>
      <c r="H26" s="177">
        <f>F26*G26</f>
        <v>4</v>
      </c>
      <c r="I26" s="177">
        <v>26</v>
      </c>
      <c r="J26" s="177">
        <f>I26*H26</f>
        <v>104</v>
      </c>
      <c r="K26" s="179">
        <f>0.05*J26</f>
        <v>5.2</v>
      </c>
      <c r="L26" s="179">
        <f>0.1*J26</f>
        <v>10.4</v>
      </c>
      <c r="M26" s="180">
        <f>(J26*Assumptions!$B$20)+(K26*Assumptions!$B$21)+(L26*Assumptions!$B$22)</f>
        <v>8828.476800000002</v>
      </c>
      <c r="N26" s="180"/>
      <c r="O26" s="181"/>
    </row>
    <row r="27" spans="1:15" ht="13.5">
      <c r="A27" s="176" t="s">
        <v>9</v>
      </c>
      <c r="B27" s="182" t="s">
        <v>14</v>
      </c>
      <c r="C27" s="182"/>
      <c r="D27" s="190"/>
      <c r="E27" s="186"/>
      <c r="F27" s="177"/>
      <c r="G27" s="177"/>
      <c r="H27" s="177"/>
      <c r="I27" s="177"/>
      <c r="J27" s="177"/>
      <c r="K27" s="179"/>
      <c r="L27" s="179"/>
      <c r="M27" s="180"/>
      <c r="N27" s="180"/>
      <c r="O27" s="191"/>
    </row>
    <row r="28" spans="1:15" ht="13.5">
      <c r="A28" s="176"/>
      <c r="B28" s="182" t="s">
        <v>4</v>
      </c>
      <c r="C28" s="182" t="s">
        <v>86</v>
      </c>
      <c r="D28" s="190"/>
      <c r="E28" s="186"/>
      <c r="F28" s="177">
        <v>4</v>
      </c>
      <c r="G28" s="177">
        <v>2</v>
      </c>
      <c r="H28" s="177">
        <f>F28*G28</f>
        <v>8</v>
      </c>
      <c r="I28" s="177">
        <v>26</v>
      </c>
      <c r="J28" s="177">
        <f>I28*H28</f>
        <v>208</v>
      </c>
      <c r="K28" s="179">
        <f>0.05*J28</f>
        <v>10.4</v>
      </c>
      <c r="L28" s="179">
        <f>0.1*J28</f>
        <v>20.8</v>
      </c>
      <c r="M28" s="180">
        <f>(J28*Assumptions!$B$20)+(K28*Assumptions!$B$21)+(L28*Assumptions!$B$22)</f>
        <v>17656.953600000004</v>
      </c>
      <c r="N28" s="180"/>
      <c r="O28" s="191"/>
    </row>
    <row r="29" spans="1:15" ht="13.5">
      <c r="A29" s="176"/>
      <c r="B29" s="182" t="s">
        <v>5</v>
      </c>
      <c r="C29" s="182" t="s">
        <v>68</v>
      </c>
      <c r="D29" s="192"/>
      <c r="E29" s="186"/>
      <c r="F29" s="177">
        <v>4</v>
      </c>
      <c r="G29" s="177">
        <v>2</v>
      </c>
      <c r="H29" s="177">
        <f>F29*G29</f>
        <v>8</v>
      </c>
      <c r="I29" s="177">
        <v>26</v>
      </c>
      <c r="J29" s="177">
        <f>I29*H29</f>
        <v>208</v>
      </c>
      <c r="K29" s="179">
        <f>0.05*J29</f>
        <v>10.4</v>
      </c>
      <c r="L29" s="179">
        <f>0.1*J29</f>
        <v>20.8</v>
      </c>
      <c r="M29" s="180">
        <f>(J29*Assumptions!$B$20)+(K29*Assumptions!$B$21)+(L29*Assumptions!$B$22)</f>
        <v>17656.953600000004</v>
      </c>
      <c r="N29" s="180">
        <f>Assumptions!$B$14*I29*G29</f>
        <v>390</v>
      </c>
      <c r="O29" s="191" t="s">
        <v>59</v>
      </c>
    </row>
    <row r="30" spans="1:15" ht="13.5">
      <c r="A30" s="176" t="s">
        <v>18</v>
      </c>
      <c r="B30" s="193" t="s">
        <v>85</v>
      </c>
      <c r="C30" s="182"/>
      <c r="D30" s="193"/>
      <c r="E30" s="185"/>
      <c r="F30" s="177">
        <v>4</v>
      </c>
      <c r="G30" s="177">
        <v>1</v>
      </c>
      <c r="H30" s="177">
        <f>F30*G30</f>
        <v>4</v>
      </c>
      <c r="I30" s="177">
        <v>26</v>
      </c>
      <c r="J30" s="177">
        <f>I30*H30</f>
        <v>104</v>
      </c>
      <c r="K30" s="179">
        <f>0.05*J30</f>
        <v>5.2</v>
      </c>
      <c r="L30" s="179">
        <f>0.1*J30</f>
        <v>10.4</v>
      </c>
      <c r="M30" s="180">
        <f>(J30*Assumptions!$B$20)+(K30*Assumptions!$B$21)+(L30*Assumptions!$B$22)</f>
        <v>8828.476800000002</v>
      </c>
      <c r="N30" s="180"/>
      <c r="O30" s="181" t="s">
        <v>225</v>
      </c>
    </row>
    <row r="31" spans="1:15" ht="13.5">
      <c r="A31" s="176" t="s">
        <v>20</v>
      </c>
      <c r="B31" s="193" t="s">
        <v>84</v>
      </c>
      <c r="C31" s="182"/>
      <c r="D31" s="193"/>
      <c r="E31" s="185"/>
      <c r="F31" s="177">
        <v>0</v>
      </c>
      <c r="G31" s="177">
        <v>0</v>
      </c>
      <c r="H31" s="177">
        <f>F31*G31</f>
        <v>0</v>
      </c>
      <c r="I31" s="177">
        <v>26</v>
      </c>
      <c r="J31" s="177">
        <f>H31*I31</f>
        <v>0</v>
      </c>
      <c r="K31" s="179">
        <f>0.05*J31</f>
        <v>0</v>
      </c>
      <c r="L31" s="179">
        <f>0.1*J31</f>
        <v>0</v>
      </c>
      <c r="M31" s="180">
        <f>(J31*Assumptions!$B$20)+(K31*Assumptions!$B$21)+(L31*Assumptions!$B$22)</f>
        <v>0</v>
      </c>
      <c r="N31" s="180"/>
      <c r="O31" s="181" t="s">
        <v>79</v>
      </c>
    </row>
    <row r="32" spans="1:18" ht="13.5">
      <c r="A32" s="194"/>
      <c r="B32" s="195" t="s">
        <v>46</v>
      </c>
      <c r="C32" s="195"/>
      <c r="D32" s="196"/>
      <c r="E32" s="196"/>
      <c r="F32" s="197"/>
      <c r="G32" s="197"/>
      <c r="H32" s="198"/>
      <c r="I32" s="198"/>
      <c r="J32" s="199">
        <f>SUM(J4:J31)</f>
        <v>2548</v>
      </c>
      <c r="K32" s="200">
        <f>SUM(K4:K31)</f>
        <v>127.4</v>
      </c>
      <c r="L32" s="200">
        <f>SUM(L4:L31)</f>
        <v>254.8</v>
      </c>
      <c r="M32" s="201">
        <f>SUM(M4:M31)</f>
        <v>216297.68160000007</v>
      </c>
      <c r="N32" s="201">
        <f>SUM(N4:N31)</f>
        <v>780</v>
      </c>
      <c r="O32" s="202"/>
      <c r="R32" s="172">
        <f>+N29+N17+N16+N10</f>
        <v>780</v>
      </c>
    </row>
    <row r="33" spans="1:15" ht="27">
      <c r="A33" s="203"/>
      <c r="B33" s="204"/>
      <c r="C33" s="204"/>
      <c r="D33" s="205"/>
      <c r="E33" s="205"/>
      <c r="F33" s="206"/>
      <c r="G33" s="207"/>
      <c r="H33" s="208" t="s">
        <v>33</v>
      </c>
      <c r="I33" s="208" t="s">
        <v>48</v>
      </c>
      <c r="J33" s="208" t="s">
        <v>49</v>
      </c>
      <c r="K33" s="208" t="s">
        <v>50</v>
      </c>
      <c r="L33" s="209"/>
      <c r="M33" s="210"/>
      <c r="N33" s="210"/>
      <c r="O33" s="211"/>
    </row>
    <row r="34" spans="1:15" ht="13.5">
      <c r="A34" s="203"/>
      <c r="B34" s="204"/>
      <c r="C34" s="204"/>
      <c r="D34" s="205"/>
      <c r="E34" s="205"/>
      <c r="F34" s="212" t="s">
        <v>47</v>
      </c>
      <c r="G34" s="207"/>
      <c r="H34" s="208">
        <f>SUM(J32:L32)</f>
        <v>2930.2000000000003</v>
      </c>
      <c r="I34" s="213">
        <f>M32</f>
        <v>216297.68160000007</v>
      </c>
      <c r="J34" s="213">
        <f>N32</f>
        <v>780</v>
      </c>
      <c r="K34" s="213">
        <f>SUM(I34:J34)</f>
        <v>217077.68160000007</v>
      </c>
      <c r="L34" s="209"/>
      <c r="M34" s="210"/>
      <c r="N34" s="210"/>
      <c r="O34" s="211"/>
    </row>
    <row r="35" spans="1:15" ht="13.5">
      <c r="A35" s="203"/>
      <c r="B35" s="204"/>
      <c r="C35" s="204"/>
      <c r="D35" s="205"/>
      <c r="E35" s="205"/>
      <c r="F35" s="212" t="s">
        <v>51</v>
      </c>
      <c r="G35" s="207"/>
      <c r="H35" s="208">
        <v>0</v>
      </c>
      <c r="I35" s="214">
        <v>0</v>
      </c>
      <c r="J35" s="214">
        <v>0</v>
      </c>
      <c r="K35" s="213">
        <f>SUM(I35:J35)</f>
        <v>0</v>
      </c>
      <c r="L35" s="209"/>
      <c r="M35" s="210"/>
      <c r="N35" s="210"/>
      <c r="O35" s="211"/>
    </row>
    <row r="36" spans="1:15" ht="16.5" customHeight="1" thickBot="1">
      <c r="A36" s="215"/>
      <c r="B36" s="216"/>
      <c r="C36" s="216"/>
      <c r="D36" s="217"/>
      <c r="E36" s="217"/>
      <c r="F36" s="218" t="s">
        <v>52</v>
      </c>
      <c r="G36" s="219"/>
      <c r="H36" s="171">
        <v>0</v>
      </c>
      <c r="I36" s="214">
        <v>0</v>
      </c>
      <c r="J36" s="214">
        <f>SUM(J34:J35)</f>
        <v>780</v>
      </c>
      <c r="K36" s="220">
        <f>SUM(I36:J36)</f>
        <v>780</v>
      </c>
      <c r="L36" s="221"/>
      <c r="M36" s="222"/>
      <c r="N36" s="222"/>
      <c r="O36" s="223"/>
    </row>
    <row r="37" spans="1:15" ht="15.75">
      <c r="A37" s="224" t="s">
        <v>22</v>
      </c>
      <c r="B37" s="235" t="s">
        <v>198</v>
      </c>
      <c r="C37" s="235"/>
      <c r="D37" s="235"/>
      <c r="E37" s="235"/>
      <c r="F37" s="235"/>
      <c r="G37" s="235"/>
      <c r="H37" s="235"/>
      <c r="I37" s="235"/>
      <c r="J37" s="235"/>
      <c r="K37" s="235"/>
      <c r="L37" s="235"/>
      <c r="M37" s="235"/>
      <c r="N37" s="235"/>
      <c r="O37" s="235"/>
    </row>
    <row r="38" spans="1:8" ht="15.75">
      <c r="A38" s="224" t="s">
        <v>23</v>
      </c>
      <c r="B38" s="172" t="s">
        <v>103</v>
      </c>
      <c r="F38" s="172"/>
      <c r="G38" s="172"/>
      <c r="H38" s="172"/>
    </row>
    <row r="39" spans="1:15" ht="27.75" customHeight="1">
      <c r="A39" s="224" t="s">
        <v>24</v>
      </c>
      <c r="B39" s="236" t="s">
        <v>200</v>
      </c>
      <c r="C39" s="230"/>
      <c r="D39" s="230"/>
      <c r="E39" s="230"/>
      <c r="F39" s="230"/>
      <c r="G39" s="230"/>
      <c r="H39" s="230"/>
      <c r="I39" s="230"/>
      <c r="J39" s="230"/>
      <c r="K39" s="230"/>
      <c r="L39" s="230"/>
      <c r="M39" s="230"/>
      <c r="N39" s="230"/>
      <c r="O39" s="230"/>
    </row>
    <row r="40" spans="1:15" ht="15.75">
      <c r="A40" s="224" t="s">
        <v>25</v>
      </c>
      <c r="B40" s="232" t="s">
        <v>205</v>
      </c>
      <c r="C40" s="252"/>
      <c r="D40" s="252"/>
      <c r="E40" s="252"/>
      <c r="F40" s="252"/>
      <c r="G40" s="252"/>
      <c r="H40" s="252"/>
      <c r="I40" s="252"/>
      <c r="J40" s="252"/>
      <c r="K40" s="252"/>
      <c r="L40" s="252"/>
      <c r="M40" s="252"/>
      <c r="N40" s="252"/>
      <c r="O40" s="252"/>
    </row>
    <row r="41" spans="1:15" ht="27.75" customHeight="1">
      <c r="A41" s="224" t="s">
        <v>26</v>
      </c>
      <c r="B41" s="231" t="s">
        <v>94</v>
      </c>
      <c r="C41" s="231"/>
      <c r="D41" s="231"/>
      <c r="E41" s="231"/>
      <c r="F41" s="231"/>
      <c r="G41" s="231"/>
      <c r="H41" s="231"/>
      <c r="I41" s="231"/>
      <c r="J41" s="231"/>
      <c r="K41" s="231"/>
      <c r="L41" s="231"/>
      <c r="M41" s="231"/>
      <c r="N41" s="231"/>
      <c r="O41" s="231"/>
    </row>
    <row r="42" spans="1:8" ht="15.75">
      <c r="A42" s="224" t="s">
        <v>27</v>
      </c>
      <c r="B42" s="172" t="s">
        <v>95</v>
      </c>
      <c r="F42" s="172"/>
      <c r="G42" s="172"/>
      <c r="H42" s="172"/>
    </row>
    <row r="43" spans="1:8" ht="15.75">
      <c r="A43" s="224" t="s">
        <v>28</v>
      </c>
      <c r="B43" s="172" t="s">
        <v>97</v>
      </c>
      <c r="F43" s="172"/>
      <c r="G43" s="172"/>
      <c r="H43" s="172"/>
    </row>
    <row r="44" spans="1:8" ht="15.75">
      <c r="A44" s="224" t="s">
        <v>29</v>
      </c>
      <c r="B44" s="172" t="s">
        <v>90</v>
      </c>
      <c r="F44" s="172"/>
      <c r="G44" s="172"/>
      <c r="H44" s="172"/>
    </row>
    <row r="45" spans="1:8" ht="15.75">
      <c r="A45" s="224" t="s">
        <v>59</v>
      </c>
      <c r="B45" s="172" t="s">
        <v>102</v>
      </c>
      <c r="F45" s="172"/>
      <c r="G45" s="172"/>
      <c r="H45" s="172"/>
    </row>
    <row r="46" spans="1:8" ht="15.75">
      <c r="A46" s="224" t="s">
        <v>78</v>
      </c>
      <c r="B46" s="172" t="s">
        <v>157</v>
      </c>
      <c r="F46" s="172"/>
      <c r="G46" s="172"/>
      <c r="H46" s="172"/>
    </row>
    <row r="47" spans="1:8" ht="15.75">
      <c r="A47" s="224" t="s">
        <v>79</v>
      </c>
      <c r="B47" s="172" t="s">
        <v>101</v>
      </c>
      <c r="F47" s="172"/>
      <c r="G47" s="172"/>
      <c r="H47" s="172"/>
    </row>
    <row r="48" spans="1:8" ht="15.75">
      <c r="A48" s="224"/>
      <c r="F48" s="172"/>
      <c r="G48" s="172"/>
      <c r="H48" s="172"/>
    </row>
    <row r="49" spans="1:8" ht="13.5">
      <c r="A49" s="227"/>
      <c r="F49" s="172"/>
      <c r="G49" s="172"/>
      <c r="H49" s="172"/>
    </row>
    <row r="50" spans="6:8" ht="13.5">
      <c r="F50" s="172"/>
      <c r="G50" s="172"/>
      <c r="H50" s="172"/>
    </row>
    <row r="51" spans="6:8" ht="13.5">
      <c r="F51" s="172"/>
      <c r="G51" s="172"/>
      <c r="H51" s="172"/>
    </row>
    <row r="52" spans="6:8" ht="13.5">
      <c r="F52" s="172"/>
      <c r="G52" s="172"/>
      <c r="H52" s="172"/>
    </row>
  </sheetData>
  <mergeCells count="21">
    <mergeCell ref="N2:N3"/>
    <mergeCell ref="D25:E25"/>
    <mergeCell ref="D24:E24"/>
    <mergeCell ref="D14:E14"/>
    <mergeCell ref="B4:E4"/>
    <mergeCell ref="B5:E5"/>
    <mergeCell ref="A2:E3"/>
    <mergeCell ref="A1:O1"/>
    <mergeCell ref="C11:E11"/>
    <mergeCell ref="D12:E12"/>
    <mergeCell ref="D13:E13"/>
    <mergeCell ref="C8:E8"/>
    <mergeCell ref="B9:E9"/>
    <mergeCell ref="O2:O3"/>
    <mergeCell ref="M2:M3"/>
    <mergeCell ref="C10:E10"/>
    <mergeCell ref="C6:E6"/>
    <mergeCell ref="B37:O37"/>
    <mergeCell ref="B39:O39"/>
    <mergeCell ref="B41:O41"/>
    <mergeCell ref="B40:O40"/>
  </mergeCells>
  <printOptions horizontalCentered="1"/>
  <pageMargins left="0.5" right="0.51" top="0.5" bottom="0.5" header="0.51" footer="0.5"/>
  <pageSetup fitToHeight="1" fitToWidth="1" horizontalDpi="600" verticalDpi="600" orientation="landscape" scale="56" r:id="rId1"/>
</worksheet>
</file>

<file path=xl/worksheets/sheet4.xml><?xml version="1.0" encoding="utf-8"?>
<worksheet xmlns="http://schemas.openxmlformats.org/spreadsheetml/2006/main" xmlns:r="http://schemas.openxmlformats.org/officeDocument/2006/relationships">
  <sheetPr>
    <pageSetUpPr fitToPage="1"/>
  </sheetPr>
  <dimension ref="A1:U52"/>
  <sheetViews>
    <sheetView zoomScale="75" zoomScaleNormal="75" workbookViewId="0" topLeftCell="A1">
      <selection activeCell="H28" sqref="H28"/>
    </sheetView>
  </sheetViews>
  <sheetFormatPr defaultColWidth="9.140625" defaultRowHeight="12.75"/>
  <cols>
    <col min="1" max="1" width="3.140625" style="78" customWidth="1"/>
    <col min="2" max="2" width="3.140625" style="25" customWidth="1"/>
    <col min="3" max="3" width="4.8515625" style="25" customWidth="1"/>
    <col min="4" max="4" width="7.8515625" style="25" customWidth="1"/>
    <col min="5" max="5" width="58.8515625" style="25" customWidth="1"/>
    <col min="6" max="6" width="16.00390625" style="74" customWidth="1"/>
    <col min="7" max="7" width="17.421875" style="74" customWidth="1"/>
    <col min="8" max="8" width="16.57421875" style="74" customWidth="1"/>
    <col min="9" max="9" width="14.421875" style="74" customWidth="1"/>
    <col min="10" max="10" width="15.7109375" style="74" customWidth="1"/>
    <col min="11" max="11" width="14.57421875" style="74" customWidth="1"/>
    <col min="12" max="12" width="12.57421875" style="74" customWidth="1"/>
    <col min="13" max="13" width="12.8515625" style="75" customWidth="1"/>
    <col min="14" max="14" width="14.421875" style="75" customWidth="1"/>
    <col min="15" max="15" width="12.421875" style="25" bestFit="1" customWidth="1"/>
    <col min="16" max="16" width="11.421875" style="25" customWidth="1"/>
    <col min="17" max="17" width="9.140625" style="25" customWidth="1"/>
    <col min="18" max="18" width="10.00390625" style="25" bestFit="1" customWidth="1"/>
    <col min="19" max="16384" width="9.140625" style="25" customWidth="1"/>
  </cols>
  <sheetData>
    <row r="1" spans="1:15" ht="32.25" customHeight="1" thickBot="1">
      <c r="A1" s="288" t="s">
        <v>204</v>
      </c>
      <c r="B1" s="288"/>
      <c r="C1" s="288"/>
      <c r="D1" s="288"/>
      <c r="E1" s="288"/>
      <c r="F1" s="288"/>
      <c r="G1" s="288"/>
      <c r="H1" s="288"/>
      <c r="I1" s="288"/>
      <c r="J1" s="288"/>
      <c r="K1" s="288"/>
      <c r="L1" s="288"/>
      <c r="M1" s="288"/>
      <c r="N1" s="288"/>
      <c r="O1" s="288"/>
    </row>
    <row r="2" spans="1:21" s="24" customFormat="1" ht="54">
      <c r="A2" s="282" t="s">
        <v>16</v>
      </c>
      <c r="B2" s="283"/>
      <c r="C2" s="283"/>
      <c r="D2" s="283"/>
      <c r="E2" s="284"/>
      <c r="F2" s="23" t="s">
        <v>110</v>
      </c>
      <c r="G2" s="23" t="s">
        <v>111</v>
      </c>
      <c r="H2" s="23" t="s">
        <v>109</v>
      </c>
      <c r="I2" s="23" t="s">
        <v>113</v>
      </c>
      <c r="J2" s="23" t="s">
        <v>114</v>
      </c>
      <c r="K2" s="23" t="s">
        <v>117</v>
      </c>
      <c r="L2" s="23" t="s">
        <v>119</v>
      </c>
      <c r="M2" s="274" t="s">
        <v>106</v>
      </c>
      <c r="N2" s="274" t="s">
        <v>57</v>
      </c>
      <c r="O2" s="293" t="s">
        <v>12</v>
      </c>
      <c r="R2" s="25"/>
      <c r="S2" s="25"/>
      <c r="T2" s="25"/>
      <c r="U2" s="25"/>
    </row>
    <row r="3" spans="1:21" s="24" customFormat="1" ht="14.25" thickBot="1">
      <c r="A3" s="285"/>
      <c r="B3" s="286"/>
      <c r="C3" s="286"/>
      <c r="D3" s="286"/>
      <c r="E3" s="287"/>
      <c r="F3" s="81" t="s">
        <v>107</v>
      </c>
      <c r="G3" s="81" t="s">
        <v>108</v>
      </c>
      <c r="H3" s="81" t="s">
        <v>120</v>
      </c>
      <c r="I3" s="81" t="s">
        <v>112</v>
      </c>
      <c r="J3" s="81" t="s">
        <v>115</v>
      </c>
      <c r="K3" s="81" t="s">
        <v>116</v>
      </c>
      <c r="L3" s="81" t="s">
        <v>118</v>
      </c>
      <c r="M3" s="275"/>
      <c r="N3" s="275"/>
      <c r="O3" s="294"/>
      <c r="R3" s="25"/>
      <c r="S3" s="25"/>
      <c r="T3" s="25"/>
      <c r="U3" s="25"/>
    </row>
    <row r="4" spans="1:15" ht="14.25" thickTop="1">
      <c r="A4" s="26" t="s">
        <v>0</v>
      </c>
      <c r="B4" s="280" t="s">
        <v>17</v>
      </c>
      <c r="C4" s="280"/>
      <c r="D4" s="280"/>
      <c r="E4" s="281"/>
      <c r="F4" s="28">
        <v>4</v>
      </c>
      <c r="G4" s="28">
        <v>1</v>
      </c>
      <c r="H4" s="28">
        <f>F4*G4</f>
        <v>4</v>
      </c>
      <c r="I4" s="120">
        <v>0</v>
      </c>
      <c r="J4" s="28">
        <f>H4*I4</f>
        <v>0</v>
      </c>
      <c r="K4" s="29">
        <f>0.05*J4</f>
        <v>0</v>
      </c>
      <c r="L4" s="29">
        <f>0.1*J4</f>
        <v>0</v>
      </c>
      <c r="M4" s="30">
        <f>(J4*Assumptions!$B$20)+(K4*Assumptions!$B$21)+(L4*Assumptions!$B$22)</f>
        <v>0</v>
      </c>
      <c r="N4" s="30"/>
      <c r="O4" s="31" t="s">
        <v>23</v>
      </c>
    </row>
    <row r="5" spans="1:15" ht="14.25" customHeight="1">
      <c r="A5" s="26" t="s">
        <v>1</v>
      </c>
      <c r="B5" s="280" t="s">
        <v>38</v>
      </c>
      <c r="C5" s="280"/>
      <c r="D5" s="280"/>
      <c r="E5" s="281"/>
      <c r="F5" s="28"/>
      <c r="G5" s="28"/>
      <c r="H5" s="28"/>
      <c r="I5" s="28"/>
      <c r="J5" s="28"/>
      <c r="K5" s="29"/>
      <c r="L5" s="29"/>
      <c r="M5" s="30"/>
      <c r="N5" s="30"/>
      <c r="O5" s="31"/>
    </row>
    <row r="6" spans="1:18" ht="13.5">
      <c r="A6" s="26"/>
      <c r="B6" s="27" t="s">
        <v>4</v>
      </c>
      <c r="C6" s="289" t="s">
        <v>93</v>
      </c>
      <c r="D6" s="289"/>
      <c r="E6" s="290"/>
      <c r="F6" s="28">
        <v>8</v>
      </c>
      <c r="G6" s="28">
        <v>1</v>
      </c>
      <c r="H6" s="28">
        <f>F6*G6</f>
        <v>8</v>
      </c>
      <c r="I6" s="120">
        <v>0</v>
      </c>
      <c r="J6" s="28">
        <f>I6*H6</f>
        <v>0</v>
      </c>
      <c r="K6" s="29">
        <f>0.05*J6</f>
        <v>0</v>
      </c>
      <c r="L6" s="29">
        <f>0.1*J6</f>
        <v>0</v>
      </c>
      <c r="M6" s="30">
        <f>(J6*Assumptions!$B$20)+(K6*Assumptions!$B$21)+(L6*Assumptions!$B$22)</f>
        <v>0</v>
      </c>
      <c r="N6" s="30"/>
      <c r="O6" s="31" t="s">
        <v>122</v>
      </c>
      <c r="P6" s="25">
        <f>+M6+N6</f>
        <v>0</v>
      </c>
      <c r="R6" s="25">
        <f>+N6/2</f>
        <v>0</v>
      </c>
    </row>
    <row r="7" spans="1:15" ht="13.5">
      <c r="A7" s="26"/>
      <c r="B7" s="27" t="s">
        <v>5</v>
      </c>
      <c r="C7" s="79" t="s">
        <v>190</v>
      </c>
      <c r="D7" s="79"/>
      <c r="E7" s="133"/>
      <c r="F7" s="28">
        <v>8</v>
      </c>
      <c r="G7" s="28">
        <v>1</v>
      </c>
      <c r="H7" s="28">
        <f>F7*G7</f>
        <v>8</v>
      </c>
      <c r="I7" s="120">
        <v>0</v>
      </c>
      <c r="J7" s="28">
        <f>I7*H7</f>
        <v>0</v>
      </c>
      <c r="K7" s="29">
        <f>0.05*J7</f>
        <v>0</v>
      </c>
      <c r="L7" s="29">
        <f>0.1*J7</f>
        <v>0</v>
      </c>
      <c r="M7" s="30">
        <f>(J7*Assumptions!$B$20)+(K7*Assumptions!$B$21)+(L7*Assumptions!$B$22)</f>
        <v>0</v>
      </c>
      <c r="N7" s="30"/>
      <c r="O7" s="31" t="s">
        <v>202</v>
      </c>
    </row>
    <row r="8" spans="1:15" ht="13.5">
      <c r="A8" s="26"/>
      <c r="B8" s="27" t="s">
        <v>6</v>
      </c>
      <c r="C8" s="289" t="s">
        <v>19</v>
      </c>
      <c r="D8" s="289"/>
      <c r="E8" s="290"/>
      <c r="F8" s="28">
        <v>0</v>
      </c>
      <c r="G8" s="28">
        <v>0</v>
      </c>
      <c r="H8" s="28">
        <f>F8*G8</f>
        <v>0</v>
      </c>
      <c r="I8" s="28">
        <v>26</v>
      </c>
      <c r="J8" s="28">
        <f>H8*I8</f>
        <v>0</v>
      </c>
      <c r="K8" s="29">
        <f>0.05*J8</f>
        <v>0</v>
      </c>
      <c r="L8" s="29">
        <f>0.1*J8</f>
        <v>0</v>
      </c>
      <c r="M8" s="30">
        <f>(J8*Assumptions!$B$20)+(K8*Assumptions!$B$21)+(L8*Assumptions!$B$22)</f>
        <v>0</v>
      </c>
      <c r="N8" s="30"/>
      <c r="O8" s="31" t="s">
        <v>201</v>
      </c>
    </row>
    <row r="9" spans="1:15" ht="13.5">
      <c r="A9" s="26" t="s">
        <v>2</v>
      </c>
      <c r="B9" s="289" t="s">
        <v>13</v>
      </c>
      <c r="C9" s="289"/>
      <c r="D9" s="289"/>
      <c r="E9" s="290"/>
      <c r="F9" s="28"/>
      <c r="G9" s="28"/>
      <c r="H9" s="28"/>
      <c r="I9" s="28"/>
      <c r="J9" s="28"/>
      <c r="K9" s="29"/>
      <c r="L9" s="29"/>
      <c r="M9" s="30"/>
      <c r="N9" s="30"/>
      <c r="O9" s="31"/>
    </row>
    <row r="10" spans="1:19" ht="27.75" customHeight="1">
      <c r="A10" s="26"/>
      <c r="B10" s="27" t="s">
        <v>4</v>
      </c>
      <c r="C10" s="280" t="s">
        <v>71</v>
      </c>
      <c r="D10" s="280"/>
      <c r="E10" s="281"/>
      <c r="F10" s="28">
        <v>4</v>
      </c>
      <c r="G10" s="28">
        <v>1</v>
      </c>
      <c r="H10" s="28">
        <f>F10*G10</f>
        <v>4</v>
      </c>
      <c r="I10" s="28">
        <v>0</v>
      </c>
      <c r="J10" s="28">
        <f>H10*I10</f>
        <v>0</v>
      </c>
      <c r="K10" s="29">
        <f>0.05*J10</f>
        <v>0</v>
      </c>
      <c r="L10" s="29">
        <f>0.1*J10</f>
        <v>0</v>
      </c>
      <c r="M10" s="30">
        <f>(J10*Assumptions!$B$20)+(K10*Assumptions!$B$21)+(L10*Assumptions!$B$22)</f>
        <v>0</v>
      </c>
      <c r="N10" s="30">
        <f>Assumptions!$B$14*I10*G10</f>
        <v>0</v>
      </c>
      <c r="O10" s="31" t="s">
        <v>203</v>
      </c>
      <c r="S10" s="24">
        <f>SUM(J10:L10)</f>
        <v>0</v>
      </c>
    </row>
    <row r="11" spans="1:15" ht="13.5">
      <c r="A11" s="26"/>
      <c r="B11" s="27" t="s">
        <v>5</v>
      </c>
      <c r="C11" s="289" t="s">
        <v>96</v>
      </c>
      <c r="D11" s="289"/>
      <c r="E11" s="290"/>
      <c r="F11" s="28"/>
      <c r="G11" s="28"/>
      <c r="H11" s="28"/>
      <c r="I11" s="28"/>
      <c r="J11" s="28"/>
      <c r="K11" s="29"/>
      <c r="L11" s="29"/>
      <c r="M11" s="30"/>
      <c r="N11" s="30"/>
      <c r="O11" s="31"/>
    </row>
    <row r="12" spans="1:19" ht="13.5">
      <c r="A12" s="26"/>
      <c r="B12" s="27"/>
      <c r="C12" s="27" t="s">
        <v>98</v>
      </c>
      <c r="D12" s="278" t="s">
        <v>39</v>
      </c>
      <c r="E12" s="279"/>
      <c r="F12" s="28">
        <v>4</v>
      </c>
      <c r="G12" s="28">
        <v>0</v>
      </c>
      <c r="H12" s="28">
        <f aca="true" t="shared" si="0" ref="H12:H17">F12*G12</f>
        <v>0</v>
      </c>
      <c r="I12" s="28">
        <v>0</v>
      </c>
      <c r="J12" s="28">
        <f aca="true" t="shared" si="1" ref="J12:J17">H12*I12</f>
        <v>0</v>
      </c>
      <c r="K12" s="29">
        <f aca="true" t="shared" si="2" ref="K12:K17">0.05*J12</f>
        <v>0</v>
      </c>
      <c r="L12" s="29">
        <f aca="true" t="shared" si="3" ref="L12:L17">0.1*J12</f>
        <v>0</v>
      </c>
      <c r="M12" s="30">
        <f>(J12*Assumptions!$B$20)+(K12*Assumptions!$B$21)+(L12*Assumptions!$B$22)</f>
        <v>0</v>
      </c>
      <c r="N12" s="30"/>
      <c r="O12" s="31" t="s">
        <v>28</v>
      </c>
      <c r="S12" s="24">
        <f>SUM(J12:L12)</f>
        <v>0</v>
      </c>
    </row>
    <row r="13" spans="1:19" ht="13.5">
      <c r="A13" s="26" t="s">
        <v>37</v>
      </c>
      <c r="B13" s="27"/>
      <c r="C13" s="27" t="s">
        <v>99</v>
      </c>
      <c r="D13" s="291" t="s">
        <v>40</v>
      </c>
      <c r="E13" s="292"/>
      <c r="F13" s="28">
        <v>4</v>
      </c>
      <c r="G13" s="28">
        <v>0</v>
      </c>
      <c r="H13" s="28">
        <f t="shared" si="0"/>
        <v>0</v>
      </c>
      <c r="I13" s="28">
        <v>0</v>
      </c>
      <c r="J13" s="28">
        <f t="shared" si="1"/>
        <v>0</v>
      </c>
      <c r="K13" s="29">
        <f t="shared" si="2"/>
        <v>0</v>
      </c>
      <c r="L13" s="29">
        <f t="shared" si="3"/>
        <v>0</v>
      </c>
      <c r="M13" s="30">
        <f>(J13*Assumptions!$B$20)+(K13*Assumptions!$B$21)+(L13*Assumptions!$B$22)</f>
        <v>0</v>
      </c>
      <c r="N13" s="30"/>
      <c r="O13" s="31" t="s">
        <v>28</v>
      </c>
      <c r="S13" s="24">
        <f>SUM(J13:L13)</f>
        <v>0</v>
      </c>
    </row>
    <row r="14" spans="1:19" ht="13.5">
      <c r="A14" s="26"/>
      <c r="B14" s="27"/>
      <c r="C14" s="27" t="s">
        <v>100</v>
      </c>
      <c r="D14" s="278" t="s">
        <v>41</v>
      </c>
      <c r="E14" s="279"/>
      <c r="F14" s="28">
        <v>4</v>
      </c>
      <c r="G14" s="28">
        <v>0</v>
      </c>
      <c r="H14" s="28">
        <f t="shared" si="0"/>
        <v>0</v>
      </c>
      <c r="I14" s="28">
        <v>0</v>
      </c>
      <c r="J14" s="28">
        <f t="shared" si="1"/>
        <v>0</v>
      </c>
      <c r="K14" s="29">
        <f t="shared" si="2"/>
        <v>0</v>
      </c>
      <c r="L14" s="29">
        <f t="shared" si="3"/>
        <v>0</v>
      </c>
      <c r="M14" s="30">
        <f>(J14*Assumptions!$B$20)+(K14*Assumptions!$B$21)+(L14*Assumptions!$B$22)</f>
        <v>0</v>
      </c>
      <c r="N14" s="30"/>
      <c r="O14" s="31" t="s">
        <v>28</v>
      </c>
      <c r="S14" s="24">
        <f>SUM(J14:L14)</f>
        <v>0</v>
      </c>
    </row>
    <row r="15" spans="1:15" ht="13.5">
      <c r="A15" s="26"/>
      <c r="B15" s="27" t="s">
        <v>6</v>
      </c>
      <c r="C15" s="27" t="s">
        <v>42</v>
      </c>
      <c r="D15" s="34"/>
      <c r="E15" s="32"/>
      <c r="F15" s="28">
        <v>4</v>
      </c>
      <c r="G15" s="28">
        <v>0</v>
      </c>
      <c r="H15" s="28">
        <f t="shared" si="0"/>
        <v>0</v>
      </c>
      <c r="I15" s="28">
        <v>0</v>
      </c>
      <c r="J15" s="28">
        <f t="shared" si="1"/>
        <v>0</v>
      </c>
      <c r="K15" s="29">
        <f t="shared" si="2"/>
        <v>0</v>
      </c>
      <c r="L15" s="29">
        <f t="shared" si="3"/>
        <v>0</v>
      </c>
      <c r="M15" s="30">
        <f>(J15*Assumptions!$B$20)+(K15*Assumptions!$B$21)+(L15*Assumptions!$B$22)</f>
        <v>0</v>
      </c>
      <c r="N15" s="30"/>
      <c r="O15" s="31" t="s">
        <v>29</v>
      </c>
    </row>
    <row r="16" spans="1:15" ht="13.5">
      <c r="A16" s="26"/>
      <c r="B16" s="27" t="s">
        <v>7</v>
      </c>
      <c r="C16" s="27" t="s">
        <v>63</v>
      </c>
      <c r="D16" s="34"/>
      <c r="E16" s="32"/>
      <c r="F16" s="28">
        <v>2</v>
      </c>
      <c r="G16" s="28">
        <v>1</v>
      </c>
      <c r="H16" s="28">
        <f t="shared" si="0"/>
        <v>2</v>
      </c>
      <c r="I16" s="28">
        <f>+I6</f>
        <v>0</v>
      </c>
      <c r="J16" s="28">
        <f t="shared" si="1"/>
        <v>0</v>
      </c>
      <c r="K16" s="29">
        <f t="shared" si="2"/>
        <v>0</v>
      </c>
      <c r="L16" s="29">
        <f t="shared" si="3"/>
        <v>0</v>
      </c>
      <c r="M16" s="30">
        <f>(J16*Assumptions!$B$20)+(K16*Assumptions!$B$21)+(L16*Assumptions!$B$22)</f>
        <v>0</v>
      </c>
      <c r="N16" s="30"/>
      <c r="O16" s="31" t="s">
        <v>122</v>
      </c>
    </row>
    <row r="17" spans="1:19" ht="13.5">
      <c r="A17" s="26"/>
      <c r="B17" s="27" t="s">
        <v>8</v>
      </c>
      <c r="C17" s="27" t="s">
        <v>21</v>
      </c>
      <c r="D17" s="34"/>
      <c r="E17" s="32"/>
      <c r="F17" s="28">
        <v>4</v>
      </c>
      <c r="G17" s="28">
        <v>1</v>
      </c>
      <c r="H17" s="28">
        <f t="shared" si="0"/>
        <v>4</v>
      </c>
      <c r="I17" s="28">
        <v>0</v>
      </c>
      <c r="J17" s="28">
        <f t="shared" si="1"/>
        <v>0</v>
      </c>
      <c r="K17" s="29">
        <f t="shared" si="2"/>
        <v>0</v>
      </c>
      <c r="L17" s="29">
        <f t="shared" si="3"/>
        <v>0</v>
      </c>
      <c r="M17" s="30">
        <f>(J17*Assumptions!$B$20)+(K17*Assumptions!$B$21)+(L17*Assumptions!$B$22)</f>
        <v>0</v>
      </c>
      <c r="N17" s="30">
        <f>Assumptions!$B$14*I17*G17</f>
        <v>0</v>
      </c>
      <c r="O17" s="31" t="s">
        <v>206</v>
      </c>
      <c r="S17" s="24">
        <f>SUM(J17:L17)</f>
        <v>0</v>
      </c>
    </row>
    <row r="18" spans="1:15" ht="13.5">
      <c r="A18" s="26" t="s">
        <v>3</v>
      </c>
      <c r="B18" s="27" t="s">
        <v>80</v>
      </c>
      <c r="C18" s="27"/>
      <c r="D18" s="36"/>
      <c r="E18" s="34"/>
      <c r="F18" s="28"/>
      <c r="G18" s="28"/>
      <c r="H18" s="28"/>
      <c r="I18" s="28"/>
      <c r="J18" s="28"/>
      <c r="K18" s="29"/>
      <c r="L18" s="29"/>
      <c r="M18" s="30"/>
      <c r="N18" s="30"/>
      <c r="O18" s="31"/>
    </row>
    <row r="19" spans="1:15" ht="13.5">
      <c r="A19" s="26"/>
      <c r="B19" s="27" t="s">
        <v>4</v>
      </c>
      <c r="C19" s="27" t="s">
        <v>192</v>
      </c>
      <c r="D19" s="36"/>
      <c r="E19" s="34"/>
      <c r="F19" s="28">
        <v>4</v>
      </c>
      <c r="G19" s="28">
        <v>1</v>
      </c>
      <c r="H19" s="28">
        <f>F19*G19</f>
        <v>4</v>
      </c>
      <c r="I19" s="28">
        <v>0</v>
      </c>
      <c r="J19" s="28">
        <f>I19*H19</f>
        <v>0</v>
      </c>
      <c r="K19" s="29">
        <f>0.05*J19</f>
        <v>0</v>
      </c>
      <c r="L19" s="29">
        <f>0.1*J19</f>
        <v>0</v>
      </c>
      <c r="M19" s="30">
        <f>(J19*Assumptions!$B$20)+(K19*Assumptions!$B$21)+(L19*Assumptions!$B$22)</f>
        <v>0</v>
      </c>
      <c r="N19" s="30"/>
      <c r="O19" s="31" t="s">
        <v>23</v>
      </c>
    </row>
    <row r="20" spans="1:15" ht="13.5">
      <c r="A20" s="26"/>
      <c r="B20" s="27" t="s">
        <v>5</v>
      </c>
      <c r="C20" s="27" t="s">
        <v>196</v>
      </c>
      <c r="D20" s="36"/>
      <c r="E20" s="34"/>
      <c r="F20" s="28">
        <v>4</v>
      </c>
      <c r="G20" s="28">
        <v>1</v>
      </c>
      <c r="H20" s="28">
        <f>F20*G20</f>
        <v>4</v>
      </c>
      <c r="I20" s="28">
        <v>0</v>
      </c>
      <c r="J20" s="28">
        <f>I20*H20</f>
        <v>0</v>
      </c>
      <c r="K20" s="29">
        <f>0.05*J20</f>
        <v>0</v>
      </c>
      <c r="L20" s="29">
        <f>0.1*J20</f>
        <v>0</v>
      </c>
      <c r="M20" s="30">
        <f>(J20*Assumptions!$B$20)+(K20*Assumptions!$B$21)+(L20*Assumptions!$B$22)</f>
        <v>0</v>
      </c>
      <c r="N20" s="30"/>
      <c r="O20" s="31" t="s">
        <v>207</v>
      </c>
    </row>
    <row r="21" spans="1:15" ht="13.5">
      <c r="A21" s="26"/>
      <c r="B21" s="27" t="s">
        <v>6</v>
      </c>
      <c r="C21" s="27" t="s">
        <v>81</v>
      </c>
      <c r="D21" s="36"/>
      <c r="E21" s="34"/>
      <c r="F21" s="28"/>
      <c r="G21" s="28"/>
      <c r="H21" s="28"/>
      <c r="I21" s="28"/>
      <c r="J21" s="28"/>
      <c r="K21" s="29"/>
      <c r="L21" s="29"/>
      <c r="M21" s="30"/>
      <c r="N21" s="30"/>
      <c r="O21" s="31"/>
    </row>
    <row r="22" spans="1:15" ht="13.5">
      <c r="A22" s="26"/>
      <c r="B22" s="27"/>
      <c r="C22" s="27" t="s">
        <v>98</v>
      </c>
      <c r="D22" s="37" t="s">
        <v>83</v>
      </c>
      <c r="E22" s="34"/>
      <c r="F22" s="28">
        <v>1</v>
      </c>
      <c r="G22" s="28">
        <v>1</v>
      </c>
      <c r="H22" s="28">
        <f>F22*G22</f>
        <v>1</v>
      </c>
      <c r="I22" s="28">
        <f>+I6</f>
        <v>0</v>
      </c>
      <c r="J22" s="28">
        <f>I22*H22</f>
        <v>0</v>
      </c>
      <c r="K22" s="29">
        <f>0.05*J22</f>
        <v>0</v>
      </c>
      <c r="L22" s="29">
        <f>0.1*J22</f>
        <v>0</v>
      </c>
      <c r="M22" s="30">
        <f>(J22*Assumptions!$B$20)+(K22*Assumptions!$B$21)+(L22*Assumptions!$B$22)</f>
        <v>0</v>
      </c>
      <c r="N22" s="30"/>
      <c r="O22" s="31" t="s">
        <v>24</v>
      </c>
    </row>
    <row r="23" spans="1:15" ht="13.5">
      <c r="A23" s="26"/>
      <c r="B23" s="27"/>
      <c r="C23" s="27" t="s">
        <v>99</v>
      </c>
      <c r="D23" s="37" t="s">
        <v>191</v>
      </c>
      <c r="E23" s="34"/>
      <c r="F23" s="38">
        <v>0.5</v>
      </c>
      <c r="G23" s="28">
        <v>52</v>
      </c>
      <c r="H23" s="28">
        <f>F23*G23</f>
        <v>26</v>
      </c>
      <c r="I23" s="28">
        <v>26</v>
      </c>
      <c r="J23" s="28">
        <f>I23*H23</f>
        <v>676</v>
      </c>
      <c r="K23" s="29">
        <f>0.05*J23</f>
        <v>33.800000000000004</v>
      </c>
      <c r="L23" s="29">
        <f>0.1*J23</f>
        <v>67.60000000000001</v>
      </c>
      <c r="M23" s="30">
        <f>(J23*Assumptions!$B$20)+(K23*Assumptions!$B$21)+(L23*Assumptions!$B$22)</f>
        <v>57385.09920000002</v>
      </c>
      <c r="N23" s="30"/>
      <c r="O23" s="31"/>
    </row>
    <row r="24" spans="1:15" ht="27.75" customHeight="1">
      <c r="A24" s="26"/>
      <c r="B24" s="27"/>
      <c r="C24" s="27" t="s">
        <v>100</v>
      </c>
      <c r="D24" s="276" t="s">
        <v>195</v>
      </c>
      <c r="E24" s="277"/>
      <c r="F24" s="28">
        <v>1</v>
      </c>
      <c r="G24" s="28">
        <v>12</v>
      </c>
      <c r="H24" s="28">
        <f>F24*G24</f>
        <v>12</v>
      </c>
      <c r="I24" s="28">
        <v>26</v>
      </c>
      <c r="J24" s="28">
        <f>I24*H24</f>
        <v>312</v>
      </c>
      <c r="K24" s="29">
        <f>0.05*J24</f>
        <v>15.600000000000001</v>
      </c>
      <c r="L24" s="29">
        <f>0.1*J24</f>
        <v>31.200000000000003</v>
      </c>
      <c r="M24" s="30">
        <f>(J24*Assumptions!$B$20)+(K24*Assumptions!$B$21)+(L24*Assumptions!$B$22)</f>
        <v>26485.43040000001</v>
      </c>
      <c r="N24" s="30"/>
      <c r="O24" s="31" t="s">
        <v>25</v>
      </c>
    </row>
    <row r="25" spans="1:15" ht="13.5">
      <c r="A25" s="26"/>
      <c r="B25" s="27"/>
      <c r="C25" s="27" t="s">
        <v>193</v>
      </c>
      <c r="D25" s="276" t="s">
        <v>194</v>
      </c>
      <c r="E25" s="277"/>
      <c r="F25" s="28">
        <v>1</v>
      </c>
      <c r="G25" s="28">
        <v>12</v>
      </c>
      <c r="H25" s="28">
        <f>F25*G25</f>
        <v>12</v>
      </c>
      <c r="I25" s="28">
        <v>26</v>
      </c>
      <c r="J25" s="28">
        <f>I25*H25</f>
        <v>312</v>
      </c>
      <c r="K25" s="29">
        <f>0.05*J25</f>
        <v>15.600000000000001</v>
      </c>
      <c r="L25" s="29">
        <f>0.1*J25</f>
        <v>31.200000000000003</v>
      </c>
      <c r="M25" s="30">
        <f>(J25*Assumptions!$B$20)+(K25*Assumptions!$B$21)+(L25*Assumptions!$B$22)</f>
        <v>26485.43040000001</v>
      </c>
      <c r="N25" s="30"/>
      <c r="O25" s="31" t="s">
        <v>25</v>
      </c>
    </row>
    <row r="26" spans="1:15" ht="13.5">
      <c r="A26" s="26"/>
      <c r="B26" s="27" t="s">
        <v>7</v>
      </c>
      <c r="C26" s="27" t="s">
        <v>82</v>
      </c>
      <c r="D26" s="37"/>
      <c r="E26" s="34"/>
      <c r="F26" s="28">
        <v>4</v>
      </c>
      <c r="G26" s="28">
        <v>1</v>
      </c>
      <c r="H26" s="28">
        <f>F26*G26</f>
        <v>4</v>
      </c>
      <c r="I26" s="28">
        <v>26</v>
      </c>
      <c r="J26" s="28">
        <f>I26*H26</f>
        <v>104</v>
      </c>
      <c r="K26" s="29">
        <f>0.05*J26</f>
        <v>5.2</v>
      </c>
      <c r="L26" s="29">
        <f>0.1*J26</f>
        <v>10.4</v>
      </c>
      <c r="M26" s="30">
        <f>(J26*Assumptions!$B$20)+(K26*Assumptions!$B$21)+(L26*Assumptions!$B$22)</f>
        <v>8828.476800000002</v>
      </c>
      <c r="N26" s="30"/>
      <c r="O26" s="31"/>
    </row>
    <row r="27" spans="1:15" ht="13.5">
      <c r="A27" s="26" t="s">
        <v>9</v>
      </c>
      <c r="B27" s="27" t="s">
        <v>14</v>
      </c>
      <c r="C27" s="27"/>
      <c r="D27" s="35"/>
      <c r="E27" s="32"/>
      <c r="F27" s="28"/>
      <c r="G27" s="28"/>
      <c r="H27" s="28"/>
      <c r="I27" s="28"/>
      <c r="J27" s="28"/>
      <c r="K27" s="29"/>
      <c r="L27" s="29"/>
      <c r="M27" s="30"/>
      <c r="N27" s="30"/>
      <c r="O27" s="39"/>
    </row>
    <row r="28" spans="1:15" ht="13.5">
      <c r="A28" s="26"/>
      <c r="B28" s="27" t="s">
        <v>4</v>
      </c>
      <c r="C28" s="27" t="s">
        <v>86</v>
      </c>
      <c r="D28" s="35"/>
      <c r="E28" s="32"/>
      <c r="F28" s="28">
        <v>4</v>
      </c>
      <c r="G28" s="28">
        <v>2</v>
      </c>
      <c r="H28" s="28">
        <f>F28*G28</f>
        <v>8</v>
      </c>
      <c r="I28" s="28">
        <v>26</v>
      </c>
      <c r="J28" s="28">
        <f>I28*H28</f>
        <v>208</v>
      </c>
      <c r="K28" s="29">
        <f>0.05*J28</f>
        <v>10.4</v>
      </c>
      <c r="L28" s="29">
        <f>0.1*J28</f>
        <v>20.8</v>
      </c>
      <c r="M28" s="30">
        <f>(J28*Assumptions!$B$20)+(K28*Assumptions!$B$21)+(L28*Assumptions!$B$22)</f>
        <v>17656.953600000004</v>
      </c>
      <c r="N28" s="30"/>
      <c r="O28" s="39"/>
    </row>
    <row r="29" spans="1:15" ht="13.5">
      <c r="A29" s="26"/>
      <c r="B29" s="27" t="s">
        <v>5</v>
      </c>
      <c r="C29" s="27" t="s">
        <v>68</v>
      </c>
      <c r="D29" s="33"/>
      <c r="E29" s="32"/>
      <c r="F29" s="28">
        <v>4</v>
      </c>
      <c r="G29" s="28">
        <v>2</v>
      </c>
      <c r="H29" s="28">
        <f>F29*G29</f>
        <v>8</v>
      </c>
      <c r="I29" s="28">
        <v>26</v>
      </c>
      <c r="J29" s="28">
        <f>I29*H29</f>
        <v>208</v>
      </c>
      <c r="K29" s="29">
        <f>0.05*J29</f>
        <v>10.4</v>
      </c>
      <c r="L29" s="29">
        <f>0.1*J29</f>
        <v>20.8</v>
      </c>
      <c r="M29" s="30">
        <f>(J29*Assumptions!$B$20)+(K29*Assumptions!$B$21)+(L29*Assumptions!$B$22)</f>
        <v>17656.953600000004</v>
      </c>
      <c r="N29" s="30">
        <f>Assumptions!$B$14*I29*G29</f>
        <v>390</v>
      </c>
      <c r="O29" s="39" t="s">
        <v>59</v>
      </c>
    </row>
    <row r="30" spans="1:15" ht="13.5">
      <c r="A30" s="26" t="s">
        <v>18</v>
      </c>
      <c r="B30" s="40" t="s">
        <v>85</v>
      </c>
      <c r="C30" s="27"/>
      <c r="D30" s="40"/>
      <c r="E30" s="34"/>
      <c r="F30" s="28">
        <v>4</v>
      </c>
      <c r="G30" s="28">
        <v>1</v>
      </c>
      <c r="H30" s="28">
        <f>F30*G30</f>
        <v>4</v>
      </c>
      <c r="I30" s="28">
        <v>0</v>
      </c>
      <c r="J30" s="28">
        <f>I30*H30</f>
        <v>0</v>
      </c>
      <c r="K30" s="29">
        <f>0.05*J30</f>
        <v>0</v>
      </c>
      <c r="L30" s="29">
        <f>0.1*J30</f>
        <v>0</v>
      </c>
      <c r="M30" s="30">
        <f>(J30*Assumptions!$B$20)+(K30*Assumptions!$B$21)+(L30*Assumptions!$B$22)</f>
        <v>0</v>
      </c>
      <c r="N30" s="30"/>
      <c r="O30" s="31" t="s">
        <v>78</v>
      </c>
    </row>
    <row r="31" spans="1:15" ht="13.5">
      <c r="A31" s="26" t="s">
        <v>20</v>
      </c>
      <c r="B31" s="40" t="s">
        <v>84</v>
      </c>
      <c r="C31" s="27"/>
      <c r="D31" s="40"/>
      <c r="E31" s="34"/>
      <c r="F31" s="28">
        <v>0</v>
      </c>
      <c r="G31" s="28">
        <v>0</v>
      </c>
      <c r="H31" s="28">
        <f>F31*G31</f>
        <v>0</v>
      </c>
      <c r="I31" s="28">
        <v>26</v>
      </c>
      <c r="J31" s="28">
        <f>H31*I31</f>
        <v>0</v>
      </c>
      <c r="K31" s="29">
        <f>0.05*J31</f>
        <v>0</v>
      </c>
      <c r="L31" s="29">
        <f>0.1*J31</f>
        <v>0</v>
      </c>
      <c r="M31" s="30">
        <f>(J31*Assumptions!$B$20)+(K31*Assumptions!$B$21)+(L31*Assumptions!$B$22)</f>
        <v>0</v>
      </c>
      <c r="N31" s="30"/>
      <c r="O31" s="31" t="s">
        <v>79</v>
      </c>
    </row>
    <row r="32" spans="1:18" ht="13.5">
      <c r="A32" s="41"/>
      <c r="B32" s="42" t="s">
        <v>46</v>
      </c>
      <c r="C32" s="42"/>
      <c r="D32" s="43"/>
      <c r="E32" s="43"/>
      <c r="F32" s="44"/>
      <c r="G32" s="44"/>
      <c r="H32" s="45"/>
      <c r="I32" s="45"/>
      <c r="J32" s="46">
        <f>SUM(J4:J31)</f>
        <v>1820</v>
      </c>
      <c r="K32" s="125">
        <f>SUM(K4:K31)</f>
        <v>91.00000000000001</v>
      </c>
      <c r="L32" s="125">
        <f>SUM(L4:L31)</f>
        <v>182.00000000000003</v>
      </c>
      <c r="M32" s="48">
        <f>SUM(M4:M31)</f>
        <v>154498.34400000004</v>
      </c>
      <c r="N32" s="48">
        <f>SUM(N4:N31)</f>
        <v>390</v>
      </c>
      <c r="O32" s="49"/>
      <c r="R32" s="25">
        <f>+N29+N17+N16+N10</f>
        <v>390</v>
      </c>
    </row>
    <row r="33" spans="1:15" ht="27">
      <c r="A33" s="50"/>
      <c r="B33" s="51"/>
      <c r="C33" s="51"/>
      <c r="D33" s="52"/>
      <c r="E33" s="52"/>
      <c r="F33" s="53"/>
      <c r="G33" s="54"/>
      <c r="H33" s="55" t="s">
        <v>33</v>
      </c>
      <c r="I33" s="55" t="s">
        <v>48</v>
      </c>
      <c r="J33" s="55" t="s">
        <v>49</v>
      </c>
      <c r="K33" s="55" t="s">
        <v>50</v>
      </c>
      <c r="L33" s="56"/>
      <c r="M33" s="57"/>
      <c r="N33" s="57"/>
      <c r="O33" s="58"/>
    </row>
    <row r="34" spans="1:15" ht="13.5">
      <c r="A34" s="50"/>
      <c r="B34" s="51"/>
      <c r="C34" s="51"/>
      <c r="D34" s="52"/>
      <c r="E34" s="52"/>
      <c r="F34" s="59" t="s">
        <v>47</v>
      </c>
      <c r="G34" s="54"/>
      <c r="H34" s="55">
        <f>SUM(J32:L32)</f>
        <v>2093</v>
      </c>
      <c r="I34" s="60">
        <f>M32</f>
        <v>154498.34400000004</v>
      </c>
      <c r="J34" s="60">
        <f>N32</f>
        <v>390</v>
      </c>
      <c r="K34" s="60">
        <f>SUM(I34:J34)</f>
        <v>154888.34400000004</v>
      </c>
      <c r="L34" s="56"/>
      <c r="M34" s="57"/>
      <c r="N34" s="57"/>
      <c r="O34" s="58"/>
    </row>
    <row r="35" spans="1:15" ht="13.5">
      <c r="A35" s="50"/>
      <c r="B35" s="51"/>
      <c r="C35" s="51"/>
      <c r="D35" s="52"/>
      <c r="E35" s="52"/>
      <c r="F35" s="59" t="s">
        <v>51</v>
      </c>
      <c r="G35" s="54"/>
      <c r="H35" s="55">
        <v>0</v>
      </c>
      <c r="I35" s="61">
        <v>0</v>
      </c>
      <c r="J35" s="61">
        <v>0</v>
      </c>
      <c r="K35" s="60">
        <f>SUM(I35:J35)</f>
        <v>0</v>
      </c>
      <c r="L35" s="56"/>
      <c r="M35" s="57"/>
      <c r="N35" s="57"/>
      <c r="O35" s="58"/>
    </row>
    <row r="36" spans="1:15" ht="16.5" customHeight="1" thickBot="1">
      <c r="A36" s="62"/>
      <c r="B36" s="63"/>
      <c r="C36" s="63"/>
      <c r="D36" s="64"/>
      <c r="E36" s="64"/>
      <c r="F36" s="65" t="s">
        <v>52</v>
      </c>
      <c r="G36" s="66"/>
      <c r="H36" s="67">
        <v>0</v>
      </c>
      <c r="I36" s="68">
        <v>0</v>
      </c>
      <c r="J36" s="68">
        <f>SUM(J34:J35)</f>
        <v>390</v>
      </c>
      <c r="K36" s="69">
        <f>SUM(I36:J36)</f>
        <v>390</v>
      </c>
      <c r="L36" s="70"/>
      <c r="M36" s="71"/>
      <c r="N36" s="71"/>
      <c r="O36" s="72"/>
    </row>
    <row r="37" spans="1:15" ht="15.75">
      <c r="A37" s="73" t="s">
        <v>22</v>
      </c>
      <c r="B37" s="295" t="s">
        <v>198</v>
      </c>
      <c r="C37" s="295"/>
      <c r="D37" s="295"/>
      <c r="E37" s="295"/>
      <c r="F37" s="295"/>
      <c r="G37" s="295"/>
      <c r="H37" s="295"/>
      <c r="I37" s="295"/>
      <c r="J37" s="295"/>
      <c r="K37" s="295"/>
      <c r="L37" s="295"/>
      <c r="M37" s="295"/>
      <c r="N37" s="295"/>
      <c r="O37" s="295"/>
    </row>
    <row r="38" spans="1:8" ht="15.75">
      <c r="A38" s="73" t="s">
        <v>23</v>
      </c>
      <c r="B38" s="25" t="s">
        <v>103</v>
      </c>
      <c r="F38" s="25"/>
      <c r="G38" s="25"/>
      <c r="H38" s="25"/>
    </row>
    <row r="39" spans="1:15" ht="30" customHeight="1">
      <c r="A39" s="73" t="s">
        <v>24</v>
      </c>
      <c r="B39" s="296" t="s">
        <v>200</v>
      </c>
      <c r="C39" s="297"/>
      <c r="D39" s="297"/>
      <c r="E39" s="297"/>
      <c r="F39" s="297"/>
      <c r="G39" s="297"/>
      <c r="H39" s="297"/>
      <c r="I39" s="297"/>
      <c r="J39" s="297"/>
      <c r="K39" s="297"/>
      <c r="L39" s="297"/>
      <c r="M39" s="297"/>
      <c r="N39" s="297"/>
      <c r="O39" s="297"/>
    </row>
    <row r="40" spans="1:15" ht="27" customHeight="1">
      <c r="A40" s="73" t="s">
        <v>25</v>
      </c>
      <c r="B40" s="299" t="s">
        <v>199</v>
      </c>
      <c r="C40" s="300"/>
      <c r="D40" s="300"/>
      <c r="E40" s="300"/>
      <c r="F40" s="300"/>
      <c r="G40" s="300"/>
      <c r="H40" s="300"/>
      <c r="I40" s="300"/>
      <c r="J40" s="300"/>
      <c r="K40" s="300"/>
      <c r="L40" s="300"/>
      <c r="M40" s="300"/>
      <c r="N40" s="300"/>
      <c r="O40" s="300"/>
    </row>
    <row r="41" spans="1:15" ht="27.75" customHeight="1">
      <c r="A41" s="73" t="s">
        <v>26</v>
      </c>
      <c r="B41" s="298" t="s">
        <v>94</v>
      </c>
      <c r="C41" s="298"/>
      <c r="D41" s="298"/>
      <c r="E41" s="298"/>
      <c r="F41" s="298"/>
      <c r="G41" s="298"/>
      <c r="H41" s="298"/>
      <c r="I41" s="298"/>
      <c r="J41" s="298"/>
      <c r="K41" s="298"/>
      <c r="L41" s="298"/>
      <c r="M41" s="298"/>
      <c r="N41" s="298"/>
      <c r="O41" s="298"/>
    </row>
    <row r="42" spans="1:8" ht="15.75">
      <c r="A42" s="73" t="s">
        <v>27</v>
      </c>
      <c r="B42" s="25" t="s">
        <v>95</v>
      </c>
      <c r="F42" s="25"/>
      <c r="G42" s="25"/>
      <c r="H42" s="25"/>
    </row>
    <row r="43" spans="1:8" ht="15.75">
      <c r="A43" s="73" t="s">
        <v>28</v>
      </c>
      <c r="B43" s="25" t="s">
        <v>97</v>
      </c>
      <c r="F43" s="25"/>
      <c r="G43" s="25"/>
      <c r="H43" s="25"/>
    </row>
    <row r="44" spans="1:8" ht="15.75">
      <c r="A44" s="73" t="s">
        <v>29</v>
      </c>
      <c r="B44" s="25" t="s">
        <v>90</v>
      </c>
      <c r="F44" s="25"/>
      <c r="G44" s="25"/>
      <c r="H44" s="25"/>
    </row>
    <row r="45" spans="1:8" ht="15.75">
      <c r="A45" s="73" t="s">
        <v>59</v>
      </c>
      <c r="B45" s="25" t="s">
        <v>102</v>
      </c>
      <c r="F45" s="25"/>
      <c r="G45" s="25"/>
      <c r="H45" s="25"/>
    </row>
    <row r="46" spans="1:8" ht="15.75">
      <c r="A46" s="73" t="s">
        <v>78</v>
      </c>
      <c r="B46" s="25" t="s">
        <v>157</v>
      </c>
      <c r="F46" s="25"/>
      <c r="G46" s="25"/>
      <c r="H46" s="25"/>
    </row>
    <row r="47" spans="1:8" ht="15.75">
      <c r="A47" s="73" t="s">
        <v>79</v>
      </c>
      <c r="B47" s="25" t="s">
        <v>155</v>
      </c>
      <c r="F47" s="25"/>
      <c r="G47" s="25"/>
      <c r="H47" s="25"/>
    </row>
    <row r="48" spans="1:8" ht="15.75">
      <c r="A48" s="73"/>
      <c r="F48" s="25"/>
      <c r="G48" s="25"/>
      <c r="H48" s="25"/>
    </row>
    <row r="49" spans="1:8" ht="13.5">
      <c r="A49" s="77"/>
      <c r="F49" s="25"/>
      <c r="G49" s="25"/>
      <c r="H49" s="25"/>
    </row>
    <row r="50" spans="6:8" ht="13.5">
      <c r="F50" s="25"/>
      <c r="G50" s="25"/>
      <c r="H50" s="25"/>
    </row>
    <row r="51" spans="6:8" ht="13.5">
      <c r="F51" s="25"/>
      <c r="G51" s="25"/>
      <c r="H51" s="25"/>
    </row>
    <row r="52" spans="6:8" ht="13.5">
      <c r="F52" s="25"/>
      <c r="G52" s="25"/>
      <c r="H52" s="25"/>
    </row>
  </sheetData>
  <mergeCells count="21">
    <mergeCell ref="B37:O37"/>
    <mergeCell ref="B39:O39"/>
    <mergeCell ref="B41:O41"/>
    <mergeCell ref="B40:O40"/>
    <mergeCell ref="A1:O1"/>
    <mergeCell ref="C11:E11"/>
    <mergeCell ref="D12:E12"/>
    <mergeCell ref="D13:E13"/>
    <mergeCell ref="C8:E8"/>
    <mergeCell ref="B9:E9"/>
    <mergeCell ref="O2:O3"/>
    <mergeCell ref="M2:M3"/>
    <mergeCell ref="C10:E10"/>
    <mergeCell ref="C6:E6"/>
    <mergeCell ref="N2:N3"/>
    <mergeCell ref="D25:E25"/>
    <mergeCell ref="D24:E24"/>
    <mergeCell ref="D14:E14"/>
    <mergeCell ref="B4:E4"/>
    <mergeCell ref="B5:E5"/>
    <mergeCell ref="A2:E3"/>
  </mergeCells>
  <printOptions horizontalCentered="1"/>
  <pageMargins left="0.5" right="0.51" top="0.5" bottom="0.5" header="0.51" footer="0.5"/>
  <pageSetup fitToHeight="1" fitToWidth="1" horizontalDpi="600" verticalDpi="600" orientation="landscape" scale="56" r:id="rId1"/>
</worksheet>
</file>

<file path=xl/worksheets/sheet5.xml><?xml version="1.0" encoding="utf-8"?>
<worksheet xmlns="http://schemas.openxmlformats.org/spreadsheetml/2006/main" xmlns:r="http://schemas.openxmlformats.org/officeDocument/2006/relationships">
  <sheetPr>
    <pageSetUpPr fitToPage="1"/>
  </sheetPr>
  <dimension ref="A1:U52"/>
  <sheetViews>
    <sheetView zoomScale="75" zoomScaleNormal="75" workbookViewId="0" topLeftCell="A1">
      <selection activeCell="G23" sqref="G23"/>
    </sheetView>
  </sheetViews>
  <sheetFormatPr defaultColWidth="9.140625" defaultRowHeight="12.75"/>
  <cols>
    <col min="1" max="1" width="3.140625" style="78" customWidth="1"/>
    <col min="2" max="2" width="3.140625" style="25" customWidth="1"/>
    <col min="3" max="3" width="4.8515625" style="25" customWidth="1"/>
    <col min="4" max="4" width="7.8515625" style="25" customWidth="1"/>
    <col min="5" max="5" width="58.8515625" style="25" customWidth="1"/>
    <col min="6" max="6" width="16.00390625" style="74" customWidth="1"/>
    <col min="7" max="7" width="17.421875" style="74" customWidth="1"/>
    <col min="8" max="8" width="16.57421875" style="74" customWidth="1"/>
    <col min="9" max="9" width="14.421875" style="74" customWidth="1"/>
    <col min="10" max="10" width="15.7109375" style="74" customWidth="1"/>
    <col min="11" max="11" width="14.57421875" style="74" customWidth="1"/>
    <col min="12" max="12" width="12.57421875" style="74" customWidth="1"/>
    <col min="13" max="13" width="12.8515625" style="75" customWidth="1"/>
    <col min="14" max="14" width="14.421875" style="75" customWidth="1"/>
    <col min="15" max="15" width="12.421875" style="25" bestFit="1" customWidth="1"/>
    <col min="16" max="16" width="11.421875" style="25" customWidth="1"/>
    <col min="17" max="17" width="9.140625" style="25" customWidth="1"/>
    <col min="18" max="18" width="10.00390625" style="25" bestFit="1" customWidth="1"/>
    <col min="19" max="16384" width="9.140625" style="25" customWidth="1"/>
  </cols>
  <sheetData>
    <row r="1" spans="1:15" ht="32.25" customHeight="1" thickBot="1">
      <c r="A1" s="288" t="s">
        <v>233</v>
      </c>
      <c r="B1" s="288"/>
      <c r="C1" s="288"/>
      <c r="D1" s="288"/>
      <c r="E1" s="288"/>
      <c r="F1" s="288"/>
      <c r="G1" s="288"/>
      <c r="H1" s="288"/>
      <c r="I1" s="288"/>
      <c r="J1" s="288"/>
      <c r="K1" s="288"/>
      <c r="L1" s="288"/>
      <c r="M1" s="288"/>
      <c r="N1" s="288"/>
      <c r="O1" s="288"/>
    </row>
    <row r="2" spans="1:21" s="24" customFormat="1" ht="54">
      <c r="A2" s="282" t="s">
        <v>16</v>
      </c>
      <c r="B2" s="283"/>
      <c r="C2" s="283"/>
      <c r="D2" s="283"/>
      <c r="E2" s="284"/>
      <c r="F2" s="23" t="s">
        <v>110</v>
      </c>
      <c r="G2" s="23" t="s">
        <v>111</v>
      </c>
      <c r="H2" s="23" t="s">
        <v>109</v>
      </c>
      <c r="I2" s="23" t="s">
        <v>113</v>
      </c>
      <c r="J2" s="23" t="s">
        <v>114</v>
      </c>
      <c r="K2" s="23" t="s">
        <v>117</v>
      </c>
      <c r="L2" s="23" t="s">
        <v>119</v>
      </c>
      <c r="M2" s="274" t="s">
        <v>106</v>
      </c>
      <c r="N2" s="274" t="s">
        <v>57</v>
      </c>
      <c r="O2" s="293" t="s">
        <v>12</v>
      </c>
      <c r="R2" s="25"/>
      <c r="S2" s="25"/>
      <c r="T2" s="25"/>
      <c r="U2" s="25"/>
    </row>
    <row r="3" spans="1:21" s="24" customFormat="1" ht="14.25" thickBot="1">
      <c r="A3" s="285"/>
      <c r="B3" s="286"/>
      <c r="C3" s="286"/>
      <c r="D3" s="286"/>
      <c r="E3" s="287"/>
      <c r="F3" s="81" t="s">
        <v>107</v>
      </c>
      <c r="G3" s="81" t="s">
        <v>108</v>
      </c>
      <c r="H3" s="81" t="s">
        <v>120</v>
      </c>
      <c r="I3" s="81" t="s">
        <v>112</v>
      </c>
      <c r="J3" s="81" t="s">
        <v>115</v>
      </c>
      <c r="K3" s="81" t="s">
        <v>116</v>
      </c>
      <c r="L3" s="81" t="s">
        <v>118</v>
      </c>
      <c r="M3" s="275"/>
      <c r="N3" s="275"/>
      <c r="O3" s="294"/>
      <c r="R3" s="25"/>
      <c r="S3" s="25"/>
      <c r="T3" s="25"/>
      <c r="U3" s="25"/>
    </row>
    <row r="4" spans="1:15" ht="14.25" thickTop="1">
      <c r="A4" s="26" t="s">
        <v>0</v>
      </c>
      <c r="B4" s="280" t="s">
        <v>17</v>
      </c>
      <c r="C4" s="280"/>
      <c r="D4" s="280"/>
      <c r="E4" s="281"/>
      <c r="F4" s="28">
        <v>4</v>
      </c>
      <c r="G4" s="28">
        <v>1</v>
      </c>
      <c r="H4" s="28">
        <f>F4*G4</f>
        <v>4</v>
      </c>
      <c r="I4" s="120">
        <v>0</v>
      </c>
      <c r="J4" s="28">
        <f>H4*I4</f>
        <v>0</v>
      </c>
      <c r="K4" s="29">
        <f>0.05*J4</f>
        <v>0</v>
      </c>
      <c r="L4" s="29">
        <f>0.1*J4</f>
        <v>0</v>
      </c>
      <c r="M4" s="30">
        <f>(J4*Assumptions!$B$20)+(K4*Assumptions!$B$21)+(L4*Assumptions!$B$22)</f>
        <v>0</v>
      </c>
      <c r="N4" s="30"/>
      <c r="O4" s="31" t="s">
        <v>23</v>
      </c>
    </row>
    <row r="5" spans="1:15" ht="14.25" customHeight="1">
      <c r="A5" s="26" t="s">
        <v>1</v>
      </c>
      <c r="B5" s="280" t="s">
        <v>38</v>
      </c>
      <c r="C5" s="280"/>
      <c r="D5" s="280"/>
      <c r="E5" s="281"/>
      <c r="F5" s="28"/>
      <c r="G5" s="28"/>
      <c r="H5" s="28"/>
      <c r="I5" s="28"/>
      <c r="J5" s="28"/>
      <c r="K5" s="29"/>
      <c r="L5" s="29"/>
      <c r="M5" s="30"/>
      <c r="N5" s="30"/>
      <c r="O5" s="31"/>
    </row>
    <row r="6" spans="1:18" ht="13.5">
      <c r="A6" s="26"/>
      <c r="B6" s="27" t="s">
        <v>4</v>
      </c>
      <c r="C6" s="289" t="s">
        <v>93</v>
      </c>
      <c r="D6" s="289"/>
      <c r="E6" s="290"/>
      <c r="F6" s="28">
        <v>8</v>
      </c>
      <c r="G6" s="28">
        <v>1</v>
      </c>
      <c r="H6" s="28">
        <f>F6*G6</f>
        <v>8</v>
      </c>
      <c r="I6" s="120">
        <v>0</v>
      </c>
      <c r="J6" s="28">
        <f>I6*H6</f>
        <v>0</v>
      </c>
      <c r="K6" s="29">
        <f>0.05*J6</f>
        <v>0</v>
      </c>
      <c r="L6" s="29">
        <f>0.1*J6</f>
        <v>0</v>
      </c>
      <c r="M6" s="30">
        <f>(J6*Assumptions!$B$20)+(K6*Assumptions!$B$21)+(L6*Assumptions!$B$22)</f>
        <v>0</v>
      </c>
      <c r="N6" s="30"/>
      <c r="O6" s="31" t="s">
        <v>122</v>
      </c>
      <c r="P6" s="25">
        <f>+M6+N6</f>
        <v>0</v>
      </c>
      <c r="R6" s="25">
        <f>+N6/2</f>
        <v>0</v>
      </c>
    </row>
    <row r="7" spans="1:15" ht="13.5">
      <c r="A7" s="26"/>
      <c r="B7" s="27" t="s">
        <v>5</v>
      </c>
      <c r="C7" s="79" t="s">
        <v>190</v>
      </c>
      <c r="D7" s="79"/>
      <c r="E7" s="133"/>
      <c r="F7" s="28">
        <v>8</v>
      </c>
      <c r="G7" s="28">
        <v>1</v>
      </c>
      <c r="H7" s="28">
        <f>F7*G7</f>
        <v>8</v>
      </c>
      <c r="I7" s="120">
        <v>0</v>
      </c>
      <c r="J7" s="28">
        <f>I7*H7</f>
        <v>0</v>
      </c>
      <c r="K7" s="29">
        <f>0.05*J7</f>
        <v>0</v>
      </c>
      <c r="L7" s="29">
        <f>0.1*J7</f>
        <v>0</v>
      </c>
      <c r="M7" s="30">
        <f>(J7*Assumptions!$B$20)+(K7*Assumptions!$B$21)+(L7*Assumptions!$B$22)</f>
        <v>0</v>
      </c>
      <c r="N7" s="30"/>
      <c r="O7" s="31" t="s">
        <v>202</v>
      </c>
    </row>
    <row r="8" spans="1:15" ht="13.5">
      <c r="A8" s="26"/>
      <c r="B8" s="27" t="s">
        <v>6</v>
      </c>
      <c r="C8" s="289" t="s">
        <v>19</v>
      </c>
      <c r="D8" s="289"/>
      <c r="E8" s="290"/>
      <c r="F8" s="28">
        <v>0</v>
      </c>
      <c r="G8" s="28">
        <v>0</v>
      </c>
      <c r="H8" s="28">
        <f>F8*G8</f>
        <v>0</v>
      </c>
      <c r="I8" s="28">
        <v>26</v>
      </c>
      <c r="J8" s="28">
        <f>H8*I8</f>
        <v>0</v>
      </c>
      <c r="K8" s="29">
        <f>0.05*J8</f>
        <v>0</v>
      </c>
      <c r="L8" s="29">
        <f>0.1*J8</f>
        <v>0</v>
      </c>
      <c r="M8" s="30">
        <f>(J8*Assumptions!$B$20)+(K8*Assumptions!$B$21)+(L8*Assumptions!$B$22)</f>
        <v>0</v>
      </c>
      <c r="N8" s="30"/>
      <c r="O8" s="31" t="s">
        <v>201</v>
      </c>
    </row>
    <row r="9" spans="1:15" ht="13.5">
      <c r="A9" s="26" t="s">
        <v>2</v>
      </c>
      <c r="B9" s="289" t="s">
        <v>13</v>
      </c>
      <c r="C9" s="289"/>
      <c r="D9" s="289"/>
      <c r="E9" s="290"/>
      <c r="F9" s="28"/>
      <c r="G9" s="28"/>
      <c r="H9" s="28"/>
      <c r="I9" s="28"/>
      <c r="J9" s="28"/>
      <c r="K9" s="29"/>
      <c r="L9" s="29"/>
      <c r="M9" s="30"/>
      <c r="N9" s="30"/>
      <c r="O9" s="31"/>
    </row>
    <row r="10" spans="1:19" ht="27.75" customHeight="1">
      <c r="A10" s="26"/>
      <c r="B10" s="27" t="s">
        <v>4</v>
      </c>
      <c r="C10" s="280" t="s">
        <v>71</v>
      </c>
      <c r="D10" s="280"/>
      <c r="E10" s="281"/>
      <c r="F10" s="28">
        <v>4</v>
      </c>
      <c r="G10" s="28">
        <v>1</v>
      </c>
      <c r="H10" s="28">
        <f>F10*G10</f>
        <v>4</v>
      </c>
      <c r="I10" s="28">
        <v>0</v>
      </c>
      <c r="J10" s="28">
        <f>H10*I10</f>
        <v>0</v>
      </c>
      <c r="K10" s="29">
        <f>0.05*J10</f>
        <v>0</v>
      </c>
      <c r="L10" s="29">
        <f>0.1*J10</f>
        <v>0</v>
      </c>
      <c r="M10" s="30">
        <f>(J10*Assumptions!$B$20)+(K10*Assumptions!$B$21)+(L10*Assumptions!$B$22)</f>
        <v>0</v>
      </c>
      <c r="N10" s="30">
        <f>Assumptions!$B$14*I10*G10</f>
        <v>0</v>
      </c>
      <c r="O10" s="31" t="s">
        <v>203</v>
      </c>
      <c r="S10" s="24">
        <f>SUM(J10:L10)</f>
        <v>0</v>
      </c>
    </row>
    <row r="11" spans="1:15" ht="13.5">
      <c r="A11" s="26"/>
      <c r="B11" s="27" t="s">
        <v>5</v>
      </c>
      <c r="C11" s="289" t="s">
        <v>96</v>
      </c>
      <c r="D11" s="289"/>
      <c r="E11" s="290"/>
      <c r="F11" s="28"/>
      <c r="G11" s="28"/>
      <c r="H11" s="28"/>
      <c r="I11" s="28"/>
      <c r="J11" s="28"/>
      <c r="K11" s="29"/>
      <c r="L11" s="29"/>
      <c r="M11" s="30"/>
      <c r="N11" s="30"/>
      <c r="O11" s="31"/>
    </row>
    <row r="12" spans="1:19" ht="13.5">
      <c r="A12" s="26"/>
      <c r="B12" s="27"/>
      <c r="C12" s="27" t="s">
        <v>98</v>
      </c>
      <c r="D12" s="278" t="s">
        <v>39</v>
      </c>
      <c r="E12" s="279"/>
      <c r="F12" s="28">
        <v>4</v>
      </c>
      <c r="G12" s="28">
        <v>0</v>
      </c>
      <c r="H12" s="28">
        <f aca="true" t="shared" si="0" ref="H12:H17">F12*G12</f>
        <v>0</v>
      </c>
      <c r="I12" s="28">
        <v>0</v>
      </c>
      <c r="J12" s="28">
        <f aca="true" t="shared" si="1" ref="J12:J17">H12*I12</f>
        <v>0</v>
      </c>
      <c r="K12" s="29">
        <f aca="true" t="shared" si="2" ref="K12:K17">0.05*J12</f>
        <v>0</v>
      </c>
      <c r="L12" s="29">
        <f aca="true" t="shared" si="3" ref="L12:L17">0.1*J12</f>
        <v>0</v>
      </c>
      <c r="M12" s="30">
        <f>(J12*Assumptions!$B$20)+(K12*Assumptions!$B$21)+(L12*Assumptions!$B$22)</f>
        <v>0</v>
      </c>
      <c r="N12" s="30"/>
      <c r="O12" s="31" t="s">
        <v>28</v>
      </c>
      <c r="S12" s="24">
        <f>SUM(J12:L12)</f>
        <v>0</v>
      </c>
    </row>
    <row r="13" spans="1:19" ht="13.5">
      <c r="A13" s="26" t="s">
        <v>37</v>
      </c>
      <c r="B13" s="27"/>
      <c r="C13" s="27" t="s">
        <v>99</v>
      </c>
      <c r="D13" s="291" t="s">
        <v>40</v>
      </c>
      <c r="E13" s="292"/>
      <c r="F13" s="28">
        <v>4</v>
      </c>
      <c r="G13" s="28">
        <v>0</v>
      </c>
      <c r="H13" s="28">
        <f t="shared" si="0"/>
        <v>0</v>
      </c>
      <c r="I13" s="28">
        <v>0</v>
      </c>
      <c r="J13" s="28">
        <f t="shared" si="1"/>
        <v>0</v>
      </c>
      <c r="K13" s="29">
        <f t="shared" si="2"/>
        <v>0</v>
      </c>
      <c r="L13" s="29">
        <f t="shared" si="3"/>
        <v>0</v>
      </c>
      <c r="M13" s="30">
        <f>(J13*Assumptions!$B$20)+(K13*Assumptions!$B$21)+(L13*Assumptions!$B$22)</f>
        <v>0</v>
      </c>
      <c r="N13" s="30"/>
      <c r="O13" s="31" t="s">
        <v>28</v>
      </c>
      <c r="S13" s="24">
        <f>SUM(J13:L13)</f>
        <v>0</v>
      </c>
    </row>
    <row r="14" spans="1:19" ht="13.5">
      <c r="A14" s="26"/>
      <c r="B14" s="27"/>
      <c r="C14" s="27" t="s">
        <v>100</v>
      </c>
      <c r="D14" s="278" t="s">
        <v>41</v>
      </c>
      <c r="E14" s="279"/>
      <c r="F14" s="28">
        <v>4</v>
      </c>
      <c r="G14" s="28">
        <v>0</v>
      </c>
      <c r="H14" s="28">
        <f t="shared" si="0"/>
        <v>0</v>
      </c>
      <c r="I14" s="28">
        <v>0</v>
      </c>
      <c r="J14" s="28">
        <f t="shared" si="1"/>
        <v>0</v>
      </c>
      <c r="K14" s="29">
        <f t="shared" si="2"/>
        <v>0</v>
      </c>
      <c r="L14" s="29">
        <f t="shared" si="3"/>
        <v>0</v>
      </c>
      <c r="M14" s="30">
        <f>(J14*Assumptions!$B$20)+(K14*Assumptions!$B$21)+(L14*Assumptions!$B$22)</f>
        <v>0</v>
      </c>
      <c r="N14" s="30"/>
      <c r="O14" s="31" t="s">
        <v>28</v>
      </c>
      <c r="S14" s="24">
        <f>SUM(J14:L14)</f>
        <v>0</v>
      </c>
    </row>
    <row r="15" spans="1:15" ht="13.5">
      <c r="A15" s="26"/>
      <c r="B15" s="27" t="s">
        <v>6</v>
      </c>
      <c r="C15" s="27" t="s">
        <v>42</v>
      </c>
      <c r="D15" s="34"/>
      <c r="E15" s="32"/>
      <c r="F15" s="28">
        <v>4</v>
      </c>
      <c r="G15" s="28">
        <v>0</v>
      </c>
      <c r="H15" s="28">
        <f t="shared" si="0"/>
        <v>0</v>
      </c>
      <c r="I15" s="28">
        <v>0</v>
      </c>
      <c r="J15" s="28">
        <f t="shared" si="1"/>
        <v>0</v>
      </c>
      <c r="K15" s="29">
        <f t="shared" si="2"/>
        <v>0</v>
      </c>
      <c r="L15" s="29">
        <f t="shared" si="3"/>
        <v>0</v>
      </c>
      <c r="M15" s="30">
        <f>(J15*Assumptions!$B$20)+(K15*Assumptions!$B$21)+(L15*Assumptions!$B$22)</f>
        <v>0</v>
      </c>
      <c r="N15" s="30"/>
      <c r="O15" s="31" t="s">
        <v>29</v>
      </c>
    </row>
    <row r="16" spans="1:15" ht="13.5">
      <c r="A16" s="26"/>
      <c r="B16" s="27" t="s">
        <v>7</v>
      </c>
      <c r="C16" s="27" t="s">
        <v>63</v>
      </c>
      <c r="D16" s="34"/>
      <c r="E16" s="32"/>
      <c r="F16" s="28">
        <v>2</v>
      </c>
      <c r="G16" s="28">
        <v>1</v>
      </c>
      <c r="H16" s="28">
        <f t="shared" si="0"/>
        <v>2</v>
      </c>
      <c r="I16" s="28">
        <f>+I6</f>
        <v>0</v>
      </c>
      <c r="J16" s="28">
        <f t="shared" si="1"/>
        <v>0</v>
      </c>
      <c r="K16" s="29">
        <f t="shared" si="2"/>
        <v>0</v>
      </c>
      <c r="L16" s="29">
        <f t="shared" si="3"/>
        <v>0</v>
      </c>
      <c r="M16" s="30">
        <f>(J16*Assumptions!$B$20)+(K16*Assumptions!$B$21)+(L16*Assumptions!$B$22)</f>
        <v>0</v>
      </c>
      <c r="N16" s="30"/>
      <c r="O16" s="31" t="s">
        <v>122</v>
      </c>
    </row>
    <row r="17" spans="1:19" ht="13.5">
      <c r="A17" s="26"/>
      <c r="B17" s="27" t="s">
        <v>8</v>
      </c>
      <c r="C17" s="27" t="s">
        <v>21</v>
      </c>
      <c r="D17" s="34"/>
      <c r="E17" s="32"/>
      <c r="F17" s="28">
        <v>4</v>
      </c>
      <c r="G17" s="28">
        <v>1</v>
      </c>
      <c r="H17" s="28">
        <f t="shared" si="0"/>
        <v>4</v>
      </c>
      <c r="I17" s="28">
        <v>0</v>
      </c>
      <c r="J17" s="28">
        <f t="shared" si="1"/>
        <v>0</v>
      </c>
      <c r="K17" s="29">
        <f t="shared" si="2"/>
        <v>0</v>
      </c>
      <c r="L17" s="29">
        <f t="shared" si="3"/>
        <v>0</v>
      </c>
      <c r="M17" s="30">
        <f>(J17*Assumptions!$B$20)+(K17*Assumptions!$B$21)+(L17*Assumptions!$B$22)</f>
        <v>0</v>
      </c>
      <c r="N17" s="30">
        <f>Assumptions!$B$14*I17*G17</f>
        <v>0</v>
      </c>
      <c r="O17" s="31" t="s">
        <v>206</v>
      </c>
      <c r="S17" s="24">
        <f>SUM(J17:L17)</f>
        <v>0</v>
      </c>
    </row>
    <row r="18" spans="1:15" ht="13.5">
      <c r="A18" s="26" t="s">
        <v>3</v>
      </c>
      <c r="B18" s="27" t="s">
        <v>80</v>
      </c>
      <c r="C18" s="27"/>
      <c r="D18" s="36"/>
      <c r="E18" s="34"/>
      <c r="F18" s="28"/>
      <c r="G18" s="28"/>
      <c r="H18" s="28"/>
      <c r="I18" s="28"/>
      <c r="J18" s="28"/>
      <c r="K18" s="29"/>
      <c r="L18" s="29"/>
      <c r="M18" s="30"/>
      <c r="N18" s="30"/>
      <c r="O18" s="31"/>
    </row>
    <row r="19" spans="1:15" ht="13.5">
      <c r="A19" s="26"/>
      <c r="B19" s="27" t="s">
        <v>4</v>
      </c>
      <c r="C19" s="27" t="s">
        <v>192</v>
      </c>
      <c r="D19" s="36"/>
      <c r="E19" s="34"/>
      <c r="F19" s="28">
        <v>4</v>
      </c>
      <c r="G19" s="28">
        <v>1</v>
      </c>
      <c r="H19" s="28">
        <f>F19*G19</f>
        <v>4</v>
      </c>
      <c r="I19" s="28">
        <v>0</v>
      </c>
      <c r="J19" s="28">
        <f>I19*H19</f>
        <v>0</v>
      </c>
      <c r="K19" s="29">
        <f>0.05*J19</f>
        <v>0</v>
      </c>
      <c r="L19" s="29">
        <f>0.1*J19</f>
        <v>0</v>
      </c>
      <c r="M19" s="30">
        <f>(J19*Assumptions!$B$20)+(K19*Assumptions!$B$21)+(L19*Assumptions!$B$22)</f>
        <v>0</v>
      </c>
      <c r="N19" s="30"/>
      <c r="O19" s="31" t="s">
        <v>23</v>
      </c>
    </row>
    <row r="20" spans="1:15" ht="13.5">
      <c r="A20" s="26"/>
      <c r="B20" s="27" t="s">
        <v>5</v>
      </c>
      <c r="C20" s="27" t="s">
        <v>196</v>
      </c>
      <c r="D20" s="36"/>
      <c r="E20" s="34"/>
      <c r="F20" s="28">
        <v>4</v>
      </c>
      <c r="G20" s="28">
        <v>1</v>
      </c>
      <c r="H20" s="28">
        <f>F20*G20</f>
        <v>4</v>
      </c>
      <c r="I20" s="28">
        <v>0</v>
      </c>
      <c r="J20" s="28">
        <f>I20*H20</f>
        <v>0</v>
      </c>
      <c r="K20" s="29">
        <f>0.05*J20</f>
        <v>0</v>
      </c>
      <c r="L20" s="29">
        <f>0.1*J20</f>
        <v>0</v>
      </c>
      <c r="M20" s="30">
        <f>(J20*Assumptions!$B$20)+(K20*Assumptions!$B$21)+(L20*Assumptions!$B$22)</f>
        <v>0</v>
      </c>
      <c r="N20" s="30"/>
      <c r="O20" s="31" t="s">
        <v>207</v>
      </c>
    </row>
    <row r="21" spans="1:15" ht="13.5">
      <c r="A21" s="26"/>
      <c r="B21" s="27" t="s">
        <v>6</v>
      </c>
      <c r="C21" s="27" t="s">
        <v>81</v>
      </c>
      <c r="D21" s="36"/>
      <c r="E21" s="34"/>
      <c r="F21" s="28"/>
      <c r="G21" s="28"/>
      <c r="H21" s="28"/>
      <c r="I21" s="28"/>
      <c r="J21" s="28"/>
      <c r="K21" s="29"/>
      <c r="L21" s="29"/>
      <c r="M21" s="30"/>
      <c r="N21" s="30"/>
      <c r="O21" s="31"/>
    </row>
    <row r="22" spans="1:15" ht="13.5">
      <c r="A22" s="26"/>
      <c r="B22" s="27"/>
      <c r="C22" s="27" t="s">
        <v>98</v>
      </c>
      <c r="D22" s="37" t="s">
        <v>83</v>
      </c>
      <c r="E22" s="34"/>
      <c r="F22" s="28">
        <v>1</v>
      </c>
      <c r="G22" s="28">
        <v>1</v>
      </c>
      <c r="H22" s="28">
        <f>F22*G22</f>
        <v>1</v>
      </c>
      <c r="I22" s="28">
        <f>+I6</f>
        <v>0</v>
      </c>
      <c r="J22" s="28">
        <f>I22*H22</f>
        <v>0</v>
      </c>
      <c r="K22" s="29">
        <f>0.05*J22</f>
        <v>0</v>
      </c>
      <c r="L22" s="29">
        <f>0.1*J22</f>
        <v>0</v>
      </c>
      <c r="M22" s="30">
        <f>(J22*Assumptions!$B$20)+(K22*Assumptions!$B$21)+(L22*Assumptions!$B$22)</f>
        <v>0</v>
      </c>
      <c r="N22" s="30"/>
      <c r="O22" s="31" t="s">
        <v>24</v>
      </c>
    </row>
    <row r="23" spans="1:15" ht="13.5">
      <c r="A23" s="26"/>
      <c r="B23" s="27"/>
      <c r="C23" s="27" t="s">
        <v>99</v>
      </c>
      <c r="D23" s="37" t="s">
        <v>191</v>
      </c>
      <c r="E23" s="34"/>
      <c r="F23" s="38">
        <v>0.5</v>
      </c>
      <c r="G23" s="28">
        <v>52</v>
      </c>
      <c r="H23" s="28">
        <f>F23*G23</f>
        <v>26</v>
      </c>
      <c r="I23" s="28">
        <v>26</v>
      </c>
      <c r="J23" s="28">
        <f>I23*H23</f>
        <v>676</v>
      </c>
      <c r="K23" s="29">
        <f>0.05*J23</f>
        <v>33.800000000000004</v>
      </c>
      <c r="L23" s="29">
        <f>0.1*J23</f>
        <v>67.60000000000001</v>
      </c>
      <c r="M23" s="30">
        <f>(J23*Assumptions!$B$20)+(K23*Assumptions!$B$21)+(L23*Assumptions!$B$22)</f>
        <v>57385.09920000002</v>
      </c>
      <c r="N23" s="30"/>
      <c r="O23" s="31"/>
    </row>
    <row r="24" spans="1:15" ht="27.75" customHeight="1">
      <c r="A24" s="26"/>
      <c r="B24" s="27"/>
      <c r="C24" s="27" t="s">
        <v>100</v>
      </c>
      <c r="D24" s="276" t="s">
        <v>195</v>
      </c>
      <c r="E24" s="277"/>
      <c r="F24" s="28">
        <v>1</v>
      </c>
      <c r="G24" s="28">
        <v>12</v>
      </c>
      <c r="H24" s="28">
        <f>F24*G24</f>
        <v>12</v>
      </c>
      <c r="I24" s="28">
        <v>26</v>
      </c>
      <c r="J24" s="28">
        <f>I24*H24</f>
        <v>312</v>
      </c>
      <c r="K24" s="29">
        <f>0.05*J24</f>
        <v>15.600000000000001</v>
      </c>
      <c r="L24" s="29">
        <f>0.1*J24</f>
        <v>31.200000000000003</v>
      </c>
      <c r="M24" s="30">
        <f>(J24*Assumptions!$B$20)+(K24*Assumptions!$B$21)+(L24*Assumptions!$B$22)</f>
        <v>26485.43040000001</v>
      </c>
      <c r="N24" s="30"/>
      <c r="O24" s="31" t="s">
        <v>25</v>
      </c>
    </row>
    <row r="25" spans="1:15" ht="13.5">
      <c r="A25" s="26"/>
      <c r="B25" s="27"/>
      <c r="C25" s="27" t="s">
        <v>193</v>
      </c>
      <c r="D25" s="276" t="s">
        <v>194</v>
      </c>
      <c r="E25" s="277"/>
      <c r="F25" s="28">
        <v>1</v>
      </c>
      <c r="G25" s="28">
        <v>12</v>
      </c>
      <c r="H25" s="28">
        <f>F25*G25</f>
        <v>12</v>
      </c>
      <c r="I25" s="28">
        <v>26</v>
      </c>
      <c r="J25" s="28">
        <f>I25*H25</f>
        <v>312</v>
      </c>
      <c r="K25" s="29">
        <f>0.05*J25</f>
        <v>15.600000000000001</v>
      </c>
      <c r="L25" s="29">
        <f>0.1*J25</f>
        <v>31.200000000000003</v>
      </c>
      <c r="M25" s="30">
        <f>(J25*Assumptions!$B$20)+(K25*Assumptions!$B$21)+(L25*Assumptions!$B$22)</f>
        <v>26485.43040000001</v>
      </c>
      <c r="N25" s="30"/>
      <c r="O25" s="31" t="s">
        <v>25</v>
      </c>
    </row>
    <row r="26" spans="1:15" ht="13.5">
      <c r="A26" s="26"/>
      <c r="B26" s="27" t="s">
        <v>7</v>
      </c>
      <c r="C26" s="27" t="s">
        <v>82</v>
      </c>
      <c r="D26" s="37"/>
      <c r="E26" s="34"/>
      <c r="F26" s="28">
        <v>4</v>
      </c>
      <c r="G26" s="28">
        <v>1</v>
      </c>
      <c r="H26" s="28">
        <f>F26*G26</f>
        <v>4</v>
      </c>
      <c r="I26" s="28">
        <v>26</v>
      </c>
      <c r="J26" s="28">
        <f>I26*H26</f>
        <v>104</v>
      </c>
      <c r="K26" s="29">
        <f>0.05*J26</f>
        <v>5.2</v>
      </c>
      <c r="L26" s="29">
        <f>0.1*J26</f>
        <v>10.4</v>
      </c>
      <c r="M26" s="30">
        <f>(J26*Assumptions!$B$20)+(K26*Assumptions!$B$21)+(L26*Assumptions!$B$22)</f>
        <v>8828.476800000002</v>
      </c>
      <c r="N26" s="30"/>
      <c r="O26" s="31"/>
    </row>
    <row r="27" spans="1:15" ht="13.5">
      <c r="A27" s="26" t="s">
        <v>9</v>
      </c>
      <c r="B27" s="27" t="s">
        <v>14</v>
      </c>
      <c r="C27" s="27"/>
      <c r="D27" s="35"/>
      <c r="E27" s="32"/>
      <c r="F27" s="28"/>
      <c r="G27" s="28"/>
      <c r="H27" s="28"/>
      <c r="I27" s="28"/>
      <c r="J27" s="28"/>
      <c r="K27" s="29"/>
      <c r="L27" s="29"/>
      <c r="M27" s="30"/>
      <c r="N27" s="30"/>
      <c r="O27" s="39"/>
    </row>
    <row r="28" spans="1:15" ht="13.5">
      <c r="A28" s="26"/>
      <c r="B28" s="27" t="s">
        <v>4</v>
      </c>
      <c r="C28" s="27" t="s">
        <v>86</v>
      </c>
      <c r="D28" s="35"/>
      <c r="E28" s="32"/>
      <c r="F28" s="28">
        <v>4</v>
      </c>
      <c r="G28" s="28">
        <v>2</v>
      </c>
      <c r="H28" s="28">
        <f>F28*G28</f>
        <v>8</v>
      </c>
      <c r="I28" s="28">
        <v>26</v>
      </c>
      <c r="J28" s="28">
        <f>I28*H28</f>
        <v>208</v>
      </c>
      <c r="K28" s="29">
        <f>0.05*J28</f>
        <v>10.4</v>
      </c>
      <c r="L28" s="29">
        <f>0.1*J28</f>
        <v>20.8</v>
      </c>
      <c r="M28" s="30">
        <f>(J28*Assumptions!$B$20)+(K28*Assumptions!$B$21)+(L28*Assumptions!$B$22)</f>
        <v>17656.953600000004</v>
      </c>
      <c r="N28" s="30"/>
      <c r="O28" s="39"/>
    </row>
    <row r="29" spans="1:15" ht="13.5">
      <c r="A29" s="26"/>
      <c r="B29" s="27" t="s">
        <v>5</v>
      </c>
      <c r="C29" s="27" t="s">
        <v>68</v>
      </c>
      <c r="D29" s="33"/>
      <c r="E29" s="32"/>
      <c r="F29" s="28">
        <v>4</v>
      </c>
      <c r="G29" s="28">
        <v>2</v>
      </c>
      <c r="H29" s="28">
        <f>F29*G29</f>
        <v>8</v>
      </c>
      <c r="I29" s="28">
        <v>26</v>
      </c>
      <c r="J29" s="28">
        <f>I29*H29</f>
        <v>208</v>
      </c>
      <c r="K29" s="29">
        <f>0.05*J29</f>
        <v>10.4</v>
      </c>
      <c r="L29" s="29">
        <f>0.1*J29</f>
        <v>20.8</v>
      </c>
      <c r="M29" s="30">
        <f>(J29*Assumptions!$B$20)+(K29*Assumptions!$B$21)+(L29*Assumptions!$B$22)</f>
        <v>17656.953600000004</v>
      </c>
      <c r="N29" s="30">
        <f>Assumptions!$B$14*I29*G29</f>
        <v>390</v>
      </c>
      <c r="O29" s="39" t="s">
        <v>59</v>
      </c>
    </row>
    <row r="30" spans="1:15" ht="13.5">
      <c r="A30" s="26" t="s">
        <v>18</v>
      </c>
      <c r="B30" s="40" t="s">
        <v>85</v>
      </c>
      <c r="C30" s="27"/>
      <c r="D30" s="40"/>
      <c r="E30" s="34"/>
      <c r="F30" s="28">
        <v>4</v>
      </c>
      <c r="G30" s="28">
        <v>1</v>
      </c>
      <c r="H30" s="28">
        <f>F30*G30</f>
        <v>4</v>
      </c>
      <c r="I30" s="28">
        <v>0</v>
      </c>
      <c r="J30" s="28">
        <f>I30*H30</f>
        <v>0</v>
      </c>
      <c r="K30" s="29">
        <f>0.05*J30</f>
        <v>0</v>
      </c>
      <c r="L30" s="29">
        <f>0.1*J30</f>
        <v>0</v>
      </c>
      <c r="M30" s="30">
        <f>(J30*Assumptions!$B$20)+(K30*Assumptions!$B$21)+(L30*Assumptions!$B$22)</f>
        <v>0</v>
      </c>
      <c r="N30" s="30"/>
      <c r="O30" s="31" t="s">
        <v>78</v>
      </c>
    </row>
    <row r="31" spans="1:15" ht="13.5">
      <c r="A31" s="26" t="s">
        <v>20</v>
      </c>
      <c r="B31" s="40" t="s">
        <v>84</v>
      </c>
      <c r="C31" s="27"/>
      <c r="D31" s="40"/>
      <c r="E31" s="34"/>
      <c r="F31" s="28">
        <v>0</v>
      </c>
      <c r="G31" s="28">
        <v>0</v>
      </c>
      <c r="H31" s="28">
        <f>F31*G31</f>
        <v>0</v>
      </c>
      <c r="I31" s="28">
        <v>26</v>
      </c>
      <c r="J31" s="28">
        <f>H31*I31</f>
        <v>0</v>
      </c>
      <c r="K31" s="29">
        <f>0.05*J31</f>
        <v>0</v>
      </c>
      <c r="L31" s="29">
        <f>0.1*J31</f>
        <v>0</v>
      </c>
      <c r="M31" s="30">
        <f>(J31*Assumptions!$B$20)+(K31*Assumptions!$B$21)+(L31*Assumptions!$B$22)</f>
        <v>0</v>
      </c>
      <c r="N31" s="30"/>
      <c r="O31" s="31" t="s">
        <v>79</v>
      </c>
    </row>
    <row r="32" spans="1:18" ht="13.5">
      <c r="A32" s="41"/>
      <c r="B32" s="42" t="s">
        <v>46</v>
      </c>
      <c r="C32" s="42"/>
      <c r="D32" s="43"/>
      <c r="E32" s="43"/>
      <c r="F32" s="44"/>
      <c r="G32" s="44"/>
      <c r="H32" s="45"/>
      <c r="I32" s="45"/>
      <c r="J32" s="46">
        <f>SUM(J4:J31)</f>
        <v>1820</v>
      </c>
      <c r="K32" s="125">
        <f>SUM(K4:K31)</f>
        <v>91.00000000000001</v>
      </c>
      <c r="L32" s="125">
        <f>SUM(L4:L31)</f>
        <v>182.00000000000003</v>
      </c>
      <c r="M32" s="48">
        <f>SUM(M4:M31)</f>
        <v>154498.34400000004</v>
      </c>
      <c r="N32" s="48">
        <f>SUM(N4:N31)</f>
        <v>390</v>
      </c>
      <c r="O32" s="49"/>
      <c r="R32" s="25">
        <f>+N29+N17+N16+N10</f>
        <v>390</v>
      </c>
    </row>
    <row r="33" spans="1:15" ht="27">
      <c r="A33" s="50"/>
      <c r="B33" s="51"/>
      <c r="C33" s="51"/>
      <c r="D33" s="52"/>
      <c r="E33" s="52"/>
      <c r="F33" s="53"/>
      <c r="G33" s="54"/>
      <c r="H33" s="55" t="s">
        <v>33</v>
      </c>
      <c r="I33" s="55" t="s">
        <v>48</v>
      </c>
      <c r="J33" s="55" t="s">
        <v>49</v>
      </c>
      <c r="K33" s="55" t="s">
        <v>50</v>
      </c>
      <c r="L33" s="56"/>
      <c r="M33" s="57"/>
      <c r="N33" s="57"/>
      <c r="O33" s="58"/>
    </row>
    <row r="34" spans="1:15" ht="13.5">
      <c r="A34" s="50"/>
      <c r="B34" s="51"/>
      <c r="C34" s="51"/>
      <c r="D34" s="52"/>
      <c r="E34" s="52"/>
      <c r="F34" s="59" t="s">
        <v>47</v>
      </c>
      <c r="G34" s="54"/>
      <c r="H34" s="55">
        <f>SUM(J32:L32)</f>
        <v>2093</v>
      </c>
      <c r="I34" s="60">
        <f>M32</f>
        <v>154498.34400000004</v>
      </c>
      <c r="J34" s="60">
        <f>N32</f>
        <v>390</v>
      </c>
      <c r="K34" s="60">
        <f>SUM(I34:J34)</f>
        <v>154888.34400000004</v>
      </c>
      <c r="L34" s="56"/>
      <c r="M34" s="57"/>
      <c r="N34" s="57"/>
      <c r="O34" s="58"/>
    </row>
    <row r="35" spans="1:15" ht="13.5">
      <c r="A35" s="50"/>
      <c r="B35" s="51"/>
      <c r="C35" s="51"/>
      <c r="D35" s="52"/>
      <c r="E35" s="52"/>
      <c r="F35" s="59" t="s">
        <v>51</v>
      </c>
      <c r="G35" s="54"/>
      <c r="H35" s="55">
        <v>0</v>
      </c>
      <c r="I35" s="61">
        <v>0</v>
      </c>
      <c r="J35" s="61">
        <v>0</v>
      </c>
      <c r="K35" s="60">
        <f>SUM(I35:J35)</f>
        <v>0</v>
      </c>
      <c r="L35" s="56"/>
      <c r="M35" s="57"/>
      <c r="N35" s="57"/>
      <c r="O35" s="58"/>
    </row>
    <row r="36" spans="1:15" ht="16.5" customHeight="1" thickBot="1">
      <c r="A36" s="62"/>
      <c r="B36" s="63"/>
      <c r="C36" s="63"/>
      <c r="D36" s="64"/>
      <c r="E36" s="64"/>
      <c r="F36" s="65" t="s">
        <v>52</v>
      </c>
      <c r="G36" s="66"/>
      <c r="H36" s="67">
        <v>0</v>
      </c>
      <c r="I36" s="68">
        <v>0</v>
      </c>
      <c r="J36" s="68">
        <f>SUM(J34:J35)</f>
        <v>390</v>
      </c>
      <c r="K36" s="69">
        <f>SUM(I36:J36)</f>
        <v>390</v>
      </c>
      <c r="L36" s="70"/>
      <c r="M36" s="71"/>
      <c r="N36" s="71"/>
      <c r="O36" s="72"/>
    </row>
    <row r="37" spans="1:15" ht="15.75">
      <c r="A37" s="73" t="s">
        <v>22</v>
      </c>
      <c r="B37" s="295" t="s">
        <v>198</v>
      </c>
      <c r="C37" s="295"/>
      <c r="D37" s="295"/>
      <c r="E37" s="295"/>
      <c r="F37" s="295"/>
      <c r="G37" s="295"/>
      <c r="H37" s="295"/>
      <c r="I37" s="295"/>
      <c r="J37" s="295"/>
      <c r="K37" s="295"/>
      <c r="L37" s="295"/>
      <c r="M37" s="295"/>
      <c r="N37" s="295"/>
      <c r="O37" s="295"/>
    </row>
    <row r="38" spans="1:8" ht="15.75">
      <c r="A38" s="73" t="s">
        <v>23</v>
      </c>
      <c r="B38" s="25" t="s">
        <v>103</v>
      </c>
      <c r="F38" s="25"/>
      <c r="G38" s="25"/>
      <c r="H38" s="25"/>
    </row>
    <row r="39" spans="1:15" ht="30" customHeight="1">
      <c r="A39" s="73" t="s">
        <v>24</v>
      </c>
      <c r="B39" s="296" t="s">
        <v>200</v>
      </c>
      <c r="C39" s="297"/>
      <c r="D39" s="297"/>
      <c r="E39" s="297"/>
      <c r="F39" s="297"/>
      <c r="G39" s="297"/>
      <c r="H39" s="297"/>
      <c r="I39" s="297"/>
      <c r="J39" s="297"/>
      <c r="K39" s="297"/>
      <c r="L39" s="297"/>
      <c r="M39" s="297"/>
      <c r="N39" s="297"/>
      <c r="O39" s="297"/>
    </row>
    <row r="40" spans="1:15" ht="24.75" customHeight="1">
      <c r="A40" s="73" t="s">
        <v>25</v>
      </c>
      <c r="B40" s="299" t="s">
        <v>199</v>
      </c>
      <c r="C40" s="300"/>
      <c r="D40" s="300"/>
      <c r="E40" s="300"/>
      <c r="F40" s="300"/>
      <c r="G40" s="300"/>
      <c r="H40" s="300"/>
      <c r="I40" s="300"/>
      <c r="J40" s="300"/>
      <c r="K40" s="300"/>
      <c r="L40" s="300"/>
      <c r="M40" s="300"/>
      <c r="N40" s="300"/>
      <c r="O40" s="300"/>
    </row>
    <row r="41" spans="1:15" ht="27.75" customHeight="1">
      <c r="A41" s="73" t="s">
        <v>26</v>
      </c>
      <c r="B41" s="298" t="s">
        <v>94</v>
      </c>
      <c r="C41" s="298"/>
      <c r="D41" s="298"/>
      <c r="E41" s="298"/>
      <c r="F41" s="298"/>
      <c r="G41" s="298"/>
      <c r="H41" s="298"/>
      <c r="I41" s="298"/>
      <c r="J41" s="298"/>
      <c r="K41" s="298"/>
      <c r="L41" s="298"/>
      <c r="M41" s="298"/>
      <c r="N41" s="298"/>
      <c r="O41" s="298"/>
    </row>
    <row r="42" spans="1:8" ht="15.75">
      <c r="A42" s="73" t="s">
        <v>27</v>
      </c>
      <c r="B42" s="25" t="s">
        <v>95</v>
      </c>
      <c r="F42" s="25"/>
      <c r="G42" s="25"/>
      <c r="H42" s="25"/>
    </row>
    <row r="43" spans="1:8" ht="15.75">
      <c r="A43" s="73" t="s">
        <v>28</v>
      </c>
      <c r="B43" s="25" t="s">
        <v>97</v>
      </c>
      <c r="F43" s="25"/>
      <c r="G43" s="25"/>
      <c r="H43" s="25"/>
    </row>
    <row r="44" spans="1:8" ht="15.75">
      <c r="A44" s="73" t="s">
        <v>29</v>
      </c>
      <c r="B44" s="25" t="s">
        <v>90</v>
      </c>
      <c r="F44" s="25"/>
      <c r="G44" s="25"/>
      <c r="H44" s="25"/>
    </row>
    <row r="45" spans="1:8" ht="15.75">
      <c r="A45" s="73" t="s">
        <v>59</v>
      </c>
      <c r="B45" s="25" t="s">
        <v>102</v>
      </c>
      <c r="F45" s="25"/>
      <c r="G45" s="25"/>
      <c r="H45" s="25"/>
    </row>
    <row r="46" spans="1:8" ht="15.75">
      <c r="A46" s="73" t="s">
        <v>78</v>
      </c>
      <c r="B46" s="25" t="s">
        <v>157</v>
      </c>
      <c r="F46" s="25"/>
      <c r="G46" s="25"/>
      <c r="H46" s="25"/>
    </row>
    <row r="47" spans="1:8" ht="15.75">
      <c r="A47" s="73" t="s">
        <v>79</v>
      </c>
      <c r="B47" s="25" t="s">
        <v>158</v>
      </c>
      <c r="F47" s="25"/>
      <c r="G47" s="25"/>
      <c r="H47" s="25"/>
    </row>
    <row r="48" spans="1:8" ht="15.75">
      <c r="A48" s="73"/>
      <c r="F48" s="25"/>
      <c r="G48" s="25"/>
      <c r="H48" s="25"/>
    </row>
    <row r="49" spans="1:8" ht="13.5">
      <c r="A49" s="77"/>
      <c r="F49" s="25"/>
      <c r="G49" s="25"/>
      <c r="H49" s="25"/>
    </row>
    <row r="50" spans="6:8" ht="13.5">
      <c r="F50" s="25"/>
      <c r="G50" s="25"/>
      <c r="H50" s="25"/>
    </row>
    <row r="51" spans="6:8" ht="13.5">
      <c r="F51" s="25"/>
      <c r="G51" s="25"/>
      <c r="H51" s="25"/>
    </row>
    <row r="52" spans="6:8" ht="13.5">
      <c r="F52" s="25"/>
      <c r="G52" s="25"/>
      <c r="H52" s="25"/>
    </row>
  </sheetData>
  <mergeCells count="21">
    <mergeCell ref="N2:N3"/>
    <mergeCell ref="D25:E25"/>
    <mergeCell ref="D24:E24"/>
    <mergeCell ref="D14:E14"/>
    <mergeCell ref="B4:E4"/>
    <mergeCell ref="B5:E5"/>
    <mergeCell ref="A2:E3"/>
    <mergeCell ref="A1:O1"/>
    <mergeCell ref="C11:E11"/>
    <mergeCell ref="D12:E12"/>
    <mergeCell ref="D13:E13"/>
    <mergeCell ref="C8:E8"/>
    <mergeCell ref="B9:E9"/>
    <mergeCell ref="O2:O3"/>
    <mergeCell ref="M2:M3"/>
    <mergeCell ref="C10:E10"/>
    <mergeCell ref="C6:E6"/>
    <mergeCell ref="B37:O37"/>
    <mergeCell ref="B39:O39"/>
    <mergeCell ref="B41:O41"/>
    <mergeCell ref="B40:O40"/>
  </mergeCells>
  <printOptions horizontalCentered="1"/>
  <pageMargins left="0.5" right="0.51" top="0.5" bottom="0.5" header="0.51" footer="0.5"/>
  <pageSetup fitToHeight="1" fitToWidth="1" horizontalDpi="600" verticalDpi="600" orientation="landscape" scale="56" r:id="rId1"/>
</worksheet>
</file>

<file path=xl/worksheets/sheet6.xml><?xml version="1.0" encoding="utf-8"?>
<worksheet xmlns="http://schemas.openxmlformats.org/spreadsheetml/2006/main" xmlns:r="http://schemas.openxmlformats.org/officeDocument/2006/relationships">
  <sheetPr>
    <pageSetUpPr fitToPage="1"/>
  </sheetPr>
  <dimension ref="A1:L23"/>
  <sheetViews>
    <sheetView workbookViewId="0" topLeftCell="A1">
      <selection activeCell="F19" sqref="F19"/>
    </sheetView>
  </sheetViews>
  <sheetFormatPr defaultColWidth="9.140625" defaultRowHeight="12.75"/>
  <cols>
    <col min="1" max="1" width="13.57421875" style="9" customWidth="1"/>
    <col min="2" max="8" width="13.57421875" style="21" customWidth="1"/>
    <col min="9" max="9" width="9.140625" style="9" customWidth="1"/>
    <col min="10" max="10" width="12.421875" style="9" bestFit="1" customWidth="1"/>
    <col min="11" max="11" width="14.8515625" style="9" customWidth="1"/>
    <col min="12" max="12" width="18.140625" style="9" customWidth="1"/>
    <col min="13" max="16384" width="9.140625" style="9" customWidth="1"/>
  </cols>
  <sheetData>
    <row r="1" spans="1:8" ht="27" customHeight="1" thickBot="1">
      <c r="A1" s="301" t="s">
        <v>224</v>
      </c>
      <c r="B1" s="301"/>
      <c r="C1" s="301"/>
      <c r="D1" s="301"/>
      <c r="E1" s="301"/>
      <c r="F1" s="301"/>
      <c r="G1" s="301"/>
      <c r="H1" s="301"/>
    </row>
    <row r="2" spans="1:12" ht="41.25" thickBot="1">
      <c r="A2" s="156" t="s">
        <v>32</v>
      </c>
      <c r="B2" s="91" t="s">
        <v>75</v>
      </c>
      <c r="C2" s="91" t="s">
        <v>76</v>
      </c>
      <c r="D2" s="91" t="s">
        <v>77</v>
      </c>
      <c r="E2" s="91" t="s">
        <v>33</v>
      </c>
      <c r="F2" s="91" t="s">
        <v>34</v>
      </c>
      <c r="G2" s="91" t="s">
        <v>58</v>
      </c>
      <c r="H2" s="157" t="s">
        <v>35</v>
      </c>
      <c r="J2" s="91" t="s">
        <v>128</v>
      </c>
      <c r="K2" s="91" t="s">
        <v>129</v>
      </c>
      <c r="L2" s="91" t="s">
        <v>208</v>
      </c>
    </row>
    <row r="3" spans="1:12" ht="14.25" thickTop="1">
      <c r="A3" s="86">
        <v>1</v>
      </c>
      <c r="B3" s="87">
        <f>'Industry Yr 1'!J32</f>
        <v>2548</v>
      </c>
      <c r="C3" s="88">
        <f>'Industry Yr 1'!K32</f>
        <v>127.4</v>
      </c>
      <c r="D3" s="88">
        <f>+'Industry Yr 1'!L32</f>
        <v>254.8</v>
      </c>
      <c r="E3" s="87">
        <f>'Industry Yr 1'!H34</f>
        <v>2930.2000000000003</v>
      </c>
      <c r="F3" s="89">
        <f>'Industry Yr 1'!I34</f>
        <v>216297.68160000007</v>
      </c>
      <c r="G3" s="89">
        <f>'Industry Yr 1'!J34</f>
        <v>780</v>
      </c>
      <c r="H3" s="90">
        <f>SUM(F3:G3)</f>
        <v>217077.68160000007</v>
      </c>
      <c r="I3" s="14"/>
      <c r="J3" s="89">
        <f>+'Industry Yr 1'!N6</f>
        <v>0</v>
      </c>
      <c r="K3" s="121">
        <f>+'Industry Yr 1'!N10+'Industry Yr 1'!N16+'Industry Yr 1'!N17+'Industry Yr 1'!N29</f>
        <v>780</v>
      </c>
      <c r="L3" s="121">
        <v>0</v>
      </c>
    </row>
    <row r="4" spans="1:12" ht="13.5">
      <c r="A4" s="161">
        <v>2</v>
      </c>
      <c r="B4" s="87">
        <f>'Industry Yr 2'!J32</f>
        <v>1820</v>
      </c>
      <c r="C4" s="88">
        <f>'Industry Yr 2'!K32</f>
        <v>91.00000000000001</v>
      </c>
      <c r="D4" s="88">
        <f>'Industry Yr 2'!L32</f>
        <v>182.00000000000003</v>
      </c>
      <c r="E4" s="87">
        <f>'Industry Yr 2'!H34</f>
        <v>2093</v>
      </c>
      <c r="F4" s="89">
        <f>'Industry Yr 2'!I34</f>
        <v>154498.34400000004</v>
      </c>
      <c r="G4" s="89">
        <f>'Industry Yr 2'!J34</f>
        <v>390</v>
      </c>
      <c r="H4" s="90">
        <f>SUM(F4:G4)</f>
        <v>154888.34400000004</v>
      </c>
      <c r="I4" s="14"/>
      <c r="J4" s="18"/>
      <c r="K4" s="160">
        <f>G4</f>
        <v>390</v>
      </c>
      <c r="L4" s="160"/>
    </row>
    <row r="5" spans="1:12" ht="13.5">
      <c r="A5" s="161">
        <v>3</v>
      </c>
      <c r="B5" s="87">
        <f>'Industry Yr 3'!J32</f>
        <v>1820</v>
      </c>
      <c r="C5" s="88">
        <f>'Industry Yr 3'!K32</f>
        <v>91.00000000000001</v>
      </c>
      <c r="D5" s="88">
        <f>'Industry Yr 3'!L32</f>
        <v>182.00000000000003</v>
      </c>
      <c r="E5" s="87">
        <f>'Industry Yr 3'!H34</f>
        <v>2093</v>
      </c>
      <c r="F5" s="89">
        <f>'Industry Yr 3'!I34</f>
        <v>154498.34400000004</v>
      </c>
      <c r="G5" s="89">
        <f>'Industry Yr 3'!J34</f>
        <v>390</v>
      </c>
      <c r="H5" s="90">
        <f>SUM(F5:G5)</f>
        <v>154888.34400000004</v>
      </c>
      <c r="I5" s="14"/>
      <c r="J5" s="18"/>
      <c r="K5" s="160">
        <f>G5</f>
        <v>390</v>
      </c>
      <c r="L5" s="160"/>
    </row>
    <row r="6" spans="1:12" ht="13.5">
      <c r="A6" s="83" t="s">
        <v>104</v>
      </c>
      <c r="B6" s="16">
        <f aca="true" t="shared" si="0" ref="B6:H6">SUM(B3:B5)</f>
        <v>6188</v>
      </c>
      <c r="C6" s="16">
        <f t="shared" si="0"/>
        <v>309.40000000000003</v>
      </c>
      <c r="D6" s="16">
        <f t="shared" si="0"/>
        <v>618.8000000000001</v>
      </c>
      <c r="E6" s="16">
        <f>SUM(E3:E5)</f>
        <v>7116.200000000001</v>
      </c>
      <c r="F6" s="18">
        <f t="shared" si="0"/>
        <v>525294.3696000001</v>
      </c>
      <c r="G6" s="18">
        <f t="shared" si="0"/>
        <v>1560</v>
      </c>
      <c r="H6" s="129">
        <f t="shared" si="0"/>
        <v>526854.3696000001</v>
      </c>
      <c r="I6" s="14"/>
      <c r="J6" s="16">
        <f>SUM(J3:J3)</f>
        <v>0</v>
      </c>
      <c r="K6" s="16">
        <f>SUM(K3:K5)</f>
        <v>1560</v>
      </c>
      <c r="L6" s="16">
        <f>SUM(L3:L3)</f>
        <v>0</v>
      </c>
    </row>
    <row r="7" spans="1:12" ht="14.25" thickBot="1">
      <c r="A7" s="84" t="s">
        <v>105</v>
      </c>
      <c r="B7" s="85">
        <f aca="true" t="shared" si="1" ref="B7:H7">AVERAGE(B3:B5)</f>
        <v>2062.6666666666665</v>
      </c>
      <c r="C7" s="85">
        <f t="shared" si="1"/>
        <v>103.13333333333334</v>
      </c>
      <c r="D7" s="85">
        <f t="shared" si="1"/>
        <v>206.26666666666668</v>
      </c>
      <c r="E7" s="85">
        <f>AVERAGE(E3:E5)</f>
        <v>2372.066666666667</v>
      </c>
      <c r="F7" s="158">
        <f t="shared" si="1"/>
        <v>175098.12320000003</v>
      </c>
      <c r="G7" s="158">
        <f t="shared" si="1"/>
        <v>520</v>
      </c>
      <c r="H7" s="159">
        <f t="shared" si="1"/>
        <v>175618.12320000003</v>
      </c>
      <c r="I7" s="14"/>
      <c r="J7" s="85">
        <f>AVERAGE(J3:J3)</f>
        <v>0</v>
      </c>
      <c r="K7" s="85">
        <f>AVERAGE(K3:K5)</f>
        <v>520</v>
      </c>
      <c r="L7" s="85">
        <f>AVERAGE(L3:L3)</f>
        <v>0</v>
      </c>
    </row>
    <row r="8" spans="1:9" ht="13.5">
      <c r="A8" s="15"/>
      <c r="B8" s="16"/>
      <c r="C8" s="17"/>
      <c r="D8" s="17"/>
      <c r="E8" s="16"/>
      <c r="F8" s="18"/>
      <c r="G8" s="18"/>
      <c r="H8" s="18"/>
      <c r="I8" s="14"/>
    </row>
    <row r="9" spans="1:9" ht="13.5">
      <c r="A9" s="15"/>
      <c r="B9" s="16"/>
      <c r="C9" s="17"/>
      <c r="D9" s="17"/>
      <c r="E9" s="16"/>
      <c r="F9" s="18"/>
      <c r="G9" s="18"/>
      <c r="H9" s="18"/>
      <c r="I9" s="14"/>
    </row>
    <row r="10" spans="1:9" ht="13.5">
      <c r="A10" s="15"/>
      <c r="B10" s="16"/>
      <c r="C10" s="17"/>
      <c r="D10" s="17"/>
      <c r="E10" s="16"/>
      <c r="F10" s="18"/>
      <c r="G10" s="18"/>
      <c r="H10" s="18"/>
      <c r="I10" s="14"/>
    </row>
    <row r="11" spans="1:12" ht="54">
      <c r="A11" s="128" t="s">
        <v>162</v>
      </c>
      <c r="B11" s="155">
        <f>+B7/Assumptions!$B$6</f>
        <v>79.33333333333333</v>
      </c>
      <c r="C11" s="155">
        <f>+C7/Assumptions!$B$6</f>
        <v>3.966666666666667</v>
      </c>
      <c r="D11" s="155">
        <f>+D7/Assumptions!$B$6</f>
        <v>7.933333333333334</v>
      </c>
      <c r="E11" s="155">
        <f>+E7/Assumptions!$B$6</f>
        <v>91.23333333333335</v>
      </c>
      <c r="F11" s="155">
        <f>+F7/Assumptions!$B$6</f>
        <v>6734.543200000001</v>
      </c>
      <c r="G11" s="155">
        <f>+G7/Assumptions!$B$6</f>
        <v>20</v>
      </c>
      <c r="H11" s="155">
        <f>+H7/Assumptions!$B$6</f>
        <v>6754.543200000001</v>
      </c>
      <c r="I11" s="14"/>
      <c r="J11" s="16">
        <f>+J7/Assumptions!$B$6</f>
        <v>0</v>
      </c>
      <c r="K11" s="16">
        <f>+K7/Assumptions!$B$6</f>
        <v>20</v>
      </c>
      <c r="L11" s="16">
        <f>+L7/Assumptions!$B$6</f>
        <v>0</v>
      </c>
    </row>
    <row r="12" spans="1:9" ht="13.5">
      <c r="A12" s="15"/>
      <c r="B12" s="16"/>
      <c r="C12" s="17"/>
      <c r="D12" s="17"/>
      <c r="E12" s="16"/>
      <c r="F12" s="18"/>
      <c r="G12" s="18"/>
      <c r="H12" s="18"/>
      <c r="I12" s="14"/>
    </row>
    <row r="13" spans="1:9" ht="13.5">
      <c r="A13" s="15"/>
      <c r="B13" s="16"/>
      <c r="C13" s="17"/>
      <c r="D13" s="17"/>
      <c r="E13" s="16"/>
      <c r="F13" s="18"/>
      <c r="G13" s="18"/>
      <c r="H13" s="18"/>
      <c r="I13" s="14"/>
    </row>
    <row r="14" spans="1:9" ht="13.5">
      <c r="A14" s="15"/>
      <c r="B14" s="16"/>
      <c r="C14" s="17"/>
      <c r="D14" s="17"/>
      <c r="E14" s="16"/>
      <c r="F14" s="18"/>
      <c r="G14" s="18"/>
      <c r="H14" s="18"/>
      <c r="I14" s="14"/>
    </row>
    <row r="15" spans="1:9" ht="13.5">
      <c r="A15" s="15"/>
      <c r="B15" s="16"/>
      <c r="C15" s="17"/>
      <c r="D15" s="17"/>
      <c r="E15" s="16"/>
      <c r="F15" s="18"/>
      <c r="G15" s="18"/>
      <c r="H15" s="18"/>
      <c r="I15" s="14"/>
    </row>
    <row r="16" spans="1:9" ht="13.5">
      <c r="A16" s="15"/>
      <c r="B16" s="16"/>
      <c r="C16" s="17"/>
      <c r="D16" s="17"/>
      <c r="E16" s="16"/>
      <c r="F16" s="18"/>
      <c r="G16" s="18"/>
      <c r="H16" s="18"/>
      <c r="I16" s="14"/>
    </row>
    <row r="17" spans="1:9" ht="13.5">
      <c r="A17" s="302" t="s">
        <v>234</v>
      </c>
      <c r="B17" s="302"/>
      <c r="C17" s="302"/>
      <c r="D17" s="17"/>
      <c r="E17" s="16"/>
      <c r="F17" s="18"/>
      <c r="G17" s="18"/>
      <c r="H17" s="18"/>
      <c r="I17" s="14"/>
    </row>
    <row r="18" spans="1:9" ht="13.5">
      <c r="A18" s="19" t="s">
        <v>235</v>
      </c>
      <c r="B18" s="16"/>
      <c r="C18" s="17"/>
      <c r="E18" s="16"/>
      <c r="F18" s="17">
        <f>('Industry Yr 3'!J28+'Industry Yr 3'!K28+'Industry Yr 3'!L28+'Industry Yr 3'!J29+'Industry Yr 3'!K29+'Industry Yr 3'!L29)/(2*Assumptions!B6)</f>
        <v>9.200000000000001</v>
      </c>
      <c r="G18" s="18"/>
      <c r="H18" s="18"/>
      <c r="I18" s="14"/>
    </row>
    <row r="19" spans="1:9" ht="13.5">
      <c r="A19" s="19" t="s">
        <v>236</v>
      </c>
      <c r="B19" s="16"/>
      <c r="C19" s="17"/>
      <c r="D19" s="17"/>
      <c r="E19" s="16"/>
      <c r="F19" s="229">
        <f>'Industry Yr 3'!N29/26/2</f>
        <v>7.5</v>
      </c>
      <c r="G19" s="18"/>
      <c r="H19" s="18"/>
      <c r="I19" s="14"/>
    </row>
    <row r="20" spans="1:9" ht="13.5">
      <c r="A20" s="19" t="s">
        <v>237</v>
      </c>
      <c r="B20" s="16"/>
      <c r="C20" s="17"/>
      <c r="D20" s="17"/>
      <c r="E20" s="16"/>
      <c r="F20" s="16">
        <f>(SUM('Industry Yr 3'!J19:L26))/Assumptions!B6</f>
        <v>62.10000000000001</v>
      </c>
      <c r="G20" s="18"/>
      <c r="H20" s="18"/>
      <c r="I20" s="14"/>
    </row>
    <row r="21" spans="1:9" ht="13.5">
      <c r="A21" s="19" t="s">
        <v>238</v>
      </c>
      <c r="B21" s="16"/>
      <c r="C21" s="17"/>
      <c r="D21" s="17"/>
      <c r="E21" s="16"/>
      <c r="F21" s="16">
        <f>SUM('Industry Yr 3'!M28:N29)/Assumptions!B6</f>
        <v>1373.2272000000003</v>
      </c>
      <c r="G21" s="18"/>
      <c r="H21" s="18"/>
      <c r="I21" s="14"/>
    </row>
    <row r="22" spans="1:9" ht="13.5">
      <c r="A22" s="19" t="s">
        <v>239</v>
      </c>
      <c r="B22" s="16"/>
      <c r="C22" s="17"/>
      <c r="D22" s="17"/>
      <c r="E22" s="16"/>
      <c r="F22" s="16">
        <f>SUM('Industry Yr 3'!M19:N26)/Assumptions!B6</f>
        <v>4584.016800000001</v>
      </c>
      <c r="G22" s="18"/>
      <c r="H22" s="18"/>
      <c r="I22" s="14"/>
    </row>
    <row r="23" spans="1:9" ht="13.5">
      <c r="A23" s="19"/>
      <c r="B23" s="16"/>
      <c r="C23" s="17"/>
      <c r="D23" s="17"/>
      <c r="E23" s="16"/>
      <c r="F23" s="16"/>
      <c r="G23" s="18"/>
      <c r="H23" s="18"/>
      <c r="I23" s="14"/>
    </row>
  </sheetData>
  <mergeCells count="2">
    <mergeCell ref="A1:H1"/>
    <mergeCell ref="A17:C17"/>
  </mergeCells>
  <printOptions horizontalCentered="1"/>
  <pageMargins left="0.75" right="0.75" top="0.5" bottom="1" header="0.5" footer="0.5"/>
  <pageSetup fitToHeight="1" fitToWidth="1" horizontalDpi="600" verticalDpi="600"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R35"/>
  <sheetViews>
    <sheetView zoomScale="75" zoomScaleNormal="75" workbookViewId="0" topLeftCell="A1">
      <selection activeCell="M27" sqref="M27"/>
    </sheetView>
  </sheetViews>
  <sheetFormatPr defaultColWidth="9.140625" defaultRowHeight="12.75"/>
  <cols>
    <col min="1" max="1" width="3.140625" style="117" customWidth="1"/>
    <col min="2" max="2" width="3.28125" style="9" customWidth="1"/>
    <col min="3" max="3" width="4.8515625" style="9" customWidth="1"/>
    <col min="4" max="4" width="1.421875" style="9" customWidth="1"/>
    <col min="5" max="5" width="2.421875" style="9" customWidth="1"/>
    <col min="6" max="6" width="63.57421875" style="9" customWidth="1"/>
    <col min="7" max="7" width="15.28125" style="107" customWidth="1"/>
    <col min="8" max="8" width="14.140625" style="107" customWidth="1"/>
    <col min="9" max="9" width="12.00390625" style="107" customWidth="1"/>
    <col min="10" max="10" width="13.421875" style="107" customWidth="1"/>
    <col min="11" max="11" width="12.28125" style="107" customWidth="1"/>
    <col min="12" max="13" width="12.28125" style="74" customWidth="1"/>
    <col min="14" max="14" width="11.421875" style="9" customWidth="1"/>
    <col min="15" max="15" width="15.28125" style="9" customWidth="1"/>
    <col min="16" max="16" width="27.140625" style="9" customWidth="1"/>
    <col min="17" max="17" width="14.8515625" style="9" customWidth="1"/>
    <col min="18" max="18" width="31.8515625" style="9" customWidth="1"/>
    <col min="19" max="16384" width="9.140625" style="9" customWidth="1"/>
  </cols>
  <sheetData>
    <row r="1" spans="1:14" ht="32.25" customHeight="1" thickBot="1">
      <c r="A1" s="301" t="s">
        <v>227</v>
      </c>
      <c r="B1" s="301"/>
      <c r="C1" s="301"/>
      <c r="D1" s="301"/>
      <c r="E1" s="301"/>
      <c r="F1" s="301"/>
      <c r="G1" s="301"/>
      <c r="H1" s="301"/>
      <c r="I1" s="301"/>
      <c r="J1" s="301"/>
      <c r="K1" s="301"/>
      <c r="L1" s="301"/>
      <c r="M1" s="301"/>
      <c r="N1" s="301"/>
    </row>
    <row r="2" spans="1:14" s="94" customFormat="1" ht="64.5" customHeight="1">
      <c r="A2" s="308" t="s">
        <v>16</v>
      </c>
      <c r="B2" s="309"/>
      <c r="C2" s="309"/>
      <c r="D2" s="309"/>
      <c r="E2" s="309"/>
      <c r="F2" s="310"/>
      <c r="G2" s="92" t="s">
        <v>110</v>
      </c>
      <c r="H2" s="93" t="s">
        <v>124</v>
      </c>
      <c r="I2" s="93" t="s">
        <v>114</v>
      </c>
      <c r="J2" s="93" t="s">
        <v>125</v>
      </c>
      <c r="K2" s="93" t="s">
        <v>119</v>
      </c>
      <c r="L2" s="304" t="s">
        <v>106</v>
      </c>
      <c r="M2" s="274" t="s">
        <v>57</v>
      </c>
      <c r="N2" s="306" t="s">
        <v>12</v>
      </c>
    </row>
    <row r="3" spans="1:14" s="94" customFormat="1" ht="14.25" thickBot="1">
      <c r="A3" s="311"/>
      <c r="B3" s="312"/>
      <c r="C3" s="312"/>
      <c r="D3" s="312"/>
      <c r="E3" s="312"/>
      <c r="F3" s="313"/>
      <c r="G3" s="126" t="s">
        <v>107</v>
      </c>
      <c r="H3" s="126" t="s">
        <v>108</v>
      </c>
      <c r="I3" s="126" t="s">
        <v>120</v>
      </c>
      <c r="J3" s="126" t="s">
        <v>123</v>
      </c>
      <c r="K3" s="126" t="s">
        <v>135</v>
      </c>
      <c r="L3" s="305"/>
      <c r="M3" s="275"/>
      <c r="N3" s="307"/>
    </row>
    <row r="4" spans="1:18" ht="14.25" thickTop="1">
      <c r="A4" s="127" t="s">
        <v>0</v>
      </c>
      <c r="B4" s="315" t="s">
        <v>30</v>
      </c>
      <c r="C4" s="315"/>
      <c r="D4" s="315"/>
      <c r="E4" s="315"/>
      <c r="F4" s="316"/>
      <c r="G4" s="124">
        <v>2</v>
      </c>
      <c r="H4" s="125">
        <v>13</v>
      </c>
      <c r="I4" s="125">
        <f>G4*H4</f>
        <v>26</v>
      </c>
      <c r="J4" s="47">
        <f>0.05*I4</f>
        <v>1.3</v>
      </c>
      <c r="K4" s="47">
        <f>0.1*I4</f>
        <v>2.6</v>
      </c>
      <c r="L4" s="48">
        <f>(I4*Assumptions!$B$27)+(J4*Assumptions!$B$28)+(K4*Assumptions!$B$29)</f>
        <v>1528.0928000000001</v>
      </c>
      <c r="M4" s="48"/>
      <c r="N4" s="123" t="s">
        <v>122</v>
      </c>
      <c r="O4" s="22"/>
      <c r="P4" s="97"/>
      <c r="Q4" s="19"/>
      <c r="R4" s="98"/>
    </row>
    <row r="5" spans="1:18" ht="13.5">
      <c r="A5" s="26" t="s">
        <v>1</v>
      </c>
      <c r="B5" s="280" t="s">
        <v>38</v>
      </c>
      <c r="C5" s="280"/>
      <c r="D5" s="280"/>
      <c r="E5" s="280"/>
      <c r="F5" s="281"/>
      <c r="G5" s="10"/>
      <c r="H5" s="10"/>
      <c r="I5" s="10"/>
      <c r="J5" s="29"/>
      <c r="K5" s="29"/>
      <c r="L5" s="30"/>
      <c r="M5" s="122"/>
      <c r="N5" s="96"/>
      <c r="O5" s="100"/>
      <c r="P5" s="100"/>
      <c r="Q5" s="100"/>
      <c r="R5" s="100"/>
    </row>
    <row r="6" spans="1:18" ht="13.5">
      <c r="A6" s="26"/>
      <c r="B6" s="80" t="s">
        <v>4</v>
      </c>
      <c r="C6" s="280" t="s">
        <v>121</v>
      </c>
      <c r="D6" s="280"/>
      <c r="E6" s="280"/>
      <c r="F6" s="281"/>
      <c r="G6" s="10">
        <v>8</v>
      </c>
      <c r="H6" s="95">
        <v>0</v>
      </c>
      <c r="I6" s="10">
        <f>G6*H6</f>
        <v>0</v>
      </c>
      <c r="J6" s="29">
        <f>0.05*I6</f>
        <v>0</v>
      </c>
      <c r="K6" s="29">
        <f>0.1*I6</f>
        <v>0</v>
      </c>
      <c r="L6" s="30">
        <f>(I6*Assumptions!$B$27)+(J6*Assumptions!$B$28)+(K6*Assumptions!$B$29)</f>
        <v>0</v>
      </c>
      <c r="M6" s="122">
        <f>100*H6</f>
        <v>0</v>
      </c>
      <c r="N6" s="96" t="s">
        <v>213</v>
      </c>
      <c r="O6" s="101"/>
      <c r="P6" s="20"/>
      <c r="Q6" s="20"/>
      <c r="R6" s="102"/>
    </row>
    <row r="7" spans="1:18" ht="28.5" customHeight="1">
      <c r="A7" s="26"/>
      <c r="B7" s="80" t="s">
        <v>5</v>
      </c>
      <c r="C7" s="280" t="s">
        <v>223</v>
      </c>
      <c r="D7" s="280"/>
      <c r="E7" s="280"/>
      <c r="F7" s="281"/>
      <c r="G7" s="10">
        <v>4</v>
      </c>
      <c r="H7" s="95">
        <f>'Industry Yr 1'!I17/4</f>
        <v>6.5</v>
      </c>
      <c r="I7" s="95">
        <f>G7*H7</f>
        <v>26</v>
      </c>
      <c r="J7" s="29">
        <f>0.05*I7</f>
        <v>1.3</v>
      </c>
      <c r="K7" s="29">
        <f>0.1*I7</f>
        <v>2.6</v>
      </c>
      <c r="L7" s="30">
        <f>(I7*Assumptions!$B$27)+(J7*Assumptions!$B$28)+(K7*Assumptions!$B$29)</f>
        <v>1528.0928000000001</v>
      </c>
      <c r="M7" s="122"/>
      <c r="N7" s="96" t="s">
        <v>214</v>
      </c>
      <c r="O7" s="101"/>
      <c r="P7" s="20"/>
      <c r="Q7" s="20"/>
      <c r="R7" s="102"/>
    </row>
    <row r="8" spans="1:18" ht="13.5">
      <c r="A8" s="26"/>
      <c r="B8" s="80" t="s">
        <v>6</v>
      </c>
      <c r="C8" s="280" t="s">
        <v>31</v>
      </c>
      <c r="D8" s="280"/>
      <c r="E8" s="280"/>
      <c r="F8" s="281"/>
      <c r="G8" s="10">
        <v>1</v>
      </c>
      <c r="H8" s="95">
        <f>+H7</f>
        <v>6.5</v>
      </c>
      <c r="I8" s="95">
        <f>G8*H8</f>
        <v>6.5</v>
      </c>
      <c r="J8" s="29">
        <f>0.05*I8</f>
        <v>0.325</v>
      </c>
      <c r="K8" s="29">
        <f>0.1*I8</f>
        <v>0.65</v>
      </c>
      <c r="L8" s="30">
        <f>(I8*Assumptions!$B$27)+(J8*Assumptions!$B$28)+(K8*Assumptions!$B$29)</f>
        <v>382.02320000000003</v>
      </c>
      <c r="M8" s="122"/>
      <c r="N8" s="96"/>
      <c r="O8" s="101"/>
      <c r="P8" s="20"/>
      <c r="Q8" s="20"/>
      <c r="R8" s="102"/>
    </row>
    <row r="9" spans="1:18" ht="13.5">
      <c r="A9" s="26" t="s">
        <v>2</v>
      </c>
      <c r="B9" s="280" t="s">
        <v>132</v>
      </c>
      <c r="C9" s="280"/>
      <c r="D9" s="280"/>
      <c r="E9" s="280"/>
      <c r="F9" s="281"/>
      <c r="G9" s="10">
        <v>0</v>
      </c>
      <c r="H9" s="10">
        <v>0</v>
      </c>
      <c r="I9" s="10">
        <f>G9*H9</f>
        <v>0</v>
      </c>
      <c r="J9" s="29">
        <f>0.05*I9</f>
        <v>0</v>
      </c>
      <c r="K9" s="29">
        <f>0.1*I9</f>
        <v>0</v>
      </c>
      <c r="L9" s="30">
        <f>(I9*Assumptions!$B$27)+(J9*Assumptions!$B$28)+(K9*Assumptions!$B$29)</f>
        <v>0</v>
      </c>
      <c r="M9" s="122"/>
      <c r="N9" s="96" t="s">
        <v>27</v>
      </c>
      <c r="O9" s="98"/>
      <c r="P9" s="98"/>
      <c r="Q9" s="98"/>
      <c r="R9" s="98"/>
    </row>
    <row r="10" spans="1:18" ht="13.5">
      <c r="A10" s="26" t="s">
        <v>3</v>
      </c>
      <c r="B10" s="280" t="s">
        <v>13</v>
      </c>
      <c r="C10" s="280"/>
      <c r="D10" s="280"/>
      <c r="E10" s="280"/>
      <c r="F10" s="281"/>
      <c r="G10" s="10"/>
      <c r="H10" s="10"/>
      <c r="I10" s="10"/>
      <c r="J10" s="29"/>
      <c r="K10" s="29"/>
      <c r="L10" s="30"/>
      <c r="M10" s="122"/>
      <c r="N10" s="96"/>
      <c r="O10" s="98"/>
      <c r="P10" s="98"/>
      <c r="Q10" s="98"/>
      <c r="R10" s="98"/>
    </row>
    <row r="11" spans="1:18" ht="27.75" customHeight="1">
      <c r="A11" s="26"/>
      <c r="B11" s="80" t="s">
        <v>4</v>
      </c>
      <c r="C11" s="280" t="s">
        <v>70</v>
      </c>
      <c r="D11" s="280"/>
      <c r="E11" s="280"/>
      <c r="F11" s="281"/>
      <c r="G11" s="10">
        <v>1</v>
      </c>
      <c r="H11" s="95">
        <f>+'Industry Yr 1'!I10</f>
        <v>26</v>
      </c>
      <c r="I11" s="10">
        <f>G11*H11</f>
        <v>26</v>
      </c>
      <c r="J11" s="29">
        <f>0.05*I11</f>
        <v>1.3</v>
      </c>
      <c r="K11" s="29">
        <f>0.1*I11</f>
        <v>2.6</v>
      </c>
      <c r="L11" s="30">
        <f>(I11*Assumptions!$B$27)+(J11*Assumptions!$B$28)+(K11*Assumptions!$B$29)</f>
        <v>1528.0928000000001</v>
      </c>
      <c r="M11" s="122"/>
      <c r="N11" s="96" t="s">
        <v>215</v>
      </c>
      <c r="O11" s="98"/>
      <c r="P11" s="98"/>
      <c r="Q11" s="98"/>
      <c r="R11" s="98"/>
    </row>
    <row r="12" spans="1:18" ht="13.5">
      <c r="A12" s="26"/>
      <c r="B12" s="80" t="s">
        <v>5</v>
      </c>
      <c r="C12" s="280" t="s">
        <v>96</v>
      </c>
      <c r="D12" s="280"/>
      <c r="E12" s="280"/>
      <c r="F12" s="281"/>
      <c r="G12" s="10"/>
      <c r="H12" s="99"/>
      <c r="I12" s="10"/>
      <c r="J12" s="29"/>
      <c r="K12" s="29"/>
      <c r="L12" s="30"/>
      <c r="M12" s="122"/>
      <c r="N12" s="96"/>
      <c r="O12" s="98"/>
      <c r="P12" s="98"/>
      <c r="Q12" s="98"/>
      <c r="R12" s="98"/>
    </row>
    <row r="13" spans="1:18" ht="13.5">
      <c r="A13" s="26"/>
      <c r="B13" s="80"/>
      <c r="C13" s="80" t="s">
        <v>98</v>
      </c>
      <c r="D13" s="292" t="s">
        <v>60</v>
      </c>
      <c r="E13" s="314"/>
      <c r="F13" s="314"/>
      <c r="G13" s="10">
        <v>4</v>
      </c>
      <c r="H13" s="95">
        <f>Assumptions!$B$7</f>
        <v>0</v>
      </c>
      <c r="I13" s="10">
        <f aca="true" t="shared" si="0" ref="I13:I18">G13*H13</f>
        <v>0</v>
      </c>
      <c r="J13" s="29">
        <f aca="true" t="shared" si="1" ref="J13:J18">0.05*I13</f>
        <v>0</v>
      </c>
      <c r="K13" s="29">
        <f aca="true" t="shared" si="2" ref="K13:K18">0.1*I13</f>
        <v>0</v>
      </c>
      <c r="L13" s="30">
        <f>(I13*Assumptions!$B$27)+(J13*Assumptions!$B$28)+(K13*Assumptions!$B$29)</f>
        <v>0</v>
      </c>
      <c r="M13" s="122"/>
      <c r="N13" s="96" t="s">
        <v>29</v>
      </c>
      <c r="O13" s="98"/>
      <c r="P13" s="98"/>
      <c r="Q13" s="98"/>
      <c r="R13" s="98"/>
    </row>
    <row r="14" spans="1:18" ht="28.5" customHeight="1">
      <c r="A14" s="26"/>
      <c r="B14" s="80"/>
      <c r="C14" s="80" t="s">
        <v>99</v>
      </c>
      <c r="D14" s="291" t="s">
        <v>61</v>
      </c>
      <c r="E14" s="291"/>
      <c r="F14" s="292"/>
      <c r="G14" s="10">
        <v>2</v>
      </c>
      <c r="H14" s="95">
        <f>Assumptions!$B$7</f>
        <v>0</v>
      </c>
      <c r="I14" s="10">
        <f t="shared" si="0"/>
        <v>0</v>
      </c>
      <c r="J14" s="29">
        <f t="shared" si="1"/>
        <v>0</v>
      </c>
      <c r="K14" s="29">
        <f t="shared" si="2"/>
        <v>0</v>
      </c>
      <c r="L14" s="30">
        <f>(I14*Assumptions!$B$27)+(J14*Assumptions!$B$28)+(K14*Assumptions!$B$29)</f>
        <v>0</v>
      </c>
      <c r="M14" s="122"/>
      <c r="N14" s="96" t="s">
        <v>29</v>
      </c>
      <c r="O14" s="98"/>
      <c r="P14" s="98"/>
      <c r="Q14" s="98"/>
      <c r="R14" s="98"/>
    </row>
    <row r="15" spans="1:18" ht="13.5">
      <c r="A15" s="26"/>
      <c r="B15" s="80"/>
      <c r="C15" s="80" t="s">
        <v>100</v>
      </c>
      <c r="D15" s="291" t="s">
        <v>62</v>
      </c>
      <c r="E15" s="291"/>
      <c r="F15" s="292"/>
      <c r="G15" s="10">
        <v>2</v>
      </c>
      <c r="H15" s="95">
        <f>Assumptions!$B$7</f>
        <v>0</v>
      </c>
      <c r="I15" s="10">
        <f t="shared" si="0"/>
        <v>0</v>
      </c>
      <c r="J15" s="29">
        <f t="shared" si="1"/>
        <v>0</v>
      </c>
      <c r="K15" s="29">
        <f t="shared" si="2"/>
        <v>0</v>
      </c>
      <c r="L15" s="30">
        <f>(I15*Assumptions!$B$27)+(J15*Assumptions!$B$28)+(K15*Assumptions!$B$29)</f>
        <v>0</v>
      </c>
      <c r="M15" s="122"/>
      <c r="N15" s="96" t="s">
        <v>29</v>
      </c>
      <c r="O15" s="98"/>
      <c r="P15" s="98"/>
      <c r="Q15" s="98"/>
      <c r="R15" s="98"/>
    </row>
    <row r="16" spans="1:18" ht="13.5">
      <c r="A16" s="26"/>
      <c r="B16" s="80" t="s">
        <v>6</v>
      </c>
      <c r="C16" s="280" t="s">
        <v>66</v>
      </c>
      <c r="D16" s="280"/>
      <c r="E16" s="280"/>
      <c r="F16" s="281"/>
      <c r="G16" s="103">
        <v>2</v>
      </c>
      <c r="H16" s="10">
        <v>0</v>
      </c>
      <c r="I16" s="10">
        <f t="shared" si="0"/>
        <v>0</v>
      </c>
      <c r="J16" s="29">
        <f t="shared" si="1"/>
        <v>0</v>
      </c>
      <c r="K16" s="29">
        <f t="shared" si="2"/>
        <v>0</v>
      </c>
      <c r="L16" s="30">
        <f>(I16*Assumptions!$B$27)+(J16*Assumptions!$B$28)+(K16*Assumptions!$B$29)</f>
        <v>0</v>
      </c>
      <c r="M16" s="122"/>
      <c r="N16" s="96" t="s">
        <v>59</v>
      </c>
      <c r="O16" s="98"/>
      <c r="P16" s="98"/>
      <c r="Q16" s="98"/>
      <c r="R16" s="98"/>
    </row>
    <row r="17" spans="1:18" ht="13.5">
      <c r="A17" s="26"/>
      <c r="B17" s="80" t="s">
        <v>7</v>
      </c>
      <c r="C17" s="280" t="s">
        <v>64</v>
      </c>
      <c r="D17" s="280"/>
      <c r="E17" s="280"/>
      <c r="F17" s="281"/>
      <c r="G17" s="10">
        <v>1</v>
      </c>
      <c r="H17" s="95">
        <f>+'Industry Yr 1'!I16/4</f>
        <v>0</v>
      </c>
      <c r="I17" s="95">
        <f t="shared" si="0"/>
        <v>0</v>
      </c>
      <c r="J17" s="29">
        <f t="shared" si="1"/>
        <v>0</v>
      </c>
      <c r="K17" s="29">
        <f t="shared" si="2"/>
        <v>0</v>
      </c>
      <c r="L17" s="30">
        <f>(I17*Assumptions!$B$27)+(J17*Assumptions!$B$28)+(K17*Assumptions!$B$29)</f>
        <v>0</v>
      </c>
      <c r="M17" s="122"/>
      <c r="N17" s="96" t="s">
        <v>213</v>
      </c>
      <c r="O17" s="98"/>
      <c r="P17" s="98"/>
      <c r="Q17" s="98"/>
      <c r="R17" s="98"/>
    </row>
    <row r="18" spans="1:18" ht="13.5">
      <c r="A18" s="26"/>
      <c r="B18" s="80" t="s">
        <v>8</v>
      </c>
      <c r="C18" s="280" t="s">
        <v>15</v>
      </c>
      <c r="D18" s="280"/>
      <c r="E18" s="280"/>
      <c r="F18" s="281"/>
      <c r="G18" s="10">
        <v>4</v>
      </c>
      <c r="H18" s="95">
        <f>+'Industry Yr 1'!I17/4</f>
        <v>6.5</v>
      </c>
      <c r="I18" s="10">
        <f t="shared" si="0"/>
        <v>26</v>
      </c>
      <c r="J18" s="29">
        <f t="shared" si="1"/>
        <v>1.3</v>
      </c>
      <c r="K18" s="29">
        <f t="shared" si="2"/>
        <v>2.6</v>
      </c>
      <c r="L18" s="30">
        <f>(I18*Assumptions!$B$27)+(J18*Assumptions!$B$28)+(K18*Assumptions!$B$29)</f>
        <v>1528.0928000000001</v>
      </c>
      <c r="M18" s="122"/>
      <c r="N18" s="96" t="s">
        <v>216</v>
      </c>
      <c r="O18" s="98"/>
      <c r="P18" s="104"/>
      <c r="Q18" s="98"/>
      <c r="R18" s="98"/>
    </row>
    <row r="19" spans="1:14" ht="13.5" customHeight="1">
      <c r="A19" s="26" t="s">
        <v>9</v>
      </c>
      <c r="B19" s="280" t="s">
        <v>131</v>
      </c>
      <c r="C19" s="280"/>
      <c r="D19" s="280"/>
      <c r="E19" s="280"/>
      <c r="F19" s="281"/>
      <c r="G19" s="10">
        <v>4</v>
      </c>
      <c r="H19" s="95">
        <f>+'Industry Yr 1'!I29/4</f>
        <v>6.5</v>
      </c>
      <c r="I19" s="10">
        <f>G19*H19</f>
        <v>26</v>
      </c>
      <c r="J19" s="29">
        <f>0.05*I19</f>
        <v>1.3</v>
      </c>
      <c r="K19" s="29">
        <f>0.1*I19</f>
        <v>2.6</v>
      </c>
      <c r="L19" s="30">
        <f>(I19*Assumptions!$B$27)+(J19*Assumptions!$B$28)+(K19*Assumptions!$B$29)</f>
        <v>1528.0928000000001</v>
      </c>
      <c r="M19" s="122"/>
      <c r="N19" s="96" t="s">
        <v>79</v>
      </c>
    </row>
    <row r="20" spans="1:14" ht="13.5">
      <c r="A20" s="108"/>
      <c r="B20" s="79" t="s">
        <v>46</v>
      </c>
      <c r="C20" s="27"/>
      <c r="D20" s="40"/>
      <c r="E20" s="36"/>
      <c r="F20" s="105"/>
      <c r="G20" s="106"/>
      <c r="H20" s="103"/>
      <c r="I20" s="28">
        <f>SUM(I4:I19)</f>
        <v>136.5</v>
      </c>
      <c r="J20" s="29">
        <f>SUM(J4:J19)</f>
        <v>6.825</v>
      </c>
      <c r="K20" s="29">
        <f>SUM(K4:K19)</f>
        <v>13.65</v>
      </c>
      <c r="L20" s="30">
        <f>SUM(L4:L19)</f>
        <v>8022.487200000001</v>
      </c>
      <c r="M20" s="30">
        <f>SUM(M4:M19)</f>
        <v>0</v>
      </c>
      <c r="N20" s="96"/>
    </row>
    <row r="21" spans="1:14" ht="40.5">
      <c r="A21" s="109"/>
      <c r="B21" s="110"/>
      <c r="C21" s="51"/>
      <c r="D21" s="52"/>
      <c r="E21" s="76"/>
      <c r="F21" s="22"/>
      <c r="G21" s="53"/>
      <c r="H21" s="54"/>
      <c r="I21" s="55" t="s">
        <v>33</v>
      </c>
      <c r="J21" s="55" t="s">
        <v>48</v>
      </c>
      <c r="K21" s="55" t="s">
        <v>49</v>
      </c>
      <c r="L21" s="55" t="s">
        <v>50</v>
      </c>
      <c r="M21" s="55"/>
      <c r="N21" s="111"/>
    </row>
    <row r="22" spans="1:14" ht="13.5">
      <c r="A22" s="109"/>
      <c r="B22" s="110"/>
      <c r="C22" s="51"/>
      <c r="D22" s="52"/>
      <c r="E22" s="76"/>
      <c r="F22" s="22"/>
      <c r="G22" s="59" t="s">
        <v>67</v>
      </c>
      <c r="H22" s="54"/>
      <c r="I22" s="55">
        <f>SUM(I20:K20)</f>
        <v>156.975</v>
      </c>
      <c r="J22" s="60">
        <f>L20</f>
        <v>8022.487200000001</v>
      </c>
      <c r="K22" s="119">
        <f>+M20</f>
        <v>0</v>
      </c>
      <c r="L22" s="60">
        <f>SUM(J22:K22)</f>
        <v>8022.487200000001</v>
      </c>
      <c r="M22" s="60"/>
      <c r="N22" s="111"/>
    </row>
    <row r="23" spans="1:14" ht="13.5">
      <c r="A23" s="109"/>
      <c r="B23" s="110"/>
      <c r="C23" s="51"/>
      <c r="D23" s="52"/>
      <c r="E23" s="76"/>
      <c r="F23" s="22"/>
      <c r="G23" s="59" t="s">
        <v>51</v>
      </c>
      <c r="H23" s="54"/>
      <c r="I23" s="55">
        <v>0</v>
      </c>
      <c r="J23" s="61">
        <v>0</v>
      </c>
      <c r="K23" s="61">
        <v>0</v>
      </c>
      <c r="L23" s="60">
        <f>SUM(J23:K23)</f>
        <v>0</v>
      </c>
      <c r="M23" s="60"/>
      <c r="N23" s="111"/>
    </row>
    <row r="24" spans="1:14" ht="14.25" thickBot="1">
      <c r="A24" s="112"/>
      <c r="B24" s="113"/>
      <c r="C24" s="63"/>
      <c r="D24" s="64"/>
      <c r="E24" s="114"/>
      <c r="F24" s="115"/>
      <c r="G24" s="65" t="s">
        <v>52</v>
      </c>
      <c r="H24" s="66"/>
      <c r="I24" s="67">
        <v>0</v>
      </c>
      <c r="J24" s="69">
        <v>0</v>
      </c>
      <c r="K24" s="69">
        <f>SUM(K22:K23)</f>
        <v>0</v>
      </c>
      <c r="L24" s="69">
        <v>0</v>
      </c>
      <c r="M24" s="69"/>
      <c r="N24" s="116"/>
    </row>
    <row r="25" spans="1:14" ht="24.75" customHeight="1">
      <c r="A25" s="73" t="s">
        <v>22</v>
      </c>
      <c r="B25" s="298" t="s">
        <v>229</v>
      </c>
      <c r="C25" s="298"/>
      <c r="D25" s="298"/>
      <c r="E25" s="298"/>
      <c r="F25" s="298"/>
      <c r="G25" s="298"/>
      <c r="H25" s="298"/>
      <c r="I25" s="298"/>
      <c r="J25" s="298"/>
      <c r="K25" s="298"/>
      <c r="L25" s="298"/>
      <c r="M25" s="298"/>
      <c r="N25" s="298"/>
    </row>
    <row r="26" spans="1:8" ht="15.75">
      <c r="A26" s="73" t="s">
        <v>23</v>
      </c>
      <c r="B26" s="25" t="s">
        <v>209</v>
      </c>
      <c r="G26" s="9"/>
      <c r="H26" s="9"/>
    </row>
    <row r="27" spans="1:8" ht="15.75">
      <c r="A27" s="118" t="s">
        <v>24</v>
      </c>
      <c r="B27" s="9" t="s">
        <v>65</v>
      </c>
      <c r="G27" s="9"/>
      <c r="H27" s="9"/>
    </row>
    <row r="28" spans="1:14" ht="15.75">
      <c r="A28" s="118" t="s">
        <v>25</v>
      </c>
      <c r="B28" s="303" t="s">
        <v>133</v>
      </c>
      <c r="C28" s="303"/>
      <c r="D28" s="303"/>
      <c r="E28" s="303"/>
      <c r="F28" s="303"/>
      <c r="G28" s="303"/>
      <c r="H28" s="303"/>
      <c r="I28" s="303"/>
      <c r="J28" s="303"/>
      <c r="K28" s="303"/>
      <c r="L28" s="303"/>
      <c r="M28" s="303"/>
      <c r="N28" s="303"/>
    </row>
    <row r="29" spans="1:2" ht="15.75">
      <c r="A29" s="73" t="s">
        <v>26</v>
      </c>
      <c r="B29" s="25" t="s">
        <v>211</v>
      </c>
    </row>
    <row r="30" spans="1:2" ht="15.75">
      <c r="A30" s="73" t="s">
        <v>27</v>
      </c>
      <c r="B30" s="25" t="s">
        <v>212</v>
      </c>
    </row>
    <row r="31" spans="1:14" ht="15.75">
      <c r="A31" s="73" t="s">
        <v>28</v>
      </c>
      <c r="B31" s="298" t="s">
        <v>126</v>
      </c>
      <c r="C31" s="298"/>
      <c r="D31" s="298"/>
      <c r="E31" s="298"/>
      <c r="F31" s="298"/>
      <c r="G31" s="298"/>
      <c r="H31" s="298"/>
      <c r="I31" s="298"/>
      <c r="J31" s="298"/>
      <c r="K31" s="298"/>
      <c r="L31" s="298"/>
      <c r="M31" s="298"/>
      <c r="N31" s="298"/>
    </row>
    <row r="32" spans="1:2" ht="15.75">
      <c r="A32" s="73" t="s">
        <v>29</v>
      </c>
      <c r="B32" s="25" t="s">
        <v>97</v>
      </c>
    </row>
    <row r="33" spans="1:2" ht="15.75">
      <c r="A33" s="73" t="s">
        <v>59</v>
      </c>
      <c r="B33" s="25" t="s">
        <v>90</v>
      </c>
    </row>
    <row r="34" spans="1:2" ht="15.75">
      <c r="A34" s="73" t="s">
        <v>78</v>
      </c>
      <c r="B34" s="25" t="s">
        <v>210</v>
      </c>
    </row>
    <row r="35" spans="1:2" ht="15.75">
      <c r="A35" s="73" t="s">
        <v>79</v>
      </c>
      <c r="B35" s="25" t="s">
        <v>134</v>
      </c>
    </row>
  </sheetData>
  <mergeCells count="24">
    <mergeCell ref="C16:F16"/>
    <mergeCell ref="D13:F13"/>
    <mergeCell ref="A1:N1"/>
    <mergeCell ref="B4:F4"/>
    <mergeCell ref="B5:F5"/>
    <mergeCell ref="C6:F6"/>
    <mergeCell ref="C8:F8"/>
    <mergeCell ref="B9:F9"/>
    <mergeCell ref="B10:F10"/>
    <mergeCell ref="M2:M3"/>
    <mergeCell ref="L2:L3"/>
    <mergeCell ref="N2:N3"/>
    <mergeCell ref="A2:F3"/>
    <mergeCell ref="C7:F7"/>
    <mergeCell ref="B25:N25"/>
    <mergeCell ref="B28:N28"/>
    <mergeCell ref="B31:N31"/>
    <mergeCell ref="C11:F11"/>
    <mergeCell ref="C17:F17"/>
    <mergeCell ref="C18:F18"/>
    <mergeCell ref="B19:F19"/>
    <mergeCell ref="C12:F12"/>
    <mergeCell ref="D14:F14"/>
    <mergeCell ref="D15:F15"/>
  </mergeCells>
  <printOptions horizontalCentered="1"/>
  <pageMargins left="0.25" right="0.25" top="0.25" bottom="0.25" header="0.5" footer="0.5"/>
  <pageSetup fitToHeight="1" fitToWidth="1" horizontalDpi="600" verticalDpi="600" orientation="landscape" scale="74" r:id="rId1"/>
</worksheet>
</file>

<file path=xl/worksheets/sheet8.xml><?xml version="1.0" encoding="utf-8"?>
<worksheet xmlns="http://schemas.openxmlformats.org/spreadsheetml/2006/main" xmlns:r="http://schemas.openxmlformats.org/officeDocument/2006/relationships">
  <sheetPr>
    <pageSetUpPr fitToPage="1"/>
  </sheetPr>
  <dimension ref="A1:R35"/>
  <sheetViews>
    <sheetView zoomScale="75" zoomScaleNormal="75" workbookViewId="0" topLeftCell="A1">
      <selection activeCell="H19" sqref="H19"/>
    </sheetView>
  </sheetViews>
  <sheetFormatPr defaultColWidth="9.140625" defaultRowHeight="12.75"/>
  <cols>
    <col min="1" max="1" width="3.140625" style="117" customWidth="1"/>
    <col min="2" max="2" width="3.28125" style="9" customWidth="1"/>
    <col min="3" max="3" width="4.8515625" style="9" customWidth="1"/>
    <col min="4" max="4" width="1.421875" style="9" customWidth="1"/>
    <col min="5" max="5" width="2.421875" style="9" customWidth="1"/>
    <col min="6" max="6" width="63.57421875" style="9" customWidth="1"/>
    <col min="7" max="7" width="15.28125" style="107" customWidth="1"/>
    <col min="8" max="8" width="14.140625" style="107" customWidth="1"/>
    <col min="9" max="9" width="12.00390625" style="107" customWidth="1"/>
    <col min="10" max="10" width="13.421875" style="107" customWidth="1"/>
    <col min="11" max="11" width="12.28125" style="107" customWidth="1"/>
    <col min="12" max="13" width="12.28125" style="74" customWidth="1"/>
    <col min="14" max="14" width="11.421875" style="9" customWidth="1"/>
    <col min="15" max="15" width="15.28125" style="9" customWidth="1"/>
    <col min="16" max="16" width="27.140625" style="9" customWidth="1"/>
    <col min="17" max="17" width="14.8515625" style="9" customWidth="1"/>
    <col min="18" max="18" width="31.8515625" style="9" customWidth="1"/>
    <col min="19" max="16384" width="9.140625" style="9" customWidth="1"/>
  </cols>
  <sheetData>
    <row r="1" spans="1:14" ht="32.25" customHeight="1" thickBot="1">
      <c r="A1" s="301" t="s">
        <v>231</v>
      </c>
      <c r="B1" s="301"/>
      <c r="C1" s="301"/>
      <c r="D1" s="301"/>
      <c r="E1" s="301"/>
      <c r="F1" s="301"/>
      <c r="G1" s="301"/>
      <c r="H1" s="301"/>
      <c r="I1" s="301"/>
      <c r="J1" s="301"/>
      <c r="K1" s="301"/>
      <c r="L1" s="301"/>
      <c r="M1" s="301"/>
      <c r="N1" s="301"/>
    </row>
    <row r="2" spans="1:14" s="94" customFormat="1" ht="64.5" customHeight="1">
      <c r="A2" s="308" t="s">
        <v>16</v>
      </c>
      <c r="B2" s="309"/>
      <c r="C2" s="309"/>
      <c r="D2" s="309"/>
      <c r="E2" s="309"/>
      <c r="F2" s="310"/>
      <c r="G2" s="92" t="s">
        <v>110</v>
      </c>
      <c r="H2" s="93" t="s">
        <v>124</v>
      </c>
      <c r="I2" s="93" t="s">
        <v>114</v>
      </c>
      <c r="J2" s="93" t="s">
        <v>125</v>
      </c>
      <c r="K2" s="93" t="s">
        <v>119</v>
      </c>
      <c r="L2" s="304" t="s">
        <v>106</v>
      </c>
      <c r="M2" s="274" t="s">
        <v>57</v>
      </c>
      <c r="N2" s="306" t="s">
        <v>12</v>
      </c>
    </row>
    <row r="3" spans="1:14" s="94" customFormat="1" ht="14.25" thickBot="1">
      <c r="A3" s="311"/>
      <c r="B3" s="312"/>
      <c r="C3" s="312"/>
      <c r="D3" s="312"/>
      <c r="E3" s="312"/>
      <c r="F3" s="313"/>
      <c r="G3" s="126" t="s">
        <v>107</v>
      </c>
      <c r="H3" s="126" t="s">
        <v>108</v>
      </c>
      <c r="I3" s="126" t="s">
        <v>120</v>
      </c>
      <c r="J3" s="126" t="s">
        <v>123</v>
      </c>
      <c r="K3" s="126" t="s">
        <v>135</v>
      </c>
      <c r="L3" s="305"/>
      <c r="M3" s="275"/>
      <c r="N3" s="307"/>
    </row>
    <row r="4" spans="1:18" ht="14.25" thickTop="1">
      <c r="A4" s="127" t="s">
        <v>0</v>
      </c>
      <c r="B4" s="315" t="s">
        <v>30</v>
      </c>
      <c r="C4" s="315"/>
      <c r="D4" s="315"/>
      <c r="E4" s="315"/>
      <c r="F4" s="316"/>
      <c r="G4" s="124">
        <v>2</v>
      </c>
      <c r="H4" s="125">
        <v>0</v>
      </c>
      <c r="I4" s="125">
        <f>G4*H4</f>
        <v>0</v>
      </c>
      <c r="J4" s="47">
        <f>0.05*I4</f>
        <v>0</v>
      </c>
      <c r="K4" s="47">
        <f>0.1*I4</f>
        <v>0</v>
      </c>
      <c r="L4" s="48">
        <f>(I4*Assumptions!$B$27)+(J4*Assumptions!$B$28)+(K4*Assumptions!$B$29)</f>
        <v>0</v>
      </c>
      <c r="M4" s="48"/>
      <c r="N4" s="123" t="s">
        <v>122</v>
      </c>
      <c r="O4" s="22"/>
      <c r="P4" s="97"/>
      <c r="Q4" s="19"/>
      <c r="R4" s="98"/>
    </row>
    <row r="5" spans="1:18" ht="13.5">
      <c r="A5" s="26" t="s">
        <v>1</v>
      </c>
      <c r="B5" s="280" t="s">
        <v>38</v>
      </c>
      <c r="C5" s="280"/>
      <c r="D5" s="280"/>
      <c r="E5" s="280"/>
      <c r="F5" s="281"/>
      <c r="G5" s="10"/>
      <c r="H5" s="10"/>
      <c r="I5" s="10"/>
      <c r="J5" s="29"/>
      <c r="K5" s="29"/>
      <c r="L5" s="30"/>
      <c r="M5" s="122"/>
      <c r="N5" s="96"/>
      <c r="O5" s="100"/>
      <c r="P5" s="100"/>
      <c r="Q5" s="100"/>
      <c r="R5" s="100"/>
    </row>
    <row r="6" spans="1:18" ht="13.5">
      <c r="A6" s="26"/>
      <c r="B6" s="80" t="s">
        <v>4</v>
      </c>
      <c r="C6" s="280" t="s">
        <v>121</v>
      </c>
      <c r="D6" s="280"/>
      <c r="E6" s="280"/>
      <c r="F6" s="281"/>
      <c r="G6" s="10">
        <v>8</v>
      </c>
      <c r="H6" s="95">
        <v>0</v>
      </c>
      <c r="I6" s="10">
        <f>G6*H6</f>
        <v>0</v>
      </c>
      <c r="J6" s="29">
        <f>0.05*I6</f>
        <v>0</v>
      </c>
      <c r="K6" s="29">
        <f>0.1*I6</f>
        <v>0</v>
      </c>
      <c r="L6" s="30">
        <f>(I6*Assumptions!$B$27)+(J6*Assumptions!$B$28)+(K6*Assumptions!$B$29)</f>
        <v>0</v>
      </c>
      <c r="M6" s="122">
        <f>100*H6</f>
        <v>0</v>
      </c>
      <c r="N6" s="96" t="s">
        <v>213</v>
      </c>
      <c r="O6" s="101"/>
      <c r="P6" s="20"/>
      <c r="Q6" s="20"/>
      <c r="R6" s="102"/>
    </row>
    <row r="7" spans="1:18" ht="28.5" customHeight="1">
      <c r="A7" s="26"/>
      <c r="B7" s="80" t="s">
        <v>5</v>
      </c>
      <c r="C7" s="280" t="s">
        <v>223</v>
      </c>
      <c r="D7" s="280"/>
      <c r="E7" s="280"/>
      <c r="F7" s="281"/>
      <c r="G7" s="10">
        <v>4</v>
      </c>
      <c r="H7" s="95">
        <f>ROUNDDOWN('Industry Yr 1'!I17-'Agency Yr 1'!H7,0)</f>
        <v>19</v>
      </c>
      <c r="I7" s="95">
        <f>G7*H7</f>
        <v>76</v>
      </c>
      <c r="J7" s="29">
        <f>0.05*I7</f>
        <v>3.8000000000000003</v>
      </c>
      <c r="K7" s="29">
        <f>0.1*I7</f>
        <v>7.6000000000000005</v>
      </c>
      <c r="L7" s="30">
        <f>(I7*Assumptions!$B$27)+(J7*Assumptions!$B$28)+(K7*Assumptions!$B$29)</f>
        <v>4466.7328</v>
      </c>
      <c r="M7" s="122"/>
      <c r="N7" s="96" t="s">
        <v>214</v>
      </c>
      <c r="O7" s="101"/>
      <c r="P7" s="20"/>
      <c r="Q7" s="20"/>
      <c r="R7" s="102"/>
    </row>
    <row r="8" spans="1:18" ht="13.5">
      <c r="A8" s="26"/>
      <c r="B8" s="80" t="s">
        <v>6</v>
      </c>
      <c r="C8" s="280" t="s">
        <v>31</v>
      </c>
      <c r="D8" s="280"/>
      <c r="E8" s="280"/>
      <c r="F8" s="281"/>
      <c r="G8" s="10">
        <v>1</v>
      </c>
      <c r="H8" s="95">
        <f>+H7</f>
        <v>19</v>
      </c>
      <c r="I8" s="95">
        <f>G8*H8</f>
        <v>19</v>
      </c>
      <c r="J8" s="29">
        <f>0.05*I8</f>
        <v>0.9500000000000001</v>
      </c>
      <c r="K8" s="29">
        <f>0.1*I8</f>
        <v>1.9000000000000001</v>
      </c>
      <c r="L8" s="30">
        <f>(I8*Assumptions!$B$27)+(J8*Assumptions!$B$28)+(K8*Assumptions!$B$29)</f>
        <v>1116.6832</v>
      </c>
      <c r="M8" s="122"/>
      <c r="N8" s="96"/>
      <c r="O8" s="101"/>
      <c r="P8" s="20"/>
      <c r="Q8" s="20"/>
      <c r="R8" s="102"/>
    </row>
    <row r="9" spans="1:18" ht="13.5">
      <c r="A9" s="26" t="s">
        <v>2</v>
      </c>
      <c r="B9" s="280" t="s">
        <v>132</v>
      </c>
      <c r="C9" s="280"/>
      <c r="D9" s="280"/>
      <c r="E9" s="280"/>
      <c r="F9" s="281"/>
      <c r="G9" s="10">
        <v>0</v>
      </c>
      <c r="H9" s="10">
        <v>0</v>
      </c>
      <c r="I9" s="10">
        <f>G9*H9</f>
        <v>0</v>
      </c>
      <c r="J9" s="29">
        <f>0.05*I9</f>
        <v>0</v>
      </c>
      <c r="K9" s="29">
        <f>0.1*I9</f>
        <v>0</v>
      </c>
      <c r="L9" s="30">
        <f>(I9*Assumptions!$B$27)+(J9*Assumptions!$B$28)+(K9*Assumptions!$B$29)</f>
        <v>0</v>
      </c>
      <c r="M9" s="122"/>
      <c r="N9" s="96" t="s">
        <v>27</v>
      </c>
      <c r="O9" s="98"/>
      <c r="P9" s="98"/>
      <c r="Q9" s="98"/>
      <c r="R9" s="98"/>
    </row>
    <row r="10" spans="1:18" ht="13.5">
      <c r="A10" s="26" t="s">
        <v>3</v>
      </c>
      <c r="B10" s="280" t="s">
        <v>13</v>
      </c>
      <c r="C10" s="280"/>
      <c r="D10" s="280"/>
      <c r="E10" s="280"/>
      <c r="F10" s="281"/>
      <c r="G10" s="10"/>
      <c r="H10" s="10"/>
      <c r="I10" s="10"/>
      <c r="J10" s="29"/>
      <c r="K10" s="29"/>
      <c r="L10" s="30"/>
      <c r="M10" s="122"/>
      <c r="N10" s="96"/>
      <c r="O10" s="98"/>
      <c r="P10" s="98"/>
      <c r="Q10" s="98"/>
      <c r="R10" s="98"/>
    </row>
    <row r="11" spans="1:18" ht="27.75" customHeight="1">
      <c r="A11" s="26"/>
      <c r="B11" s="80" t="s">
        <v>4</v>
      </c>
      <c r="C11" s="280" t="s">
        <v>70</v>
      </c>
      <c r="D11" s="280"/>
      <c r="E11" s="280"/>
      <c r="F11" s="281"/>
      <c r="G11" s="10">
        <v>1</v>
      </c>
      <c r="H11" s="95">
        <v>0</v>
      </c>
      <c r="I11" s="10">
        <f>G11*H11</f>
        <v>0</v>
      </c>
      <c r="J11" s="29">
        <f>0.05*I11</f>
        <v>0</v>
      </c>
      <c r="K11" s="29">
        <f>0.1*I11</f>
        <v>0</v>
      </c>
      <c r="L11" s="30">
        <f>(I11*Assumptions!$B$27)+(J11*Assumptions!$B$28)+(K11*Assumptions!$B$29)</f>
        <v>0</v>
      </c>
      <c r="M11" s="122"/>
      <c r="N11" s="96" t="s">
        <v>215</v>
      </c>
      <c r="O11" s="98"/>
      <c r="P11" s="98"/>
      <c r="Q11" s="98"/>
      <c r="R11" s="98"/>
    </row>
    <row r="12" spans="1:18" ht="13.5">
      <c r="A12" s="26"/>
      <c r="B12" s="80" t="s">
        <v>5</v>
      </c>
      <c r="C12" s="280" t="s">
        <v>96</v>
      </c>
      <c r="D12" s="280"/>
      <c r="E12" s="280"/>
      <c r="F12" s="281"/>
      <c r="G12" s="10"/>
      <c r="H12" s="99"/>
      <c r="I12" s="10"/>
      <c r="J12" s="29"/>
      <c r="K12" s="29"/>
      <c r="L12" s="30"/>
      <c r="M12" s="122"/>
      <c r="N12" s="96"/>
      <c r="O12" s="98"/>
      <c r="P12" s="98"/>
      <c r="Q12" s="98"/>
      <c r="R12" s="98"/>
    </row>
    <row r="13" spans="1:18" ht="13.5">
      <c r="A13" s="26"/>
      <c r="B13" s="80"/>
      <c r="C13" s="80" t="s">
        <v>98</v>
      </c>
      <c r="D13" s="292" t="s">
        <v>60</v>
      </c>
      <c r="E13" s="314"/>
      <c r="F13" s="314"/>
      <c r="G13" s="10">
        <v>4</v>
      </c>
      <c r="H13" s="95">
        <f>Assumptions!$B$7</f>
        <v>0</v>
      </c>
      <c r="I13" s="10">
        <f aca="true" t="shared" si="0" ref="I13:I19">G13*H13</f>
        <v>0</v>
      </c>
      <c r="J13" s="29">
        <f aca="true" t="shared" si="1" ref="J13:J19">0.05*I13</f>
        <v>0</v>
      </c>
      <c r="K13" s="29">
        <f aca="true" t="shared" si="2" ref="K13:K19">0.1*I13</f>
        <v>0</v>
      </c>
      <c r="L13" s="30">
        <f>(I13*Assumptions!$B$27)+(J13*Assumptions!$B$28)+(K13*Assumptions!$B$29)</f>
        <v>0</v>
      </c>
      <c r="M13" s="122"/>
      <c r="N13" s="96" t="s">
        <v>29</v>
      </c>
      <c r="O13" s="98"/>
      <c r="P13" s="98"/>
      <c r="Q13" s="98"/>
      <c r="R13" s="98"/>
    </row>
    <row r="14" spans="1:18" ht="28.5" customHeight="1">
      <c r="A14" s="26"/>
      <c r="B14" s="80"/>
      <c r="C14" s="80" t="s">
        <v>99</v>
      </c>
      <c r="D14" s="291" t="s">
        <v>61</v>
      </c>
      <c r="E14" s="291"/>
      <c r="F14" s="292"/>
      <c r="G14" s="10">
        <v>2</v>
      </c>
      <c r="H14" s="95">
        <f>Assumptions!$B$7</f>
        <v>0</v>
      </c>
      <c r="I14" s="10">
        <f t="shared" si="0"/>
        <v>0</v>
      </c>
      <c r="J14" s="29">
        <f t="shared" si="1"/>
        <v>0</v>
      </c>
      <c r="K14" s="29">
        <f t="shared" si="2"/>
        <v>0</v>
      </c>
      <c r="L14" s="30">
        <f>(I14*Assumptions!$B$27)+(J14*Assumptions!$B$28)+(K14*Assumptions!$B$29)</f>
        <v>0</v>
      </c>
      <c r="M14" s="122"/>
      <c r="N14" s="96" t="s">
        <v>29</v>
      </c>
      <c r="O14" s="98"/>
      <c r="P14" s="98"/>
      <c r="Q14" s="98"/>
      <c r="R14" s="98"/>
    </row>
    <row r="15" spans="1:18" ht="13.5">
      <c r="A15" s="26"/>
      <c r="B15" s="80"/>
      <c r="C15" s="80" t="s">
        <v>100</v>
      </c>
      <c r="D15" s="291" t="s">
        <v>62</v>
      </c>
      <c r="E15" s="291"/>
      <c r="F15" s="292"/>
      <c r="G15" s="10">
        <v>2</v>
      </c>
      <c r="H15" s="95">
        <f>Assumptions!$B$7</f>
        <v>0</v>
      </c>
      <c r="I15" s="10">
        <f t="shared" si="0"/>
        <v>0</v>
      </c>
      <c r="J15" s="29">
        <f t="shared" si="1"/>
        <v>0</v>
      </c>
      <c r="K15" s="29">
        <f t="shared" si="2"/>
        <v>0</v>
      </c>
      <c r="L15" s="30">
        <f>(I15*Assumptions!$B$27)+(J15*Assumptions!$B$28)+(K15*Assumptions!$B$29)</f>
        <v>0</v>
      </c>
      <c r="M15" s="122"/>
      <c r="N15" s="96" t="s">
        <v>29</v>
      </c>
      <c r="O15" s="98"/>
      <c r="P15" s="98"/>
      <c r="Q15" s="98"/>
      <c r="R15" s="98"/>
    </row>
    <row r="16" spans="1:18" ht="13.5">
      <c r="A16" s="26"/>
      <c r="B16" s="80" t="s">
        <v>6</v>
      </c>
      <c r="C16" s="280" t="s">
        <v>66</v>
      </c>
      <c r="D16" s="280"/>
      <c r="E16" s="280"/>
      <c r="F16" s="281"/>
      <c r="G16" s="103">
        <v>2</v>
      </c>
      <c r="H16" s="10">
        <v>0</v>
      </c>
      <c r="I16" s="10">
        <f t="shared" si="0"/>
        <v>0</v>
      </c>
      <c r="J16" s="29">
        <f t="shared" si="1"/>
        <v>0</v>
      </c>
      <c r="K16" s="29">
        <f t="shared" si="2"/>
        <v>0</v>
      </c>
      <c r="L16" s="30">
        <f>(I16*Assumptions!$B$27)+(J16*Assumptions!$B$28)+(K16*Assumptions!$B$29)</f>
        <v>0</v>
      </c>
      <c r="M16" s="122"/>
      <c r="N16" s="96" t="s">
        <v>59</v>
      </c>
      <c r="O16" s="98"/>
      <c r="P16" s="98"/>
      <c r="Q16" s="98"/>
      <c r="R16" s="98"/>
    </row>
    <row r="17" spans="1:18" ht="13.5">
      <c r="A17" s="26"/>
      <c r="B17" s="80" t="s">
        <v>7</v>
      </c>
      <c r="C17" s="280" t="s">
        <v>64</v>
      </c>
      <c r="D17" s="280"/>
      <c r="E17" s="280"/>
      <c r="F17" s="281"/>
      <c r="G17" s="10">
        <v>1</v>
      </c>
      <c r="H17" s="95">
        <f>+'Industry Yr 1'!I16/4</f>
        <v>0</v>
      </c>
      <c r="I17" s="95">
        <f t="shared" si="0"/>
        <v>0</v>
      </c>
      <c r="J17" s="29">
        <f t="shared" si="1"/>
        <v>0</v>
      </c>
      <c r="K17" s="29">
        <f t="shared" si="2"/>
        <v>0</v>
      </c>
      <c r="L17" s="30">
        <f>(I17*Assumptions!$B$27)+(J17*Assumptions!$B$28)+(K17*Assumptions!$B$29)</f>
        <v>0</v>
      </c>
      <c r="M17" s="122"/>
      <c r="N17" s="96" t="s">
        <v>213</v>
      </c>
      <c r="O17" s="98"/>
      <c r="P17" s="98"/>
      <c r="Q17" s="98"/>
      <c r="R17" s="98"/>
    </row>
    <row r="18" spans="1:18" ht="13.5">
      <c r="A18" s="26"/>
      <c r="B18" s="80" t="s">
        <v>8</v>
      </c>
      <c r="C18" s="280" t="s">
        <v>15</v>
      </c>
      <c r="D18" s="280"/>
      <c r="E18" s="280"/>
      <c r="F18" s="281"/>
      <c r="G18" s="10">
        <v>4</v>
      </c>
      <c r="H18" s="95">
        <f>ROUNDDOWN(3*'Industry Yr 1'!I17/4,0)</f>
        <v>19</v>
      </c>
      <c r="I18" s="10">
        <f t="shared" si="0"/>
        <v>76</v>
      </c>
      <c r="J18" s="29">
        <f t="shared" si="1"/>
        <v>3.8000000000000003</v>
      </c>
      <c r="K18" s="29">
        <f t="shared" si="2"/>
        <v>7.6000000000000005</v>
      </c>
      <c r="L18" s="30">
        <f>(I18*Assumptions!$B$27)+(J18*Assumptions!$B$28)+(K18*Assumptions!$B$29)</f>
        <v>4466.7328</v>
      </c>
      <c r="M18" s="122"/>
      <c r="N18" s="96" t="s">
        <v>216</v>
      </c>
      <c r="O18" s="98"/>
      <c r="P18" s="104"/>
      <c r="Q18" s="98"/>
      <c r="R18" s="98"/>
    </row>
    <row r="19" spans="1:14" ht="13.5" customHeight="1">
      <c r="A19" s="26" t="s">
        <v>9</v>
      </c>
      <c r="B19" s="280" t="s">
        <v>131</v>
      </c>
      <c r="C19" s="280"/>
      <c r="D19" s="280"/>
      <c r="E19" s="280"/>
      <c r="F19" s="281"/>
      <c r="G19" s="10">
        <v>4</v>
      </c>
      <c r="H19" s="95">
        <f>+'Industry Yr 1'!I29/4</f>
        <v>6.5</v>
      </c>
      <c r="I19" s="10">
        <f t="shared" si="0"/>
        <v>26</v>
      </c>
      <c r="J19" s="29">
        <f t="shared" si="1"/>
        <v>1.3</v>
      </c>
      <c r="K19" s="29">
        <f t="shared" si="2"/>
        <v>2.6</v>
      </c>
      <c r="L19" s="30">
        <f>(I19*Assumptions!$B$27)+(J19*Assumptions!$B$28)+(K19*Assumptions!$B$29)</f>
        <v>1528.0928000000001</v>
      </c>
      <c r="M19" s="122"/>
      <c r="N19" s="96" t="s">
        <v>79</v>
      </c>
    </row>
    <row r="20" spans="1:14" ht="13.5">
      <c r="A20" s="108"/>
      <c r="B20" s="79" t="s">
        <v>46</v>
      </c>
      <c r="C20" s="27"/>
      <c r="D20" s="40"/>
      <c r="E20" s="36"/>
      <c r="F20" s="105"/>
      <c r="G20" s="106"/>
      <c r="H20" s="103"/>
      <c r="I20" s="28">
        <f>SUM(I4:I19)</f>
        <v>197</v>
      </c>
      <c r="J20" s="29">
        <f>SUM(J4:J19)</f>
        <v>9.850000000000001</v>
      </c>
      <c r="K20" s="29">
        <f>SUM(K4:K19)</f>
        <v>19.700000000000003</v>
      </c>
      <c r="L20" s="30">
        <f>SUM(L4:L19)</f>
        <v>11578.2416</v>
      </c>
      <c r="M20" s="30">
        <f>SUM(M4:M19)</f>
        <v>0</v>
      </c>
      <c r="N20" s="96"/>
    </row>
    <row r="21" spans="1:14" ht="40.5">
      <c r="A21" s="109"/>
      <c r="B21" s="110"/>
      <c r="C21" s="51"/>
      <c r="D21" s="52"/>
      <c r="E21" s="76"/>
      <c r="F21" s="22"/>
      <c r="G21" s="53"/>
      <c r="H21" s="54"/>
      <c r="I21" s="55" t="s">
        <v>33</v>
      </c>
      <c r="J21" s="55" t="s">
        <v>48</v>
      </c>
      <c r="K21" s="55" t="s">
        <v>49</v>
      </c>
      <c r="L21" s="55" t="s">
        <v>50</v>
      </c>
      <c r="M21" s="55"/>
      <c r="N21" s="111"/>
    </row>
    <row r="22" spans="1:14" ht="13.5">
      <c r="A22" s="109"/>
      <c r="B22" s="110"/>
      <c r="C22" s="51"/>
      <c r="D22" s="52"/>
      <c r="E22" s="76"/>
      <c r="F22" s="22"/>
      <c r="G22" s="59" t="s">
        <v>67</v>
      </c>
      <c r="H22" s="54"/>
      <c r="I22" s="55">
        <f>SUM(I20:K20)</f>
        <v>226.55</v>
      </c>
      <c r="J22" s="60">
        <f>L20</f>
        <v>11578.2416</v>
      </c>
      <c r="K22" s="119">
        <f>+M20</f>
        <v>0</v>
      </c>
      <c r="L22" s="60">
        <f>SUM(J22:K22)</f>
        <v>11578.2416</v>
      </c>
      <c r="M22" s="60"/>
      <c r="N22" s="111"/>
    </row>
    <row r="23" spans="1:14" ht="13.5">
      <c r="A23" s="109"/>
      <c r="B23" s="110"/>
      <c r="C23" s="51"/>
      <c r="D23" s="52"/>
      <c r="E23" s="76"/>
      <c r="F23" s="22"/>
      <c r="G23" s="59" t="s">
        <v>51</v>
      </c>
      <c r="H23" s="54"/>
      <c r="I23" s="55">
        <v>0</v>
      </c>
      <c r="J23" s="61">
        <v>0</v>
      </c>
      <c r="K23" s="61">
        <v>0</v>
      </c>
      <c r="L23" s="60">
        <f>SUM(J23:K23)</f>
        <v>0</v>
      </c>
      <c r="M23" s="60"/>
      <c r="N23" s="111"/>
    </row>
    <row r="24" spans="1:14" ht="14.25" thickBot="1">
      <c r="A24" s="112"/>
      <c r="B24" s="113"/>
      <c r="C24" s="63"/>
      <c r="D24" s="64"/>
      <c r="E24" s="114"/>
      <c r="F24" s="115"/>
      <c r="G24" s="65" t="s">
        <v>52</v>
      </c>
      <c r="H24" s="66"/>
      <c r="I24" s="67">
        <v>0</v>
      </c>
      <c r="J24" s="69">
        <v>0</v>
      </c>
      <c r="K24" s="69">
        <f>SUM(K22:K23)</f>
        <v>0</v>
      </c>
      <c r="L24" s="69">
        <v>0</v>
      </c>
      <c r="M24" s="69"/>
      <c r="N24" s="116"/>
    </row>
    <row r="25" spans="1:14" ht="30.75" customHeight="1">
      <c r="A25" s="73" t="s">
        <v>22</v>
      </c>
      <c r="B25" s="298" t="s">
        <v>229</v>
      </c>
      <c r="C25" s="298"/>
      <c r="D25" s="298"/>
      <c r="E25" s="298"/>
      <c r="F25" s="298"/>
      <c r="G25" s="298"/>
      <c r="H25" s="298"/>
      <c r="I25" s="298"/>
      <c r="J25" s="298"/>
      <c r="K25" s="298"/>
      <c r="L25" s="298"/>
      <c r="M25" s="298"/>
      <c r="N25" s="298"/>
    </row>
    <row r="26" spans="1:8" ht="15.75">
      <c r="A26" s="73" t="s">
        <v>23</v>
      </c>
      <c r="B26" s="25" t="s">
        <v>209</v>
      </c>
      <c r="G26" s="9"/>
      <c r="H26" s="9"/>
    </row>
    <row r="27" spans="1:8" ht="15.75">
      <c r="A27" s="118" t="s">
        <v>24</v>
      </c>
      <c r="B27" s="9" t="s">
        <v>65</v>
      </c>
      <c r="G27" s="9"/>
      <c r="H27" s="9"/>
    </row>
    <row r="28" spans="1:14" ht="15.75">
      <c r="A28" s="118" t="s">
        <v>25</v>
      </c>
      <c r="B28" s="303" t="s">
        <v>219</v>
      </c>
      <c r="C28" s="303"/>
      <c r="D28" s="303"/>
      <c r="E28" s="303"/>
      <c r="F28" s="303"/>
      <c r="G28" s="303"/>
      <c r="H28" s="303"/>
      <c r="I28" s="303"/>
      <c r="J28" s="303"/>
      <c r="K28" s="303"/>
      <c r="L28" s="303"/>
      <c r="M28" s="303"/>
      <c r="N28" s="303"/>
    </row>
    <row r="29" spans="1:2" ht="15.75">
      <c r="A29" s="73" t="s">
        <v>26</v>
      </c>
      <c r="B29" s="25" t="s">
        <v>211</v>
      </c>
    </row>
    <row r="30" spans="1:2" ht="15.75">
      <c r="A30" s="73" t="s">
        <v>27</v>
      </c>
      <c r="B30" s="25" t="s">
        <v>218</v>
      </c>
    </row>
    <row r="31" spans="1:14" ht="15.75">
      <c r="A31" s="73" t="s">
        <v>28</v>
      </c>
      <c r="B31" s="298" t="s">
        <v>126</v>
      </c>
      <c r="C31" s="298"/>
      <c r="D31" s="298"/>
      <c r="E31" s="298"/>
      <c r="F31" s="298"/>
      <c r="G31" s="298"/>
      <c r="H31" s="298"/>
      <c r="I31" s="298"/>
      <c r="J31" s="298"/>
      <c r="K31" s="298"/>
      <c r="L31" s="298"/>
      <c r="M31" s="298"/>
      <c r="N31" s="298"/>
    </row>
    <row r="32" spans="1:2" ht="15.75">
      <c r="A32" s="73" t="s">
        <v>29</v>
      </c>
      <c r="B32" s="25" t="s">
        <v>156</v>
      </c>
    </row>
    <row r="33" spans="1:2" ht="15.75">
      <c r="A33" s="73" t="s">
        <v>59</v>
      </c>
      <c r="B33" s="25" t="s">
        <v>90</v>
      </c>
    </row>
    <row r="34" spans="1:2" ht="15.75">
      <c r="A34" s="73" t="s">
        <v>78</v>
      </c>
      <c r="B34" s="25" t="s">
        <v>217</v>
      </c>
    </row>
    <row r="35" spans="1:2" ht="15.75">
      <c r="A35" s="73" t="s">
        <v>79</v>
      </c>
      <c r="B35" s="25" t="s">
        <v>160</v>
      </c>
    </row>
  </sheetData>
  <mergeCells count="24">
    <mergeCell ref="B25:N25"/>
    <mergeCell ref="B28:N28"/>
    <mergeCell ref="B31:N31"/>
    <mergeCell ref="C11:F11"/>
    <mergeCell ref="C17:F17"/>
    <mergeCell ref="C18:F18"/>
    <mergeCell ref="B19:F19"/>
    <mergeCell ref="C12:F12"/>
    <mergeCell ref="D14:F14"/>
    <mergeCell ref="D15:F15"/>
    <mergeCell ref="L2:L3"/>
    <mergeCell ref="N2:N3"/>
    <mergeCell ref="A2:F3"/>
    <mergeCell ref="C7:F7"/>
    <mergeCell ref="C16:F16"/>
    <mergeCell ref="D13:F13"/>
    <mergeCell ref="A1:N1"/>
    <mergeCell ref="B4:F4"/>
    <mergeCell ref="B5:F5"/>
    <mergeCell ref="C6:F6"/>
    <mergeCell ref="C8:F8"/>
    <mergeCell ref="B9:F9"/>
    <mergeCell ref="B10:F10"/>
    <mergeCell ref="M2:M3"/>
  </mergeCells>
  <printOptions horizontalCentered="1"/>
  <pageMargins left="0.25" right="0.25" top="0.25" bottom="0.25" header="0.5" footer="0.5"/>
  <pageSetup fitToHeight="1" fitToWidth="1" horizontalDpi="600" verticalDpi="600" orientation="landscape" scale="74" r:id="rId1"/>
</worksheet>
</file>

<file path=xl/worksheets/sheet9.xml><?xml version="1.0" encoding="utf-8"?>
<worksheet xmlns="http://schemas.openxmlformats.org/spreadsheetml/2006/main" xmlns:r="http://schemas.openxmlformats.org/officeDocument/2006/relationships">
  <sheetPr>
    <pageSetUpPr fitToPage="1"/>
  </sheetPr>
  <dimension ref="A1:R35"/>
  <sheetViews>
    <sheetView zoomScale="75" zoomScaleNormal="75" workbookViewId="0" topLeftCell="A1">
      <selection activeCell="H19" sqref="H19"/>
    </sheetView>
  </sheetViews>
  <sheetFormatPr defaultColWidth="9.140625" defaultRowHeight="12.75"/>
  <cols>
    <col min="1" max="1" width="3.140625" style="117" customWidth="1"/>
    <col min="2" max="2" width="3.28125" style="9" customWidth="1"/>
    <col min="3" max="3" width="4.8515625" style="9" customWidth="1"/>
    <col min="4" max="4" width="1.421875" style="9" customWidth="1"/>
    <col min="5" max="5" width="2.421875" style="9" customWidth="1"/>
    <col min="6" max="6" width="63.57421875" style="9" customWidth="1"/>
    <col min="7" max="7" width="15.28125" style="107" customWidth="1"/>
    <col min="8" max="8" width="14.140625" style="107" customWidth="1"/>
    <col min="9" max="9" width="12.00390625" style="107" customWidth="1"/>
    <col min="10" max="10" width="13.421875" style="107" customWidth="1"/>
    <col min="11" max="11" width="12.28125" style="107" customWidth="1"/>
    <col min="12" max="13" width="12.28125" style="74" customWidth="1"/>
    <col min="14" max="14" width="11.421875" style="9" customWidth="1"/>
    <col min="15" max="15" width="15.28125" style="9" customWidth="1"/>
    <col min="16" max="16" width="27.140625" style="9" customWidth="1"/>
    <col min="17" max="17" width="14.8515625" style="9" customWidth="1"/>
    <col min="18" max="18" width="31.8515625" style="9" customWidth="1"/>
    <col min="19" max="16384" width="9.140625" style="9" customWidth="1"/>
  </cols>
  <sheetData>
    <row r="1" spans="1:14" ht="32.25" customHeight="1" thickBot="1">
      <c r="A1" s="301" t="s">
        <v>232</v>
      </c>
      <c r="B1" s="301"/>
      <c r="C1" s="301"/>
      <c r="D1" s="301"/>
      <c r="E1" s="301"/>
      <c r="F1" s="301"/>
      <c r="G1" s="301"/>
      <c r="H1" s="301"/>
      <c r="I1" s="301"/>
      <c r="J1" s="301"/>
      <c r="K1" s="301"/>
      <c r="L1" s="301"/>
      <c r="M1" s="301"/>
      <c r="N1" s="301"/>
    </row>
    <row r="2" spans="1:14" s="94" customFormat="1" ht="64.5" customHeight="1">
      <c r="A2" s="308" t="s">
        <v>16</v>
      </c>
      <c r="B2" s="309"/>
      <c r="C2" s="309"/>
      <c r="D2" s="309"/>
      <c r="E2" s="309"/>
      <c r="F2" s="310"/>
      <c r="G2" s="92" t="s">
        <v>110</v>
      </c>
      <c r="H2" s="93" t="s">
        <v>124</v>
      </c>
      <c r="I2" s="93" t="s">
        <v>114</v>
      </c>
      <c r="J2" s="93" t="s">
        <v>125</v>
      </c>
      <c r="K2" s="93" t="s">
        <v>119</v>
      </c>
      <c r="L2" s="304" t="s">
        <v>106</v>
      </c>
      <c r="M2" s="274" t="s">
        <v>57</v>
      </c>
      <c r="N2" s="306" t="s">
        <v>12</v>
      </c>
    </row>
    <row r="3" spans="1:14" s="94" customFormat="1" ht="14.25" thickBot="1">
      <c r="A3" s="311"/>
      <c r="B3" s="312"/>
      <c r="C3" s="312"/>
      <c r="D3" s="312"/>
      <c r="E3" s="312"/>
      <c r="F3" s="313"/>
      <c r="G3" s="126" t="s">
        <v>107</v>
      </c>
      <c r="H3" s="126" t="s">
        <v>108</v>
      </c>
      <c r="I3" s="126" t="s">
        <v>120</v>
      </c>
      <c r="J3" s="126" t="s">
        <v>123</v>
      </c>
      <c r="K3" s="126" t="s">
        <v>135</v>
      </c>
      <c r="L3" s="305"/>
      <c r="M3" s="275"/>
      <c r="N3" s="307"/>
    </row>
    <row r="4" spans="1:18" ht="14.25" thickTop="1">
      <c r="A4" s="127" t="s">
        <v>0</v>
      </c>
      <c r="B4" s="315" t="s">
        <v>30</v>
      </c>
      <c r="C4" s="315"/>
      <c r="D4" s="315"/>
      <c r="E4" s="315"/>
      <c r="F4" s="316"/>
      <c r="G4" s="124">
        <v>2</v>
      </c>
      <c r="H4" s="125">
        <v>0</v>
      </c>
      <c r="I4" s="125">
        <f>G4*H4</f>
        <v>0</v>
      </c>
      <c r="J4" s="47">
        <f>0.05*I4</f>
        <v>0</v>
      </c>
      <c r="K4" s="47">
        <f>0.1*I4</f>
        <v>0</v>
      </c>
      <c r="L4" s="48">
        <f>(I4*Assumptions!$B$27)+(J4*Assumptions!$B$28)+(K4*Assumptions!$B$29)</f>
        <v>0</v>
      </c>
      <c r="M4" s="48"/>
      <c r="N4" s="123" t="s">
        <v>122</v>
      </c>
      <c r="O4" s="22"/>
      <c r="P4" s="97"/>
      <c r="Q4" s="19"/>
      <c r="R4" s="98"/>
    </row>
    <row r="5" spans="1:18" ht="13.5">
      <c r="A5" s="26" t="s">
        <v>1</v>
      </c>
      <c r="B5" s="280" t="s">
        <v>38</v>
      </c>
      <c r="C5" s="280"/>
      <c r="D5" s="280"/>
      <c r="E5" s="280"/>
      <c r="F5" s="281"/>
      <c r="G5" s="10"/>
      <c r="H5" s="10"/>
      <c r="I5" s="10"/>
      <c r="J5" s="29"/>
      <c r="K5" s="29"/>
      <c r="L5" s="30"/>
      <c r="M5" s="122"/>
      <c r="N5" s="96"/>
      <c r="O5" s="100"/>
      <c r="P5" s="100"/>
      <c r="Q5" s="100"/>
      <c r="R5" s="100"/>
    </row>
    <row r="6" spans="1:18" ht="13.5">
      <c r="A6" s="26"/>
      <c r="B6" s="80" t="s">
        <v>4</v>
      </c>
      <c r="C6" s="280" t="s">
        <v>121</v>
      </c>
      <c r="D6" s="280"/>
      <c r="E6" s="280"/>
      <c r="F6" s="281"/>
      <c r="G6" s="10">
        <v>8</v>
      </c>
      <c r="H6" s="95">
        <v>0</v>
      </c>
      <c r="I6" s="10">
        <f>G6*H6</f>
        <v>0</v>
      </c>
      <c r="J6" s="29">
        <f>0.05*I6</f>
        <v>0</v>
      </c>
      <c r="K6" s="29">
        <f>0.1*I6</f>
        <v>0</v>
      </c>
      <c r="L6" s="30">
        <f>(I6*Assumptions!$B$27)+(J6*Assumptions!$B$28)+(K6*Assumptions!$B$29)</f>
        <v>0</v>
      </c>
      <c r="M6" s="122">
        <f>100*H6</f>
        <v>0</v>
      </c>
      <c r="N6" s="96" t="s">
        <v>213</v>
      </c>
      <c r="O6" s="101"/>
      <c r="P6" s="20"/>
      <c r="Q6" s="20"/>
      <c r="R6" s="102"/>
    </row>
    <row r="7" spans="1:18" ht="28.5" customHeight="1">
      <c r="A7" s="26"/>
      <c r="B7" s="80" t="s">
        <v>5</v>
      </c>
      <c r="C7" s="280" t="s">
        <v>223</v>
      </c>
      <c r="D7" s="280"/>
      <c r="E7" s="280"/>
      <c r="F7" s="281"/>
      <c r="G7" s="10">
        <v>4</v>
      </c>
      <c r="H7" s="95">
        <v>0</v>
      </c>
      <c r="I7" s="95">
        <f>G7*H7</f>
        <v>0</v>
      </c>
      <c r="J7" s="29">
        <f>0.05*I7</f>
        <v>0</v>
      </c>
      <c r="K7" s="29">
        <f>0.1*I7</f>
        <v>0</v>
      </c>
      <c r="L7" s="30">
        <f>(I7*Assumptions!$B$27)+(J7*Assumptions!$B$28)+(K7*Assumptions!$B$29)</f>
        <v>0</v>
      </c>
      <c r="M7" s="122"/>
      <c r="N7" s="96" t="s">
        <v>214</v>
      </c>
      <c r="O7" s="101"/>
      <c r="P7" s="20"/>
      <c r="Q7" s="20"/>
      <c r="R7" s="102"/>
    </row>
    <row r="8" spans="1:18" ht="13.5">
      <c r="A8" s="26"/>
      <c r="B8" s="80" t="s">
        <v>6</v>
      </c>
      <c r="C8" s="280" t="s">
        <v>31</v>
      </c>
      <c r="D8" s="280"/>
      <c r="E8" s="280"/>
      <c r="F8" s="281"/>
      <c r="G8" s="10">
        <v>1</v>
      </c>
      <c r="H8" s="95">
        <f>+H7</f>
        <v>0</v>
      </c>
      <c r="I8" s="95">
        <f>G8*H8</f>
        <v>0</v>
      </c>
      <c r="J8" s="29">
        <f>0.05*I8</f>
        <v>0</v>
      </c>
      <c r="K8" s="29">
        <f>0.1*I8</f>
        <v>0</v>
      </c>
      <c r="L8" s="30">
        <f>(I8*Assumptions!$B$27)+(J8*Assumptions!$B$28)+(K8*Assumptions!$B$29)</f>
        <v>0</v>
      </c>
      <c r="M8" s="122"/>
      <c r="N8" s="96"/>
      <c r="O8" s="101"/>
      <c r="P8" s="20"/>
      <c r="Q8" s="20"/>
      <c r="R8" s="102"/>
    </row>
    <row r="9" spans="1:18" ht="13.5">
      <c r="A9" s="26" t="s">
        <v>2</v>
      </c>
      <c r="B9" s="280" t="s">
        <v>132</v>
      </c>
      <c r="C9" s="280"/>
      <c r="D9" s="280"/>
      <c r="E9" s="280"/>
      <c r="F9" s="281"/>
      <c r="G9" s="10">
        <v>0</v>
      </c>
      <c r="H9" s="10">
        <v>0</v>
      </c>
      <c r="I9" s="10">
        <f>G9*H9</f>
        <v>0</v>
      </c>
      <c r="J9" s="29">
        <f>0.05*I9</f>
        <v>0</v>
      </c>
      <c r="K9" s="29">
        <f>0.1*I9</f>
        <v>0</v>
      </c>
      <c r="L9" s="30">
        <f>(I9*Assumptions!$B$27)+(J9*Assumptions!$B$28)+(K9*Assumptions!$B$29)</f>
        <v>0</v>
      </c>
      <c r="M9" s="122"/>
      <c r="N9" s="96" t="s">
        <v>27</v>
      </c>
      <c r="O9" s="98"/>
      <c r="P9" s="98"/>
      <c r="Q9" s="98"/>
      <c r="R9" s="98"/>
    </row>
    <row r="10" spans="1:18" ht="13.5">
      <c r="A10" s="26" t="s">
        <v>3</v>
      </c>
      <c r="B10" s="280" t="s">
        <v>13</v>
      </c>
      <c r="C10" s="280"/>
      <c r="D10" s="280"/>
      <c r="E10" s="280"/>
      <c r="F10" s="281"/>
      <c r="G10" s="10"/>
      <c r="H10" s="10"/>
      <c r="I10" s="10"/>
      <c r="J10" s="29"/>
      <c r="K10" s="29"/>
      <c r="L10" s="30"/>
      <c r="M10" s="122"/>
      <c r="N10" s="96"/>
      <c r="O10" s="98"/>
      <c r="P10" s="98"/>
      <c r="Q10" s="98"/>
      <c r="R10" s="98"/>
    </row>
    <row r="11" spans="1:18" ht="27.75" customHeight="1">
      <c r="A11" s="26"/>
      <c r="B11" s="80" t="s">
        <v>4</v>
      </c>
      <c r="C11" s="280" t="s">
        <v>70</v>
      </c>
      <c r="D11" s="280"/>
      <c r="E11" s="280"/>
      <c r="F11" s="281"/>
      <c r="G11" s="10">
        <v>1</v>
      </c>
      <c r="H11" s="95">
        <v>0</v>
      </c>
      <c r="I11" s="10">
        <f>G11*H11</f>
        <v>0</v>
      </c>
      <c r="J11" s="29">
        <f>0.05*I11</f>
        <v>0</v>
      </c>
      <c r="K11" s="29">
        <f>0.1*I11</f>
        <v>0</v>
      </c>
      <c r="L11" s="30">
        <f>(I11*Assumptions!$B$27)+(J11*Assumptions!$B$28)+(K11*Assumptions!$B$29)</f>
        <v>0</v>
      </c>
      <c r="M11" s="122"/>
      <c r="N11" s="96" t="s">
        <v>215</v>
      </c>
      <c r="O11" s="98"/>
      <c r="P11" s="98"/>
      <c r="Q11" s="98"/>
      <c r="R11" s="98"/>
    </row>
    <row r="12" spans="1:18" ht="13.5">
      <c r="A12" s="26"/>
      <c r="B12" s="80" t="s">
        <v>5</v>
      </c>
      <c r="C12" s="280" t="s">
        <v>96</v>
      </c>
      <c r="D12" s="280"/>
      <c r="E12" s="280"/>
      <c r="F12" s="281"/>
      <c r="G12" s="10"/>
      <c r="H12" s="99"/>
      <c r="I12" s="10"/>
      <c r="J12" s="29"/>
      <c r="K12" s="29"/>
      <c r="L12" s="30"/>
      <c r="M12" s="122"/>
      <c r="N12" s="96"/>
      <c r="O12" s="98"/>
      <c r="P12" s="98"/>
      <c r="Q12" s="98"/>
      <c r="R12" s="98"/>
    </row>
    <row r="13" spans="1:18" ht="13.5">
      <c r="A13" s="26"/>
      <c r="B13" s="80"/>
      <c r="C13" s="80" t="s">
        <v>98</v>
      </c>
      <c r="D13" s="292" t="s">
        <v>60</v>
      </c>
      <c r="E13" s="314"/>
      <c r="F13" s="314"/>
      <c r="G13" s="10">
        <v>4</v>
      </c>
      <c r="H13" s="95">
        <f>Assumptions!$B$7</f>
        <v>0</v>
      </c>
      <c r="I13" s="10">
        <f aca="true" t="shared" si="0" ref="I13:I19">G13*H13</f>
        <v>0</v>
      </c>
      <c r="J13" s="29">
        <f aca="true" t="shared" si="1" ref="J13:J19">0.05*I13</f>
        <v>0</v>
      </c>
      <c r="K13" s="29">
        <f aca="true" t="shared" si="2" ref="K13:K19">0.1*I13</f>
        <v>0</v>
      </c>
      <c r="L13" s="30">
        <f>(I13*Assumptions!$B$27)+(J13*Assumptions!$B$28)+(K13*Assumptions!$B$29)</f>
        <v>0</v>
      </c>
      <c r="M13" s="122"/>
      <c r="N13" s="96" t="s">
        <v>29</v>
      </c>
      <c r="O13" s="98"/>
      <c r="P13" s="98"/>
      <c r="Q13" s="98"/>
      <c r="R13" s="98"/>
    </row>
    <row r="14" spans="1:18" ht="28.5" customHeight="1">
      <c r="A14" s="26"/>
      <c r="B14" s="80"/>
      <c r="C14" s="80" t="s">
        <v>99</v>
      </c>
      <c r="D14" s="291" t="s">
        <v>61</v>
      </c>
      <c r="E14" s="291"/>
      <c r="F14" s="292"/>
      <c r="G14" s="10">
        <v>2</v>
      </c>
      <c r="H14" s="95">
        <f>Assumptions!$B$7</f>
        <v>0</v>
      </c>
      <c r="I14" s="10">
        <f t="shared" si="0"/>
        <v>0</v>
      </c>
      <c r="J14" s="29">
        <f t="shared" si="1"/>
        <v>0</v>
      </c>
      <c r="K14" s="29">
        <f t="shared" si="2"/>
        <v>0</v>
      </c>
      <c r="L14" s="30">
        <f>(I14*Assumptions!$B$27)+(J14*Assumptions!$B$28)+(K14*Assumptions!$B$29)</f>
        <v>0</v>
      </c>
      <c r="M14" s="122"/>
      <c r="N14" s="96" t="s">
        <v>29</v>
      </c>
      <c r="O14" s="98"/>
      <c r="P14" s="98"/>
      <c r="Q14" s="98"/>
      <c r="R14" s="98"/>
    </row>
    <row r="15" spans="1:18" ht="13.5">
      <c r="A15" s="26"/>
      <c r="B15" s="80"/>
      <c r="C15" s="80" t="s">
        <v>100</v>
      </c>
      <c r="D15" s="291" t="s">
        <v>62</v>
      </c>
      <c r="E15" s="291"/>
      <c r="F15" s="292"/>
      <c r="G15" s="10">
        <v>2</v>
      </c>
      <c r="H15" s="95">
        <f>Assumptions!$B$7</f>
        <v>0</v>
      </c>
      <c r="I15" s="10">
        <f t="shared" si="0"/>
        <v>0</v>
      </c>
      <c r="J15" s="29">
        <f t="shared" si="1"/>
        <v>0</v>
      </c>
      <c r="K15" s="29">
        <f t="shared" si="2"/>
        <v>0</v>
      </c>
      <c r="L15" s="30">
        <f>(I15*Assumptions!$B$27)+(J15*Assumptions!$B$28)+(K15*Assumptions!$B$29)</f>
        <v>0</v>
      </c>
      <c r="M15" s="122"/>
      <c r="N15" s="96" t="s">
        <v>29</v>
      </c>
      <c r="O15" s="98"/>
      <c r="P15" s="98"/>
      <c r="Q15" s="98"/>
      <c r="R15" s="98"/>
    </row>
    <row r="16" spans="1:18" ht="13.5">
      <c r="A16" s="26"/>
      <c r="B16" s="80" t="s">
        <v>6</v>
      </c>
      <c r="C16" s="280" t="s">
        <v>66</v>
      </c>
      <c r="D16" s="280"/>
      <c r="E16" s="280"/>
      <c r="F16" s="281"/>
      <c r="G16" s="103">
        <v>2</v>
      </c>
      <c r="H16" s="10">
        <v>0</v>
      </c>
      <c r="I16" s="10">
        <f t="shared" si="0"/>
        <v>0</v>
      </c>
      <c r="J16" s="29">
        <f t="shared" si="1"/>
        <v>0</v>
      </c>
      <c r="K16" s="29">
        <f t="shared" si="2"/>
        <v>0</v>
      </c>
      <c r="L16" s="30">
        <f>(I16*Assumptions!$B$27)+(J16*Assumptions!$B$28)+(K16*Assumptions!$B$29)</f>
        <v>0</v>
      </c>
      <c r="M16" s="122"/>
      <c r="N16" s="96" t="s">
        <v>59</v>
      </c>
      <c r="O16" s="98"/>
      <c r="P16" s="98"/>
      <c r="Q16" s="98"/>
      <c r="R16" s="98"/>
    </row>
    <row r="17" spans="1:18" ht="13.5">
      <c r="A17" s="26"/>
      <c r="B17" s="80" t="s">
        <v>7</v>
      </c>
      <c r="C17" s="280" t="s">
        <v>64</v>
      </c>
      <c r="D17" s="280"/>
      <c r="E17" s="280"/>
      <c r="F17" s="281"/>
      <c r="G17" s="10">
        <v>1</v>
      </c>
      <c r="H17" s="95">
        <f>+'Industry Yr 1'!I16/4</f>
        <v>0</v>
      </c>
      <c r="I17" s="95">
        <f t="shared" si="0"/>
        <v>0</v>
      </c>
      <c r="J17" s="29">
        <f t="shared" si="1"/>
        <v>0</v>
      </c>
      <c r="K17" s="29">
        <f t="shared" si="2"/>
        <v>0</v>
      </c>
      <c r="L17" s="30">
        <f>(I17*Assumptions!$B$27)+(J17*Assumptions!$B$28)+(K17*Assumptions!$B$29)</f>
        <v>0</v>
      </c>
      <c r="M17" s="122"/>
      <c r="N17" s="96" t="s">
        <v>213</v>
      </c>
      <c r="O17" s="98"/>
      <c r="P17" s="98"/>
      <c r="Q17" s="98"/>
      <c r="R17" s="98"/>
    </row>
    <row r="18" spans="1:18" ht="13.5">
      <c r="A18" s="26"/>
      <c r="B18" s="80" t="s">
        <v>8</v>
      </c>
      <c r="C18" s="280" t="s">
        <v>15</v>
      </c>
      <c r="D18" s="280"/>
      <c r="E18" s="280"/>
      <c r="F18" s="281"/>
      <c r="G18" s="10">
        <v>4</v>
      </c>
      <c r="H18" s="95">
        <v>0</v>
      </c>
      <c r="I18" s="10">
        <f t="shared" si="0"/>
        <v>0</v>
      </c>
      <c r="J18" s="29">
        <f t="shared" si="1"/>
        <v>0</v>
      </c>
      <c r="K18" s="29">
        <f t="shared" si="2"/>
        <v>0</v>
      </c>
      <c r="L18" s="30">
        <f>(I18*Assumptions!$B$27)+(J18*Assumptions!$B$28)+(K18*Assumptions!$B$29)</f>
        <v>0</v>
      </c>
      <c r="M18" s="122"/>
      <c r="N18" s="96" t="s">
        <v>216</v>
      </c>
      <c r="O18" s="98"/>
      <c r="P18" s="104"/>
      <c r="Q18" s="98"/>
      <c r="R18" s="98"/>
    </row>
    <row r="19" spans="1:14" ht="13.5" customHeight="1">
      <c r="A19" s="26" t="s">
        <v>9</v>
      </c>
      <c r="B19" s="280" t="s">
        <v>131</v>
      </c>
      <c r="C19" s="280"/>
      <c r="D19" s="280"/>
      <c r="E19" s="280"/>
      <c r="F19" s="281"/>
      <c r="G19" s="10">
        <v>4</v>
      </c>
      <c r="H19" s="95">
        <f>+'Industry Yr 1'!I29/4</f>
        <v>6.5</v>
      </c>
      <c r="I19" s="10">
        <f t="shared" si="0"/>
        <v>26</v>
      </c>
      <c r="J19" s="29">
        <f t="shared" si="1"/>
        <v>1.3</v>
      </c>
      <c r="K19" s="29">
        <f t="shared" si="2"/>
        <v>2.6</v>
      </c>
      <c r="L19" s="30">
        <f>(I19*Assumptions!$B$27)+(J19*Assumptions!$B$28)+(K19*Assumptions!$B$29)</f>
        <v>1528.0928000000001</v>
      </c>
      <c r="M19" s="122"/>
      <c r="N19" s="96" t="s">
        <v>79</v>
      </c>
    </row>
    <row r="20" spans="1:14" ht="13.5">
      <c r="A20" s="108"/>
      <c r="B20" s="79" t="s">
        <v>46</v>
      </c>
      <c r="C20" s="27"/>
      <c r="D20" s="40"/>
      <c r="E20" s="36"/>
      <c r="F20" s="105"/>
      <c r="G20" s="106"/>
      <c r="H20" s="103"/>
      <c r="I20" s="28">
        <f>SUM(I4:I19)</f>
        <v>26</v>
      </c>
      <c r="J20" s="29">
        <f>SUM(J4:J19)</f>
        <v>1.3</v>
      </c>
      <c r="K20" s="29">
        <f>SUM(K4:K19)</f>
        <v>2.6</v>
      </c>
      <c r="L20" s="30">
        <f>SUM(L4:L19)</f>
        <v>1528.0928000000001</v>
      </c>
      <c r="M20" s="30">
        <f>SUM(M4:M19)</f>
        <v>0</v>
      </c>
      <c r="N20" s="96"/>
    </row>
    <row r="21" spans="1:14" ht="40.5">
      <c r="A21" s="109"/>
      <c r="B21" s="110"/>
      <c r="C21" s="51"/>
      <c r="D21" s="52"/>
      <c r="E21" s="76"/>
      <c r="F21" s="22"/>
      <c r="G21" s="53"/>
      <c r="H21" s="54"/>
      <c r="I21" s="55" t="s">
        <v>33</v>
      </c>
      <c r="J21" s="55" t="s">
        <v>48</v>
      </c>
      <c r="K21" s="55" t="s">
        <v>49</v>
      </c>
      <c r="L21" s="55" t="s">
        <v>50</v>
      </c>
      <c r="M21" s="55"/>
      <c r="N21" s="111"/>
    </row>
    <row r="22" spans="1:14" ht="13.5">
      <c r="A22" s="109"/>
      <c r="B22" s="110"/>
      <c r="C22" s="51"/>
      <c r="D22" s="52"/>
      <c r="E22" s="76"/>
      <c r="F22" s="22"/>
      <c r="G22" s="59" t="s">
        <v>67</v>
      </c>
      <c r="H22" s="54"/>
      <c r="I22" s="55">
        <f>SUM(I20:K20)</f>
        <v>29.900000000000002</v>
      </c>
      <c r="J22" s="60">
        <f>L20</f>
        <v>1528.0928000000001</v>
      </c>
      <c r="K22" s="119">
        <f>+M20</f>
        <v>0</v>
      </c>
      <c r="L22" s="60">
        <f>SUM(J22:K22)</f>
        <v>1528.0928000000001</v>
      </c>
      <c r="M22" s="60"/>
      <c r="N22" s="111"/>
    </row>
    <row r="23" spans="1:14" ht="13.5">
      <c r="A23" s="109"/>
      <c r="B23" s="110"/>
      <c r="C23" s="51"/>
      <c r="D23" s="52"/>
      <c r="E23" s="76"/>
      <c r="F23" s="22"/>
      <c r="G23" s="59" t="s">
        <v>51</v>
      </c>
      <c r="H23" s="54"/>
      <c r="I23" s="55">
        <v>0</v>
      </c>
      <c r="J23" s="61">
        <v>0</v>
      </c>
      <c r="K23" s="61">
        <v>0</v>
      </c>
      <c r="L23" s="60">
        <f>SUM(J23:K23)</f>
        <v>0</v>
      </c>
      <c r="M23" s="60"/>
      <c r="N23" s="111"/>
    </row>
    <row r="24" spans="1:14" ht="14.25" thickBot="1">
      <c r="A24" s="112"/>
      <c r="B24" s="113"/>
      <c r="C24" s="63"/>
      <c r="D24" s="64"/>
      <c r="E24" s="114"/>
      <c r="F24" s="115"/>
      <c r="G24" s="65" t="s">
        <v>52</v>
      </c>
      <c r="H24" s="66"/>
      <c r="I24" s="67">
        <v>0</v>
      </c>
      <c r="J24" s="69">
        <v>0</v>
      </c>
      <c r="K24" s="69">
        <f>SUM(K22:K23)</f>
        <v>0</v>
      </c>
      <c r="L24" s="69">
        <v>0</v>
      </c>
      <c r="M24" s="69"/>
      <c r="N24" s="116"/>
    </row>
    <row r="25" spans="1:14" ht="31.5" customHeight="1">
      <c r="A25" s="73" t="s">
        <v>22</v>
      </c>
      <c r="B25" s="298" t="s">
        <v>229</v>
      </c>
      <c r="C25" s="298"/>
      <c r="D25" s="298"/>
      <c r="E25" s="298"/>
      <c r="F25" s="298"/>
      <c r="G25" s="298"/>
      <c r="H25" s="298"/>
      <c r="I25" s="298"/>
      <c r="J25" s="298"/>
      <c r="K25" s="298"/>
      <c r="L25" s="298"/>
      <c r="M25" s="298"/>
      <c r="N25" s="298"/>
    </row>
    <row r="26" spans="1:8" ht="15.75">
      <c r="A26" s="73" t="s">
        <v>23</v>
      </c>
      <c r="B26" s="25" t="s">
        <v>209</v>
      </c>
      <c r="G26" s="9"/>
      <c r="H26" s="9"/>
    </row>
    <row r="27" spans="1:8" ht="15.75">
      <c r="A27" s="118" t="s">
        <v>24</v>
      </c>
      <c r="B27" s="9" t="s">
        <v>65</v>
      </c>
      <c r="G27" s="9"/>
      <c r="H27" s="9"/>
    </row>
    <row r="28" spans="1:14" ht="15.75">
      <c r="A28" s="118" t="s">
        <v>25</v>
      </c>
      <c r="B28" s="303" t="s">
        <v>221</v>
      </c>
      <c r="C28" s="303"/>
      <c r="D28" s="303"/>
      <c r="E28" s="303"/>
      <c r="F28" s="303"/>
      <c r="G28" s="303"/>
      <c r="H28" s="303"/>
      <c r="I28" s="303"/>
      <c r="J28" s="303"/>
      <c r="K28" s="303"/>
      <c r="L28" s="303"/>
      <c r="M28" s="303"/>
      <c r="N28" s="303"/>
    </row>
    <row r="29" spans="1:2" ht="15.75">
      <c r="A29" s="73" t="s">
        <v>26</v>
      </c>
      <c r="B29" s="25" t="s">
        <v>211</v>
      </c>
    </row>
    <row r="30" spans="1:2" ht="15.75">
      <c r="A30" s="73" t="s">
        <v>27</v>
      </c>
      <c r="B30" s="25" t="s">
        <v>220</v>
      </c>
    </row>
    <row r="31" spans="1:14" ht="15.75">
      <c r="A31" s="73" t="s">
        <v>28</v>
      </c>
      <c r="B31" s="298" t="s">
        <v>126</v>
      </c>
      <c r="C31" s="298"/>
      <c r="D31" s="298"/>
      <c r="E31" s="298"/>
      <c r="F31" s="298"/>
      <c r="G31" s="298"/>
      <c r="H31" s="298"/>
      <c r="I31" s="298"/>
      <c r="J31" s="298"/>
      <c r="K31" s="298"/>
      <c r="L31" s="298"/>
      <c r="M31" s="298"/>
      <c r="N31" s="298"/>
    </row>
    <row r="32" spans="1:2" ht="15.75">
      <c r="A32" s="73" t="s">
        <v>29</v>
      </c>
      <c r="B32" s="25" t="s">
        <v>159</v>
      </c>
    </row>
    <row r="33" spans="1:2" ht="15.75">
      <c r="A33" s="73" t="s">
        <v>59</v>
      </c>
      <c r="B33" s="25" t="s">
        <v>90</v>
      </c>
    </row>
    <row r="34" spans="1:2" ht="15.75">
      <c r="A34" s="73" t="s">
        <v>78</v>
      </c>
      <c r="B34" s="25" t="s">
        <v>222</v>
      </c>
    </row>
    <row r="35" spans="1:2" ht="15.75">
      <c r="A35" s="73" t="s">
        <v>79</v>
      </c>
      <c r="B35" s="25" t="s">
        <v>161</v>
      </c>
    </row>
  </sheetData>
  <mergeCells count="24">
    <mergeCell ref="C16:F16"/>
    <mergeCell ref="D13:F13"/>
    <mergeCell ref="A1:N1"/>
    <mergeCell ref="B4:F4"/>
    <mergeCell ref="B5:F5"/>
    <mergeCell ref="C6:F6"/>
    <mergeCell ref="C8:F8"/>
    <mergeCell ref="B9:F9"/>
    <mergeCell ref="B10:F10"/>
    <mergeCell ref="M2:M3"/>
    <mergeCell ref="L2:L3"/>
    <mergeCell ref="N2:N3"/>
    <mergeCell ref="A2:F3"/>
    <mergeCell ref="C7:F7"/>
    <mergeCell ref="B25:N25"/>
    <mergeCell ref="B28:N28"/>
    <mergeCell ref="B31:N31"/>
    <mergeCell ref="C11:F11"/>
    <mergeCell ref="C17:F17"/>
    <mergeCell ref="C18:F18"/>
    <mergeCell ref="B19:F19"/>
    <mergeCell ref="C12:F12"/>
    <mergeCell ref="D14:F14"/>
    <mergeCell ref="D15:F15"/>
  </mergeCells>
  <printOptions horizontalCentered="1"/>
  <pageMargins left="0.25" right="0.25" top="0.25" bottom="0.25" header="0.5" footer="0.5"/>
  <pageSetup fitToHeight="1" fitToWidth="1" horizontalDpi="600" verticalDpi="600" orientation="landscape"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Eastern Research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 - Morrisville</dc:creator>
  <cp:keywords/>
  <dc:description/>
  <cp:lastModifiedBy>Courtney Kerwin</cp:lastModifiedBy>
  <cp:lastPrinted>2009-07-08T13:59:12Z</cp:lastPrinted>
  <dcterms:created xsi:type="dcterms:W3CDTF">1999-08-06T17:20:39Z</dcterms:created>
  <dcterms:modified xsi:type="dcterms:W3CDTF">2009-08-04T20:24:28Z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