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5460" windowWidth="15465" windowHeight="5505" activeTab="3"/>
  </bookViews>
  <sheets>
    <sheet name="6022-total and 3 yr ave" sheetId="1" r:id="rId1"/>
    <sheet name="6022-yr1" sheetId="2" r:id="rId2"/>
    <sheet name="6022-yr2" sheetId="3" r:id="rId3"/>
    <sheet name="6022-yr3" sheetId="4" r:id="rId4"/>
    <sheet name="FedGov Cost" sheetId="5" r:id="rId5"/>
  </sheets>
  <definedNames>
    <definedName name="_xlnm.Print_Area" localSheetId="0">'6022-total and 3 yr ave'!$A$1:$J$49,'6022-total and 3 yr ave'!$L$1:$AD$39</definedName>
    <definedName name="_xlnm.Print_Area" localSheetId="1">'6022-yr1'!$A$1:$J$49,'6022-yr1'!$L$1:$Y$39</definedName>
    <definedName name="Z_855078B0_1E21_4B25_9C5A_4782BC11700B_.wvu.PrintArea" localSheetId="0" hidden="1">'6022-total and 3 yr ave'!$A$1:$J$49,'6022-total and 3 yr ave'!$L$1:$AD$39</definedName>
    <definedName name="Z_855078B0_1E21_4B25_9C5A_4782BC11700B_.wvu.PrintArea" localSheetId="1" hidden="1">'6022-yr1'!$A$1:$J$49,'6022-yr1'!$L$1:$Y$39</definedName>
    <definedName name="Z_C3053AD8_900F_4045_B60E_43CCFD9EF7DD_.wvu.PrintArea" localSheetId="0" hidden="1">'6022-total and 3 yr ave'!$A$1:$J$49,'6022-total and 3 yr ave'!$L$1:$AD$39</definedName>
    <definedName name="Z_C3053AD8_900F_4045_B60E_43CCFD9EF7DD_.wvu.PrintArea" localSheetId="1" hidden="1">'6022-yr1'!$A$1:$J$49,'6022-yr1'!$L$1:$Y$39</definedName>
  </definedNames>
  <calcPr calcId="125725"/>
  <customWorkbookViews>
    <customWorkbookView name="krmeardon - Personal View" guid="{855078B0-1E21-4B25-9C5A-4782BC11700B}" mergeInterval="0" personalView="1" maximized="1" xWindow="1" yWindow="1" windowWidth="1216" windowHeight="563" activeSheetId="5"/>
    <customWorkbookView name="cihester - Personal View" guid="{C3053AD8-900F-4045-B60E-43CCFD9EF7DD}" mergeInterval="0" personalView="1" maximized="1" xWindow="1" yWindow="1" windowWidth="1232" windowHeight="735" activeSheetId="5"/>
  </customWorkbookViews>
</workbook>
</file>

<file path=xl/calcChain.xml><?xml version="1.0" encoding="utf-8"?>
<calcChain xmlns="http://schemas.openxmlformats.org/spreadsheetml/2006/main">
  <c r="J57" i="1"/>
  <c r="H57"/>
  <c r="H56"/>
  <c r="J56"/>
  <c r="I55"/>
  <c r="I54"/>
  <c r="I53"/>
  <c r="J55"/>
  <c r="J54"/>
  <c r="J53"/>
  <c r="H55"/>
  <c r="H54"/>
  <c r="H53"/>
  <c r="G55"/>
  <c r="G54"/>
  <c r="G53"/>
  <c r="F55"/>
  <c r="F54"/>
  <c r="F53"/>
  <c r="D55"/>
  <c r="D54"/>
  <c r="D53"/>
  <c r="D54" i="4"/>
  <c r="D55"/>
  <c r="F55" s="1"/>
  <c r="H55" s="1"/>
  <c r="J55" s="1"/>
  <c r="D53"/>
  <c r="D54" i="3"/>
  <c r="F54" s="1"/>
  <c r="H54" s="1"/>
  <c r="J54" s="1"/>
  <c r="D55"/>
  <c r="D53"/>
  <c r="F54" i="4"/>
  <c r="H54" s="1"/>
  <c r="J54" s="1"/>
  <c r="F53"/>
  <c r="H53" s="1"/>
  <c r="F55" i="3"/>
  <c r="H55" s="1"/>
  <c r="J55" s="1"/>
  <c r="F53"/>
  <c r="H53" s="1"/>
  <c r="H56" i="2"/>
  <c r="J56"/>
  <c r="J55"/>
  <c r="J54"/>
  <c r="J53"/>
  <c r="H55"/>
  <c r="H54"/>
  <c r="H53"/>
  <c r="F55"/>
  <c r="F54"/>
  <c r="F53"/>
  <c r="D54"/>
  <c r="D55"/>
  <c r="D53"/>
  <c r="G31" i="1"/>
  <c r="G36"/>
  <c r="C11" i="5"/>
  <c r="C12"/>
  <c r="G16" i="1"/>
  <c r="G14"/>
  <c r="D16"/>
  <c r="AD16" s="1"/>
  <c r="D14"/>
  <c r="AD14" s="1"/>
  <c r="Y16" i="4"/>
  <c r="X16"/>
  <c r="W16"/>
  <c r="V16"/>
  <c r="Y14"/>
  <c r="X14"/>
  <c r="W14"/>
  <c r="V14"/>
  <c r="F16"/>
  <c r="H16" s="1"/>
  <c r="J16" s="1"/>
  <c r="S16" s="1"/>
  <c r="F14"/>
  <c r="H14" s="1"/>
  <c r="J14" s="1"/>
  <c r="S14" s="1"/>
  <c r="Y16" i="3"/>
  <c r="X16"/>
  <c r="W16"/>
  <c r="V16"/>
  <c r="Y14"/>
  <c r="X14"/>
  <c r="W14"/>
  <c r="V14"/>
  <c r="F16"/>
  <c r="H16" s="1"/>
  <c r="J16" s="1"/>
  <c r="S16" s="1"/>
  <c r="F14"/>
  <c r="H14" s="1"/>
  <c r="J14" s="1"/>
  <c r="S14" s="1"/>
  <c r="Y16" i="2"/>
  <c r="X16"/>
  <c r="W16"/>
  <c r="V16"/>
  <c r="Y14"/>
  <c r="X14"/>
  <c r="W14"/>
  <c r="V14"/>
  <c r="F16"/>
  <c r="H16" s="1"/>
  <c r="J16" s="1"/>
  <c r="S16" s="1"/>
  <c r="F14"/>
  <c r="H14" s="1"/>
  <c r="J14" s="1"/>
  <c r="S14" s="1"/>
  <c r="F76"/>
  <c r="F77"/>
  <c r="F78"/>
  <c r="F80"/>
  <c r="G88" s="1"/>
  <c r="F81"/>
  <c r="F82"/>
  <c r="F83"/>
  <c r="F84"/>
  <c r="F85"/>
  <c r="F86"/>
  <c r="F87"/>
  <c r="F89"/>
  <c r="F90"/>
  <c r="F91"/>
  <c r="F92"/>
  <c r="F93"/>
  <c r="F94"/>
  <c r="F95"/>
  <c r="F96"/>
  <c r="F75"/>
  <c r="G79" s="1"/>
  <c r="D17" i="4"/>
  <c r="D17" i="3"/>
  <c r="W15"/>
  <c r="D17" i="2"/>
  <c r="D15"/>
  <c r="H63"/>
  <c r="D19" i="4" s="1"/>
  <c r="F63" i="2"/>
  <c r="D31" i="3" s="1"/>
  <c r="F31" s="1"/>
  <c r="H31" s="1"/>
  <c r="J31" s="1"/>
  <c r="R31" s="1"/>
  <c r="E63" i="2"/>
  <c r="D45" i="3" s="1"/>
  <c r="D63" i="2"/>
  <c r="D37" s="1"/>
  <c r="C63"/>
  <c r="D22" s="1"/>
  <c r="E62"/>
  <c r="G61"/>
  <c r="G63" s="1"/>
  <c r="D29" i="4" s="1"/>
  <c r="E61" i="2"/>
  <c r="G61" i="1"/>
  <c r="E62"/>
  <c r="E61"/>
  <c r="W13" i="3"/>
  <c r="D13" i="2"/>
  <c r="C7" i="5"/>
  <c r="E59"/>
  <c r="E42"/>
  <c r="E25"/>
  <c r="E7" s="1"/>
  <c r="B7"/>
  <c r="G35" i="1"/>
  <c r="G34"/>
  <c r="G33"/>
  <c r="G32"/>
  <c r="G30"/>
  <c r="H63"/>
  <c r="B64" i="5" s="1"/>
  <c r="E64" s="1"/>
  <c r="F63" i="1"/>
  <c r="B47" i="5" s="1"/>
  <c r="B11"/>
  <c r="E29"/>
  <c r="E30"/>
  <c r="E63"/>
  <c r="E46"/>
  <c r="E11" s="1"/>
  <c r="G8" i="1"/>
  <c r="G9"/>
  <c r="D8"/>
  <c r="F8" s="1"/>
  <c r="V8" i="2"/>
  <c r="W8"/>
  <c r="X8"/>
  <c r="Y8"/>
  <c r="V21"/>
  <c r="W21"/>
  <c r="X21"/>
  <c r="Y21"/>
  <c r="V24"/>
  <c r="W24"/>
  <c r="X24"/>
  <c r="Y24"/>
  <c r="V8" i="3"/>
  <c r="W8"/>
  <c r="X8"/>
  <c r="Y8"/>
  <c r="V21"/>
  <c r="W21"/>
  <c r="X21"/>
  <c r="Y21"/>
  <c r="V8" i="4"/>
  <c r="W8"/>
  <c r="X8"/>
  <c r="Y8"/>
  <c r="F8"/>
  <c r="H8" s="1"/>
  <c r="J8" s="1"/>
  <c r="T21" i="3"/>
  <c r="S21"/>
  <c r="R21"/>
  <c r="Q21"/>
  <c r="F8"/>
  <c r="H8" s="1"/>
  <c r="J8" s="1"/>
  <c r="F8" i="2"/>
  <c r="H8" s="1"/>
  <c r="J8" s="1"/>
  <c r="G22" i="1"/>
  <c r="G20"/>
  <c r="G19"/>
  <c r="G18"/>
  <c r="G17"/>
  <c r="G15"/>
  <c r="G13"/>
  <c r="G12"/>
  <c r="G11"/>
  <c r="G7"/>
  <c r="G37"/>
  <c r="G29"/>
  <c r="G28"/>
  <c r="G41"/>
  <c r="G43"/>
  <c r="G44"/>
  <c r="G45"/>
  <c r="C6" i="5"/>
  <c r="C8"/>
  <c r="C9"/>
  <c r="C10"/>
  <c r="C5"/>
  <c r="C4"/>
  <c r="G42" i="1"/>
  <c r="F13" i="5"/>
  <c r="V47" i="1"/>
  <c r="D24"/>
  <c r="AD24" s="1"/>
  <c r="B62" i="5"/>
  <c r="G63" i="1"/>
  <c r="B57" i="5" s="1"/>
  <c r="B45"/>
  <c r="E45" s="1"/>
  <c r="E63" i="1"/>
  <c r="B41" i="5" s="1"/>
  <c r="D63" i="1"/>
  <c r="B28" i="5" s="1"/>
  <c r="E28" s="1"/>
  <c r="C63" i="1"/>
  <c r="B23" i="5" s="1"/>
  <c r="E23" s="1"/>
  <c r="W18" i="4"/>
  <c r="W13"/>
  <c r="W18" i="3"/>
  <c r="W17"/>
  <c r="W18" i="2"/>
  <c r="V17"/>
  <c r="V15"/>
  <c r="V13"/>
  <c r="B17" i="4"/>
  <c r="B18"/>
  <c r="B17" i="3"/>
  <c r="B18"/>
  <c r="B24" i="4"/>
  <c r="B23"/>
  <c r="B24" i="3"/>
  <c r="B23"/>
  <c r="F13" i="4"/>
  <c r="H13" s="1"/>
  <c r="J13" s="1"/>
  <c r="F13" i="3"/>
  <c r="H13" s="1"/>
  <c r="J13" s="1"/>
  <c r="F24" i="2"/>
  <c r="H24" s="1"/>
  <c r="J24" s="1"/>
  <c r="F15"/>
  <c r="H15" s="1"/>
  <c r="J15" s="1"/>
  <c r="F13"/>
  <c r="H13" s="1"/>
  <c r="F24" i="1"/>
  <c r="D13"/>
  <c r="AB13" s="1"/>
  <c r="D18"/>
  <c r="AB18" s="1"/>
  <c r="B26" i="5"/>
  <c r="E26" s="1"/>
  <c r="B39"/>
  <c r="E39" s="1"/>
  <c r="B40"/>
  <c r="E40" s="1"/>
  <c r="B56"/>
  <c r="E56" s="1"/>
  <c r="B58"/>
  <c r="E58" s="1"/>
  <c r="B61"/>
  <c r="E61" s="1"/>
  <c r="B22"/>
  <c r="B24"/>
  <c r="E24" s="1"/>
  <c r="B43"/>
  <c r="E43" s="1"/>
  <c r="B60"/>
  <c r="E60" s="1"/>
  <c r="F18" i="3"/>
  <c r="H18" s="1"/>
  <c r="J18" s="1"/>
  <c r="AC24" i="1"/>
  <c r="E22" i="5"/>
  <c r="E4" s="1"/>
  <c r="B44"/>
  <c r="E44" s="1"/>
  <c r="B27"/>
  <c r="E27" s="1"/>
  <c r="E9" s="1"/>
  <c r="V17" i="3"/>
  <c r="X15"/>
  <c r="Y17"/>
  <c r="Y15"/>
  <c r="F18" i="4"/>
  <c r="H18" s="1"/>
  <c r="J18" s="1"/>
  <c r="X18"/>
  <c r="V18"/>
  <c r="Y18"/>
  <c r="X18" i="3"/>
  <c r="Y18"/>
  <c r="X18" i="2"/>
  <c r="V18"/>
  <c r="Y18"/>
  <c r="X13" i="4"/>
  <c r="V13"/>
  <c r="Y13"/>
  <c r="X13" i="3"/>
  <c r="Y13" i="2"/>
  <c r="W13"/>
  <c r="X13"/>
  <c r="AA18" i="1"/>
  <c r="AD18"/>
  <c r="H56" i="4" l="1"/>
  <c r="J53"/>
  <c r="J56" s="1"/>
  <c r="H56" i="3"/>
  <c r="J53"/>
  <c r="J56" s="1"/>
  <c r="AB24" i="1"/>
  <c r="AA24"/>
  <c r="V22" i="2"/>
  <c r="Y22"/>
  <c r="X22"/>
  <c r="F22"/>
  <c r="H22" s="1"/>
  <c r="J22" s="1"/>
  <c r="W22"/>
  <c r="Y19" i="4"/>
  <c r="W19"/>
  <c r="X19"/>
  <c r="F19"/>
  <c r="H19" s="1"/>
  <c r="J19" s="1"/>
  <c r="V19"/>
  <c r="D7" i="2"/>
  <c r="D11"/>
  <c r="D25" s="1"/>
  <c r="D19"/>
  <c r="D30"/>
  <c r="D33"/>
  <c r="D35"/>
  <c r="D41"/>
  <c r="D46" s="1"/>
  <c r="D43"/>
  <c r="D44"/>
  <c r="D29"/>
  <c r="D7" i="3"/>
  <c r="D19"/>
  <c r="D35"/>
  <c r="D33"/>
  <c r="D30"/>
  <c r="D44"/>
  <c r="D12"/>
  <c r="D28"/>
  <c r="D38" s="1"/>
  <c r="D41"/>
  <c r="D46" s="1"/>
  <c r="D43"/>
  <c r="D7" i="4"/>
  <c r="D30"/>
  <c r="D33"/>
  <c r="D35"/>
  <c r="D11"/>
  <c r="D28"/>
  <c r="D38" s="1"/>
  <c r="D42"/>
  <c r="D45"/>
  <c r="D22"/>
  <c r="D20"/>
  <c r="D37" i="3"/>
  <c r="H24" i="1"/>
  <c r="D36" i="2"/>
  <c r="X36" s="1"/>
  <c r="D36" i="4"/>
  <c r="X36" s="1"/>
  <c r="D31" i="2"/>
  <c r="F31" s="1"/>
  <c r="H31" s="1"/>
  <c r="J31" s="1"/>
  <c r="D31" i="4"/>
  <c r="F31" s="1"/>
  <c r="H31" s="1"/>
  <c r="J31" s="1"/>
  <c r="R31" s="1"/>
  <c r="D9" i="2"/>
  <c r="D12"/>
  <c r="D20"/>
  <c r="D32"/>
  <c r="D34"/>
  <c r="D45"/>
  <c r="D42"/>
  <c r="D28"/>
  <c r="D38" s="1"/>
  <c r="D9" i="3"/>
  <c r="D20"/>
  <c r="D34"/>
  <c r="D32"/>
  <c r="D11"/>
  <c r="D22"/>
  <c r="D29"/>
  <c r="D42"/>
  <c r="D9" i="4"/>
  <c r="D44"/>
  <c r="D32"/>
  <c r="D34"/>
  <c r="D37"/>
  <c r="D12"/>
  <c r="D41"/>
  <c r="D46" s="1"/>
  <c r="D43"/>
  <c r="H8" i="1"/>
  <c r="D36" i="3"/>
  <c r="X36" s="1"/>
  <c r="B12" i="5"/>
  <c r="E47"/>
  <c r="E12" s="1"/>
  <c r="F12" s="1"/>
  <c r="C68" i="1"/>
  <c r="D68" s="1"/>
  <c r="C69"/>
  <c r="D69" s="1"/>
  <c r="S31" i="3"/>
  <c r="Q31"/>
  <c r="T31"/>
  <c r="S31" i="4"/>
  <c r="W36" i="2"/>
  <c r="V36"/>
  <c r="E8" i="5"/>
  <c r="D48" i="3"/>
  <c r="V46"/>
  <c r="X46"/>
  <c r="D46" i="1"/>
  <c r="W46" i="3"/>
  <c r="Y46"/>
  <c r="D48" i="4"/>
  <c r="V46"/>
  <c r="X46"/>
  <c r="W46"/>
  <c r="Y46"/>
  <c r="F7" i="5"/>
  <c r="F14" i="1"/>
  <c r="F16"/>
  <c r="AA14"/>
  <c r="AC14"/>
  <c r="AA16"/>
  <c r="AC16"/>
  <c r="F11" i="5"/>
  <c r="AB14" i="1"/>
  <c r="AB16"/>
  <c r="R16" i="2"/>
  <c r="T16"/>
  <c r="J16" i="1"/>
  <c r="Q16" i="2"/>
  <c r="H16" i="1"/>
  <c r="R14" i="2"/>
  <c r="T14"/>
  <c r="J14" i="1"/>
  <c r="Q14" i="2"/>
  <c r="H14" i="1"/>
  <c r="R16" i="4"/>
  <c r="T16"/>
  <c r="Q16"/>
  <c r="R14"/>
  <c r="T14"/>
  <c r="Q14"/>
  <c r="R16" i="3"/>
  <c r="T16"/>
  <c r="Q16"/>
  <c r="R14"/>
  <c r="T14"/>
  <c r="Q14"/>
  <c r="G97" i="2"/>
  <c r="F97"/>
  <c r="H13" i="1"/>
  <c r="B9" i="5"/>
  <c r="F9" s="1"/>
  <c r="B4"/>
  <c r="F17" i="2"/>
  <c r="H17" s="1"/>
  <c r="J17" s="1"/>
  <c r="X33" i="3"/>
  <c r="F13" i="1"/>
  <c r="V11" i="4"/>
  <c r="W22"/>
  <c r="V22"/>
  <c r="X30" i="3"/>
  <c r="X35"/>
  <c r="X30" i="4"/>
  <c r="X33"/>
  <c r="X35"/>
  <c r="X32" i="3"/>
  <c r="X34"/>
  <c r="X32" i="4"/>
  <c r="X34"/>
  <c r="F34" i="3"/>
  <c r="H34" s="1"/>
  <c r="F32"/>
  <c r="H32" s="1"/>
  <c r="B6" i="5"/>
  <c r="E41"/>
  <c r="E6" s="1"/>
  <c r="B8"/>
  <c r="F8" s="1"/>
  <c r="F30" i="4"/>
  <c r="H30" s="1"/>
  <c r="J30" s="1"/>
  <c r="F33"/>
  <c r="H33" s="1"/>
  <c r="J33" s="1"/>
  <c r="F35"/>
  <c r="H35" s="1"/>
  <c r="J35" s="1"/>
  <c r="W30" i="3"/>
  <c r="Y30"/>
  <c r="W32"/>
  <c r="Y32"/>
  <c r="W33"/>
  <c r="Y33"/>
  <c r="W34"/>
  <c r="Y34"/>
  <c r="W35"/>
  <c r="Y35"/>
  <c r="W30" i="4"/>
  <c r="Y30"/>
  <c r="W32"/>
  <c r="Y32"/>
  <c r="W33"/>
  <c r="Y33"/>
  <c r="W34"/>
  <c r="Y34"/>
  <c r="W35"/>
  <c r="Y35"/>
  <c r="F30" i="3"/>
  <c r="F33"/>
  <c r="H33" s="1"/>
  <c r="F35"/>
  <c r="H35" s="1"/>
  <c r="F32" i="4"/>
  <c r="H32" s="1"/>
  <c r="J32" s="1"/>
  <c r="F34"/>
  <c r="H34" s="1"/>
  <c r="J34" s="1"/>
  <c r="D30" i="1"/>
  <c r="D32"/>
  <c r="D33"/>
  <c r="D34"/>
  <c r="D35"/>
  <c r="V30" i="3"/>
  <c r="V32"/>
  <c r="V33"/>
  <c r="V34"/>
  <c r="V35"/>
  <c r="V30" i="4"/>
  <c r="V32"/>
  <c r="V33"/>
  <c r="V34"/>
  <c r="V35"/>
  <c r="X43" i="3"/>
  <c r="Y43" i="2"/>
  <c r="AD13" i="1"/>
  <c r="F17" i="3"/>
  <c r="H17" s="1"/>
  <c r="AA13" i="1"/>
  <c r="Y13" i="3"/>
  <c r="V13"/>
  <c r="X29"/>
  <c r="Y19"/>
  <c r="X19"/>
  <c r="X17"/>
  <c r="Y44"/>
  <c r="W28"/>
  <c r="F44"/>
  <c r="H44" s="1"/>
  <c r="Y28"/>
  <c r="F19" i="2"/>
  <c r="H19" s="1"/>
  <c r="J19" s="1"/>
  <c r="V7"/>
  <c r="F7"/>
  <c r="H7" s="1"/>
  <c r="J7" s="1"/>
  <c r="T7" s="1"/>
  <c r="W7"/>
  <c r="X44"/>
  <c r="W44"/>
  <c r="F44"/>
  <c r="H44" s="1"/>
  <c r="J44" s="1"/>
  <c r="X7"/>
  <c r="V41"/>
  <c r="D11" i="1"/>
  <c r="T22" i="2"/>
  <c r="Q22"/>
  <c r="R22"/>
  <c r="S22"/>
  <c r="F29"/>
  <c r="H29" s="1"/>
  <c r="T13" i="4"/>
  <c r="S13"/>
  <c r="R13"/>
  <c r="Q13"/>
  <c r="R8"/>
  <c r="T8"/>
  <c r="Q8"/>
  <c r="S8"/>
  <c r="F17"/>
  <c r="H17" s="1"/>
  <c r="J17" s="1"/>
  <c r="S8" i="3"/>
  <c r="Q8"/>
  <c r="T8"/>
  <c r="R8"/>
  <c r="D37" i="1"/>
  <c r="D43"/>
  <c r="V11" i="3"/>
  <c r="AC13" i="1"/>
  <c r="AC18"/>
  <c r="Y37" i="3"/>
  <c r="V29"/>
  <c r="V37"/>
  <c r="V43"/>
  <c r="V44"/>
  <c r="V18"/>
  <c r="V15"/>
  <c r="Y11"/>
  <c r="D15" i="1"/>
  <c r="X7" i="3"/>
  <c r="F7"/>
  <c r="V7"/>
  <c r="Y7"/>
  <c r="W7"/>
  <c r="D7" i="1"/>
  <c r="X7" i="4"/>
  <c r="F7"/>
  <c r="W7"/>
  <c r="Y7"/>
  <c r="V7"/>
  <c r="Q7" i="2"/>
  <c r="S7"/>
  <c r="Y45" i="4"/>
  <c r="V45"/>
  <c r="W45"/>
  <c r="F45"/>
  <c r="H45" s="1"/>
  <c r="J45" s="1"/>
  <c r="X45"/>
  <c r="F42" i="3"/>
  <c r="H42" s="1"/>
  <c r="F19"/>
  <c r="H19" s="1"/>
  <c r="F18" i="1"/>
  <c r="F42" i="2"/>
  <c r="H42" s="1"/>
  <c r="J42" s="1"/>
  <c r="Y7"/>
  <c r="Y41"/>
  <c r="F18"/>
  <c r="H18" s="1"/>
  <c r="J18" s="1"/>
  <c r="R18" s="1"/>
  <c r="F15" i="3"/>
  <c r="H15" s="1"/>
  <c r="J29" i="2"/>
  <c r="R19"/>
  <c r="Q19"/>
  <c r="T19"/>
  <c r="S19"/>
  <c r="V9"/>
  <c r="D9" i="1"/>
  <c r="F9" s="1"/>
  <c r="Y9" i="2"/>
  <c r="X9"/>
  <c r="W9"/>
  <c r="F9"/>
  <c r="J13"/>
  <c r="J13" i="1" s="1"/>
  <c r="I13" s="1"/>
  <c r="Q17" i="2"/>
  <c r="S17"/>
  <c r="R17"/>
  <c r="T17"/>
  <c r="Q18"/>
  <c r="S18"/>
  <c r="R44"/>
  <c r="Q44"/>
  <c r="T44"/>
  <c r="S44"/>
  <c r="W44" i="4"/>
  <c r="D44" i="1"/>
  <c r="X44" i="4"/>
  <c r="Y44"/>
  <c r="V44"/>
  <c r="F44"/>
  <c r="T15" i="2"/>
  <c r="R15"/>
  <c r="Q15"/>
  <c r="S15"/>
  <c r="Q24"/>
  <c r="S24"/>
  <c r="R24"/>
  <c r="T24"/>
  <c r="J24" i="1"/>
  <c r="I24" s="1"/>
  <c r="X45" i="2"/>
  <c r="W45"/>
  <c r="D45" i="1"/>
  <c r="V45" i="2"/>
  <c r="F45"/>
  <c r="H45" s="1"/>
  <c r="J45" s="1"/>
  <c r="Y45"/>
  <c r="Y45" i="3"/>
  <c r="V45"/>
  <c r="W45"/>
  <c r="F45"/>
  <c r="H45" s="1"/>
  <c r="X45"/>
  <c r="J8" i="1"/>
  <c r="I8" s="1"/>
  <c r="Q8" i="2"/>
  <c r="S8"/>
  <c r="R8"/>
  <c r="T8"/>
  <c r="Y17"/>
  <c r="W17"/>
  <c r="Y15"/>
  <c r="W15"/>
  <c r="X17"/>
  <c r="X15"/>
  <c r="E31" i="5"/>
  <c r="E62"/>
  <c r="E10" s="1"/>
  <c r="B10"/>
  <c r="E57"/>
  <c r="E5" s="1"/>
  <c r="B5"/>
  <c r="E48"/>
  <c r="F4"/>
  <c r="S45" i="4"/>
  <c r="R45"/>
  <c r="T45"/>
  <c r="Q45"/>
  <c r="Q19"/>
  <c r="S19"/>
  <c r="R19"/>
  <c r="T19"/>
  <c r="R18"/>
  <c r="T18"/>
  <c r="Q18"/>
  <c r="S18"/>
  <c r="S18" i="3"/>
  <c r="Q18"/>
  <c r="T18"/>
  <c r="R18"/>
  <c r="J18" i="1"/>
  <c r="J42" i="3"/>
  <c r="R13"/>
  <c r="S13"/>
  <c r="Q13"/>
  <c r="T13"/>
  <c r="T17" i="4"/>
  <c r="R17"/>
  <c r="S17"/>
  <c r="Q17"/>
  <c r="V36" i="3" l="1"/>
  <c r="V36" i="4"/>
  <c r="D36" i="1"/>
  <c r="AC36" s="1"/>
  <c r="W36" i="3"/>
  <c r="W36" i="4"/>
  <c r="T31"/>
  <c r="Y36"/>
  <c r="F36"/>
  <c r="H36" s="1"/>
  <c r="J36" s="1"/>
  <c r="S36" s="1"/>
  <c r="H31" i="1"/>
  <c r="Q31" i="4"/>
  <c r="D25" i="3"/>
  <c r="X11"/>
  <c r="F11"/>
  <c r="H11" s="1"/>
  <c r="J11" s="1"/>
  <c r="W11"/>
  <c r="W46" i="2"/>
  <c r="Y46"/>
  <c r="D48"/>
  <c r="V46"/>
  <c r="X46"/>
  <c r="Y19"/>
  <c r="V19"/>
  <c r="D19" i="1"/>
  <c r="W19" i="2"/>
  <c r="X19"/>
  <c r="T18"/>
  <c r="R7"/>
  <c r="Y36"/>
  <c r="F36"/>
  <c r="H36" s="1"/>
  <c r="J36" s="1"/>
  <c r="Q36" s="1"/>
  <c r="Y36" i="3"/>
  <c r="F36"/>
  <c r="H36" s="1"/>
  <c r="J36" s="1"/>
  <c r="J36" i="1" s="1"/>
  <c r="D31"/>
  <c r="AB31" s="1"/>
  <c r="X22" i="4"/>
  <c r="F22"/>
  <c r="H22" s="1"/>
  <c r="J22" s="1"/>
  <c r="Y22"/>
  <c r="D25"/>
  <c r="X11"/>
  <c r="Y11"/>
  <c r="F11"/>
  <c r="H11" s="1"/>
  <c r="J11" s="1"/>
  <c r="W11"/>
  <c r="W19" i="3"/>
  <c r="V19"/>
  <c r="H18" i="1"/>
  <c r="AA36"/>
  <c r="F31"/>
  <c r="AC31"/>
  <c r="J31"/>
  <c r="K31" s="1"/>
  <c r="R31" i="2"/>
  <c r="T31"/>
  <c r="Q31"/>
  <c r="S31"/>
  <c r="Q36" i="4"/>
  <c r="R36"/>
  <c r="S36" i="2"/>
  <c r="T36"/>
  <c r="AB36" i="1"/>
  <c r="F10" i="5"/>
  <c r="F6"/>
  <c r="D48" i="1"/>
  <c r="D49" s="1"/>
  <c r="F5" i="5"/>
  <c r="I16" i="1"/>
  <c r="S16"/>
  <c r="X16" s="1"/>
  <c r="Q16"/>
  <c r="V16" s="1"/>
  <c r="T16"/>
  <c r="Y16" s="1"/>
  <c r="R16"/>
  <c r="W16" s="1"/>
  <c r="I14"/>
  <c r="S14"/>
  <c r="X14" s="1"/>
  <c r="Q14"/>
  <c r="V14" s="1"/>
  <c r="T14"/>
  <c r="Y14" s="1"/>
  <c r="R14"/>
  <c r="W14" s="1"/>
  <c r="J45" i="3"/>
  <c r="H45" i="1"/>
  <c r="J15" i="3"/>
  <c r="J19"/>
  <c r="H19" i="1"/>
  <c r="J17" i="3"/>
  <c r="H17" i="1"/>
  <c r="J35" i="3"/>
  <c r="J32"/>
  <c r="T32" s="1"/>
  <c r="J44"/>
  <c r="J33"/>
  <c r="J34"/>
  <c r="S34" s="1"/>
  <c r="R45"/>
  <c r="W15" i="4"/>
  <c r="V15"/>
  <c r="Y15"/>
  <c r="F15"/>
  <c r="H15" s="1"/>
  <c r="J15" s="1"/>
  <c r="X15"/>
  <c r="W17"/>
  <c r="D17" i="1"/>
  <c r="V17" i="4"/>
  <c r="X17"/>
  <c r="Y17"/>
  <c r="V12" i="2"/>
  <c r="F12"/>
  <c r="H12" s="1"/>
  <c r="J12" s="1"/>
  <c r="W12"/>
  <c r="Y12"/>
  <c r="X12"/>
  <c r="V9" i="4"/>
  <c r="X9"/>
  <c r="W9"/>
  <c r="Y9"/>
  <c r="F9"/>
  <c r="H9" s="1"/>
  <c r="J9" s="1"/>
  <c r="V44" i="2"/>
  <c r="Y44"/>
  <c r="W9" i="3"/>
  <c r="F9"/>
  <c r="H9" s="1"/>
  <c r="X9"/>
  <c r="Y9"/>
  <c r="V9"/>
  <c r="W44"/>
  <c r="X44"/>
  <c r="W42" i="4"/>
  <c r="F42"/>
  <c r="H42" s="1"/>
  <c r="J42" s="1"/>
  <c r="J42" i="1" s="1"/>
  <c r="V42" i="4"/>
  <c r="Y42"/>
  <c r="X42"/>
  <c r="W29" i="3"/>
  <c r="F29"/>
  <c r="H29" s="1"/>
  <c r="Y29"/>
  <c r="Y34" i="2"/>
  <c r="W34"/>
  <c r="F34"/>
  <c r="H34" s="1"/>
  <c r="J34" s="1"/>
  <c r="X34"/>
  <c r="V34"/>
  <c r="W29"/>
  <c r="X29"/>
  <c r="V29"/>
  <c r="Y29"/>
  <c r="V41" i="4"/>
  <c r="F41"/>
  <c r="H41" s="1"/>
  <c r="J41" s="1"/>
  <c r="X41"/>
  <c r="W41"/>
  <c r="Y41"/>
  <c r="F41" i="2"/>
  <c r="H41" s="1"/>
  <c r="J41" s="1"/>
  <c r="X41"/>
  <c r="W41"/>
  <c r="X28" i="4"/>
  <c r="F28"/>
  <c r="H28" s="1"/>
  <c r="J28" s="1"/>
  <c r="R28" s="1"/>
  <c r="V28"/>
  <c r="Y28"/>
  <c r="W28"/>
  <c r="V28" i="3"/>
  <c r="X28"/>
  <c r="F28"/>
  <c r="H28" s="1"/>
  <c r="Y33" i="2"/>
  <c r="W33"/>
  <c r="X33"/>
  <c r="V33"/>
  <c r="F33"/>
  <c r="H33" s="1"/>
  <c r="J33" s="1"/>
  <c r="X28"/>
  <c r="Y28"/>
  <c r="F28"/>
  <c r="H28" s="1"/>
  <c r="V28"/>
  <c r="W28"/>
  <c r="D28" i="1"/>
  <c r="W42" i="3"/>
  <c r="V42"/>
  <c r="Y42"/>
  <c r="X42"/>
  <c r="W37" i="4"/>
  <c r="V37"/>
  <c r="Y37"/>
  <c r="F37"/>
  <c r="H37" s="1"/>
  <c r="J37" s="1"/>
  <c r="X37"/>
  <c r="F37" i="3"/>
  <c r="H37" s="1"/>
  <c r="W37"/>
  <c r="X37"/>
  <c r="F37" i="2"/>
  <c r="H37" s="1"/>
  <c r="J37" s="1"/>
  <c r="W37"/>
  <c r="V37"/>
  <c r="Y37"/>
  <c r="X37"/>
  <c r="Y32"/>
  <c r="W32"/>
  <c r="F32"/>
  <c r="H32" s="1"/>
  <c r="J32" s="1"/>
  <c r="X32"/>
  <c r="V32"/>
  <c r="V43" i="4"/>
  <c r="W43"/>
  <c r="F43"/>
  <c r="H43" s="1"/>
  <c r="J43" s="1"/>
  <c r="X43"/>
  <c r="Y43"/>
  <c r="W43" i="3"/>
  <c r="Y43"/>
  <c r="F43"/>
  <c r="H43" s="1"/>
  <c r="V43" i="2"/>
  <c r="F43"/>
  <c r="H43" s="1"/>
  <c r="J43" s="1"/>
  <c r="W43"/>
  <c r="X43"/>
  <c r="Y35"/>
  <c r="W35"/>
  <c r="X35"/>
  <c r="V35"/>
  <c r="F35"/>
  <c r="H35" s="1"/>
  <c r="J35" s="1"/>
  <c r="Y30"/>
  <c r="W30"/>
  <c r="X30"/>
  <c r="V30"/>
  <c r="F30"/>
  <c r="H30" s="1"/>
  <c r="J30" s="1"/>
  <c r="E14" i="5"/>
  <c r="F14" s="1"/>
  <c r="F34" i="1"/>
  <c r="AC34"/>
  <c r="AA34"/>
  <c r="AD34"/>
  <c r="AB34"/>
  <c r="F32"/>
  <c r="AC32"/>
  <c r="AA32"/>
  <c r="AD32"/>
  <c r="AB32"/>
  <c r="S34" i="4"/>
  <c r="Q34"/>
  <c r="T34"/>
  <c r="R34"/>
  <c r="S35" i="3"/>
  <c r="Q35"/>
  <c r="T35"/>
  <c r="R35"/>
  <c r="H30"/>
  <c r="H30" i="1" s="1"/>
  <c r="S33" i="4"/>
  <c r="Q33"/>
  <c r="T33"/>
  <c r="R33"/>
  <c r="J34" i="1"/>
  <c r="F35"/>
  <c r="AD35"/>
  <c r="AB35"/>
  <c r="AC35"/>
  <c r="AA35"/>
  <c r="F33"/>
  <c r="AD33"/>
  <c r="AB33"/>
  <c r="AC33"/>
  <c r="AA33"/>
  <c r="F30"/>
  <c r="AD30"/>
  <c r="AB30"/>
  <c r="AC30"/>
  <c r="AA30"/>
  <c r="S32" i="4"/>
  <c r="Q32"/>
  <c r="T32"/>
  <c r="R32"/>
  <c r="S33" i="3"/>
  <c r="Q33"/>
  <c r="T33"/>
  <c r="R33"/>
  <c r="S35" i="4"/>
  <c r="Q35"/>
  <c r="T35"/>
  <c r="R35"/>
  <c r="S30"/>
  <c r="Q30"/>
  <c r="T30"/>
  <c r="R30"/>
  <c r="J45" i="1"/>
  <c r="R45" s="1"/>
  <c r="W45" s="1"/>
  <c r="W12" i="4"/>
  <c r="X12"/>
  <c r="F12"/>
  <c r="H12" s="1"/>
  <c r="J12" s="1"/>
  <c r="V12"/>
  <c r="Y12"/>
  <c r="W29"/>
  <c r="F29"/>
  <c r="X29"/>
  <c r="D29" i="1"/>
  <c r="V29" i="4"/>
  <c r="Y29"/>
  <c r="W41" i="3"/>
  <c r="V41"/>
  <c r="Y41"/>
  <c r="F41"/>
  <c r="H41" s="1"/>
  <c r="D41" i="1"/>
  <c r="X41" i="3"/>
  <c r="W22"/>
  <c r="D22" i="1"/>
  <c r="F22" i="3"/>
  <c r="H22" s="1"/>
  <c r="V22"/>
  <c r="Y22"/>
  <c r="X22"/>
  <c r="W12"/>
  <c r="D12" i="1"/>
  <c r="V12" i="3"/>
  <c r="Y12"/>
  <c r="F12"/>
  <c r="H12" s="1"/>
  <c r="X12"/>
  <c r="AC11" i="1"/>
  <c r="AB11"/>
  <c r="AD11"/>
  <c r="F11"/>
  <c r="AA11"/>
  <c r="V42" i="2"/>
  <c r="W42"/>
  <c r="D42" i="1"/>
  <c r="Y42" i="2"/>
  <c r="X42"/>
  <c r="V11"/>
  <c r="W11"/>
  <c r="X11"/>
  <c r="F11"/>
  <c r="H11" s="1"/>
  <c r="Y11"/>
  <c r="AB15" i="1"/>
  <c r="AA15"/>
  <c r="AC15"/>
  <c r="F15"/>
  <c r="AD15"/>
  <c r="AB43"/>
  <c r="AA43"/>
  <c r="F43"/>
  <c r="AD43"/>
  <c r="AC43"/>
  <c r="AD37"/>
  <c r="AB37"/>
  <c r="AA37"/>
  <c r="F37"/>
  <c r="AC37"/>
  <c r="Y20" i="4"/>
  <c r="X20"/>
  <c r="W20"/>
  <c r="V20"/>
  <c r="F20"/>
  <c r="H20" s="1"/>
  <c r="J20" s="1"/>
  <c r="V20" i="2"/>
  <c r="F20"/>
  <c r="H20" s="1"/>
  <c r="J20" s="1"/>
  <c r="Y20"/>
  <c r="X20"/>
  <c r="W20"/>
  <c r="D20" i="1"/>
  <c r="R42" i="2"/>
  <c r="Q42"/>
  <c r="S42"/>
  <c r="T42"/>
  <c r="W20" i="3"/>
  <c r="F20"/>
  <c r="H20" s="1"/>
  <c r="X20"/>
  <c r="Y20"/>
  <c r="V20"/>
  <c r="H7" i="4"/>
  <c r="AC7" i="1"/>
  <c r="AD7"/>
  <c r="AA7"/>
  <c r="AB7"/>
  <c r="F7"/>
  <c r="H7" i="3"/>
  <c r="H7" i="1" s="1"/>
  <c r="Q8"/>
  <c r="R8"/>
  <c r="T8"/>
  <c r="S8"/>
  <c r="S24"/>
  <c r="X24" s="1"/>
  <c r="K24"/>
  <c r="T24"/>
  <c r="Y24" s="1"/>
  <c r="R24"/>
  <c r="W24" s="1"/>
  <c r="Q24"/>
  <c r="V24" s="1"/>
  <c r="S13" i="2"/>
  <c r="T13"/>
  <c r="R13"/>
  <c r="Q13"/>
  <c r="R45"/>
  <c r="Q45"/>
  <c r="T45"/>
  <c r="S45"/>
  <c r="AB45" i="1"/>
  <c r="AC45"/>
  <c r="AA45"/>
  <c r="F45"/>
  <c r="AD45"/>
  <c r="H44" i="4"/>
  <c r="H44" i="1" s="1"/>
  <c r="F44"/>
  <c r="AC44"/>
  <c r="AD44"/>
  <c r="AA44"/>
  <c r="AB44"/>
  <c r="H9" i="2"/>
  <c r="F25"/>
  <c r="F46" i="3"/>
  <c r="R29" i="2"/>
  <c r="Q29"/>
  <c r="T29"/>
  <c r="S29"/>
  <c r="E65" i="5"/>
  <c r="Q45" i="1"/>
  <c r="V45" s="1"/>
  <c r="S13"/>
  <c r="X13" s="1"/>
  <c r="Q13"/>
  <c r="V13" s="1"/>
  <c r="R13"/>
  <c r="W13" s="1"/>
  <c r="T13"/>
  <c r="Y13" s="1"/>
  <c r="K13"/>
  <c r="S42" i="3"/>
  <c r="R42"/>
  <c r="T42"/>
  <c r="Q42"/>
  <c r="S28" i="4"/>
  <c r="Q28"/>
  <c r="Q18" i="1"/>
  <c r="V18" s="1"/>
  <c r="S18"/>
  <c r="X18" s="1"/>
  <c r="T18"/>
  <c r="Y18" s="1"/>
  <c r="R18"/>
  <c r="W18" s="1"/>
  <c r="K18"/>
  <c r="F36" l="1"/>
  <c r="AD31"/>
  <c r="AD36"/>
  <c r="T34" i="3"/>
  <c r="AA31" i="1"/>
  <c r="T36" i="4"/>
  <c r="S36" i="3"/>
  <c r="Q22" i="4"/>
  <c r="S22"/>
  <c r="R22"/>
  <c r="T22"/>
  <c r="S11" i="3"/>
  <c r="T11"/>
  <c r="Q11"/>
  <c r="R11"/>
  <c r="H32" i="1"/>
  <c r="H35"/>
  <c r="R36" i="2"/>
  <c r="T36" i="3"/>
  <c r="H36" i="1"/>
  <c r="J11" i="2"/>
  <c r="H11" i="1"/>
  <c r="S11" i="4"/>
  <c r="Q11"/>
  <c r="T11"/>
  <c r="R11"/>
  <c r="F19" i="1"/>
  <c r="AC19"/>
  <c r="AB19"/>
  <c r="AD19"/>
  <c r="AA19"/>
  <c r="H34"/>
  <c r="H33"/>
  <c r="R36" i="3"/>
  <c r="Q36"/>
  <c r="S31" i="1"/>
  <c r="X31" s="1"/>
  <c r="T31"/>
  <c r="Y31" s="1"/>
  <c r="I31"/>
  <c r="Q31"/>
  <c r="V31" s="1"/>
  <c r="R31"/>
  <c r="W31" s="1"/>
  <c r="F25" i="4"/>
  <c r="Q34" i="3"/>
  <c r="R34"/>
  <c r="R32"/>
  <c r="J20"/>
  <c r="H20" i="1"/>
  <c r="J12" i="3"/>
  <c r="T12" s="1"/>
  <c r="H12" i="1"/>
  <c r="J22" i="3"/>
  <c r="H22" i="1"/>
  <c r="J28" i="3"/>
  <c r="H28" i="1"/>
  <c r="J29" i="3"/>
  <c r="J9"/>
  <c r="T9" s="1"/>
  <c r="H9" i="1"/>
  <c r="Q44" i="3"/>
  <c r="R44"/>
  <c r="S44"/>
  <c r="T44"/>
  <c r="Q32"/>
  <c r="S32"/>
  <c r="J17" i="1"/>
  <c r="T17" i="3"/>
  <c r="Q17"/>
  <c r="R17"/>
  <c r="S17"/>
  <c r="S19"/>
  <c r="J19" i="1"/>
  <c r="R19" i="3"/>
  <c r="Q19"/>
  <c r="T19"/>
  <c r="T15"/>
  <c r="Q15"/>
  <c r="R15"/>
  <c r="S15"/>
  <c r="Q45"/>
  <c r="S45"/>
  <c r="T45"/>
  <c r="H42" i="1"/>
  <c r="J41" i="3"/>
  <c r="H41" i="1"/>
  <c r="J43" i="3"/>
  <c r="J43" i="1" s="1"/>
  <c r="H43"/>
  <c r="J37" i="3"/>
  <c r="J37" i="1" s="1"/>
  <c r="H37"/>
  <c r="H15"/>
  <c r="R12" i="3"/>
  <c r="T28" i="4"/>
  <c r="F17" i="1"/>
  <c r="AB17"/>
  <c r="AD17"/>
  <c r="AC17"/>
  <c r="AA17"/>
  <c r="J15"/>
  <c r="I15" s="1"/>
  <c r="R15" i="4"/>
  <c r="Q15"/>
  <c r="T15"/>
  <c r="S15"/>
  <c r="S12" i="3"/>
  <c r="F46" i="4"/>
  <c r="F46" i="2"/>
  <c r="F38"/>
  <c r="F38" i="3"/>
  <c r="K45" i="1"/>
  <c r="S12" i="2"/>
  <c r="T12"/>
  <c r="R12"/>
  <c r="Q12"/>
  <c r="T9" i="4"/>
  <c r="S9"/>
  <c r="R9"/>
  <c r="Q9"/>
  <c r="T30" i="2"/>
  <c r="R30"/>
  <c r="S30"/>
  <c r="Q30"/>
  <c r="S43"/>
  <c r="Q43"/>
  <c r="T43"/>
  <c r="R43"/>
  <c r="S43" i="3"/>
  <c r="T32" i="2"/>
  <c r="R32"/>
  <c r="S32"/>
  <c r="Q32"/>
  <c r="T37" i="4"/>
  <c r="R37"/>
  <c r="Q37"/>
  <c r="S37"/>
  <c r="J28" i="2"/>
  <c r="H38"/>
  <c r="S28" i="3"/>
  <c r="Q28"/>
  <c r="R28"/>
  <c r="T28"/>
  <c r="S41" i="2"/>
  <c r="Q41"/>
  <c r="R41"/>
  <c r="T41"/>
  <c r="R41" i="4"/>
  <c r="Q41"/>
  <c r="T41"/>
  <c r="S41"/>
  <c r="T34" i="2"/>
  <c r="R34"/>
  <c r="S34"/>
  <c r="Q34"/>
  <c r="R29" i="3"/>
  <c r="T29"/>
  <c r="Q29"/>
  <c r="S29"/>
  <c r="J32" i="1"/>
  <c r="I32" s="1"/>
  <c r="T35" i="2"/>
  <c r="R35"/>
  <c r="S35"/>
  <c r="Q35"/>
  <c r="J35" i="1"/>
  <c r="Q43" i="4"/>
  <c r="T43"/>
  <c r="S43"/>
  <c r="R43"/>
  <c r="Q37" i="2"/>
  <c r="S37"/>
  <c r="R37"/>
  <c r="T37"/>
  <c r="AB28" i="1"/>
  <c r="AD28"/>
  <c r="AA28"/>
  <c r="F28"/>
  <c r="AC28"/>
  <c r="T33" i="2"/>
  <c r="R33"/>
  <c r="S33"/>
  <c r="Q33"/>
  <c r="J33" i="1"/>
  <c r="I33" s="1"/>
  <c r="S42" i="4"/>
  <c r="T42"/>
  <c r="Q42"/>
  <c r="R42"/>
  <c r="F25" i="3"/>
  <c r="S45" i="1"/>
  <c r="X45" s="1"/>
  <c r="S34"/>
  <c r="X34" s="1"/>
  <c r="Q34"/>
  <c r="V34" s="1"/>
  <c r="T34"/>
  <c r="Y34" s="1"/>
  <c r="R34"/>
  <c r="W34" s="1"/>
  <c r="K34"/>
  <c r="J30" i="3"/>
  <c r="H38"/>
  <c r="I34" i="1"/>
  <c r="I45"/>
  <c r="T45"/>
  <c r="Y45" s="1"/>
  <c r="F29"/>
  <c r="AA29"/>
  <c r="AD29"/>
  <c r="AB29"/>
  <c r="AC29"/>
  <c r="F38" i="4"/>
  <c r="H29"/>
  <c r="H29" i="1" s="1"/>
  <c r="S12" i="4"/>
  <c r="T12"/>
  <c r="Q12"/>
  <c r="R12"/>
  <c r="S22" i="3"/>
  <c r="R22"/>
  <c r="Q22"/>
  <c r="J22" i="1"/>
  <c r="I22" s="1"/>
  <c r="T22" i="3"/>
  <c r="AD41" i="1"/>
  <c r="AB41"/>
  <c r="AC41"/>
  <c r="AA41"/>
  <c r="F41"/>
  <c r="AB12"/>
  <c r="AA12"/>
  <c r="AD12"/>
  <c r="AC12"/>
  <c r="F12"/>
  <c r="AA22"/>
  <c r="AB22"/>
  <c r="F22"/>
  <c r="AC22"/>
  <c r="AD22"/>
  <c r="S41" i="3"/>
  <c r="T41"/>
  <c r="J41" i="1"/>
  <c r="R41" i="3"/>
  <c r="Q41"/>
  <c r="Q11" i="2"/>
  <c r="S11"/>
  <c r="T11"/>
  <c r="R11"/>
  <c r="J11" i="1"/>
  <c r="I11" s="1"/>
  <c r="AB42"/>
  <c r="AA42"/>
  <c r="AD42"/>
  <c r="AC42"/>
  <c r="F42"/>
  <c r="I42" s="1"/>
  <c r="J7" i="4"/>
  <c r="H25"/>
  <c r="R20" i="3"/>
  <c r="Q20"/>
  <c r="T20"/>
  <c r="S20"/>
  <c r="F20" i="1"/>
  <c r="AA20"/>
  <c r="AB20"/>
  <c r="AC20"/>
  <c r="AD20"/>
  <c r="Q20" i="2"/>
  <c r="S20"/>
  <c r="R20"/>
  <c r="T20"/>
  <c r="J20" i="1"/>
  <c r="I20" s="1"/>
  <c r="R20" i="4"/>
  <c r="Q20"/>
  <c r="T20"/>
  <c r="S20"/>
  <c r="J7" i="3"/>
  <c r="H25"/>
  <c r="J44" i="4"/>
  <c r="H46"/>
  <c r="H46" i="2"/>
  <c r="H46" i="3"/>
  <c r="J9" i="2"/>
  <c r="H25"/>
  <c r="F48"/>
  <c r="Q42" i="1"/>
  <c r="V42" s="1"/>
  <c r="K42"/>
  <c r="T42"/>
  <c r="Y42" s="1"/>
  <c r="R42"/>
  <c r="W42" s="1"/>
  <c r="S42"/>
  <c r="X42" s="1"/>
  <c r="R9" i="3" l="1"/>
  <c r="Q43"/>
  <c r="S9"/>
  <c r="R43"/>
  <c r="T43"/>
  <c r="Q9"/>
  <c r="R37"/>
  <c r="S36" i="1"/>
  <c r="X36" s="1"/>
  <c r="R36"/>
  <c r="W36" s="1"/>
  <c r="T36"/>
  <c r="Y36" s="1"/>
  <c r="K36"/>
  <c r="I36"/>
  <c r="Q36"/>
  <c r="V36" s="1"/>
  <c r="S37" i="3"/>
  <c r="Q37"/>
  <c r="T37"/>
  <c r="I19" i="1"/>
  <c r="S19"/>
  <c r="X19" s="1"/>
  <c r="Q19"/>
  <c r="V19" s="1"/>
  <c r="R19"/>
  <c r="W19" s="1"/>
  <c r="T19"/>
  <c r="Y19" s="1"/>
  <c r="K19"/>
  <c r="I17"/>
  <c r="T17"/>
  <c r="Y17" s="1"/>
  <c r="S17"/>
  <c r="X17" s="1"/>
  <c r="R17"/>
  <c r="W17" s="1"/>
  <c r="Q17"/>
  <c r="V17" s="1"/>
  <c r="K17"/>
  <c r="Q12" i="3"/>
  <c r="J12" i="1"/>
  <c r="F48" i="4"/>
  <c r="F48" i="3"/>
  <c r="S15" i="1"/>
  <c r="X15" s="1"/>
  <c r="T15"/>
  <c r="Y15" s="1"/>
  <c r="Q15"/>
  <c r="V15" s="1"/>
  <c r="K15"/>
  <c r="R15"/>
  <c r="W15" s="1"/>
  <c r="H48" i="3"/>
  <c r="R33" i="1"/>
  <c r="W33" s="1"/>
  <c r="S33"/>
  <c r="X33" s="1"/>
  <c r="T33"/>
  <c r="Y33" s="1"/>
  <c r="K33"/>
  <c r="Q33"/>
  <c r="V33" s="1"/>
  <c r="T37"/>
  <c r="Y37" s="1"/>
  <c r="S37"/>
  <c r="X37" s="1"/>
  <c r="K37"/>
  <c r="Q37"/>
  <c r="V37" s="1"/>
  <c r="R37"/>
  <c r="W37" s="1"/>
  <c r="Q32"/>
  <c r="V32" s="1"/>
  <c r="R32"/>
  <c r="W32" s="1"/>
  <c r="S32"/>
  <c r="X32" s="1"/>
  <c r="T32"/>
  <c r="Y32" s="1"/>
  <c r="K32"/>
  <c r="R43"/>
  <c r="W43" s="1"/>
  <c r="S43"/>
  <c r="X43" s="1"/>
  <c r="T43"/>
  <c r="Y43" s="1"/>
  <c r="I43"/>
  <c r="K43"/>
  <c r="Q43"/>
  <c r="V43" s="1"/>
  <c r="T35"/>
  <c r="Y35" s="1"/>
  <c r="K35"/>
  <c r="Q35"/>
  <c r="V35" s="1"/>
  <c r="R35"/>
  <c r="W35" s="1"/>
  <c r="S35"/>
  <c r="X35" s="1"/>
  <c r="S28" i="2"/>
  <c r="Q28"/>
  <c r="T28"/>
  <c r="R28"/>
  <c r="J38"/>
  <c r="J28" i="1"/>
  <c r="I35"/>
  <c r="S30" i="3"/>
  <c r="Q30"/>
  <c r="T30"/>
  <c r="R30"/>
  <c r="J30" i="1"/>
  <c r="J38" i="3"/>
  <c r="H46" i="1"/>
  <c r="F38"/>
  <c r="F46"/>
  <c r="J29" i="4"/>
  <c r="H38"/>
  <c r="H48" s="1"/>
  <c r="I41" i="1"/>
  <c r="Q41"/>
  <c r="V41" s="1"/>
  <c r="K41"/>
  <c r="R41"/>
  <c r="W41" s="1"/>
  <c r="S41"/>
  <c r="X41" s="1"/>
  <c r="T41"/>
  <c r="Y41" s="1"/>
  <c r="R22"/>
  <c r="W22" s="1"/>
  <c r="T22"/>
  <c r="Y22" s="1"/>
  <c r="Q22"/>
  <c r="V22" s="1"/>
  <c r="S22"/>
  <c r="X22" s="1"/>
  <c r="K22"/>
  <c r="R11"/>
  <c r="W11" s="1"/>
  <c r="S11"/>
  <c r="X11" s="1"/>
  <c r="K11"/>
  <c r="Q11"/>
  <c r="V11" s="1"/>
  <c r="T11"/>
  <c r="Y11" s="1"/>
  <c r="H38"/>
  <c r="I37"/>
  <c r="R7" i="3"/>
  <c r="Q7"/>
  <c r="T7"/>
  <c r="S7"/>
  <c r="J7" i="1"/>
  <c r="J25" i="3"/>
  <c r="H25" i="1"/>
  <c r="F25"/>
  <c r="R7" i="4"/>
  <c r="T7"/>
  <c r="S7"/>
  <c r="Q7"/>
  <c r="J25"/>
  <c r="Q20" i="1"/>
  <c r="V20" s="1"/>
  <c r="R20"/>
  <c r="W20" s="1"/>
  <c r="T20"/>
  <c r="Y20" s="1"/>
  <c r="S20"/>
  <c r="X20" s="1"/>
  <c r="K20"/>
  <c r="R9" i="2"/>
  <c r="Q9"/>
  <c r="T9"/>
  <c r="S9"/>
  <c r="J9" i="1"/>
  <c r="I9" s="1"/>
  <c r="J25" i="2"/>
  <c r="J46" i="3"/>
  <c r="J46" i="2"/>
  <c r="Q44" i="4"/>
  <c r="S44"/>
  <c r="R44"/>
  <c r="T44"/>
  <c r="J44" i="1"/>
  <c r="J46" i="4"/>
  <c r="H48" i="2"/>
  <c r="T47" i="3" l="1"/>
  <c r="J48"/>
  <c r="I48" s="1"/>
  <c r="I12" i="1"/>
  <c r="K12"/>
  <c r="T12"/>
  <c r="Y12" s="1"/>
  <c r="R12"/>
  <c r="W12" s="1"/>
  <c r="S12"/>
  <c r="X12" s="1"/>
  <c r="Q12"/>
  <c r="V12" s="1"/>
  <c r="H48"/>
  <c r="H49" s="1"/>
  <c r="S47" i="3"/>
  <c r="R47"/>
  <c r="J48" i="2"/>
  <c r="S28" i="1"/>
  <c r="X28" s="1"/>
  <c r="R28"/>
  <c r="W28" s="1"/>
  <c r="T28"/>
  <c r="Y28" s="1"/>
  <c r="K28"/>
  <c r="I28"/>
  <c r="Q28"/>
  <c r="V28" s="1"/>
  <c r="T30"/>
  <c r="Y30" s="1"/>
  <c r="R30"/>
  <c r="W30" s="1"/>
  <c r="K30"/>
  <c r="S30"/>
  <c r="X30" s="1"/>
  <c r="Q30"/>
  <c r="V30" s="1"/>
  <c r="I30"/>
  <c r="F48"/>
  <c r="F49" s="1"/>
  <c r="S29" i="4"/>
  <c r="S47" s="1"/>
  <c r="R29"/>
  <c r="R47" s="1"/>
  <c r="T29"/>
  <c r="T47" s="1"/>
  <c r="Q29"/>
  <c r="J29" i="1"/>
  <c r="J38" i="4"/>
  <c r="J48" s="1"/>
  <c r="K7" i="1"/>
  <c r="T7"/>
  <c r="Y7" s="1"/>
  <c r="Q7"/>
  <c r="V7" s="1"/>
  <c r="S7"/>
  <c r="X7" s="1"/>
  <c r="R7"/>
  <c r="W7" s="1"/>
  <c r="I7"/>
  <c r="I44"/>
  <c r="K44"/>
  <c r="S44"/>
  <c r="X44" s="1"/>
  <c r="T44"/>
  <c r="Y44" s="1"/>
  <c r="R44"/>
  <c r="W44" s="1"/>
  <c r="Q44"/>
  <c r="V44" s="1"/>
  <c r="J46"/>
  <c r="R9"/>
  <c r="Q9"/>
  <c r="T9"/>
  <c r="S9"/>
  <c r="J25"/>
  <c r="T47" i="2"/>
  <c r="R47"/>
  <c r="I48"/>
  <c r="S47"/>
  <c r="I48" i="4" l="1"/>
  <c r="J48" i="1"/>
  <c r="I48" s="1"/>
  <c r="Q29"/>
  <c r="V29" s="1"/>
  <c r="R29"/>
  <c r="W29" s="1"/>
  <c r="I29"/>
  <c r="T29"/>
  <c r="Y29" s="1"/>
  <c r="S29"/>
  <c r="X29" s="1"/>
  <c r="K29"/>
  <c r="J38"/>
  <c r="R47"/>
  <c r="W47" s="1"/>
  <c r="S47"/>
  <c r="X47" s="1"/>
  <c r="T47"/>
  <c r="Y47" s="1"/>
  <c r="K48" l="1"/>
  <c r="J49"/>
</calcChain>
</file>

<file path=xl/sharedStrings.xml><?xml version="1.0" encoding="utf-8"?>
<sst xmlns="http://schemas.openxmlformats.org/spreadsheetml/2006/main" count="736" uniqueCount="202">
  <si>
    <t>Section of Notice</t>
  </si>
  <si>
    <t>Estimated No. of Manhours per response</t>
  </si>
  <si>
    <t>(A)</t>
  </si>
  <si>
    <t>(B)</t>
  </si>
  <si>
    <t>(C)</t>
  </si>
  <si>
    <t>(D)</t>
  </si>
  <si>
    <t>(E)</t>
  </si>
  <si>
    <t>(F)</t>
  </si>
  <si>
    <t>(G)</t>
  </si>
  <si>
    <t>(H)</t>
  </si>
  <si>
    <t>(I)</t>
  </si>
  <si>
    <t>Administrative</t>
  </si>
  <si>
    <t xml:space="preserve">USDA Rural Business-Cooperative Service </t>
  </si>
  <si>
    <t>Title</t>
  </si>
  <si>
    <t>Form No. (if any)</t>
  </si>
  <si>
    <t>Application for Federal Assistance</t>
  </si>
  <si>
    <t>written</t>
  </si>
  <si>
    <t>Disclosure of Lobbying Activities</t>
  </si>
  <si>
    <t>SF LLL (0348-0046)</t>
  </si>
  <si>
    <t>Certification Regarding Debarment, Suspension &amp; Other Resp. Matters-Primary Covered Trans.</t>
  </si>
  <si>
    <t>AD-1047 or in writing</t>
  </si>
  <si>
    <t>Cost</t>
  </si>
  <si>
    <t>Acknowledge and review application</t>
  </si>
  <si>
    <t>Evaluate and score</t>
  </si>
  <si>
    <t>Inform applicants of selection results</t>
  </si>
  <si>
    <t>Legal document preparation</t>
  </si>
  <si>
    <t>Release and advance of funds</t>
  </si>
  <si>
    <t>Private Individual</t>
  </si>
  <si>
    <t>Private - Not Individual</t>
  </si>
  <si>
    <t>State gov, local gov, Indian Tribe</t>
  </si>
  <si>
    <t>Small Business that are Private not individuals</t>
  </si>
  <si>
    <t>Breakout Costs</t>
  </si>
  <si>
    <t>Breakout Percentages</t>
  </si>
  <si>
    <t>SF 424A (4040-0006)</t>
  </si>
  <si>
    <t>SF 424 (4040-0004)</t>
  </si>
  <si>
    <t>Budget Information - Non-Construction Programs</t>
  </si>
  <si>
    <t>Assurances - Non-Construction Program</t>
  </si>
  <si>
    <t>SF 424B (4040-0007)</t>
  </si>
  <si>
    <t>Subtotal</t>
  </si>
  <si>
    <t>Number of Entities</t>
  </si>
  <si>
    <t>Reports Filed</t>
  </si>
  <si>
    <t>(J)</t>
  </si>
  <si>
    <t>Total Responses (D) x (E)</t>
  </si>
  <si>
    <t>Estimated Total Manhours (F) x (G)</t>
  </si>
  <si>
    <t>Total Cost (H) x (I)</t>
  </si>
  <si>
    <t>REPORTING REQUIREMENTS -  NON FORMS</t>
  </si>
  <si>
    <t>Citizen Certification</t>
  </si>
  <si>
    <t>Request for Appeal</t>
  </si>
  <si>
    <t>Applications</t>
  </si>
  <si>
    <t>Oversight and Monitoring</t>
  </si>
  <si>
    <t>Certifications and Agreements</t>
  </si>
  <si>
    <t>Appeals</t>
  </si>
  <si>
    <t>FORMS APPROVED UNDER OTHER OMB NUMBERS</t>
  </si>
  <si>
    <t>Application Narrative - initial criteria, all applicants</t>
  </si>
  <si>
    <t>Application Narrative - documentation of eligibility, all applicants</t>
  </si>
  <si>
    <t>REPORTING - FORMS APPROVED UNDER THIS DOCKET</t>
  </si>
  <si>
    <t>Estimated Cost to Federal Government</t>
  </si>
  <si>
    <t>Activity</t>
  </si>
  <si>
    <t>Applicants</t>
  </si>
  <si>
    <t>Total Year 1 Burden</t>
  </si>
  <si>
    <t>Total Year 2 Burden</t>
  </si>
  <si>
    <t>Applications for Continued Participation</t>
  </si>
  <si>
    <t>Quarterly reports</t>
  </si>
  <si>
    <t>Total Year 3 Burden</t>
  </si>
  <si>
    <t>Wage Class (note "b")</t>
  </si>
  <si>
    <t>Wage Class</t>
  </si>
  <si>
    <t>Rate*</t>
  </si>
  <si>
    <t>*based on 2009 GS Grade 12, step 6 (DC location)</t>
  </si>
  <si>
    <t>RD 1910-11</t>
  </si>
  <si>
    <t>Certification of No Federal Debt</t>
  </si>
  <si>
    <t>Section of Rule (4280.XXX)</t>
  </si>
  <si>
    <t>315(d)(1)</t>
  </si>
  <si>
    <t>311(i); 312(a)(5)</t>
  </si>
  <si>
    <t>316(a)</t>
  </si>
  <si>
    <t>316(b)</t>
  </si>
  <si>
    <t>316(d)</t>
  </si>
  <si>
    <t>316(e)</t>
  </si>
  <si>
    <t>Request for Advance or Reimbursement</t>
  </si>
  <si>
    <t>SF-270 (0348-0004)</t>
  </si>
  <si>
    <t>Documentation prior to loan closing</t>
  </si>
  <si>
    <t>311(h)(1)</t>
  </si>
  <si>
    <t>311(h)(2)</t>
  </si>
  <si>
    <t>Lender certification at loan closing</t>
  </si>
  <si>
    <t>RD 400-8</t>
  </si>
  <si>
    <t>Compliance Review</t>
  </si>
  <si>
    <t>Type of Entity</t>
  </si>
  <si>
    <t>Awardees</t>
  </si>
  <si>
    <t>Year 1</t>
  </si>
  <si>
    <t>Year 2</t>
  </si>
  <si>
    <t>Year 3</t>
  </si>
  <si>
    <t>Total</t>
  </si>
  <si>
    <t>Assumptions on Number of Applicants and Awardees for the First Three Years</t>
  </si>
  <si>
    <t>3 Year Total</t>
  </si>
  <si>
    <t>3 Year Average</t>
  </si>
  <si>
    <t>3-Year Average</t>
  </si>
  <si>
    <t>Breakout Costs - Totals</t>
  </si>
  <si>
    <t>Breakout Costs - 3-Year Average</t>
  </si>
  <si>
    <t>3-year Average</t>
  </si>
  <si>
    <t>Poor performance reports</t>
  </si>
  <si>
    <t>Annual budget report</t>
  </si>
  <si>
    <t>No. of Respondents</t>
  </si>
  <si>
    <t>Review of Quarterly Reports</t>
  </si>
  <si>
    <t>Review Poor Performance Reports</t>
  </si>
  <si>
    <t>Number of Items</t>
  </si>
  <si>
    <t>Hours per Item</t>
  </si>
  <si>
    <t>Review Annual Budgets</t>
  </si>
  <si>
    <t>Burden Estimate for Section 6022 - Rural Microentreprenuer Assistance Program - 3 Year Totals</t>
  </si>
  <si>
    <t>Burden Estimate for Section 6022  - Rural Microentrepreneur Assistance Program - Total and 3-Year Average</t>
  </si>
  <si>
    <t>Burden Estimate for Section 6022  - Rural Microentrepreneur Assistance Program - Year 1</t>
  </si>
  <si>
    <t>Burden Estimate for Section 6022  - Rural Microentrepreneur Assistance Program - Year 2</t>
  </si>
  <si>
    <t>Burden Estimate for Section 6022 - Rural Microentrepreneur Assistance Program - Year 3</t>
  </si>
  <si>
    <t>See footnote a</t>
  </si>
  <si>
    <t>Footnote a</t>
  </si>
  <si>
    <t>This line item addresses the estimated cost for developing, implementing, and administerting RMAP.  The estimate includes cost incurred by USDA staff and other Federal agency groups (e.g., OMB) and contractors (rule development, regulatory impact analysis).</t>
  </si>
  <si>
    <t>Burden Estimate for Section 6022 - Rural Microentreprenuer  Assistance Program - Year 1</t>
  </si>
  <si>
    <t>Burden Estimate for Section 6022 - Rural Microentreprenuer  Assistance Program - Year 2</t>
  </si>
  <si>
    <t>Burden Estimate for Section 6022 - Rural Microentreprenuer  Assistance Program - Year 3</t>
  </si>
  <si>
    <t>Additional Documentaton - Microlenders with &gt; 3 yrs exp</t>
  </si>
  <si>
    <t>Additional Documentation - Microlenders with &lt; 3 yrs exp</t>
  </si>
  <si>
    <t>Additional Documentation - Microlender enhancement grants</t>
  </si>
  <si>
    <t>Microlender enhancement grants</t>
  </si>
  <si>
    <t>Microlender with &lt; 3 yrs exp</t>
  </si>
  <si>
    <t>Microlender with &gt; 3 yrs exp</t>
  </si>
  <si>
    <t>Application from microlenders with &gt; 5 yrs exp in program</t>
  </si>
  <si>
    <t>Additional Documentation - microlender enhancement grants</t>
  </si>
  <si>
    <t>Application microlenders with &gt; 5 yrs exp in the program</t>
  </si>
  <si>
    <t>Deposit Agreement</t>
  </si>
  <si>
    <t>RD 402-1</t>
  </si>
  <si>
    <t>Promissory Note</t>
  </si>
  <si>
    <t>Loan Agreement</t>
  </si>
  <si>
    <t>RD 4274-4</t>
  </si>
  <si>
    <t>RD 1942-46</t>
  </si>
  <si>
    <t>Letter of Intent to Meet Conditions</t>
  </si>
  <si>
    <t>Report of Lending Activities</t>
  </si>
  <si>
    <t>RD 1951-4</t>
  </si>
  <si>
    <t>RD 4274-3</t>
  </si>
  <si>
    <t>311(i)(4)</t>
  </si>
  <si>
    <t>311(h)(4)</t>
  </si>
  <si>
    <t>311(g)</t>
  </si>
  <si>
    <t>311(h)(2)(iii)</t>
  </si>
  <si>
    <t>312(a)(5)</t>
  </si>
  <si>
    <t>Review/evaluate applications for enhancement grants</t>
  </si>
  <si>
    <t>3-yr ave</t>
  </si>
  <si>
    <t>Number of applicants</t>
  </si>
  <si>
    <t>Number of awardees</t>
  </si>
  <si>
    <t>Calculation of application burden</t>
  </si>
  <si>
    <t>Year</t>
  </si>
  <si>
    <t>Hours</t>
  </si>
  <si>
    <t>Comment</t>
  </si>
  <si>
    <t>Number of</t>
  </si>
  <si>
    <t>Respondents</t>
  </si>
  <si>
    <t>Application Narrative - initial criteria, all applicants REPEAT</t>
  </si>
  <si>
    <t>Application Narrative - initial criteria, all applicants NEW</t>
  </si>
  <si>
    <t>Application Narrative - documentation of eligibility, all applicants REPEAT</t>
  </si>
  <si>
    <t>Application Narrative - documentation of eligibility, all applicants NEW</t>
  </si>
  <si>
    <t>Additional Documentaton - Microlenders with &gt; 3 yrs exp REPEAT</t>
  </si>
  <si>
    <t>Additional Documentaton - Microlenders with &gt; 3 yrs exp NEW</t>
  </si>
  <si>
    <t>Additional Documentation - Microlenders with &lt; 3 yrs exp REPEAT</t>
  </si>
  <si>
    <t>Additional Documentation - Microlenders with &lt; 3 yrs exp NEW</t>
  </si>
  <si>
    <t>704 from the Year 2 spreadsheet</t>
  </si>
  <si>
    <t>814 from Year 3 spreadsheet</t>
  </si>
  <si>
    <t>1680 from Year 1 spreadsheet</t>
  </si>
  <si>
    <t>Enhancement Grants</t>
  </si>
  <si>
    <t>This would be 6 hours effort regardless of the year.</t>
  </si>
  <si>
    <t>The current hour structure for enhancement grants assumes repeats from the same MDO in years 2 and 3.  Is that what we want to assume?</t>
  </si>
  <si>
    <t>A different assumption is that each new applicant (less than 3 years exp) is also going to ask for an enhancement grant.</t>
  </si>
  <si>
    <t>Would also assume to each appilcant (less than 3 years exp) only seeks an enhancement grant once.</t>
  </si>
  <si>
    <t>Additional Documentaton - Microlenders with &gt; 3 yrs exp (new applicants)</t>
  </si>
  <si>
    <t>Additional Documentaton - Microlenders with &gt; 3 yrs exp (repeat applicants)</t>
  </si>
  <si>
    <t>Additional Documentation - Microlenders with &lt; 3 yrs exp (new applicants)</t>
  </si>
  <si>
    <t>Additional Documentation - Microlenders with &lt; 3 yrs exp (repeat applicants)</t>
  </si>
  <si>
    <t>2 hours for 51 repeat MDO; 8 hours for 13 new applications</t>
  </si>
  <si>
    <t>2 hours for 51 repeat MDO; 16 hours for 13 new applications</t>
  </si>
  <si>
    <t>2 hours for 53 repeat MDO; 8 hours for 21 new applications</t>
  </si>
  <si>
    <t>2 hours for 53 repeat MDO; 16 hours for 21 new applications</t>
  </si>
  <si>
    <t>RD 4280-3</t>
  </si>
  <si>
    <t>312(d)</t>
  </si>
  <si>
    <t>312(a)(4)(iv)</t>
  </si>
  <si>
    <t>316(c)</t>
  </si>
  <si>
    <t>315(c)(7)</t>
  </si>
  <si>
    <t>315(c)(5)</t>
  </si>
  <si>
    <t>315(c)(8)</t>
  </si>
  <si>
    <t>311(h)(1)(ii)</t>
  </si>
  <si>
    <t>315(c)(6)</t>
  </si>
  <si>
    <t>315(c)(1)</t>
  </si>
  <si>
    <t>315(c)(2)</t>
  </si>
  <si>
    <t>315(c)(3)</t>
  </si>
  <si>
    <t>315(c)(4)</t>
  </si>
  <si>
    <t>320(b)</t>
  </si>
  <si>
    <t>RD 1940-1</t>
  </si>
  <si>
    <t>Request for Obligation of Funds</t>
  </si>
  <si>
    <t>FORMS APPROVED UNDER OTHER OMB NUMBERS (burden not attributable to RMAP)</t>
  </si>
  <si>
    <t>Project Performance Report cover sheet</t>
  </si>
  <si>
    <t>Performance Measures</t>
  </si>
  <si>
    <t>Activity Based Expenditures</t>
  </si>
  <si>
    <t>NOTES:  Rate assumes a 3% increase over year 1 labor rate</t>
  </si>
  <si>
    <t>NOTES:  Rate assumes a 3% increase over year 2 labor rate</t>
  </si>
  <si>
    <t>SF-PPR (0970-0334)</t>
  </si>
  <si>
    <t>SF-PPR-A (0970-0334)</t>
  </si>
  <si>
    <t>SF-PPR-E (0970-0334)</t>
  </si>
  <si>
    <t>311(i)(1)(i)</t>
  </si>
  <si>
    <t>Rural Economic Development Grant/Rural Microentrepreneur Assistance Program Agreement</t>
  </si>
</sst>
</file>

<file path=xl/styles.xml><?xml version="1.0" encoding="utf-8"?>
<styleSheet xmlns="http://schemas.openxmlformats.org/spreadsheetml/2006/main">
  <numFmts count="5">
    <numFmt numFmtId="43" formatCode="_(* #,##0.00_);_(* \(#,##0.00\);_(* &quot;-&quot;??_);_(@_)"/>
    <numFmt numFmtId="164" formatCode="&quot;$&quot;#,##0"/>
    <numFmt numFmtId="165" formatCode="0.0"/>
    <numFmt numFmtId="166" formatCode="#,##0.0"/>
    <numFmt numFmtId="167" formatCode="&quot;$&quot;#,##0.00"/>
  </numFmts>
  <fonts count="8">
    <font>
      <sz val="10"/>
      <name val="Arial"/>
    </font>
    <font>
      <b/>
      <sz val="10"/>
      <name val="Arial"/>
      <family val="2"/>
    </font>
    <font>
      <sz val="8"/>
      <name val="Arial"/>
      <family val="2"/>
    </font>
    <font>
      <b/>
      <sz val="10"/>
      <name val="Arial"/>
      <family val="2"/>
    </font>
    <font>
      <sz val="10"/>
      <name val="Arial"/>
      <family val="2"/>
    </font>
    <font>
      <sz val="12"/>
      <name val="Arial"/>
      <family val="2"/>
    </font>
    <font>
      <b/>
      <sz val="11"/>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0" fillId="0" borderId="0" xfId="0" applyFill="1"/>
    <xf numFmtId="0" fontId="3" fillId="0" borderId="1" xfId="0" applyFont="1" applyFill="1" applyBorder="1" applyAlignment="1">
      <alignment horizontal="center" vertical="center" wrapText="1"/>
    </xf>
    <xf numFmtId="164" fontId="0" fillId="0" borderId="0" xfId="0" applyNumberFormat="1" applyFill="1"/>
    <xf numFmtId="0" fontId="4" fillId="0" borderId="3"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165" fontId="4" fillId="0" borderId="4" xfId="0" applyNumberFormat="1" applyFont="1" applyFill="1" applyBorder="1" applyAlignment="1" applyProtection="1">
      <alignment horizontal="center" vertical="center" wrapText="1"/>
      <protection locked="0"/>
    </xf>
    <xf numFmtId="0" fontId="5" fillId="0" borderId="0" xfId="0" applyFont="1"/>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xf numFmtId="0" fontId="7" fillId="0" borderId="2" xfId="0" applyFont="1" applyFill="1" applyBorder="1" applyAlignment="1">
      <alignment horizontal="center"/>
    </xf>
    <xf numFmtId="164" fontId="7" fillId="0" borderId="2" xfId="0" applyNumberFormat="1" applyFont="1" applyFill="1" applyBorder="1"/>
    <xf numFmtId="167" fontId="7" fillId="0" borderId="2" xfId="0" applyNumberFormat="1" applyFont="1" applyFill="1" applyBorder="1" applyAlignment="1">
      <alignment horizontal="center"/>
    </xf>
    <xf numFmtId="0" fontId="7" fillId="0" borderId="0" xfId="0" applyFont="1" applyFill="1" applyBorder="1"/>
    <xf numFmtId="0" fontId="4" fillId="0" borderId="3" xfId="0" applyNumberFormat="1"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wrapText="1"/>
    </xf>
    <xf numFmtId="1" fontId="7" fillId="0" borderId="2" xfId="0" applyNumberFormat="1" applyFont="1" applyFill="1" applyBorder="1" applyAlignment="1">
      <alignment horizontal="center"/>
    </xf>
    <xf numFmtId="0" fontId="7" fillId="0" borderId="0" xfId="0" applyFont="1" applyFill="1" applyBorder="1" applyAlignment="1">
      <alignment horizontal="right" vertical="top"/>
    </xf>
    <xf numFmtId="0" fontId="4" fillId="0" borderId="0" xfId="0" applyNumberFormat="1"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0" fontId="0" fillId="0" borderId="0" xfId="0" applyAlignment="1">
      <alignment vertical="center"/>
    </xf>
    <xf numFmtId="0" fontId="3" fillId="0" borderId="0" xfId="0" applyFont="1" applyAlignment="1">
      <alignment horizontal="center" vertical="center"/>
    </xf>
    <xf numFmtId="0" fontId="4" fillId="0" borderId="6" xfId="0" applyNumberFormat="1" applyFont="1" applyFill="1" applyBorder="1" applyAlignment="1" applyProtection="1">
      <alignment horizontal="center" vertical="center"/>
      <protection locked="0"/>
    </xf>
    <xf numFmtId="0" fontId="4" fillId="0" borderId="7" xfId="0" applyNumberFormat="1" applyFont="1" applyFill="1" applyBorder="1" applyAlignment="1" applyProtection="1">
      <alignment horizontal="center" vertical="center"/>
      <protection locked="0"/>
    </xf>
    <xf numFmtId="165" fontId="4" fillId="0" borderId="7" xfId="0" applyNumberFormat="1" applyFont="1" applyFill="1" applyBorder="1" applyAlignment="1" applyProtection="1">
      <alignment horizontal="center" vertical="center"/>
      <protection locked="0"/>
    </xf>
    <xf numFmtId="0" fontId="4" fillId="0" borderId="8"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protection locked="0"/>
    </xf>
    <xf numFmtId="0" fontId="3" fillId="0" borderId="2" xfId="0" applyFont="1" applyFill="1" applyBorder="1" applyAlignment="1">
      <alignment vertical="center"/>
    </xf>
    <xf numFmtId="3" fontId="3" fillId="0" borderId="2" xfId="1" applyNumberFormat="1" applyFont="1" applyFill="1" applyBorder="1" applyAlignment="1">
      <alignment horizontal="center" vertical="center"/>
    </xf>
    <xf numFmtId="0" fontId="3" fillId="0" borderId="2" xfId="0" applyFont="1" applyFill="1" applyBorder="1" applyAlignment="1">
      <alignment horizontal="center" vertical="center"/>
    </xf>
    <xf numFmtId="165" fontId="3" fillId="0" borderId="2"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37" fontId="3" fillId="0" borderId="2" xfId="0" applyNumberFormat="1" applyFont="1" applyFill="1" applyBorder="1" applyAlignment="1" applyProtection="1">
      <alignment horizontal="left" vertical="center"/>
    </xf>
    <xf numFmtId="0" fontId="4" fillId="0" borderId="2" xfId="0" applyFont="1" applyFill="1" applyBorder="1" applyAlignment="1">
      <alignment horizontal="center" vertical="center" wrapText="1"/>
    </xf>
    <xf numFmtId="3" fontId="4" fillId="0" borderId="2" xfId="1" applyNumberFormat="1" applyFont="1" applyFill="1" applyBorder="1" applyAlignment="1">
      <alignment horizontal="center" vertical="center"/>
    </xf>
    <xf numFmtId="0" fontId="4" fillId="0" borderId="2" xfId="0" applyFont="1" applyFill="1" applyBorder="1" applyAlignment="1">
      <alignment horizontal="center" vertical="center"/>
    </xf>
    <xf numFmtId="1" fontId="4" fillId="0" borderId="2" xfId="1" applyNumberFormat="1" applyFont="1" applyFill="1" applyBorder="1" applyAlignment="1">
      <alignment horizontal="center" vertical="center"/>
    </xf>
    <xf numFmtId="165" fontId="4" fillId="0" borderId="2"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0" fontId="4" fillId="0" borderId="1" xfId="0" applyFont="1" applyFill="1" applyBorder="1" applyAlignment="1">
      <alignment horizontal="center" vertical="center"/>
    </xf>
    <xf numFmtId="37" fontId="4" fillId="0" borderId="2" xfId="0" applyNumberFormat="1" applyFont="1" applyFill="1" applyBorder="1" applyAlignment="1" applyProtection="1">
      <alignment horizontal="left" vertical="center"/>
    </xf>
    <xf numFmtId="4" fontId="4" fillId="0" borderId="2" xfId="1" applyNumberFormat="1" applyFont="1" applyFill="1" applyBorder="1" applyAlignment="1">
      <alignment horizontal="center" vertical="center"/>
    </xf>
    <xf numFmtId="166" fontId="4" fillId="0" borderId="2" xfId="1" applyNumberFormat="1" applyFont="1" applyFill="1" applyBorder="1" applyAlignment="1">
      <alignment horizontal="center" vertical="center"/>
    </xf>
    <xf numFmtId="167" fontId="4" fillId="0" borderId="2" xfId="0" applyNumberFormat="1" applyFont="1" applyFill="1" applyBorder="1" applyAlignment="1">
      <alignment horizontal="center" vertical="center"/>
    </xf>
    <xf numFmtId="164" fontId="4" fillId="0" borderId="2" xfId="1"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10" fontId="0" fillId="0" borderId="0" xfId="0" applyNumberFormat="1" applyAlignment="1">
      <alignment vertical="center"/>
    </xf>
    <xf numFmtId="164" fontId="0" fillId="0" borderId="0" xfId="0" applyNumberFormat="1" applyAlignment="1">
      <alignment vertical="center"/>
    </xf>
    <xf numFmtId="3" fontId="0" fillId="0" borderId="0" xfId="0" applyNumberFormat="1" applyFont="1" applyFill="1" applyAlignment="1">
      <alignment vertical="center"/>
    </xf>
    <xf numFmtId="166" fontId="0" fillId="0" borderId="0" xfId="0" applyNumberFormat="1" applyFont="1" applyFill="1" applyAlignment="1">
      <alignment vertical="center"/>
    </xf>
    <xf numFmtId="0" fontId="4" fillId="0" borderId="2" xfId="0" applyFont="1" applyFill="1" applyBorder="1" applyAlignment="1">
      <alignment vertical="center" wrapText="1"/>
    </xf>
    <xf numFmtId="0" fontId="4" fillId="0" borderId="0" xfId="0" applyFont="1" applyFill="1" applyAlignment="1">
      <alignment horizontal="center" vertical="center" wrapText="1"/>
    </xf>
    <xf numFmtId="0" fontId="3" fillId="0" borderId="2" xfId="0" applyFont="1" applyFill="1" applyBorder="1" applyAlignment="1">
      <alignment vertical="center" wrapText="1"/>
    </xf>
    <xf numFmtId="164" fontId="4" fillId="0" borderId="2" xfId="0" applyNumberFormat="1" applyFont="1" applyFill="1" applyBorder="1" applyAlignment="1">
      <alignment horizontal="center" vertical="center"/>
    </xf>
    <xf numFmtId="164" fontId="4" fillId="0" borderId="10" xfId="0" applyNumberFormat="1" applyFont="1" applyFill="1" applyBorder="1" applyAlignment="1">
      <alignment horizontal="center" vertical="center"/>
    </xf>
    <xf numFmtId="1" fontId="4" fillId="0" borderId="2" xfId="0" applyNumberFormat="1" applyFont="1" applyFill="1" applyBorder="1" applyAlignment="1">
      <alignment horizontal="center" vertical="center"/>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3" fontId="3" fillId="0" borderId="0" xfId="1"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6" fontId="3" fillId="0" borderId="0" xfId="1"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65" fontId="4" fillId="0" borderId="0" xfId="0" applyNumberFormat="1" applyFont="1" applyFill="1" applyAlignment="1">
      <alignment horizontal="center" vertical="center"/>
    </xf>
    <xf numFmtId="166" fontId="4" fillId="0" borderId="0" xfId="0" applyNumberFormat="1" applyFont="1" applyFill="1" applyAlignment="1">
      <alignment horizontal="center" vertical="center"/>
    </xf>
    <xf numFmtId="164" fontId="4" fillId="0" borderId="0" xfId="0" applyNumberFormat="1" applyFont="1" applyFill="1" applyAlignment="1">
      <alignment horizontal="center" vertical="center"/>
    </xf>
    <xf numFmtId="0" fontId="3" fillId="0" borderId="1" xfId="0" applyFont="1" applyFill="1" applyBorder="1" applyAlignment="1">
      <alignment horizontal="center" vertical="center"/>
    </xf>
    <xf numFmtId="37" fontId="3" fillId="0" borderId="0" xfId="0" applyNumberFormat="1" applyFont="1" applyFill="1" applyBorder="1" applyAlignment="1" applyProtection="1">
      <alignment horizontal="left" vertical="center"/>
    </xf>
    <xf numFmtId="3" fontId="3" fillId="0" borderId="0" xfId="0" applyNumberFormat="1" applyFont="1" applyFill="1" applyBorder="1" applyAlignment="1">
      <alignment horizontal="center" vertical="center"/>
    </xf>
    <xf numFmtId="166"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0" borderId="2" xfId="0" applyFont="1" applyFill="1" applyBorder="1" applyAlignment="1">
      <alignment vertical="center"/>
    </xf>
    <xf numFmtId="0" fontId="4" fillId="0" borderId="9" xfId="0" applyFont="1" applyFill="1" applyBorder="1" applyAlignment="1">
      <alignment vertical="center" wrapText="1"/>
    </xf>
    <xf numFmtId="0" fontId="4" fillId="0" borderId="9" xfId="0" applyFont="1" applyFill="1" applyBorder="1" applyAlignment="1">
      <alignment horizontal="center" vertical="center"/>
    </xf>
    <xf numFmtId="165" fontId="4" fillId="0" borderId="0" xfId="0" applyNumberFormat="1" applyFont="1" applyFill="1" applyBorder="1" applyAlignment="1">
      <alignment horizontal="center" vertical="center"/>
    </xf>
    <xf numFmtId="164" fontId="4" fillId="0" borderId="0" xfId="0" applyNumberFormat="1" applyFont="1" applyFill="1" applyAlignment="1">
      <alignment vertical="center"/>
    </xf>
    <xf numFmtId="166" fontId="4" fillId="0" borderId="0" xfId="0" applyNumberFormat="1" applyFont="1" applyFill="1" applyAlignment="1">
      <alignment vertical="center"/>
    </xf>
    <xf numFmtId="3" fontId="4" fillId="0" borderId="0" xfId="0" applyNumberFormat="1" applyFont="1" applyFill="1" applyAlignment="1">
      <alignment vertical="center"/>
    </xf>
    <xf numFmtId="164" fontId="3" fillId="0" borderId="2" xfId="1" applyNumberFormat="1" applyFont="1" applyFill="1" applyBorder="1" applyAlignment="1">
      <alignment horizontal="center" vertical="center"/>
    </xf>
    <xf numFmtId="1" fontId="4" fillId="0" borderId="0" xfId="0" applyNumberFormat="1" applyFont="1" applyFill="1" applyAlignment="1">
      <alignment horizontal="center" vertical="center"/>
    </xf>
    <xf numFmtId="1" fontId="4" fillId="0" borderId="0" xfId="0" applyNumberFormat="1" applyFont="1" applyFill="1" applyAlignment="1">
      <alignment vertical="center"/>
    </xf>
    <xf numFmtId="0" fontId="4"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0" xfId="0" applyFont="1" applyFill="1" applyBorder="1" applyAlignment="1">
      <alignment vertical="center"/>
    </xf>
    <xf numFmtId="3" fontId="4" fillId="0" borderId="0" xfId="0" applyNumberFormat="1"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right" vertical="center"/>
    </xf>
    <xf numFmtId="165" fontId="4" fillId="0"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xf>
    <xf numFmtId="2" fontId="4" fillId="0" borderId="9" xfId="0" applyNumberFormat="1" applyFont="1" applyFill="1" applyBorder="1" applyAlignment="1">
      <alignment horizontal="center" vertical="center"/>
    </xf>
    <xf numFmtId="166" fontId="3" fillId="0" borderId="0" xfId="0" applyNumberFormat="1" applyFont="1" applyFill="1" applyAlignment="1">
      <alignment vertical="center"/>
    </xf>
    <xf numFmtId="2" fontId="4" fillId="0" borderId="2"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0" xfId="0" applyFont="1" applyFill="1" applyAlignment="1">
      <alignment vertical="center" wrapText="1"/>
    </xf>
    <xf numFmtId="167" fontId="4" fillId="0" borderId="0" xfId="0" applyNumberFormat="1" applyFont="1" applyFill="1" applyBorder="1" applyAlignment="1">
      <alignment vertical="center"/>
    </xf>
    <xf numFmtId="1" fontId="4" fillId="0" borderId="0"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2" fontId="4" fillId="0" borderId="0" xfId="0" applyNumberFormat="1" applyFont="1" applyFill="1" applyBorder="1" applyAlignment="1">
      <alignment vertical="center"/>
    </xf>
    <xf numFmtId="3" fontId="1" fillId="0" borderId="2" xfId="1" applyNumberFormat="1" applyFont="1" applyFill="1" applyBorder="1" applyAlignment="1">
      <alignment horizontal="center" vertical="center"/>
    </xf>
    <xf numFmtId="166" fontId="3" fillId="0" borderId="2" xfId="1"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166" fontId="3" fillId="0" borderId="2" xfId="0" applyNumberFormat="1" applyFont="1" applyFill="1" applyBorder="1" applyAlignment="1">
      <alignment horizontal="center" vertical="center"/>
    </xf>
    <xf numFmtId="165" fontId="1" fillId="0" borderId="2"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Alignment="1">
      <alignment horizontal="right" vertical="center"/>
    </xf>
    <xf numFmtId="0" fontId="1" fillId="0" borderId="0" xfId="0" applyFont="1" applyFill="1" applyAlignment="1">
      <alignment horizontal="center" vertical="center"/>
    </xf>
    <xf numFmtId="0" fontId="0" fillId="0" borderId="0" xfId="0" applyAlignment="1">
      <alignment horizontal="center"/>
    </xf>
    <xf numFmtId="0" fontId="4" fillId="2" borderId="2" xfId="0" applyFont="1" applyFill="1" applyBorder="1" applyAlignment="1">
      <alignmen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1" fillId="0" borderId="0" xfId="0" applyFont="1" applyFill="1" applyAlignment="1">
      <alignment vertical="center"/>
    </xf>
    <xf numFmtId="0" fontId="4" fillId="0" borderId="0" xfId="0" applyFont="1" applyFill="1"/>
    <xf numFmtId="0" fontId="4" fillId="0" borderId="2" xfId="0" applyFont="1" applyFill="1" applyBorder="1" applyAlignment="1">
      <alignment horizontal="center" vertical="top"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Fill="1" applyBorder="1" applyAlignment="1">
      <alignment horizontal="center" vertical="center"/>
    </xf>
    <xf numFmtId="165" fontId="4" fillId="0" borderId="0"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NumberFormat="1" applyFont="1" applyFill="1" applyBorder="1" applyAlignment="1" applyProtection="1">
      <alignment horizontal="center" vertical="center"/>
      <protection locked="0"/>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7"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protection locked="0"/>
    </xf>
    <xf numFmtId="0" fontId="3" fillId="0" borderId="7" xfId="0" applyFont="1" applyBorder="1" applyAlignment="1">
      <alignment horizontal="center"/>
    </xf>
    <xf numFmtId="0" fontId="7" fillId="0" borderId="10" xfId="0" applyFont="1" applyFill="1"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4" fillId="0" borderId="0" xfId="0" applyFont="1" applyAlignment="1">
      <alignment vertical="top" wrapText="1"/>
    </xf>
    <xf numFmtId="0" fontId="0" fillId="0" borderId="0" xfId="0" applyAlignment="1">
      <alignment vertical="top" wrapText="1"/>
    </xf>
    <xf numFmtId="37" fontId="1" fillId="0" borderId="0" xfId="0" applyNumberFormat="1" applyFont="1" applyFill="1" applyBorder="1" applyAlignment="1" applyProtection="1">
      <alignment horizontal="left" vertical="center"/>
    </xf>
    <xf numFmtId="3" fontId="1" fillId="0" borderId="0" xfId="0" applyNumberFormat="1" applyFont="1" applyFill="1" applyAlignment="1">
      <alignment horizontal="center" vertical="center"/>
    </xf>
    <xf numFmtId="164" fontId="1" fillId="0" borderId="0" xfId="0" applyNumberFormat="1" applyFont="1" applyFill="1" applyAlignment="1">
      <alignment horizontal="center" vertic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pageSetUpPr fitToPage="1"/>
  </sheetPr>
  <dimension ref="A1:AD134"/>
  <sheetViews>
    <sheetView topLeftCell="A25" zoomScale="90" zoomScaleNormal="90" zoomScaleSheetLayoutView="93" workbookViewId="0">
      <selection activeCell="B36" sqref="B36"/>
    </sheetView>
  </sheetViews>
  <sheetFormatPr defaultColWidth="9.140625" defaultRowHeight="12.75"/>
  <cols>
    <col min="1" max="1" width="19.42578125" style="36" customWidth="1"/>
    <col min="2" max="2" width="43.5703125" style="36" customWidth="1"/>
    <col min="3" max="3" width="23.140625" style="37" customWidth="1"/>
    <col min="4" max="4" width="13.28515625" style="36" customWidth="1"/>
    <col min="5" max="5" width="10.7109375" style="36" customWidth="1"/>
    <col min="6" max="6" width="11.42578125" style="36" customWidth="1"/>
    <col min="7" max="7" width="11.7109375" style="70" customWidth="1"/>
    <col min="8" max="8" width="10.28515625" style="36" customWidth="1"/>
    <col min="9" max="9" width="8.5703125" style="36" customWidth="1"/>
    <col min="10" max="10" width="13.28515625" style="36" bestFit="1" customWidth="1"/>
    <col min="11" max="11" width="14.7109375" style="36" customWidth="1"/>
    <col min="12" max="12" width="15.5703125" style="36" bestFit="1" customWidth="1"/>
    <col min="13" max="13" width="10.85546875" style="36" bestFit="1" customWidth="1"/>
    <col min="14" max="14" width="11.5703125" style="36" bestFit="1" customWidth="1"/>
    <col min="15" max="15" width="12" style="36" bestFit="1" customWidth="1"/>
    <col min="16" max="16" width="9.140625" style="36"/>
    <col min="17" max="18" width="10.85546875" style="36" bestFit="1" customWidth="1"/>
    <col min="19" max="19" width="11.5703125" style="36" bestFit="1" customWidth="1"/>
    <col min="20" max="20" width="12" style="36" bestFit="1" customWidth="1"/>
    <col min="21" max="24" width="12" style="36" customWidth="1"/>
    <col min="25" max="25" width="14.140625" style="36" customWidth="1"/>
    <col min="26" max="26" width="9.140625" style="36"/>
    <col min="27" max="28" width="10.85546875" style="36" bestFit="1" customWidth="1"/>
    <col min="29" max="29" width="11.5703125" style="36" bestFit="1" customWidth="1"/>
    <col min="30" max="30" width="12" style="36" bestFit="1" customWidth="1"/>
    <col min="31" max="16384" width="9.140625" style="36"/>
  </cols>
  <sheetData>
    <row r="1" spans="1:30" s="21" customFormat="1">
      <c r="A1" s="127" t="s">
        <v>107</v>
      </c>
      <c r="B1" s="127"/>
      <c r="C1" s="127"/>
      <c r="D1" s="127"/>
      <c r="G1" s="22"/>
    </row>
    <row r="2" spans="1:30" s="21" customFormat="1">
      <c r="A2" s="130" t="s">
        <v>12</v>
      </c>
      <c r="B2" s="130"/>
      <c r="C2" s="130"/>
      <c r="D2" s="130"/>
      <c r="G2" s="22"/>
      <c r="L2" s="126" t="s">
        <v>32</v>
      </c>
      <c r="M2" s="126"/>
      <c r="N2" s="126"/>
      <c r="O2" s="126"/>
      <c r="P2" s="23"/>
      <c r="Q2" s="126" t="s">
        <v>95</v>
      </c>
      <c r="R2" s="126"/>
      <c r="S2" s="126"/>
      <c r="T2" s="126"/>
      <c r="U2" s="24"/>
      <c r="V2" s="126" t="s">
        <v>96</v>
      </c>
      <c r="W2" s="126"/>
      <c r="X2" s="126"/>
      <c r="Y2" s="126"/>
      <c r="AA2" s="127" t="s">
        <v>39</v>
      </c>
      <c r="AB2" s="127"/>
      <c r="AC2" s="127"/>
      <c r="AD2" s="127"/>
    </row>
    <row r="3" spans="1:30" s="21" customFormat="1" ht="81.400000000000006" customHeight="1">
      <c r="A3" s="17" t="s">
        <v>70</v>
      </c>
      <c r="B3" s="5" t="s">
        <v>13</v>
      </c>
      <c r="C3" s="6" t="s">
        <v>14</v>
      </c>
      <c r="D3" s="6" t="s">
        <v>100</v>
      </c>
      <c r="E3" s="6" t="s">
        <v>40</v>
      </c>
      <c r="F3" s="6" t="s">
        <v>42</v>
      </c>
      <c r="G3" s="8" t="s">
        <v>1</v>
      </c>
      <c r="H3" s="6" t="s">
        <v>43</v>
      </c>
      <c r="I3" s="6" t="s">
        <v>65</v>
      </c>
      <c r="J3" s="7" t="s">
        <v>44</v>
      </c>
      <c r="K3" s="21" t="s">
        <v>94</v>
      </c>
      <c r="L3" s="2" t="s">
        <v>27</v>
      </c>
      <c r="M3" s="2" t="s">
        <v>28</v>
      </c>
      <c r="N3" s="2" t="s">
        <v>29</v>
      </c>
      <c r="O3" s="2" t="s">
        <v>30</v>
      </c>
      <c r="Q3" s="2" t="s">
        <v>27</v>
      </c>
      <c r="R3" s="2" t="s">
        <v>28</v>
      </c>
      <c r="S3" s="2" t="s">
        <v>29</v>
      </c>
      <c r="T3" s="2" t="s">
        <v>30</v>
      </c>
      <c r="U3" s="18"/>
      <c r="V3" s="2" t="s">
        <v>27</v>
      </c>
      <c r="W3" s="2" t="s">
        <v>28</v>
      </c>
      <c r="X3" s="2" t="s">
        <v>29</v>
      </c>
      <c r="Y3" s="2" t="s">
        <v>30</v>
      </c>
      <c r="AA3" s="2" t="s">
        <v>27</v>
      </c>
      <c r="AB3" s="2" t="s">
        <v>28</v>
      </c>
      <c r="AC3" s="2" t="s">
        <v>29</v>
      </c>
      <c r="AD3" s="2" t="s">
        <v>30</v>
      </c>
    </row>
    <row r="4" spans="1:30" s="29" customFormat="1">
      <c r="A4" s="25" t="s">
        <v>2</v>
      </c>
      <c r="B4" s="26" t="s">
        <v>3</v>
      </c>
      <c r="C4" s="26" t="s">
        <v>4</v>
      </c>
      <c r="D4" s="26" t="s">
        <v>5</v>
      </c>
      <c r="E4" s="26" t="s">
        <v>6</v>
      </c>
      <c r="F4" s="26" t="s">
        <v>7</v>
      </c>
      <c r="G4" s="27" t="s">
        <v>8</v>
      </c>
      <c r="H4" s="26" t="s">
        <v>9</v>
      </c>
      <c r="I4" s="28" t="s">
        <v>10</v>
      </c>
      <c r="J4" s="29" t="s">
        <v>41</v>
      </c>
    </row>
    <row r="5" spans="1:30">
      <c r="A5" s="30"/>
      <c r="B5" s="128" t="s">
        <v>45</v>
      </c>
      <c r="C5" s="129"/>
      <c r="D5" s="31"/>
      <c r="E5" s="32"/>
      <c r="F5" s="31"/>
      <c r="G5" s="33"/>
      <c r="H5" s="31"/>
      <c r="I5" s="32"/>
      <c r="J5" s="34"/>
      <c r="K5" s="35"/>
      <c r="L5" s="35"/>
    </row>
    <row r="6" spans="1:30">
      <c r="A6" s="37"/>
      <c r="B6" s="38" t="s">
        <v>49</v>
      </c>
      <c r="C6" s="39"/>
      <c r="D6" s="40"/>
      <c r="E6" s="41"/>
      <c r="F6" s="42"/>
      <c r="G6" s="43"/>
      <c r="H6" s="40"/>
      <c r="I6" s="41"/>
      <c r="J6" s="44"/>
      <c r="K6" s="45"/>
      <c r="L6" s="35"/>
    </row>
    <row r="7" spans="1:30">
      <c r="A7" s="37" t="s">
        <v>72</v>
      </c>
      <c r="B7" s="46" t="s">
        <v>62</v>
      </c>
      <c r="C7" s="39" t="s">
        <v>16</v>
      </c>
      <c r="D7" s="40">
        <f>'6022-yr1'!D7+'6022-yr2'!D7+'6022-yr3'!D7</f>
        <v>189</v>
      </c>
      <c r="E7" s="41">
        <v>4</v>
      </c>
      <c r="F7" s="42">
        <f>SUM(D7*E7)</f>
        <v>756</v>
      </c>
      <c r="G7" s="47">
        <f>('6022-yr1'!G7+'6022-yr2'!G7+'6022-yr3'!G7)/3</f>
        <v>2</v>
      </c>
      <c r="H7" s="40">
        <f>'6022-yr1'!H7+'6022-yr2'!H7+'6022-yr3'!H7</f>
        <v>1512</v>
      </c>
      <c r="I7" s="49">
        <f>+J7/H7</f>
        <v>62.011333333333333</v>
      </c>
      <c r="J7" s="50">
        <f>'6022-yr1'!J7+'6022-yr2'!J7+'6022-yr3'!J7</f>
        <v>93761.135999999999</v>
      </c>
      <c r="K7" s="51">
        <f>+J7/3</f>
        <v>31253.712</v>
      </c>
      <c r="L7" s="52">
        <v>0</v>
      </c>
      <c r="M7" s="52">
        <v>0.75</v>
      </c>
      <c r="N7" s="52">
        <v>0.25</v>
      </c>
      <c r="O7" s="52">
        <v>0.66669999999999996</v>
      </c>
      <c r="Q7" s="53">
        <f t="shared" ref="Q7:T9" si="0">+$J7*L7</f>
        <v>0</v>
      </c>
      <c r="R7" s="53">
        <f t="shared" si="0"/>
        <v>70320.851999999999</v>
      </c>
      <c r="S7" s="53">
        <f t="shared" si="0"/>
        <v>23440.284</v>
      </c>
      <c r="T7" s="53">
        <f t="shared" si="0"/>
        <v>62510.549371199995</v>
      </c>
      <c r="U7" s="53"/>
      <c r="V7" s="53">
        <f>+Q7/3</f>
        <v>0</v>
      </c>
      <c r="W7" s="53">
        <f>+R7/3</f>
        <v>23440.284</v>
      </c>
      <c r="X7" s="53">
        <f>+S7/3</f>
        <v>7813.4279999999999</v>
      </c>
      <c r="Y7" s="53">
        <f>+T7/3</f>
        <v>20836.8497904</v>
      </c>
      <c r="AA7" s="54">
        <f>+$D7*L7</f>
        <v>0</v>
      </c>
      <c r="AB7" s="55">
        <f>+$D7*M7</f>
        <v>141.75</v>
      </c>
      <c r="AC7" s="55">
        <f>+$D7*N7</f>
        <v>47.25</v>
      </c>
      <c r="AD7" s="55">
        <f>+$D7*O7</f>
        <v>126.0063</v>
      </c>
    </row>
    <row r="8" spans="1:30">
      <c r="A8" s="57" t="s">
        <v>177</v>
      </c>
      <c r="B8" s="56" t="s">
        <v>98</v>
      </c>
      <c r="C8" s="39" t="s">
        <v>16</v>
      </c>
      <c r="D8" s="40">
        <f>'6022-yr1'!D8+'6022-yr2'!D8+'6022-yr3'!D8</f>
        <v>6</v>
      </c>
      <c r="E8" s="41">
        <v>1</v>
      </c>
      <c r="F8" s="42">
        <f>SUM(D8*E8)</f>
        <v>6</v>
      </c>
      <c r="G8" s="47">
        <f>('6022-yr1'!G8+'6022-yr2'!G8+'6022-yr3'!G8)/3</f>
        <v>2</v>
      </c>
      <c r="H8" s="40">
        <f>'6022-yr1'!H8+'6022-yr2'!H8+'6022-yr3'!H8</f>
        <v>12</v>
      </c>
      <c r="I8" s="49">
        <f t="shared" ref="I8:I24" si="1">+J8/H8</f>
        <v>61.818000000000005</v>
      </c>
      <c r="J8" s="50">
        <f>'6022-yr1'!J8+'6022-yr2'!J8+'6022-yr3'!J8</f>
        <v>741.81600000000003</v>
      </c>
      <c r="K8" s="51"/>
      <c r="L8" s="52">
        <v>0</v>
      </c>
      <c r="M8" s="52">
        <v>0.75</v>
      </c>
      <c r="N8" s="52">
        <v>0.25</v>
      </c>
      <c r="O8" s="52">
        <v>0.66669999999999996</v>
      </c>
      <c r="Q8" s="53">
        <f t="shared" si="0"/>
        <v>0</v>
      </c>
      <c r="R8" s="53">
        <f t="shared" si="0"/>
        <v>556.36200000000008</v>
      </c>
      <c r="S8" s="53">
        <f t="shared" si="0"/>
        <v>185.45400000000001</v>
      </c>
      <c r="T8" s="53">
        <f t="shared" si="0"/>
        <v>494.56872720000001</v>
      </c>
      <c r="U8" s="53"/>
      <c r="V8" s="53"/>
      <c r="W8" s="53"/>
      <c r="X8" s="53"/>
      <c r="Y8" s="53"/>
      <c r="AA8" s="54"/>
      <c r="AB8" s="55"/>
      <c r="AC8" s="55"/>
      <c r="AD8" s="55"/>
    </row>
    <row r="9" spans="1:30">
      <c r="A9" s="57" t="s">
        <v>140</v>
      </c>
      <c r="B9" s="56" t="s">
        <v>99</v>
      </c>
      <c r="C9" s="39" t="s">
        <v>16</v>
      </c>
      <c r="D9" s="40">
        <f>'6022-yr1'!D9+'6022-yr2'!D9+'6022-yr3'!D9</f>
        <v>189</v>
      </c>
      <c r="E9" s="41">
        <v>1</v>
      </c>
      <c r="F9" s="42">
        <f>SUM(D9*E9)</f>
        <v>189</v>
      </c>
      <c r="G9" s="47">
        <f>('6022-yr1'!G9+'6022-yr2'!G9+'6022-yr3'!G9)/3</f>
        <v>2</v>
      </c>
      <c r="H9" s="40">
        <f>'6022-yr1'!H9+'6022-yr2'!H9+'6022-yr3'!H9</f>
        <v>378</v>
      </c>
      <c r="I9" s="49">
        <f t="shared" si="1"/>
        <v>62.011333333333333</v>
      </c>
      <c r="J9" s="50">
        <f>'6022-yr1'!J9+'6022-yr2'!J9+'6022-yr3'!J9</f>
        <v>23440.284</v>
      </c>
      <c r="K9" s="51"/>
      <c r="L9" s="52">
        <v>0</v>
      </c>
      <c r="M9" s="52">
        <v>0.75</v>
      </c>
      <c r="N9" s="52">
        <v>0.25</v>
      </c>
      <c r="O9" s="52">
        <v>0.66669999999999996</v>
      </c>
      <c r="Q9" s="53">
        <f t="shared" si="0"/>
        <v>0</v>
      </c>
      <c r="R9" s="53">
        <f t="shared" si="0"/>
        <v>17580.213</v>
      </c>
      <c r="S9" s="53">
        <f t="shared" si="0"/>
        <v>5860.0709999999999</v>
      </c>
      <c r="T9" s="53">
        <f t="shared" si="0"/>
        <v>15627.637342799999</v>
      </c>
      <c r="U9" s="53"/>
      <c r="V9" s="53"/>
      <c r="W9" s="53"/>
      <c r="X9" s="53"/>
      <c r="Y9" s="53"/>
      <c r="AA9" s="54"/>
      <c r="AB9" s="55"/>
      <c r="AC9" s="55"/>
      <c r="AD9" s="55"/>
    </row>
    <row r="10" spans="1:30">
      <c r="A10" s="37"/>
      <c r="B10" s="38" t="s">
        <v>48</v>
      </c>
      <c r="C10" s="39"/>
      <c r="D10" s="40"/>
      <c r="E10" s="41"/>
      <c r="F10" s="42"/>
      <c r="G10" s="43"/>
      <c r="H10" s="48"/>
      <c r="I10" s="49"/>
      <c r="J10" s="44"/>
      <c r="K10" s="51"/>
      <c r="L10" s="52"/>
      <c r="M10" s="52"/>
      <c r="N10" s="52"/>
      <c r="O10" s="52"/>
      <c r="AA10" s="54"/>
      <c r="AB10" s="55"/>
      <c r="AC10" s="55"/>
      <c r="AD10" s="55"/>
    </row>
    <row r="11" spans="1:30">
      <c r="A11" s="37" t="s">
        <v>73</v>
      </c>
      <c r="B11" s="56" t="s">
        <v>53</v>
      </c>
      <c r="C11" s="39" t="s">
        <v>16</v>
      </c>
      <c r="D11" s="40">
        <f>'6022-yr1'!D11+'6022-yr2'!D11+'6022-yr3'!D11</f>
        <v>198</v>
      </c>
      <c r="E11" s="41">
        <v>1</v>
      </c>
      <c r="F11" s="42">
        <f t="shared" ref="F11:F24" si="2">SUM(D11*E11)</f>
        <v>198</v>
      </c>
      <c r="G11" s="47">
        <f>('6022-yr1'!G11+'6022-yr2'!G11+'6022-yr3'!G11)/3</f>
        <v>8</v>
      </c>
      <c r="H11" s="40">
        <f>'6022-yr1'!H11+'6022-yr2'!H11+'6022-yr3'!H11</f>
        <v>1584</v>
      </c>
      <c r="I11" s="49">
        <f t="shared" si="1"/>
        <v>61.947454545454555</v>
      </c>
      <c r="J11" s="50">
        <f>'6022-yr1'!J11+'6022-yr2'!J11+'6022-yr3'!J11</f>
        <v>98124.768000000011</v>
      </c>
      <c r="K11" s="51">
        <f t="shared" ref="K11:K24" si="3">+J11/3</f>
        <v>32708.256000000005</v>
      </c>
      <c r="L11" s="52">
        <v>0</v>
      </c>
      <c r="M11" s="52">
        <v>0.75</v>
      </c>
      <c r="N11" s="52">
        <v>0.25</v>
      </c>
      <c r="O11" s="52">
        <v>0.66669999999999996</v>
      </c>
      <c r="Q11" s="53">
        <f t="shared" ref="Q11:T15" si="4">+$J11*L11</f>
        <v>0</v>
      </c>
      <c r="R11" s="53">
        <f t="shared" si="4"/>
        <v>73593.576000000001</v>
      </c>
      <c r="S11" s="53">
        <f t="shared" si="4"/>
        <v>24531.192000000003</v>
      </c>
      <c r="T11" s="53">
        <f t="shared" si="4"/>
        <v>65419.782825600007</v>
      </c>
      <c r="U11" s="53"/>
      <c r="V11" s="53">
        <f t="shared" ref="V11:V24" si="5">+Q11/3</f>
        <v>0</v>
      </c>
      <c r="W11" s="53">
        <f t="shared" ref="W11:W24" si="6">+R11/3</f>
        <v>24531.191999999999</v>
      </c>
      <c r="X11" s="53">
        <f t="shared" ref="X11:X24" si="7">+S11/3</f>
        <v>8177.0640000000012</v>
      </c>
      <c r="Y11" s="53">
        <f t="shared" ref="Y11:Y24" si="8">+T11/3</f>
        <v>21806.594275200001</v>
      </c>
      <c r="AA11" s="54">
        <f t="shared" ref="AA11:AD11" si="9">+$D11*L11</f>
        <v>0</v>
      </c>
      <c r="AB11" s="55">
        <f t="shared" si="9"/>
        <v>148.5</v>
      </c>
      <c r="AC11" s="55">
        <f t="shared" si="9"/>
        <v>49.5</v>
      </c>
      <c r="AD11" s="55">
        <f t="shared" si="9"/>
        <v>132.00659999999999</v>
      </c>
    </row>
    <row r="12" spans="1:30" ht="25.5">
      <c r="A12" s="57" t="s">
        <v>71</v>
      </c>
      <c r="B12" s="56" t="s">
        <v>54</v>
      </c>
      <c r="C12" s="39" t="s">
        <v>16</v>
      </c>
      <c r="D12" s="40">
        <f>'6022-yr1'!D12+'6022-yr2'!D12+'6022-yr3'!D12</f>
        <v>198</v>
      </c>
      <c r="E12" s="41">
        <v>1</v>
      </c>
      <c r="F12" s="42">
        <f t="shared" si="2"/>
        <v>198</v>
      </c>
      <c r="G12" s="47">
        <f>('6022-yr1'!G12+'6022-yr2'!G12+'6022-yr3'!G12)/3</f>
        <v>5.333333333333333</v>
      </c>
      <c r="H12" s="40">
        <f>'6022-yr1'!H12+'6022-yr2'!H12+'6022-yr3'!H12</f>
        <v>996</v>
      </c>
      <c r="I12" s="49">
        <f t="shared" si="1"/>
        <v>60.774289156626509</v>
      </c>
      <c r="J12" s="50">
        <f>'6022-yr1'!J12+'6022-yr2'!J12+'6022-yr3'!J12</f>
        <v>60531.192000000003</v>
      </c>
      <c r="K12" s="51">
        <f t="shared" si="3"/>
        <v>20177.064000000002</v>
      </c>
      <c r="L12" s="52">
        <v>0</v>
      </c>
      <c r="M12" s="52">
        <v>0.75</v>
      </c>
      <c r="N12" s="52">
        <v>0.25</v>
      </c>
      <c r="O12" s="52">
        <v>0.66669999999999996</v>
      </c>
      <c r="Q12" s="53">
        <f t="shared" si="4"/>
        <v>0</v>
      </c>
      <c r="R12" s="53">
        <f t="shared" si="4"/>
        <v>45398.394</v>
      </c>
      <c r="S12" s="53">
        <f t="shared" si="4"/>
        <v>15132.798000000001</v>
      </c>
      <c r="T12" s="53">
        <f t="shared" si="4"/>
        <v>40356.145706399999</v>
      </c>
      <c r="U12" s="53"/>
      <c r="V12" s="53">
        <f t="shared" si="5"/>
        <v>0</v>
      </c>
      <c r="W12" s="53">
        <f t="shared" si="6"/>
        <v>15132.798000000001</v>
      </c>
      <c r="X12" s="53">
        <f t="shared" si="7"/>
        <v>5044.2660000000005</v>
      </c>
      <c r="Y12" s="53">
        <f t="shared" si="8"/>
        <v>13452.048568799999</v>
      </c>
      <c r="AA12" s="54">
        <f t="shared" ref="AA12:AA20" si="10">+$D12*L12</f>
        <v>0</v>
      </c>
      <c r="AB12" s="55">
        <f t="shared" ref="AB12:AB20" si="11">+$D12*M12</f>
        <v>148.5</v>
      </c>
      <c r="AC12" s="55">
        <f t="shared" ref="AC12:AC20" si="12">+$D12*N12</f>
        <v>49.5</v>
      </c>
      <c r="AD12" s="55">
        <f t="shared" ref="AD12:AD20" si="13">+$D12*O12</f>
        <v>132.00659999999999</v>
      </c>
    </row>
    <row r="13" spans="1:30" ht="25.5">
      <c r="A13" s="57" t="s">
        <v>74</v>
      </c>
      <c r="B13" s="56" t="s">
        <v>167</v>
      </c>
      <c r="C13" s="39" t="s">
        <v>16</v>
      </c>
      <c r="D13" s="40">
        <f>'6022-yr1'!D13+'6022-yr2'!D13+'6022-yr3'!D13</f>
        <v>60</v>
      </c>
      <c r="E13" s="41">
        <v>1</v>
      </c>
      <c r="F13" s="42">
        <f t="shared" si="2"/>
        <v>60</v>
      </c>
      <c r="G13" s="47">
        <f>('6022-yr1'!G13+'6022-yr2'!G13+'6022-yr3'!G13)/3</f>
        <v>8</v>
      </c>
      <c r="H13" s="40">
        <f>'6022-yr1'!H13+'6022-yr2'!H13+'6022-yr3'!H13</f>
        <v>480</v>
      </c>
      <c r="I13" s="49">
        <f t="shared" si="1"/>
        <v>60.668999999999997</v>
      </c>
      <c r="J13" s="50">
        <f>'6022-yr1'!J13+'6022-yr2'!J13+'6022-yr3'!J13</f>
        <v>29121.119999999999</v>
      </c>
      <c r="K13" s="51">
        <f t="shared" si="3"/>
        <v>9707.0399999999991</v>
      </c>
      <c r="L13" s="52">
        <v>0</v>
      </c>
      <c r="M13" s="52">
        <v>0.75</v>
      </c>
      <c r="N13" s="52">
        <v>0.25</v>
      </c>
      <c r="O13" s="52">
        <v>0.66669999999999996</v>
      </c>
      <c r="Q13" s="53">
        <f t="shared" si="4"/>
        <v>0</v>
      </c>
      <c r="R13" s="53">
        <f t="shared" si="4"/>
        <v>21840.84</v>
      </c>
      <c r="S13" s="53">
        <f t="shared" si="4"/>
        <v>7280.28</v>
      </c>
      <c r="T13" s="53">
        <f t="shared" si="4"/>
        <v>19415.050703999997</v>
      </c>
      <c r="U13" s="53"/>
      <c r="V13" s="53">
        <f t="shared" si="5"/>
        <v>0</v>
      </c>
      <c r="W13" s="53">
        <f t="shared" si="6"/>
        <v>7280.28</v>
      </c>
      <c r="X13" s="53">
        <f t="shared" si="7"/>
        <v>2426.7599999999998</v>
      </c>
      <c r="Y13" s="53">
        <f t="shared" si="8"/>
        <v>6471.6835679999995</v>
      </c>
      <c r="AA13" s="54">
        <f t="shared" si="10"/>
        <v>0</v>
      </c>
      <c r="AB13" s="55">
        <f t="shared" si="11"/>
        <v>45</v>
      </c>
      <c r="AC13" s="55">
        <f t="shared" si="12"/>
        <v>15</v>
      </c>
      <c r="AD13" s="55">
        <f t="shared" si="13"/>
        <v>40.001999999999995</v>
      </c>
    </row>
    <row r="14" spans="1:30" ht="25.5">
      <c r="A14" s="57" t="s">
        <v>74</v>
      </c>
      <c r="B14" s="56" t="s">
        <v>168</v>
      </c>
      <c r="C14" s="39" t="s">
        <v>16</v>
      </c>
      <c r="D14" s="40">
        <f>'6022-yr1'!D14+'6022-yr2'!D14+'6022-yr3'!D14</f>
        <v>88</v>
      </c>
      <c r="E14" s="41">
        <v>1</v>
      </c>
      <c r="F14" s="42">
        <f t="shared" ref="F14" si="14">SUM(D14*E14)</f>
        <v>88</v>
      </c>
      <c r="G14" s="47">
        <f>('6022-yr1'!G14+'6022-yr2'!G14+'6022-yr3'!G14)/3</f>
        <v>1</v>
      </c>
      <c r="H14" s="40">
        <f>'6022-yr1'!H14+'6022-yr2'!H14+'6022-yr3'!H14</f>
        <v>88</v>
      </c>
      <c r="I14" s="49">
        <f t="shared" ref="I14" si="15">+J14/H14</f>
        <v>62.748068181818184</v>
      </c>
      <c r="J14" s="50">
        <f>'6022-yr1'!J14+'6022-yr2'!J14+'6022-yr3'!J14</f>
        <v>5521.83</v>
      </c>
      <c r="K14" s="51"/>
      <c r="L14" s="52">
        <v>0</v>
      </c>
      <c r="M14" s="52">
        <v>0.75</v>
      </c>
      <c r="N14" s="52">
        <v>0.25</v>
      </c>
      <c r="O14" s="52">
        <v>0.66669999999999996</v>
      </c>
      <c r="Q14" s="53">
        <f t="shared" ref="Q14" si="16">+$J14*L14</f>
        <v>0</v>
      </c>
      <c r="R14" s="53">
        <f t="shared" ref="R14" si="17">+$J14*M14</f>
        <v>4141.3724999999995</v>
      </c>
      <c r="S14" s="53">
        <f t="shared" ref="S14" si="18">+$J14*N14</f>
        <v>1380.4575</v>
      </c>
      <c r="T14" s="53">
        <f t="shared" ref="T14" si="19">+$J14*O14</f>
        <v>3681.4040609999997</v>
      </c>
      <c r="U14" s="53"/>
      <c r="V14" s="53">
        <f t="shared" ref="V14" si="20">+Q14/3</f>
        <v>0</v>
      </c>
      <c r="W14" s="53">
        <f t="shared" ref="W14" si="21">+R14/3</f>
        <v>1380.4574999999998</v>
      </c>
      <c r="X14" s="53">
        <f t="shared" ref="X14" si="22">+S14/3</f>
        <v>460.15249999999997</v>
      </c>
      <c r="Y14" s="53">
        <f t="shared" ref="Y14" si="23">+T14/3</f>
        <v>1227.134687</v>
      </c>
      <c r="AA14" s="54">
        <f t="shared" ref="AA14" si="24">+$D14*L14</f>
        <v>0</v>
      </c>
      <c r="AB14" s="55">
        <f t="shared" ref="AB14" si="25">+$D14*M14</f>
        <v>66</v>
      </c>
      <c r="AC14" s="55">
        <f t="shared" ref="AC14" si="26">+$D14*N14</f>
        <v>22</v>
      </c>
      <c r="AD14" s="55">
        <f t="shared" ref="AD14" si="27">+$D14*O14</f>
        <v>58.669599999999996</v>
      </c>
    </row>
    <row r="15" spans="1:30" ht="25.5">
      <c r="A15" s="57" t="s">
        <v>178</v>
      </c>
      <c r="B15" s="56" t="s">
        <v>169</v>
      </c>
      <c r="C15" s="39" t="s">
        <v>16</v>
      </c>
      <c r="D15" s="40">
        <f>'6022-yr1'!D15+'6022-yr2'!D15+'6022-yr3'!D15</f>
        <v>34</v>
      </c>
      <c r="E15" s="41">
        <v>1</v>
      </c>
      <c r="F15" s="42">
        <f t="shared" si="2"/>
        <v>34</v>
      </c>
      <c r="G15" s="47">
        <f>('6022-yr1'!G15+'6022-yr2'!G15+'6022-yr3'!G15)/3</f>
        <v>8</v>
      </c>
      <c r="H15" s="40">
        <f>'6022-yr1'!H15+'6022-yr2'!H15+'6022-yr3'!H15</f>
        <v>272</v>
      </c>
      <c r="I15" s="49">
        <f t="shared" si="1"/>
        <v>61.764529411764713</v>
      </c>
      <c r="J15" s="50">
        <f>'6022-yr1'!J15+'6022-yr2'!J15+'6022-yr3'!J15</f>
        <v>16799.952000000001</v>
      </c>
      <c r="K15" s="51">
        <f t="shared" si="3"/>
        <v>5599.9840000000004</v>
      </c>
      <c r="L15" s="52">
        <v>0</v>
      </c>
      <c r="M15" s="52">
        <v>0.75</v>
      </c>
      <c r="N15" s="52">
        <v>0.25</v>
      </c>
      <c r="O15" s="52">
        <v>0.66669999999999996</v>
      </c>
      <c r="Q15" s="53">
        <f t="shared" si="4"/>
        <v>0</v>
      </c>
      <c r="R15" s="53">
        <f t="shared" si="4"/>
        <v>12599.964</v>
      </c>
      <c r="S15" s="53">
        <f t="shared" si="4"/>
        <v>4199.9880000000003</v>
      </c>
      <c r="T15" s="53">
        <f t="shared" si="4"/>
        <v>11200.527998400001</v>
      </c>
      <c r="U15" s="53"/>
      <c r="V15" s="53">
        <f t="shared" si="5"/>
        <v>0</v>
      </c>
      <c r="W15" s="53">
        <f t="shared" si="6"/>
        <v>4199.9880000000003</v>
      </c>
      <c r="X15" s="53">
        <f t="shared" si="7"/>
        <v>1399.9960000000001</v>
      </c>
      <c r="Y15" s="53">
        <f t="shared" si="8"/>
        <v>3733.5093328000003</v>
      </c>
      <c r="AA15" s="54">
        <f t="shared" si="10"/>
        <v>0</v>
      </c>
      <c r="AB15" s="55">
        <f t="shared" si="11"/>
        <v>25.5</v>
      </c>
      <c r="AC15" s="55">
        <f t="shared" si="12"/>
        <v>8.5</v>
      </c>
      <c r="AD15" s="55">
        <f t="shared" si="13"/>
        <v>22.6678</v>
      </c>
    </row>
    <row r="16" spans="1:30" ht="25.5">
      <c r="A16" s="57" t="s">
        <v>178</v>
      </c>
      <c r="B16" s="56" t="s">
        <v>170</v>
      </c>
      <c r="C16" s="39" t="s">
        <v>16</v>
      </c>
      <c r="D16" s="40">
        <f>'6022-yr1'!D16+'6022-yr2'!D16+'6022-yr3'!D16</f>
        <v>16</v>
      </c>
      <c r="E16" s="41">
        <v>1</v>
      </c>
      <c r="F16" s="42">
        <f t="shared" ref="F16" si="28">SUM(D16*E16)</f>
        <v>16</v>
      </c>
      <c r="G16" s="47">
        <f>('6022-yr1'!G16+'6022-yr2'!G16+'6022-yr3'!G16)/3</f>
        <v>1</v>
      </c>
      <c r="H16" s="40">
        <f>'6022-yr1'!H16+'6022-yr2'!H16+'6022-yr3'!H16</f>
        <v>16</v>
      </c>
      <c r="I16" s="49">
        <f t="shared" ref="I16" si="29">+J16/H16</f>
        <v>62.727000000000004</v>
      </c>
      <c r="J16" s="50">
        <f>'6022-yr1'!J16+'6022-yr2'!J16+'6022-yr3'!J16</f>
        <v>1003.6320000000001</v>
      </c>
      <c r="K16" s="51"/>
      <c r="L16" s="52">
        <v>0</v>
      </c>
      <c r="M16" s="52">
        <v>0.75</v>
      </c>
      <c r="N16" s="52">
        <v>0.25</v>
      </c>
      <c r="O16" s="52">
        <v>0.66669999999999996</v>
      </c>
      <c r="Q16" s="53">
        <f t="shared" ref="Q16" si="30">+$J16*L16</f>
        <v>0</v>
      </c>
      <c r="R16" s="53">
        <f t="shared" ref="R16" si="31">+$J16*M16</f>
        <v>752.72400000000005</v>
      </c>
      <c r="S16" s="53">
        <f t="shared" ref="S16" si="32">+$J16*N16</f>
        <v>250.90800000000002</v>
      </c>
      <c r="T16" s="53">
        <f t="shared" ref="T16" si="33">+$J16*O16</f>
        <v>669.12145439999995</v>
      </c>
      <c r="U16" s="53"/>
      <c r="V16" s="53">
        <f t="shared" ref="V16" si="34">+Q16/3</f>
        <v>0</v>
      </c>
      <c r="W16" s="53">
        <f t="shared" ref="W16" si="35">+R16/3</f>
        <v>250.90800000000002</v>
      </c>
      <c r="X16" s="53">
        <f t="shared" ref="X16" si="36">+S16/3</f>
        <v>83.63600000000001</v>
      </c>
      <c r="Y16" s="53">
        <f t="shared" ref="Y16" si="37">+T16/3</f>
        <v>223.04048479999997</v>
      </c>
      <c r="AA16" s="54">
        <f t="shared" ref="AA16" si="38">+$D16*L16</f>
        <v>0</v>
      </c>
      <c r="AB16" s="55">
        <f t="shared" ref="AB16" si="39">+$D16*M16</f>
        <v>12</v>
      </c>
      <c r="AC16" s="55">
        <f t="shared" ref="AC16" si="40">+$D16*N16</f>
        <v>4</v>
      </c>
      <c r="AD16" s="55">
        <f t="shared" ref="AD16" si="41">+$D16*O16</f>
        <v>10.667199999999999</v>
      </c>
    </row>
    <row r="17" spans="1:30" ht="25.5">
      <c r="A17" s="57" t="s">
        <v>75</v>
      </c>
      <c r="B17" s="56" t="s">
        <v>119</v>
      </c>
      <c r="C17" s="39" t="s">
        <v>16</v>
      </c>
      <c r="D17" s="40">
        <f>'6022-yr1'!D17+'6022-yr2'!D17+'6022-yr3'!D17</f>
        <v>21</v>
      </c>
      <c r="E17" s="41">
        <v>1</v>
      </c>
      <c r="F17" s="42">
        <f t="shared" si="2"/>
        <v>21</v>
      </c>
      <c r="G17" s="47">
        <f>('6022-yr1'!G17+'6022-yr2'!G17+'6022-yr3'!G17)/3</f>
        <v>6</v>
      </c>
      <c r="H17" s="40">
        <f>'6022-yr1'!H17+'6022-yr2'!H17+'6022-yr3'!H17</f>
        <v>126</v>
      </c>
      <c r="I17" s="49">
        <f t="shared" si="1"/>
        <v>61.818000000000012</v>
      </c>
      <c r="J17" s="50">
        <f>'6022-yr1'!J17+'6022-yr2'!J17+'6022-yr3'!J17</f>
        <v>7789.0680000000011</v>
      </c>
      <c r="K17" s="51">
        <f t="shared" si="3"/>
        <v>2596.3560000000002</v>
      </c>
      <c r="L17" s="52">
        <v>0</v>
      </c>
      <c r="M17" s="52">
        <v>0.75</v>
      </c>
      <c r="N17" s="52">
        <v>0.25</v>
      </c>
      <c r="O17" s="52">
        <v>0.66669999999999996</v>
      </c>
      <c r="Q17" s="53">
        <f t="shared" ref="Q17:T20" si="42">+$J17*L17</f>
        <v>0</v>
      </c>
      <c r="R17" s="53">
        <f t="shared" si="42"/>
        <v>5841.8010000000013</v>
      </c>
      <c r="S17" s="53">
        <f t="shared" si="42"/>
        <v>1947.2670000000003</v>
      </c>
      <c r="T17" s="53">
        <f t="shared" si="42"/>
        <v>5192.9716356000008</v>
      </c>
      <c r="U17" s="53"/>
      <c r="V17" s="53">
        <f t="shared" si="5"/>
        <v>0</v>
      </c>
      <c r="W17" s="53">
        <f t="shared" si="6"/>
        <v>1947.2670000000005</v>
      </c>
      <c r="X17" s="53">
        <f t="shared" si="7"/>
        <v>649.08900000000006</v>
      </c>
      <c r="Y17" s="53">
        <f t="shared" si="8"/>
        <v>1730.9905452000003</v>
      </c>
      <c r="AA17" s="54">
        <f t="shared" si="10"/>
        <v>0</v>
      </c>
      <c r="AB17" s="55">
        <f t="shared" si="11"/>
        <v>15.75</v>
      </c>
      <c r="AC17" s="55">
        <f t="shared" si="12"/>
        <v>5.25</v>
      </c>
      <c r="AD17" s="55">
        <f t="shared" si="13"/>
        <v>14.000699999999998</v>
      </c>
    </row>
    <row r="18" spans="1:30" ht="25.5">
      <c r="A18" s="57" t="s">
        <v>76</v>
      </c>
      <c r="B18" s="56" t="s">
        <v>123</v>
      </c>
      <c r="C18" s="39" t="s">
        <v>16</v>
      </c>
      <c r="D18" s="40">
        <f>'6022-yr1'!D18+'6022-yr2'!D18+'6022-yr3'!D18</f>
        <v>0</v>
      </c>
      <c r="E18" s="41">
        <v>1</v>
      </c>
      <c r="F18" s="42">
        <f t="shared" si="2"/>
        <v>0</v>
      </c>
      <c r="G18" s="47">
        <f>('6022-yr1'!G18+'6022-yr2'!G18+'6022-yr3'!G18)/3</f>
        <v>2</v>
      </c>
      <c r="H18" s="40">
        <f>'6022-yr1'!H18+'6022-yr2'!H18+'6022-yr3'!H18</f>
        <v>0</v>
      </c>
      <c r="I18" s="49"/>
      <c r="J18" s="50">
        <f>'6022-yr1'!J18+'6022-yr2'!J18+'6022-yr3'!J18</f>
        <v>0</v>
      </c>
      <c r="K18" s="51">
        <f t="shared" si="3"/>
        <v>0</v>
      </c>
      <c r="L18" s="52">
        <v>0</v>
      </c>
      <c r="M18" s="52">
        <v>0.75</v>
      </c>
      <c r="N18" s="52">
        <v>0.25</v>
      </c>
      <c r="O18" s="52">
        <v>0.66669999999999996</v>
      </c>
      <c r="Q18" s="53">
        <f t="shared" si="42"/>
        <v>0</v>
      </c>
      <c r="R18" s="53">
        <f t="shared" si="42"/>
        <v>0</v>
      </c>
      <c r="S18" s="53">
        <f t="shared" si="42"/>
        <v>0</v>
      </c>
      <c r="T18" s="53">
        <f t="shared" si="42"/>
        <v>0</v>
      </c>
      <c r="U18" s="53"/>
      <c r="V18" s="53">
        <f t="shared" si="5"/>
        <v>0</v>
      </c>
      <c r="W18" s="53">
        <f t="shared" si="6"/>
        <v>0</v>
      </c>
      <c r="X18" s="53">
        <f t="shared" si="7"/>
        <v>0</v>
      </c>
      <c r="Y18" s="53">
        <f t="shared" si="8"/>
        <v>0</v>
      </c>
      <c r="AA18" s="54">
        <f t="shared" si="10"/>
        <v>0</v>
      </c>
      <c r="AB18" s="55">
        <f t="shared" si="11"/>
        <v>0</v>
      </c>
      <c r="AC18" s="55">
        <f t="shared" si="12"/>
        <v>0</v>
      </c>
      <c r="AD18" s="55">
        <f t="shared" si="13"/>
        <v>0</v>
      </c>
    </row>
    <row r="19" spans="1:30">
      <c r="A19" s="57" t="s">
        <v>80</v>
      </c>
      <c r="B19" s="56" t="s">
        <v>79</v>
      </c>
      <c r="C19" s="39" t="s">
        <v>16</v>
      </c>
      <c r="D19" s="40">
        <f>'6022-yr1'!D19+'6022-yr2'!D19+'6022-yr3'!D19</f>
        <v>189</v>
      </c>
      <c r="E19" s="41">
        <v>1</v>
      </c>
      <c r="F19" s="42">
        <f t="shared" si="2"/>
        <v>189</v>
      </c>
      <c r="G19" s="47">
        <f>('6022-yr1'!G19+'6022-yr2'!G19+'6022-yr3'!G19)/3</f>
        <v>1</v>
      </c>
      <c r="H19" s="40">
        <f>'6022-yr1'!H19+'6022-yr2'!H19+'6022-yr3'!H19</f>
        <v>189</v>
      </c>
      <c r="I19" s="49">
        <f t="shared" si="1"/>
        <v>62.011333333333333</v>
      </c>
      <c r="J19" s="50">
        <f>'6022-yr1'!J19+'6022-yr2'!J19+'6022-yr3'!J19</f>
        <v>11720.142</v>
      </c>
      <c r="K19" s="51">
        <f t="shared" si="3"/>
        <v>3906.7139999999999</v>
      </c>
      <c r="L19" s="52">
        <v>0</v>
      </c>
      <c r="M19" s="52">
        <v>0.75</v>
      </c>
      <c r="N19" s="52">
        <v>0.25</v>
      </c>
      <c r="O19" s="52">
        <v>0.66669999999999996</v>
      </c>
      <c r="Q19" s="53">
        <f t="shared" si="42"/>
        <v>0</v>
      </c>
      <c r="R19" s="53">
        <f t="shared" si="42"/>
        <v>8790.1064999999999</v>
      </c>
      <c r="S19" s="53">
        <f t="shared" si="42"/>
        <v>2930.0355</v>
      </c>
      <c r="T19" s="53">
        <f t="shared" si="42"/>
        <v>7813.8186713999994</v>
      </c>
      <c r="U19" s="53"/>
      <c r="V19" s="53">
        <f t="shared" si="5"/>
        <v>0</v>
      </c>
      <c r="W19" s="53">
        <f t="shared" si="6"/>
        <v>2930.0355</v>
      </c>
      <c r="X19" s="53">
        <f t="shared" si="7"/>
        <v>976.67849999999999</v>
      </c>
      <c r="Y19" s="53">
        <f t="shared" si="8"/>
        <v>2604.6062238</v>
      </c>
      <c r="AA19" s="54">
        <f t="shared" si="10"/>
        <v>0</v>
      </c>
      <c r="AB19" s="55">
        <f t="shared" si="11"/>
        <v>141.75</v>
      </c>
      <c r="AC19" s="55">
        <f t="shared" si="12"/>
        <v>47.25</v>
      </c>
      <c r="AD19" s="55">
        <f t="shared" si="13"/>
        <v>126.0063</v>
      </c>
    </row>
    <row r="20" spans="1:30">
      <c r="A20" s="57" t="s">
        <v>81</v>
      </c>
      <c r="B20" s="56" t="s">
        <v>82</v>
      </c>
      <c r="C20" s="39" t="s">
        <v>16</v>
      </c>
      <c r="D20" s="40">
        <f>'6022-yr1'!D20+'6022-yr2'!D20+'6022-yr3'!D20</f>
        <v>189</v>
      </c>
      <c r="E20" s="41">
        <v>1</v>
      </c>
      <c r="F20" s="42">
        <f t="shared" si="2"/>
        <v>189</v>
      </c>
      <c r="G20" s="47">
        <f>('6022-yr1'!G20+'6022-yr2'!G20+'6022-yr3'!G20)/3</f>
        <v>0.5</v>
      </c>
      <c r="H20" s="40">
        <f>'6022-yr1'!H20+'6022-yr2'!H20+'6022-yr3'!H20</f>
        <v>94.5</v>
      </c>
      <c r="I20" s="49">
        <f t="shared" si="1"/>
        <v>62.011333333333333</v>
      </c>
      <c r="J20" s="50">
        <f>'6022-yr1'!J20+'6022-yr2'!J20+'6022-yr3'!J20</f>
        <v>5860.0709999999999</v>
      </c>
      <c r="K20" s="51">
        <f t="shared" si="3"/>
        <v>1953.357</v>
      </c>
      <c r="L20" s="52">
        <v>0</v>
      </c>
      <c r="M20" s="52">
        <v>0.75</v>
      </c>
      <c r="N20" s="52">
        <v>0.25</v>
      </c>
      <c r="O20" s="52">
        <v>0.66669999999999996</v>
      </c>
      <c r="Q20" s="53">
        <f t="shared" si="42"/>
        <v>0</v>
      </c>
      <c r="R20" s="53">
        <f t="shared" si="42"/>
        <v>4395.0532499999999</v>
      </c>
      <c r="S20" s="53">
        <f t="shared" si="42"/>
        <v>1465.01775</v>
      </c>
      <c r="T20" s="53">
        <f t="shared" si="42"/>
        <v>3906.9093356999997</v>
      </c>
      <c r="U20" s="53"/>
      <c r="V20" s="53">
        <f t="shared" si="5"/>
        <v>0</v>
      </c>
      <c r="W20" s="53">
        <f t="shared" si="6"/>
        <v>1465.01775</v>
      </c>
      <c r="X20" s="53">
        <f t="shared" si="7"/>
        <v>488.33924999999999</v>
      </c>
      <c r="Y20" s="53">
        <f t="shared" si="8"/>
        <v>1302.3031119</v>
      </c>
      <c r="AA20" s="54">
        <f t="shared" si="10"/>
        <v>0</v>
      </c>
      <c r="AB20" s="55">
        <f t="shared" si="11"/>
        <v>141.75</v>
      </c>
      <c r="AC20" s="55">
        <f t="shared" si="12"/>
        <v>47.25</v>
      </c>
      <c r="AD20" s="55">
        <f t="shared" si="13"/>
        <v>126.0063</v>
      </c>
    </row>
    <row r="21" spans="1:30">
      <c r="A21" s="57"/>
      <c r="B21" s="58" t="s">
        <v>50</v>
      </c>
      <c r="C21" s="39"/>
      <c r="D21" s="40"/>
      <c r="E21" s="41"/>
      <c r="F21" s="42"/>
      <c r="G21" s="43"/>
      <c r="H21" s="48"/>
      <c r="I21" s="49"/>
      <c r="J21" s="60"/>
      <c r="K21" s="51"/>
      <c r="L21" s="52"/>
      <c r="M21" s="52"/>
      <c r="N21" s="52"/>
      <c r="O21" s="52"/>
      <c r="Q21" s="53"/>
      <c r="R21" s="53"/>
      <c r="S21" s="53"/>
      <c r="T21" s="53"/>
      <c r="U21" s="53"/>
      <c r="V21" s="53"/>
      <c r="W21" s="53"/>
      <c r="X21" s="53"/>
      <c r="Y21" s="53"/>
      <c r="AA21" s="54"/>
      <c r="AB21" s="55"/>
      <c r="AC21" s="55"/>
      <c r="AD21" s="55"/>
    </row>
    <row r="22" spans="1:30">
      <c r="A22" s="37" t="s">
        <v>179</v>
      </c>
      <c r="B22" s="56" t="s">
        <v>46</v>
      </c>
      <c r="C22" s="39" t="s">
        <v>16</v>
      </c>
      <c r="D22" s="40">
        <f>'6022-yr1'!D22+'6022-yr2'!D22+'6022-yr3'!D22</f>
        <v>198</v>
      </c>
      <c r="E22" s="39">
        <v>1</v>
      </c>
      <c r="F22" s="42">
        <f t="shared" si="2"/>
        <v>198</v>
      </c>
      <c r="G22" s="47">
        <f>('6022-yr1'!G22+'6022-yr2'!G22+'6022-yr3'!G22)/3</f>
        <v>0.5</v>
      </c>
      <c r="H22" s="40">
        <f>'6022-yr1'!H22+'6022-yr2'!H22+'6022-yr3'!H22</f>
        <v>94.5</v>
      </c>
      <c r="I22" s="49">
        <f t="shared" si="1"/>
        <v>61.020095238095244</v>
      </c>
      <c r="J22" s="50">
        <f>'6022-yr1'!J22+'6022-yr2'!J22+'6022-yr3'!J22</f>
        <v>5766.3990000000003</v>
      </c>
      <c r="K22" s="51">
        <f t="shared" si="3"/>
        <v>1922.133</v>
      </c>
      <c r="L22" s="52">
        <v>0</v>
      </c>
      <c r="M22" s="52">
        <v>0.75</v>
      </c>
      <c r="N22" s="52">
        <v>0.25</v>
      </c>
      <c r="O22" s="52">
        <v>0.66669999999999996</v>
      </c>
      <c r="Q22" s="53">
        <f>+$J22*L22</f>
        <v>0</v>
      </c>
      <c r="R22" s="53">
        <f>+$J22*M22</f>
        <v>4324.79925</v>
      </c>
      <c r="S22" s="53">
        <f>+$J22*N22</f>
        <v>1441.5997500000001</v>
      </c>
      <c r="T22" s="53">
        <f>+$J22*O22</f>
        <v>3844.4582132999999</v>
      </c>
      <c r="U22" s="53"/>
      <c r="V22" s="53">
        <f t="shared" si="5"/>
        <v>0</v>
      </c>
      <c r="W22" s="53">
        <f t="shared" si="6"/>
        <v>1441.5997500000001</v>
      </c>
      <c r="X22" s="53">
        <f t="shared" si="7"/>
        <v>480.53325000000001</v>
      </c>
      <c r="Y22" s="53">
        <f t="shared" si="8"/>
        <v>1281.4860710999999</v>
      </c>
      <c r="AA22" s="54">
        <f t="shared" ref="AA22:AD22" si="43">+$D22*L22</f>
        <v>0</v>
      </c>
      <c r="AB22" s="55">
        <f t="shared" si="43"/>
        <v>148.5</v>
      </c>
      <c r="AC22" s="55">
        <f t="shared" si="43"/>
        <v>49.5</v>
      </c>
      <c r="AD22" s="55">
        <f t="shared" si="43"/>
        <v>132.00659999999999</v>
      </c>
    </row>
    <row r="23" spans="1:30">
      <c r="A23" s="37"/>
      <c r="B23" s="58" t="s">
        <v>51</v>
      </c>
      <c r="C23" s="39"/>
      <c r="D23" s="61"/>
      <c r="E23" s="41"/>
      <c r="F23" s="42"/>
      <c r="G23" s="43"/>
      <c r="H23" s="48"/>
      <c r="I23" s="49"/>
      <c r="J23" s="60"/>
      <c r="K23" s="51"/>
      <c r="L23" s="52"/>
      <c r="M23" s="52"/>
      <c r="N23" s="52"/>
      <c r="O23" s="52"/>
      <c r="Q23" s="53"/>
      <c r="R23" s="53"/>
      <c r="S23" s="53"/>
      <c r="T23" s="53"/>
      <c r="U23" s="53"/>
      <c r="V23" s="53"/>
      <c r="W23" s="53"/>
      <c r="X23" s="53"/>
      <c r="Y23" s="53"/>
      <c r="AA23" s="54"/>
      <c r="AB23" s="55"/>
      <c r="AC23" s="55"/>
      <c r="AD23" s="55"/>
    </row>
    <row r="24" spans="1:30">
      <c r="A24" s="57">
        <v>304</v>
      </c>
      <c r="B24" s="56" t="s">
        <v>47</v>
      </c>
      <c r="C24" s="39" t="s">
        <v>16</v>
      </c>
      <c r="D24" s="40">
        <f>'6022-yr1'!D24+'6022-yr2'!D24+'6022-yr3'!D24</f>
        <v>5</v>
      </c>
      <c r="E24" s="41">
        <v>1</v>
      </c>
      <c r="F24" s="42">
        <f t="shared" si="2"/>
        <v>5</v>
      </c>
      <c r="G24" s="47">
        <v>2</v>
      </c>
      <c r="H24" s="40">
        <f>'6022-yr1'!H24+'6022-yr2'!H24+'6022-yr3'!H24</f>
        <v>10</v>
      </c>
      <c r="I24" s="49">
        <f t="shared" si="1"/>
        <v>60</v>
      </c>
      <c r="J24" s="50">
        <f>'6022-yr1'!J24+'6022-yr2'!J24+'6022-yr3'!J24</f>
        <v>600</v>
      </c>
      <c r="K24" s="51">
        <f t="shared" si="3"/>
        <v>200</v>
      </c>
      <c r="L24" s="52">
        <v>0</v>
      </c>
      <c r="M24" s="52">
        <v>0.75</v>
      </c>
      <c r="N24" s="52">
        <v>0.25</v>
      </c>
      <c r="O24" s="52">
        <v>0.66669999999999996</v>
      </c>
      <c r="Q24" s="53">
        <f>+$J24*L24</f>
        <v>0</v>
      </c>
      <c r="R24" s="53">
        <f>+$J24*M24</f>
        <v>450</v>
      </c>
      <c r="S24" s="53">
        <f>+$J24*N24</f>
        <v>150</v>
      </c>
      <c r="T24" s="53">
        <f>+$J24*O24</f>
        <v>400.02</v>
      </c>
      <c r="U24" s="53"/>
      <c r="V24" s="53">
        <f t="shared" si="5"/>
        <v>0</v>
      </c>
      <c r="W24" s="53">
        <f t="shared" si="6"/>
        <v>150</v>
      </c>
      <c r="X24" s="53">
        <f t="shared" si="7"/>
        <v>50</v>
      </c>
      <c r="Y24" s="53">
        <f t="shared" si="8"/>
        <v>133.34</v>
      </c>
      <c r="AA24" s="54">
        <f>+$D24*L24</f>
        <v>0</v>
      </c>
      <c r="AB24" s="55">
        <f>+$D24*M24</f>
        <v>3.75</v>
      </c>
      <c r="AC24" s="55">
        <f>+$D24*N24</f>
        <v>1.25</v>
      </c>
      <c r="AD24" s="55">
        <f>+$D24*O24</f>
        <v>3.3334999999999999</v>
      </c>
    </row>
    <row r="25" spans="1:30">
      <c r="A25" s="37"/>
      <c r="B25" s="62" t="s">
        <v>38</v>
      </c>
      <c r="C25" s="63"/>
      <c r="D25" s="105"/>
      <c r="E25" s="64"/>
      <c r="F25" s="31">
        <f>SUM(F7:F24)</f>
        <v>2147</v>
      </c>
      <c r="G25" s="66"/>
      <c r="H25" s="106">
        <f>SUM(H7:H24)</f>
        <v>5852</v>
      </c>
      <c r="I25" s="68"/>
      <c r="J25" s="107">
        <f>SUM(J7:J24)</f>
        <v>360781.41</v>
      </c>
      <c r="K25" s="45"/>
      <c r="L25" s="52"/>
      <c r="M25" s="52"/>
      <c r="N25" s="52"/>
      <c r="O25" s="52"/>
      <c r="Q25" s="53"/>
      <c r="R25" s="53"/>
      <c r="S25" s="53"/>
      <c r="T25" s="53"/>
      <c r="U25" s="53"/>
      <c r="V25" s="53"/>
      <c r="W25" s="53"/>
      <c r="X25" s="53"/>
      <c r="AA25" s="54"/>
      <c r="AB25" s="55"/>
      <c r="AC25" s="55"/>
      <c r="AD25" s="55"/>
    </row>
    <row r="26" spans="1:30">
      <c r="A26" s="37"/>
      <c r="D26" s="37"/>
      <c r="E26" s="37"/>
      <c r="F26" s="37"/>
      <c r="H26" s="71"/>
      <c r="I26" s="72"/>
      <c r="J26" s="37"/>
      <c r="K26" s="73"/>
      <c r="L26" s="52"/>
      <c r="M26" s="52"/>
      <c r="N26" s="52"/>
      <c r="O26" s="52"/>
      <c r="Q26" s="53"/>
      <c r="R26" s="53"/>
      <c r="S26" s="53"/>
      <c r="T26" s="53"/>
      <c r="U26" s="53"/>
      <c r="V26" s="53"/>
      <c r="W26" s="53"/>
      <c r="X26" s="53"/>
      <c r="AA26" s="54"/>
      <c r="AB26" s="55"/>
      <c r="AC26" s="55"/>
      <c r="AD26" s="55"/>
    </row>
    <row r="27" spans="1:30">
      <c r="A27" s="37"/>
      <c r="B27" s="74" t="s">
        <v>55</v>
      </c>
      <c r="C27" s="18"/>
      <c r="D27" s="75"/>
      <c r="E27" s="75"/>
      <c r="F27" s="75"/>
      <c r="G27" s="66"/>
      <c r="H27" s="76"/>
      <c r="I27" s="69"/>
      <c r="J27" s="69"/>
      <c r="K27" s="73"/>
      <c r="L27" s="52"/>
      <c r="M27" s="52"/>
      <c r="N27" s="52"/>
      <c r="O27" s="52"/>
      <c r="Q27" s="53"/>
      <c r="R27" s="53"/>
      <c r="S27" s="53"/>
      <c r="T27" s="53"/>
      <c r="U27" s="53"/>
      <c r="V27" s="53"/>
      <c r="W27" s="53"/>
      <c r="X27" s="53"/>
      <c r="AA27" s="54"/>
      <c r="AB27" s="55"/>
      <c r="AC27" s="55"/>
      <c r="AD27" s="55"/>
    </row>
    <row r="28" spans="1:30" ht="29.25" customHeight="1">
      <c r="A28" s="37" t="s">
        <v>180</v>
      </c>
      <c r="B28" s="56" t="s">
        <v>19</v>
      </c>
      <c r="C28" s="39" t="s">
        <v>20</v>
      </c>
      <c r="D28" s="40">
        <f>'6022-yr1'!D28+'6022-yr2'!D28+'6022-yr3'!D28</f>
        <v>198</v>
      </c>
      <c r="E28" s="41">
        <v>1</v>
      </c>
      <c r="F28" s="42">
        <f>SUM(D28*E28)</f>
        <v>198</v>
      </c>
      <c r="G28" s="47">
        <f>('6022-yr1'!G28+'6022-yr2'!G28+'6022-yr3'!G28)/3</f>
        <v>0.25</v>
      </c>
      <c r="H28" s="40">
        <f>'6022-yr1'!H28+'6022-yr2'!H28+'6022-yr3'!H28</f>
        <v>49.5</v>
      </c>
      <c r="I28" s="49">
        <f>+J28/H28</f>
        <v>61.947454545454555</v>
      </c>
      <c r="J28" s="50">
        <f>'6022-yr1'!J28+'6022-yr2'!J28+'6022-yr3'!J28</f>
        <v>3066.3990000000003</v>
      </c>
      <c r="K28" s="51">
        <f>+J28/3</f>
        <v>1022.1330000000002</v>
      </c>
      <c r="L28" s="52">
        <v>0</v>
      </c>
      <c r="M28" s="52">
        <v>0.75</v>
      </c>
      <c r="N28" s="52">
        <v>0.25</v>
      </c>
      <c r="O28" s="52">
        <v>0.66669999999999996</v>
      </c>
      <c r="Q28" s="53">
        <f t="shared" ref="Q28:T37" si="44">+$J28*L28</f>
        <v>0</v>
      </c>
      <c r="R28" s="53">
        <f t="shared" si="44"/>
        <v>2299.79925</v>
      </c>
      <c r="S28" s="53">
        <f t="shared" si="44"/>
        <v>766.59975000000009</v>
      </c>
      <c r="T28" s="53">
        <f t="shared" si="44"/>
        <v>2044.3682133000002</v>
      </c>
      <c r="U28" s="53"/>
      <c r="V28" s="53">
        <f t="shared" ref="V28:Y37" si="45">+Q28/3</f>
        <v>0</v>
      </c>
      <c r="W28" s="53">
        <f t="shared" si="45"/>
        <v>766.59974999999997</v>
      </c>
      <c r="X28" s="53">
        <f t="shared" si="45"/>
        <v>255.53325000000004</v>
      </c>
      <c r="Y28" s="53">
        <f t="shared" si="45"/>
        <v>681.45607110000003</v>
      </c>
      <c r="AA28" s="54">
        <f t="shared" ref="AA28:AD37" si="46">+$D28*L28</f>
        <v>0</v>
      </c>
      <c r="AB28" s="55">
        <f t="shared" si="46"/>
        <v>148.5</v>
      </c>
      <c r="AC28" s="55">
        <f t="shared" si="46"/>
        <v>49.5</v>
      </c>
      <c r="AD28" s="55">
        <f t="shared" si="46"/>
        <v>132.00659999999999</v>
      </c>
    </row>
    <row r="29" spans="1:30" ht="13.5" customHeight="1">
      <c r="A29" s="37" t="s">
        <v>181</v>
      </c>
      <c r="B29" s="56" t="s">
        <v>84</v>
      </c>
      <c r="C29" s="39" t="s">
        <v>83</v>
      </c>
      <c r="D29" s="40">
        <f>'6022-yr1'!D29+'6022-yr2'!D29+'6022-yr3'!D29</f>
        <v>198</v>
      </c>
      <c r="E29" s="41">
        <v>1</v>
      </c>
      <c r="F29" s="42">
        <f>SUM(D29*E29)</f>
        <v>198</v>
      </c>
      <c r="G29" s="47">
        <f>('6022-yr1'!G29+'6022-yr2'!G29+'6022-yr3'!G29)/3</f>
        <v>8</v>
      </c>
      <c r="H29" s="40">
        <f>'6022-yr1'!H29+'6022-yr2'!H29+'6022-yr3'!H29</f>
        <v>1584</v>
      </c>
      <c r="I29" s="49">
        <f>+J29/H29</f>
        <v>61.945959595959593</v>
      </c>
      <c r="J29" s="50">
        <f>'6022-yr1'!J29+'6022-yr2'!J29+'6022-yr3'!J29</f>
        <v>98122.4</v>
      </c>
      <c r="K29" s="51">
        <f>+J29/3</f>
        <v>32707.466666666664</v>
      </c>
      <c r="L29" s="52">
        <v>0</v>
      </c>
      <c r="M29" s="52">
        <v>0.75</v>
      </c>
      <c r="N29" s="52">
        <v>0.25</v>
      </c>
      <c r="O29" s="52">
        <v>0.66669999999999996</v>
      </c>
      <c r="Q29" s="53">
        <f t="shared" si="44"/>
        <v>0</v>
      </c>
      <c r="R29" s="53">
        <f t="shared" si="44"/>
        <v>73591.799999999988</v>
      </c>
      <c r="S29" s="53">
        <f t="shared" si="44"/>
        <v>24530.6</v>
      </c>
      <c r="T29" s="53">
        <f t="shared" si="44"/>
        <v>65418.204079999989</v>
      </c>
      <c r="U29" s="53"/>
      <c r="V29" s="53">
        <f t="shared" si="45"/>
        <v>0</v>
      </c>
      <c r="W29" s="53">
        <f t="shared" si="45"/>
        <v>24530.599999999995</v>
      </c>
      <c r="X29" s="53">
        <f t="shared" si="45"/>
        <v>8176.8666666666659</v>
      </c>
      <c r="Y29" s="53">
        <f t="shared" si="45"/>
        <v>21806.068026666664</v>
      </c>
      <c r="AA29" s="54">
        <f t="shared" si="46"/>
        <v>0</v>
      </c>
      <c r="AB29" s="55">
        <f t="shared" si="46"/>
        <v>148.5</v>
      </c>
      <c r="AC29" s="55">
        <f t="shared" si="46"/>
        <v>49.5</v>
      </c>
      <c r="AD29" s="55">
        <f t="shared" si="46"/>
        <v>132.00659999999999</v>
      </c>
    </row>
    <row r="30" spans="1:30" ht="13.5" customHeight="1">
      <c r="A30" s="37" t="s">
        <v>182</v>
      </c>
      <c r="B30" s="56" t="s">
        <v>126</v>
      </c>
      <c r="C30" s="39" t="s">
        <v>127</v>
      </c>
      <c r="D30" s="40">
        <f>'6022-yr1'!D30+'6022-yr2'!D30+'6022-yr3'!D30</f>
        <v>189</v>
      </c>
      <c r="E30" s="41">
        <v>1</v>
      </c>
      <c r="F30" s="42">
        <f t="shared" ref="F30:F35" si="47">SUM(D30*E30)</f>
        <v>189</v>
      </c>
      <c r="G30" s="47">
        <f>('6022-yr1'!G30+'6022-yr2'!G30+'6022-yr3'!G30)/3</f>
        <v>0.10000000000000002</v>
      </c>
      <c r="H30" s="40">
        <f>'6022-yr1'!H30+'6022-yr2'!H30+'6022-yr3'!H30</f>
        <v>18.900000000000002</v>
      </c>
      <c r="I30" s="49">
        <f t="shared" ref="I30:I35" si="48">+J30/H30</f>
        <v>62.009788359788359</v>
      </c>
      <c r="J30" s="50">
        <f>'6022-yr1'!J30+'6022-yr2'!J30+'6022-yr3'!J30</f>
        <v>1171.9850000000001</v>
      </c>
      <c r="K30" s="51">
        <f t="shared" ref="K30:K35" si="49">+J30/3</f>
        <v>390.66166666666669</v>
      </c>
      <c r="L30" s="52">
        <v>0</v>
      </c>
      <c r="M30" s="52">
        <v>0.75</v>
      </c>
      <c r="N30" s="52">
        <v>0.25</v>
      </c>
      <c r="O30" s="52">
        <v>0.66669999999999996</v>
      </c>
      <c r="Q30" s="53">
        <f t="shared" ref="Q30:Q35" si="50">+$J30*L30</f>
        <v>0</v>
      </c>
      <c r="R30" s="53">
        <f t="shared" ref="R30:R35" si="51">+$J30*M30</f>
        <v>878.9887500000001</v>
      </c>
      <c r="S30" s="53">
        <f t="shared" ref="S30:S35" si="52">+$J30*N30</f>
        <v>292.99625000000003</v>
      </c>
      <c r="T30" s="53">
        <f t="shared" ref="T30:T35" si="53">+$J30*O30</f>
        <v>781.36239950000004</v>
      </c>
      <c r="U30" s="53"/>
      <c r="V30" s="53">
        <f t="shared" ref="V30:V35" si="54">+Q30/3</f>
        <v>0</v>
      </c>
      <c r="W30" s="53">
        <f t="shared" ref="W30:W35" si="55">+R30/3</f>
        <v>292.99625000000003</v>
      </c>
      <c r="X30" s="53">
        <f t="shared" ref="X30:X35" si="56">+S30/3</f>
        <v>97.665416666666673</v>
      </c>
      <c r="Y30" s="53">
        <f t="shared" ref="Y30:Y35" si="57">+T30/3</f>
        <v>260.45413316666668</v>
      </c>
      <c r="AA30" s="54">
        <f t="shared" ref="AA30:AA35" si="58">+$D30*L30</f>
        <v>0</v>
      </c>
      <c r="AB30" s="55">
        <f t="shared" ref="AB30:AB35" si="59">+$D30*M30</f>
        <v>141.75</v>
      </c>
      <c r="AC30" s="55">
        <f t="shared" ref="AC30:AC35" si="60">+$D30*N30</f>
        <v>47.25</v>
      </c>
      <c r="AD30" s="55">
        <f t="shared" ref="AD30:AD35" si="61">+$D30*O30</f>
        <v>126.0063</v>
      </c>
    </row>
    <row r="31" spans="1:30" ht="13.5" customHeight="1">
      <c r="A31" s="37" t="s">
        <v>138</v>
      </c>
      <c r="B31" s="56" t="s">
        <v>190</v>
      </c>
      <c r="C31" s="120" t="s">
        <v>189</v>
      </c>
      <c r="D31" s="40">
        <f>'6022-yr1'!D31+'6022-yr2'!D31+'6022-yr3'!D31</f>
        <v>189</v>
      </c>
      <c r="E31" s="41">
        <v>2</v>
      </c>
      <c r="F31" s="42">
        <f t="shared" ref="F31" si="62">SUM(D31*E31)</f>
        <v>378</v>
      </c>
      <c r="G31" s="47">
        <f>('6022-yr1'!G31+'6022-yr2'!G31+'6022-yr3'!G31)/3</f>
        <v>0.25</v>
      </c>
      <c r="H31" s="40">
        <f>'6022-yr1'!H31+'6022-yr2'!H31+'6022-yr3'!H31</f>
        <v>94.5</v>
      </c>
      <c r="I31" s="49">
        <f t="shared" ref="I31" si="63">+J31/H31</f>
        <v>62.009788359788352</v>
      </c>
      <c r="J31" s="50">
        <f>'6022-yr1'!J31+'6022-yr2'!J31+'6022-yr3'!J31</f>
        <v>5859.9249999999993</v>
      </c>
      <c r="K31" s="51">
        <f t="shared" si="49"/>
        <v>1953.3083333333332</v>
      </c>
      <c r="L31" s="52">
        <v>0</v>
      </c>
      <c r="M31" s="52">
        <v>0.75</v>
      </c>
      <c r="N31" s="52">
        <v>0.25</v>
      </c>
      <c r="O31" s="52">
        <v>0.66669999999999996</v>
      </c>
      <c r="Q31" s="53">
        <f t="shared" ref="Q31" si="64">+$J31*L31</f>
        <v>0</v>
      </c>
      <c r="R31" s="53">
        <f t="shared" ref="R31" si="65">+$J31*M31</f>
        <v>4394.9437499999995</v>
      </c>
      <c r="S31" s="53">
        <f t="shared" ref="S31" si="66">+$J31*N31</f>
        <v>1464.9812499999998</v>
      </c>
      <c r="T31" s="53">
        <f t="shared" ref="T31" si="67">+$J31*O31</f>
        <v>3906.8119974999991</v>
      </c>
      <c r="U31" s="53"/>
      <c r="V31" s="53">
        <f t="shared" ref="V31" si="68">+Q31/3</f>
        <v>0</v>
      </c>
      <c r="W31" s="53">
        <f t="shared" ref="W31" si="69">+R31/3</f>
        <v>1464.9812499999998</v>
      </c>
      <c r="X31" s="53">
        <f t="shared" ref="X31" si="70">+S31/3</f>
        <v>488.32708333333329</v>
      </c>
      <c r="Y31" s="53">
        <f t="shared" ref="Y31" si="71">+T31/3</f>
        <v>1302.2706658333329</v>
      </c>
      <c r="AA31" s="54">
        <f t="shared" ref="AA31" si="72">+$D31*L31</f>
        <v>0</v>
      </c>
      <c r="AB31" s="55">
        <f t="shared" ref="AB31" si="73">+$D31*M31</f>
        <v>141.75</v>
      </c>
      <c r="AC31" s="55">
        <f t="shared" ref="AC31" si="74">+$D31*N31</f>
        <v>47.25</v>
      </c>
      <c r="AD31" s="55">
        <f t="shared" ref="AD31" si="75">+$D31*O31</f>
        <v>126.0063</v>
      </c>
    </row>
    <row r="32" spans="1:30" ht="13.5" customHeight="1">
      <c r="A32" s="37" t="s">
        <v>137</v>
      </c>
      <c r="B32" s="56" t="s">
        <v>132</v>
      </c>
      <c r="C32" s="39" t="s">
        <v>131</v>
      </c>
      <c r="D32" s="40">
        <f>'6022-yr1'!D32+'6022-yr2'!D32+'6022-yr3'!D32</f>
        <v>189</v>
      </c>
      <c r="E32" s="41">
        <v>1</v>
      </c>
      <c r="F32" s="42">
        <f t="shared" si="47"/>
        <v>189</v>
      </c>
      <c r="G32" s="47">
        <f>('6022-yr1'!G32+'6022-yr2'!G32+'6022-yr3'!G32)/3</f>
        <v>1</v>
      </c>
      <c r="H32" s="40">
        <f>'6022-yr1'!H32+'6022-yr2'!H32+'6022-yr3'!H32</f>
        <v>189</v>
      </c>
      <c r="I32" s="49">
        <f t="shared" si="48"/>
        <v>62.009788359788352</v>
      </c>
      <c r="J32" s="50">
        <f>'6022-yr1'!J32+'6022-yr2'!J32+'6022-yr3'!J32</f>
        <v>11719.849999999999</v>
      </c>
      <c r="K32" s="51">
        <f t="shared" si="49"/>
        <v>3906.6166666666663</v>
      </c>
      <c r="L32" s="52">
        <v>0</v>
      </c>
      <c r="M32" s="52">
        <v>0.75</v>
      </c>
      <c r="N32" s="52">
        <v>0.25</v>
      </c>
      <c r="O32" s="52">
        <v>0.66669999999999996</v>
      </c>
      <c r="Q32" s="53">
        <f t="shared" si="50"/>
        <v>0</v>
      </c>
      <c r="R32" s="53">
        <f t="shared" si="51"/>
        <v>8789.8874999999989</v>
      </c>
      <c r="S32" s="53">
        <f t="shared" si="52"/>
        <v>2929.9624999999996</v>
      </c>
      <c r="T32" s="53">
        <f t="shared" si="53"/>
        <v>7813.6239949999981</v>
      </c>
      <c r="U32" s="53"/>
      <c r="V32" s="53">
        <f t="shared" si="54"/>
        <v>0</v>
      </c>
      <c r="W32" s="53">
        <f t="shared" si="55"/>
        <v>2929.9624999999996</v>
      </c>
      <c r="X32" s="53">
        <f t="shared" si="56"/>
        <v>976.65416666666658</v>
      </c>
      <c r="Y32" s="53">
        <f t="shared" si="57"/>
        <v>2604.5413316666659</v>
      </c>
      <c r="AA32" s="54">
        <f t="shared" si="58"/>
        <v>0</v>
      </c>
      <c r="AB32" s="55">
        <f t="shared" si="59"/>
        <v>141.75</v>
      </c>
      <c r="AC32" s="55">
        <f t="shared" si="60"/>
        <v>47.25</v>
      </c>
      <c r="AD32" s="55">
        <f t="shared" si="61"/>
        <v>126.0063</v>
      </c>
    </row>
    <row r="33" spans="1:30" ht="13.5" customHeight="1">
      <c r="A33" s="37" t="s">
        <v>136</v>
      </c>
      <c r="B33" s="78" t="s">
        <v>133</v>
      </c>
      <c r="C33" s="37" t="s">
        <v>134</v>
      </c>
      <c r="D33" s="40">
        <f>'6022-yr1'!D33+'6022-yr2'!D33+'6022-yr3'!D33</f>
        <v>189</v>
      </c>
      <c r="E33" s="41">
        <v>4</v>
      </c>
      <c r="F33" s="42">
        <f t="shared" si="47"/>
        <v>756</v>
      </c>
      <c r="G33" s="47">
        <f>('6022-yr1'!G33+'6022-yr2'!G33+'6022-yr3'!G33)/3</f>
        <v>4</v>
      </c>
      <c r="H33" s="40">
        <f>'6022-yr1'!H33+'6022-yr2'!H33+'6022-yr3'!H33</f>
        <v>3024</v>
      </c>
      <c r="I33" s="49">
        <f t="shared" si="48"/>
        <v>62.009788359788352</v>
      </c>
      <c r="J33" s="50">
        <f>'6022-yr1'!J33+'6022-yr2'!J33+'6022-yr3'!J33</f>
        <v>187517.59999999998</v>
      </c>
      <c r="K33" s="51">
        <f t="shared" si="49"/>
        <v>62505.866666666661</v>
      </c>
      <c r="L33" s="52">
        <v>0</v>
      </c>
      <c r="M33" s="52">
        <v>0.75</v>
      </c>
      <c r="N33" s="52">
        <v>0.25</v>
      </c>
      <c r="O33" s="52">
        <v>0.66669999999999996</v>
      </c>
      <c r="Q33" s="53">
        <f t="shared" si="50"/>
        <v>0</v>
      </c>
      <c r="R33" s="53">
        <f t="shared" si="51"/>
        <v>140638.19999999998</v>
      </c>
      <c r="S33" s="53">
        <f t="shared" si="52"/>
        <v>46879.399999999994</v>
      </c>
      <c r="T33" s="53">
        <f t="shared" si="53"/>
        <v>125017.98391999997</v>
      </c>
      <c r="U33" s="53"/>
      <c r="V33" s="53">
        <f t="shared" si="54"/>
        <v>0</v>
      </c>
      <c r="W33" s="53">
        <f t="shared" si="55"/>
        <v>46879.399999999994</v>
      </c>
      <c r="X33" s="53">
        <f t="shared" si="56"/>
        <v>15626.466666666665</v>
      </c>
      <c r="Y33" s="53">
        <f t="shared" si="57"/>
        <v>41672.661306666654</v>
      </c>
      <c r="AA33" s="54">
        <f t="shared" si="58"/>
        <v>0</v>
      </c>
      <c r="AB33" s="55">
        <f t="shared" si="59"/>
        <v>141.75</v>
      </c>
      <c r="AC33" s="55">
        <f t="shared" si="60"/>
        <v>47.25</v>
      </c>
      <c r="AD33" s="55">
        <f t="shared" si="61"/>
        <v>126.0063</v>
      </c>
    </row>
    <row r="34" spans="1:30" ht="13.5" customHeight="1">
      <c r="A34" s="37" t="s">
        <v>139</v>
      </c>
      <c r="B34" s="56" t="s">
        <v>128</v>
      </c>
      <c r="C34" s="39" t="s">
        <v>135</v>
      </c>
      <c r="D34" s="40">
        <f>'6022-yr1'!D34+'6022-yr2'!D34+'6022-yr3'!D34</f>
        <v>189</v>
      </c>
      <c r="E34" s="41">
        <v>1</v>
      </c>
      <c r="F34" s="42">
        <f t="shared" si="47"/>
        <v>189</v>
      </c>
      <c r="G34" s="47">
        <f>('6022-yr1'!G34+'6022-yr2'!G34+'6022-yr3'!G34)/3</f>
        <v>1.5</v>
      </c>
      <c r="H34" s="40">
        <f>'6022-yr1'!H34+'6022-yr2'!H34+'6022-yr3'!H34</f>
        <v>283.5</v>
      </c>
      <c r="I34" s="49">
        <f t="shared" si="48"/>
        <v>62.009788359788352</v>
      </c>
      <c r="J34" s="50">
        <f>'6022-yr1'!J34+'6022-yr2'!J34+'6022-yr3'!J34</f>
        <v>17579.774999999998</v>
      </c>
      <c r="K34" s="51">
        <f t="shared" si="49"/>
        <v>5859.9249999999993</v>
      </c>
      <c r="L34" s="52">
        <v>0</v>
      </c>
      <c r="M34" s="52">
        <v>0.75</v>
      </c>
      <c r="N34" s="52">
        <v>0.25</v>
      </c>
      <c r="O34" s="52">
        <v>0.66669999999999996</v>
      </c>
      <c r="Q34" s="53">
        <f t="shared" si="50"/>
        <v>0</v>
      </c>
      <c r="R34" s="53">
        <f t="shared" si="51"/>
        <v>13184.831249999999</v>
      </c>
      <c r="S34" s="53">
        <f t="shared" si="52"/>
        <v>4394.9437499999995</v>
      </c>
      <c r="T34" s="53">
        <f t="shared" si="53"/>
        <v>11720.435992499997</v>
      </c>
      <c r="U34" s="53"/>
      <c r="V34" s="53">
        <f t="shared" si="54"/>
        <v>0</v>
      </c>
      <c r="W34" s="53">
        <f t="shared" si="55"/>
        <v>4394.9437499999995</v>
      </c>
      <c r="X34" s="53">
        <f t="shared" si="56"/>
        <v>1464.9812499999998</v>
      </c>
      <c r="Y34" s="53">
        <f t="shared" si="57"/>
        <v>3906.8119974999991</v>
      </c>
      <c r="AA34" s="54">
        <f t="shared" si="58"/>
        <v>0</v>
      </c>
      <c r="AB34" s="55">
        <f t="shared" si="59"/>
        <v>141.75</v>
      </c>
      <c r="AC34" s="55">
        <f t="shared" si="60"/>
        <v>47.25</v>
      </c>
      <c r="AD34" s="55">
        <f t="shared" si="61"/>
        <v>126.0063</v>
      </c>
    </row>
    <row r="35" spans="1:30" ht="13.5" customHeight="1">
      <c r="A35" s="37" t="s">
        <v>138</v>
      </c>
      <c r="B35" s="56" t="s">
        <v>129</v>
      </c>
      <c r="C35" s="39" t="s">
        <v>130</v>
      </c>
      <c r="D35" s="40">
        <f>'6022-yr1'!D35+'6022-yr2'!D35+'6022-yr3'!D35</f>
        <v>189</v>
      </c>
      <c r="E35" s="41">
        <v>1</v>
      </c>
      <c r="F35" s="42">
        <f t="shared" si="47"/>
        <v>189</v>
      </c>
      <c r="G35" s="47">
        <f>('6022-yr1'!G35+'6022-yr2'!G35+'6022-yr3'!G35)/3</f>
        <v>1.5</v>
      </c>
      <c r="H35" s="40">
        <f>'6022-yr1'!H35+'6022-yr2'!H35+'6022-yr3'!H35</f>
        <v>283.5</v>
      </c>
      <c r="I35" s="49">
        <f t="shared" si="48"/>
        <v>62.009788359788352</v>
      </c>
      <c r="J35" s="50">
        <f>'6022-yr1'!J35+'6022-yr2'!J35+'6022-yr3'!J35</f>
        <v>17579.774999999998</v>
      </c>
      <c r="K35" s="51">
        <f t="shared" si="49"/>
        <v>5859.9249999999993</v>
      </c>
      <c r="L35" s="52">
        <v>0</v>
      </c>
      <c r="M35" s="52">
        <v>0.75</v>
      </c>
      <c r="N35" s="52">
        <v>0.25</v>
      </c>
      <c r="O35" s="52">
        <v>0.66669999999999996</v>
      </c>
      <c r="Q35" s="53">
        <f t="shared" si="50"/>
        <v>0</v>
      </c>
      <c r="R35" s="53">
        <f t="shared" si="51"/>
        <v>13184.831249999999</v>
      </c>
      <c r="S35" s="53">
        <f t="shared" si="52"/>
        <v>4394.9437499999995</v>
      </c>
      <c r="T35" s="53">
        <f t="shared" si="53"/>
        <v>11720.435992499997</v>
      </c>
      <c r="U35" s="53"/>
      <c r="V35" s="53">
        <f t="shared" si="54"/>
        <v>0</v>
      </c>
      <c r="W35" s="53">
        <f t="shared" si="55"/>
        <v>4394.9437499999995</v>
      </c>
      <c r="X35" s="53">
        <f t="shared" si="56"/>
        <v>1464.9812499999998</v>
      </c>
      <c r="Y35" s="53">
        <f t="shared" si="57"/>
        <v>3906.8119974999991</v>
      </c>
      <c r="AA35" s="54">
        <f t="shared" si="58"/>
        <v>0</v>
      </c>
      <c r="AB35" s="55">
        <f t="shared" si="59"/>
        <v>141.75</v>
      </c>
      <c r="AC35" s="55">
        <f t="shared" si="60"/>
        <v>47.25</v>
      </c>
      <c r="AD35" s="55">
        <f t="shared" si="61"/>
        <v>126.0063</v>
      </c>
    </row>
    <row r="36" spans="1:30" ht="40.5" customHeight="1">
      <c r="A36" s="37" t="s">
        <v>176</v>
      </c>
      <c r="B36" s="56" t="s">
        <v>201</v>
      </c>
      <c r="C36" s="39" t="s">
        <v>175</v>
      </c>
      <c r="D36" s="40">
        <f>'6022-yr1'!D36+'6022-yr2'!D36+'6022-yr3'!D36</f>
        <v>210</v>
      </c>
      <c r="E36" s="41">
        <v>1</v>
      </c>
      <c r="F36" s="42">
        <f t="shared" ref="F36" si="76">SUM(D36*E36)</f>
        <v>210</v>
      </c>
      <c r="G36" s="47">
        <f>('6022-yr1'!G36+'6022-yr2'!G36+'6022-yr3'!G36)/3</f>
        <v>1</v>
      </c>
      <c r="H36" s="40">
        <f>'6022-yr1'!H36+'6022-yr2'!H36+'6022-yr3'!H36</f>
        <v>210</v>
      </c>
      <c r="I36" s="49">
        <f t="shared" ref="I36" si="77">+J36/H36</f>
        <v>61.990476190476187</v>
      </c>
      <c r="J36" s="50">
        <f>'6022-yr1'!J36+'6022-yr2'!J36+'6022-yr3'!J36</f>
        <v>13018</v>
      </c>
      <c r="K36" s="51">
        <f t="shared" ref="K36" si="78">+J36/3</f>
        <v>4339.333333333333</v>
      </c>
      <c r="L36" s="52">
        <v>0</v>
      </c>
      <c r="M36" s="52">
        <v>0.75</v>
      </c>
      <c r="N36" s="52">
        <v>0.25</v>
      </c>
      <c r="O36" s="52">
        <v>0.66669999999999996</v>
      </c>
      <c r="Q36" s="53">
        <f t="shared" ref="Q36" si="79">+$J36*L36</f>
        <v>0</v>
      </c>
      <c r="R36" s="53">
        <f t="shared" ref="R36" si="80">+$J36*M36</f>
        <v>9763.5</v>
      </c>
      <c r="S36" s="53">
        <f t="shared" ref="S36" si="81">+$J36*N36</f>
        <v>3254.5</v>
      </c>
      <c r="T36" s="53">
        <f t="shared" ref="T36" si="82">+$J36*O36</f>
        <v>8679.1005999999998</v>
      </c>
      <c r="U36" s="53"/>
      <c r="V36" s="53">
        <f t="shared" ref="V36" si="83">+Q36/3</f>
        <v>0</v>
      </c>
      <c r="W36" s="53">
        <f t="shared" ref="W36" si="84">+R36/3</f>
        <v>3254.5</v>
      </c>
      <c r="X36" s="53">
        <f t="shared" ref="X36" si="85">+S36/3</f>
        <v>1084.8333333333333</v>
      </c>
      <c r="Y36" s="53">
        <f t="shared" ref="Y36" si="86">+T36/3</f>
        <v>2893.0335333333333</v>
      </c>
      <c r="AA36" s="54">
        <f t="shared" ref="AA36" si="87">+$D36*L36</f>
        <v>0</v>
      </c>
      <c r="AB36" s="55">
        <f t="shared" ref="AB36" si="88">+$D36*M36</f>
        <v>157.5</v>
      </c>
      <c r="AC36" s="55">
        <f t="shared" ref="AC36" si="89">+$D36*N36</f>
        <v>52.5</v>
      </c>
      <c r="AD36" s="55">
        <f t="shared" ref="AD36" si="90">+$D36*O36</f>
        <v>140.00700000000001</v>
      </c>
    </row>
    <row r="37" spans="1:30" ht="13.5" customHeight="1">
      <c r="A37" s="37" t="s">
        <v>183</v>
      </c>
      <c r="B37" s="56" t="s">
        <v>69</v>
      </c>
      <c r="C37" s="39" t="s">
        <v>68</v>
      </c>
      <c r="D37" s="40">
        <f>'6022-yr1'!D37+'6022-yr2'!D37+'6022-yr3'!D37</f>
        <v>189</v>
      </c>
      <c r="E37" s="41">
        <v>1</v>
      </c>
      <c r="F37" s="42">
        <f>SUM(D37*E37)</f>
        <v>189</v>
      </c>
      <c r="G37" s="47">
        <f>('6022-yr1'!G37+'6022-yr2'!G37+'6022-yr3'!G37)/3</f>
        <v>0.25</v>
      </c>
      <c r="H37" s="40">
        <f>'6022-yr1'!H37+'6022-yr2'!H37+'6022-yr3'!H37</f>
        <v>47.25</v>
      </c>
      <c r="I37" s="49">
        <f>+J37/H37</f>
        <v>62.011333333333333</v>
      </c>
      <c r="J37" s="50">
        <f>'6022-yr1'!J37+'6022-yr2'!J37+'6022-yr3'!J37</f>
        <v>2930.0355</v>
      </c>
      <c r="K37" s="51">
        <f>+J37/3</f>
        <v>976.67849999999999</v>
      </c>
      <c r="L37" s="52">
        <v>0</v>
      </c>
      <c r="M37" s="52">
        <v>0.75</v>
      </c>
      <c r="N37" s="52">
        <v>0.25</v>
      </c>
      <c r="O37" s="52">
        <v>0.66669999999999996</v>
      </c>
      <c r="Q37" s="53">
        <f t="shared" si="44"/>
        <v>0</v>
      </c>
      <c r="R37" s="53">
        <f t="shared" si="44"/>
        <v>2197.526625</v>
      </c>
      <c r="S37" s="53">
        <f t="shared" si="44"/>
        <v>732.50887499999999</v>
      </c>
      <c r="T37" s="53">
        <f t="shared" si="44"/>
        <v>1953.4546678499999</v>
      </c>
      <c r="U37" s="53"/>
      <c r="V37" s="53">
        <f t="shared" si="45"/>
        <v>0</v>
      </c>
      <c r="W37" s="53">
        <f t="shared" si="45"/>
        <v>732.50887499999999</v>
      </c>
      <c r="X37" s="53">
        <f t="shared" si="45"/>
        <v>244.169625</v>
      </c>
      <c r="Y37" s="53">
        <f t="shared" si="45"/>
        <v>651.15155594999999</v>
      </c>
      <c r="AA37" s="54">
        <f t="shared" si="46"/>
        <v>0</v>
      </c>
      <c r="AB37" s="55">
        <f t="shared" si="46"/>
        <v>141.75</v>
      </c>
      <c r="AC37" s="55">
        <f t="shared" si="46"/>
        <v>47.25</v>
      </c>
      <c r="AD37" s="55">
        <f t="shared" si="46"/>
        <v>126.0063</v>
      </c>
    </row>
    <row r="38" spans="1:30">
      <c r="A38" s="37"/>
      <c r="B38" s="62" t="s">
        <v>38</v>
      </c>
      <c r="C38" s="18"/>
      <c r="D38" s="103"/>
      <c r="E38" s="75"/>
      <c r="F38" s="103">
        <f>SUM(F28:F37)</f>
        <v>2685</v>
      </c>
      <c r="G38" s="66"/>
      <c r="H38" s="108">
        <f>SUM(H28:H37)</f>
        <v>5784.15</v>
      </c>
      <c r="I38" s="77"/>
      <c r="J38" s="107">
        <f>SUM(J28:J37)</f>
        <v>358565.74450000003</v>
      </c>
      <c r="K38" s="73"/>
      <c r="L38" s="52"/>
      <c r="M38" s="52"/>
      <c r="N38" s="52"/>
      <c r="O38" s="52"/>
      <c r="Q38" s="53"/>
      <c r="R38" s="53"/>
      <c r="S38" s="53"/>
      <c r="T38" s="53"/>
      <c r="U38" s="53"/>
      <c r="V38" s="53"/>
      <c r="W38" s="53"/>
      <c r="X38" s="53"/>
      <c r="AA38" s="54"/>
      <c r="AB38" s="55"/>
      <c r="AC38" s="55"/>
      <c r="AD38" s="55"/>
    </row>
    <row r="39" spans="1:30">
      <c r="A39" s="37"/>
      <c r="B39" s="62"/>
      <c r="C39" s="18"/>
      <c r="D39" s="75"/>
      <c r="E39" s="75"/>
      <c r="F39" s="75"/>
      <c r="G39" s="66"/>
      <c r="H39" s="76"/>
      <c r="I39" s="77"/>
      <c r="J39" s="69"/>
      <c r="K39" s="73"/>
      <c r="L39" s="52"/>
      <c r="M39" s="52"/>
      <c r="N39" s="52"/>
      <c r="O39" s="52"/>
      <c r="Q39" s="53"/>
      <c r="R39" s="53"/>
      <c r="S39" s="53"/>
      <c r="T39" s="53"/>
      <c r="U39" s="53"/>
      <c r="V39" s="53"/>
      <c r="W39" s="53"/>
      <c r="X39" s="53"/>
      <c r="AA39" s="54"/>
      <c r="AB39" s="55"/>
      <c r="AC39" s="55"/>
      <c r="AD39" s="55"/>
    </row>
    <row r="40" spans="1:30">
      <c r="A40" s="37"/>
      <c r="B40" s="74" t="s">
        <v>52</v>
      </c>
      <c r="C40" s="18"/>
      <c r="D40" s="65"/>
      <c r="E40" s="77"/>
      <c r="F40" s="65"/>
      <c r="G40" s="66"/>
      <c r="H40" s="67"/>
      <c r="I40" s="77"/>
      <c r="J40" s="75"/>
      <c r="K40" s="77"/>
      <c r="L40" s="52"/>
      <c r="M40" s="52"/>
      <c r="N40" s="52"/>
      <c r="O40" s="52"/>
      <c r="Q40" s="53"/>
      <c r="R40" s="53"/>
      <c r="S40" s="53"/>
      <c r="T40" s="53"/>
      <c r="U40" s="53"/>
      <c r="V40" s="53"/>
      <c r="W40" s="53"/>
      <c r="X40" s="53"/>
      <c r="AA40" s="54"/>
      <c r="AB40" s="55"/>
      <c r="AC40" s="55"/>
      <c r="AD40" s="55"/>
    </row>
    <row r="41" spans="1:30">
      <c r="A41" s="37" t="s">
        <v>184</v>
      </c>
      <c r="B41" s="56" t="s">
        <v>15</v>
      </c>
      <c r="C41" s="39" t="s">
        <v>34</v>
      </c>
      <c r="D41" s="40">
        <f>'6022-yr1'!D41+'6022-yr2'!D41+'6022-yr3'!D41</f>
        <v>198</v>
      </c>
      <c r="E41" s="41">
        <v>1</v>
      </c>
      <c r="F41" s="42">
        <f t="shared" ref="F41:F45" si="91">SUM(D41*E41)</f>
        <v>198</v>
      </c>
      <c r="G41" s="47">
        <f>('6022-yr1'!G41+'6022-yr2'!G41+'6022-yr3'!G41)/3</f>
        <v>1</v>
      </c>
      <c r="H41" s="40">
        <f>'6022-yr1'!H41+'6022-yr2'!H41+'6022-yr3'!H41</f>
        <v>198</v>
      </c>
      <c r="I41" s="49">
        <f t="shared" ref="I41:I45" si="92">+J41/H41</f>
        <v>61.947454545454555</v>
      </c>
      <c r="J41" s="50">
        <f>'6022-yr1'!J41+'6022-yr2'!J41+'6022-yr3'!J41</f>
        <v>12265.596000000001</v>
      </c>
      <c r="K41" s="51">
        <f t="shared" ref="K41:K45" si="93">+J41/3</f>
        <v>4088.5320000000006</v>
      </c>
      <c r="L41" s="52">
        <v>0</v>
      </c>
      <c r="M41" s="52">
        <v>0.75</v>
      </c>
      <c r="N41" s="52">
        <v>0.25</v>
      </c>
      <c r="O41" s="52">
        <v>0.66669999999999996</v>
      </c>
      <c r="Q41" s="53">
        <f t="shared" ref="Q41:T45" si="94">+$J41*L41</f>
        <v>0</v>
      </c>
      <c r="R41" s="53">
        <f t="shared" si="94"/>
        <v>9199.1970000000001</v>
      </c>
      <c r="S41" s="53">
        <f t="shared" si="94"/>
        <v>3066.3990000000003</v>
      </c>
      <c r="T41" s="53">
        <f t="shared" si="94"/>
        <v>8177.4728532000008</v>
      </c>
      <c r="U41" s="53"/>
      <c r="V41" s="53">
        <f t="shared" ref="V41:V45" si="95">+Q41/3</f>
        <v>0</v>
      </c>
      <c r="W41" s="53">
        <f t="shared" ref="W41:W45" si="96">+R41/3</f>
        <v>3066.3989999999999</v>
      </c>
      <c r="X41" s="53">
        <f t="shared" ref="X41:X45" si="97">+S41/3</f>
        <v>1022.1330000000002</v>
      </c>
      <c r="Y41" s="53">
        <f t="shared" ref="Y41:Y45" si="98">+T41/3</f>
        <v>2725.8242844000001</v>
      </c>
      <c r="AA41" s="54">
        <f t="shared" ref="AA41:AD41" si="99">+$D41*L41</f>
        <v>0</v>
      </c>
      <c r="AB41" s="55">
        <f t="shared" si="99"/>
        <v>148.5</v>
      </c>
      <c r="AC41" s="55">
        <f t="shared" si="99"/>
        <v>49.5</v>
      </c>
      <c r="AD41" s="55">
        <f t="shared" si="99"/>
        <v>132.00659999999999</v>
      </c>
    </row>
    <row r="42" spans="1:30">
      <c r="A42" s="37" t="s">
        <v>185</v>
      </c>
      <c r="B42" s="78" t="s">
        <v>35</v>
      </c>
      <c r="C42" s="39" t="s">
        <v>33</v>
      </c>
      <c r="D42" s="40">
        <f>'6022-yr1'!D42+'6022-yr2'!D42+'6022-yr3'!D42</f>
        <v>198</v>
      </c>
      <c r="E42" s="41">
        <v>1</v>
      </c>
      <c r="F42" s="42">
        <f t="shared" si="91"/>
        <v>198</v>
      </c>
      <c r="G42" s="47">
        <f>('6022-yr1'!G42+'6022-yr2'!G42+'6022-yr3'!G42)/3</f>
        <v>1.6666666666666667</v>
      </c>
      <c r="H42" s="40">
        <f>'6022-yr1'!H42+'6022-yr2'!H42+'6022-yr3'!H42</f>
        <v>318</v>
      </c>
      <c r="I42" s="49">
        <f t="shared" si="92"/>
        <v>61.212566037735854</v>
      </c>
      <c r="J42" s="50">
        <f>'6022-yr1'!J42+'6022-yr2'!J42+'6022-yr3'!J42</f>
        <v>19465.596000000001</v>
      </c>
      <c r="K42" s="51">
        <f t="shared" si="93"/>
        <v>6488.5320000000002</v>
      </c>
      <c r="L42" s="52">
        <v>0</v>
      </c>
      <c r="M42" s="52">
        <v>0.75</v>
      </c>
      <c r="N42" s="52">
        <v>0.25</v>
      </c>
      <c r="O42" s="52">
        <v>0.66669999999999996</v>
      </c>
      <c r="Q42" s="53">
        <f t="shared" si="94"/>
        <v>0</v>
      </c>
      <c r="R42" s="53">
        <f t="shared" si="94"/>
        <v>14599.197</v>
      </c>
      <c r="S42" s="53">
        <f t="shared" si="94"/>
        <v>4866.3990000000003</v>
      </c>
      <c r="T42" s="53">
        <f t="shared" si="94"/>
        <v>12977.712853200001</v>
      </c>
      <c r="U42" s="53"/>
      <c r="V42" s="53">
        <f t="shared" si="95"/>
        <v>0</v>
      </c>
      <c r="W42" s="53">
        <f t="shared" si="96"/>
        <v>4866.3990000000003</v>
      </c>
      <c r="X42" s="53">
        <f t="shared" si="97"/>
        <v>1622.133</v>
      </c>
      <c r="Y42" s="53">
        <f t="shared" si="98"/>
        <v>4325.9042844000005</v>
      </c>
      <c r="AA42" s="54">
        <f t="shared" ref="AA42:AA45" si="100">+$D42*L42</f>
        <v>0</v>
      </c>
      <c r="AB42" s="55">
        <f t="shared" ref="AB42:AB45" si="101">+$D42*M42</f>
        <v>148.5</v>
      </c>
      <c r="AC42" s="55">
        <f t="shared" ref="AC42:AC45" si="102">+$D42*N42</f>
        <v>49.5</v>
      </c>
      <c r="AD42" s="55">
        <f t="shared" ref="AD42:AD45" si="103">+$D42*O42</f>
        <v>132.00659999999999</v>
      </c>
    </row>
    <row r="43" spans="1:30">
      <c r="A43" s="37" t="s">
        <v>186</v>
      </c>
      <c r="B43" s="79" t="s">
        <v>36</v>
      </c>
      <c r="C43" s="39" t="s">
        <v>37</v>
      </c>
      <c r="D43" s="40">
        <f>'6022-yr1'!D43+'6022-yr2'!D43+'6022-yr3'!D43</f>
        <v>198</v>
      </c>
      <c r="E43" s="80">
        <v>1</v>
      </c>
      <c r="F43" s="42">
        <f t="shared" si="91"/>
        <v>198</v>
      </c>
      <c r="G43" s="47">
        <f>('6022-yr1'!G43+'6022-yr2'!G43+'6022-yr3'!G43)/3</f>
        <v>0.25</v>
      </c>
      <c r="H43" s="40">
        <f>'6022-yr1'!H43+'6022-yr2'!H43+'6022-yr3'!H43</f>
        <v>49.5</v>
      </c>
      <c r="I43" s="49">
        <f t="shared" si="92"/>
        <v>61.947454545454555</v>
      </c>
      <c r="J43" s="50">
        <f>'6022-yr1'!J43+'6022-yr2'!J43+'6022-yr3'!J43</f>
        <v>3066.3990000000003</v>
      </c>
      <c r="K43" s="51">
        <f t="shared" si="93"/>
        <v>1022.1330000000002</v>
      </c>
      <c r="L43" s="52">
        <v>0</v>
      </c>
      <c r="M43" s="52">
        <v>0.75</v>
      </c>
      <c r="N43" s="52">
        <v>0.25</v>
      </c>
      <c r="O43" s="52">
        <v>0.66669999999999996</v>
      </c>
      <c r="Q43" s="53">
        <f t="shared" si="94"/>
        <v>0</v>
      </c>
      <c r="R43" s="53">
        <f t="shared" si="94"/>
        <v>2299.79925</v>
      </c>
      <c r="S43" s="53">
        <f t="shared" si="94"/>
        <v>766.59975000000009</v>
      </c>
      <c r="T43" s="53">
        <f t="shared" si="94"/>
        <v>2044.3682133000002</v>
      </c>
      <c r="U43" s="53"/>
      <c r="V43" s="53">
        <f t="shared" si="95"/>
        <v>0</v>
      </c>
      <c r="W43" s="53">
        <f t="shared" si="96"/>
        <v>766.59974999999997</v>
      </c>
      <c r="X43" s="53">
        <f t="shared" si="97"/>
        <v>255.53325000000004</v>
      </c>
      <c r="Y43" s="53">
        <f t="shared" si="98"/>
        <v>681.45607110000003</v>
      </c>
      <c r="AA43" s="54">
        <f t="shared" si="100"/>
        <v>0</v>
      </c>
      <c r="AB43" s="55">
        <f t="shared" si="101"/>
        <v>148.5</v>
      </c>
      <c r="AC43" s="55">
        <f t="shared" si="102"/>
        <v>49.5</v>
      </c>
      <c r="AD43" s="55">
        <f t="shared" si="103"/>
        <v>132.00659999999999</v>
      </c>
    </row>
    <row r="44" spans="1:30">
      <c r="A44" s="37" t="s">
        <v>188</v>
      </c>
      <c r="B44" s="56" t="s">
        <v>77</v>
      </c>
      <c r="C44" s="39" t="s">
        <v>78</v>
      </c>
      <c r="D44" s="40">
        <f>'6022-yr1'!D44+'6022-yr2'!D44+'6022-yr3'!D44</f>
        <v>189</v>
      </c>
      <c r="E44" s="80">
        <v>4</v>
      </c>
      <c r="F44" s="42">
        <f t="shared" si="91"/>
        <v>756</v>
      </c>
      <c r="G44" s="47">
        <f>('6022-yr1'!G44+'6022-yr2'!G44+'6022-yr3'!G44)/3</f>
        <v>1</v>
      </c>
      <c r="H44" s="40">
        <f>'6022-yr1'!H44+'6022-yr2'!H44+'6022-yr3'!H44</f>
        <v>756</v>
      </c>
      <c r="I44" s="49">
        <f t="shared" si="92"/>
        <v>62.011333333333333</v>
      </c>
      <c r="J44" s="50">
        <f>'6022-yr1'!J44+'6022-yr2'!J44+'6022-yr3'!J44</f>
        <v>46880.567999999999</v>
      </c>
      <c r="K44" s="51">
        <f t="shared" si="93"/>
        <v>15626.856</v>
      </c>
      <c r="L44" s="52">
        <v>0</v>
      </c>
      <c r="M44" s="52">
        <v>0.75</v>
      </c>
      <c r="N44" s="52">
        <v>0.25</v>
      </c>
      <c r="O44" s="52">
        <v>0.66669999999999996</v>
      </c>
      <c r="Q44" s="53">
        <f t="shared" ref="Q44:T44" si="104">+$J44*L44</f>
        <v>0</v>
      </c>
      <c r="R44" s="53">
        <f t="shared" si="104"/>
        <v>35160.425999999999</v>
      </c>
      <c r="S44" s="53">
        <f t="shared" si="104"/>
        <v>11720.142</v>
      </c>
      <c r="T44" s="53">
        <f t="shared" si="104"/>
        <v>31255.274685599998</v>
      </c>
      <c r="U44" s="53"/>
      <c r="V44" s="53">
        <f t="shared" si="95"/>
        <v>0</v>
      </c>
      <c r="W44" s="53">
        <f t="shared" si="96"/>
        <v>11720.142</v>
      </c>
      <c r="X44" s="53">
        <f t="shared" si="97"/>
        <v>3906.7139999999999</v>
      </c>
      <c r="Y44" s="53">
        <f t="shared" si="98"/>
        <v>10418.4248952</v>
      </c>
      <c r="AA44" s="54">
        <f t="shared" si="100"/>
        <v>0</v>
      </c>
      <c r="AB44" s="55">
        <f t="shared" si="101"/>
        <v>141.75</v>
      </c>
      <c r="AC44" s="55">
        <f t="shared" si="102"/>
        <v>47.25</v>
      </c>
      <c r="AD44" s="55">
        <f t="shared" si="103"/>
        <v>126.0063</v>
      </c>
    </row>
    <row r="45" spans="1:30">
      <c r="A45" s="37" t="s">
        <v>187</v>
      </c>
      <c r="B45" s="56" t="s">
        <v>17</v>
      </c>
      <c r="C45" s="39" t="s">
        <v>18</v>
      </c>
      <c r="D45" s="40">
        <f>'6022-yr1'!D45+'6022-yr2'!D45+'6022-yr3'!D45</f>
        <v>198</v>
      </c>
      <c r="E45" s="41">
        <v>1</v>
      </c>
      <c r="F45" s="42">
        <f t="shared" si="91"/>
        <v>198</v>
      </c>
      <c r="G45" s="47">
        <f>('6022-yr1'!G45+'6022-yr2'!G45+'6022-yr3'!G45)/3</f>
        <v>0.25</v>
      </c>
      <c r="H45" s="40">
        <f>'6022-yr1'!H45+'6022-yr2'!H45+'6022-yr3'!H45</f>
        <v>49.5</v>
      </c>
      <c r="I45" s="49">
        <f t="shared" si="92"/>
        <v>61.947454545454555</v>
      </c>
      <c r="J45" s="50">
        <f>'6022-yr1'!J45+'6022-yr2'!J45+'6022-yr3'!J45</f>
        <v>3066.3990000000003</v>
      </c>
      <c r="K45" s="51">
        <f t="shared" si="93"/>
        <v>1022.1330000000002</v>
      </c>
      <c r="L45" s="52">
        <v>0</v>
      </c>
      <c r="M45" s="52">
        <v>0.75</v>
      </c>
      <c r="N45" s="52">
        <v>0.25</v>
      </c>
      <c r="O45" s="52">
        <v>0.66669999999999996</v>
      </c>
      <c r="Q45" s="53">
        <f t="shared" si="94"/>
        <v>0</v>
      </c>
      <c r="R45" s="53">
        <f t="shared" si="94"/>
        <v>2299.79925</v>
      </c>
      <c r="S45" s="53">
        <f t="shared" si="94"/>
        <v>766.59975000000009</v>
      </c>
      <c r="T45" s="53">
        <f t="shared" si="94"/>
        <v>2044.3682133000002</v>
      </c>
      <c r="U45" s="53"/>
      <c r="V45" s="53">
        <f t="shared" si="95"/>
        <v>0</v>
      </c>
      <c r="W45" s="53">
        <f t="shared" si="96"/>
        <v>766.59974999999997</v>
      </c>
      <c r="X45" s="53">
        <f t="shared" si="97"/>
        <v>255.53325000000004</v>
      </c>
      <c r="Y45" s="53">
        <f t="shared" si="98"/>
        <v>681.45607110000003</v>
      </c>
      <c r="AA45" s="54">
        <f t="shared" si="100"/>
        <v>0</v>
      </c>
      <c r="AB45" s="55">
        <f t="shared" si="101"/>
        <v>148.5</v>
      </c>
      <c r="AC45" s="55">
        <f t="shared" si="102"/>
        <v>49.5</v>
      </c>
      <c r="AD45" s="55">
        <f t="shared" si="103"/>
        <v>132.00659999999999</v>
      </c>
    </row>
    <row r="46" spans="1:30">
      <c r="B46" s="62" t="s">
        <v>38</v>
      </c>
      <c r="C46" s="63"/>
      <c r="D46" s="40">
        <f>'6022-yr1'!D46+'6022-yr2'!D46+'6022-yr3'!D46</f>
        <v>198</v>
      </c>
      <c r="E46" s="35"/>
      <c r="F46" s="103">
        <f>SUM(F41:F45)</f>
        <v>1548</v>
      </c>
      <c r="G46" s="81"/>
      <c r="H46" s="108">
        <f>SUM(H41:H45)</f>
        <v>1371</v>
      </c>
      <c r="I46" s="35"/>
      <c r="J46" s="107">
        <f>SUM(J41:J45)</f>
        <v>84744.558000000005</v>
      </c>
      <c r="L46" s="35"/>
    </row>
    <row r="47" spans="1:30">
      <c r="B47" s="62"/>
      <c r="C47" s="63"/>
      <c r="D47" s="77"/>
      <c r="E47" s="35"/>
      <c r="F47" s="75"/>
      <c r="G47" s="81"/>
      <c r="H47" s="75"/>
      <c r="I47" s="35"/>
      <c r="J47" s="69"/>
      <c r="L47" s="35"/>
      <c r="R47" s="82">
        <f>SUM(R7:R46)</f>
        <v>603068.78437500016</v>
      </c>
      <c r="S47" s="82">
        <f>SUM(S7:S46)</f>
        <v>201022.92812499998</v>
      </c>
      <c r="T47" s="82">
        <f>SUM(T7:T45)</f>
        <v>536087.94472374988</v>
      </c>
      <c r="U47" s="82"/>
      <c r="V47" s="53">
        <f>+Q47/3</f>
        <v>0</v>
      </c>
      <c r="W47" s="53">
        <f>+R47/3</f>
        <v>201022.92812500006</v>
      </c>
      <c r="X47" s="53">
        <f>+S47/3</f>
        <v>67007.642708333326</v>
      </c>
      <c r="Y47" s="53">
        <f>+T47/3</f>
        <v>178695.9815745833</v>
      </c>
      <c r="AB47" s="83"/>
      <c r="AC47" s="83"/>
      <c r="AD47" s="84"/>
    </row>
    <row r="48" spans="1:30">
      <c r="B48" s="62" t="s">
        <v>92</v>
      </c>
      <c r="C48" s="63"/>
      <c r="D48" s="105">
        <f>'6022-yr1'!D48+'6022-yr2'!D48+'6022-yr3'!D48</f>
        <v>198</v>
      </c>
      <c r="E48" s="35"/>
      <c r="F48" s="108">
        <f>SUM(F46+F38+F25)</f>
        <v>6380</v>
      </c>
      <c r="G48" s="81"/>
      <c r="H48" s="108">
        <f>SUM(H46+H38+H25)</f>
        <v>13007.15</v>
      </c>
      <c r="I48" s="104">
        <f>+J48/H48</f>
        <v>61.81920808939698</v>
      </c>
      <c r="J48" s="85">
        <f>'6022-yr1'!J48+'6022-yr2'!J48+'6022-yr3'!J48</f>
        <v>804091.71249999991</v>
      </c>
      <c r="K48" s="51">
        <f>+J48/3</f>
        <v>268030.5708333333</v>
      </c>
      <c r="L48" s="35"/>
    </row>
    <row r="49" spans="1:12">
      <c r="A49" s="35"/>
      <c r="B49" s="62" t="s">
        <v>93</v>
      </c>
      <c r="D49" s="109">
        <f>+D48/3</f>
        <v>66</v>
      </c>
      <c r="F49" s="108">
        <f>+F48/3</f>
        <v>2126.6666666666665</v>
      </c>
      <c r="G49" s="86"/>
      <c r="H49" s="108">
        <f>+H48/3</f>
        <v>4335.7166666666662</v>
      </c>
      <c r="I49" s="87"/>
      <c r="J49" s="85">
        <f>+J48/3</f>
        <v>268030.5708333333</v>
      </c>
      <c r="L49" s="35"/>
    </row>
    <row r="50" spans="1:12">
      <c r="A50" s="45"/>
      <c r="B50" s="88"/>
      <c r="C50" s="36"/>
      <c r="G50" s="36"/>
      <c r="L50" s="35"/>
    </row>
    <row r="51" spans="1:12">
      <c r="A51" s="45"/>
      <c r="B51" s="88"/>
      <c r="C51" s="36"/>
      <c r="G51" s="36"/>
      <c r="L51" s="35"/>
    </row>
    <row r="52" spans="1:12">
      <c r="A52" s="45"/>
      <c r="B52" s="138" t="s">
        <v>191</v>
      </c>
      <c r="C52" s="36"/>
      <c r="G52" s="36"/>
      <c r="L52" s="35"/>
    </row>
    <row r="53" spans="1:12">
      <c r="A53" s="37" t="s">
        <v>200</v>
      </c>
      <c r="B53" s="56" t="s">
        <v>192</v>
      </c>
      <c r="C53" s="78" t="s">
        <v>197</v>
      </c>
      <c r="D53" s="40">
        <f>'6022-yr1'!D53+'6022-yr2'!D53+'6022-yr3'!D53</f>
        <v>189</v>
      </c>
      <c r="E53" s="41">
        <v>1</v>
      </c>
      <c r="F53" s="42">
        <f t="shared" ref="F53:F55" si="105">SUM(D53*E53)</f>
        <v>189</v>
      </c>
      <c r="G53" s="47">
        <f>('6022-yr1'!G53+'6022-yr2'!G53+'6022-yr3'!G53)/3</f>
        <v>0.42</v>
      </c>
      <c r="H53" s="40">
        <f>'6022-yr1'!H53+'6022-yr2'!H53+'6022-yr3'!H53</f>
        <v>79.38</v>
      </c>
      <c r="I53" s="49">
        <f t="shared" ref="I53:I55" si="106">+J53/H53</f>
        <v>59.999999999999993</v>
      </c>
      <c r="J53" s="50">
        <f>'6022-yr1'!J53+'6022-yr2'!J53+'6022-yr3'!J53</f>
        <v>4762.7999999999993</v>
      </c>
      <c r="L53" s="35"/>
    </row>
    <row r="54" spans="1:12">
      <c r="A54" s="37" t="s">
        <v>200</v>
      </c>
      <c r="B54" s="56" t="s">
        <v>193</v>
      </c>
      <c r="C54" s="78" t="s">
        <v>198</v>
      </c>
      <c r="D54" s="40">
        <f>'6022-yr1'!D54+'6022-yr2'!D54+'6022-yr3'!D54</f>
        <v>189</v>
      </c>
      <c r="E54" s="41">
        <v>1</v>
      </c>
      <c r="F54" s="42">
        <f t="shared" si="105"/>
        <v>189</v>
      </c>
      <c r="G54" s="47">
        <f>('6022-yr1'!G54+'6022-yr2'!G54+'6022-yr3'!G54)/3</f>
        <v>0.75</v>
      </c>
      <c r="H54" s="40">
        <f>'6022-yr1'!H54+'6022-yr2'!H54+'6022-yr3'!H54</f>
        <v>141.75</v>
      </c>
      <c r="I54" s="49">
        <f t="shared" si="106"/>
        <v>60</v>
      </c>
      <c r="J54" s="50">
        <f>'6022-yr1'!J54+'6022-yr2'!J54+'6022-yr3'!J54</f>
        <v>8505</v>
      </c>
      <c r="L54" s="35"/>
    </row>
    <row r="55" spans="1:12">
      <c r="A55" s="37" t="s">
        <v>200</v>
      </c>
      <c r="B55" s="56" t="s">
        <v>194</v>
      </c>
      <c r="C55" s="78" t="s">
        <v>199</v>
      </c>
      <c r="D55" s="40">
        <f>'6022-yr1'!D55+'6022-yr2'!D55+'6022-yr3'!D55</f>
        <v>189</v>
      </c>
      <c r="E55" s="41">
        <v>1</v>
      </c>
      <c r="F55" s="42">
        <f t="shared" si="105"/>
        <v>189</v>
      </c>
      <c r="G55" s="47">
        <f>('6022-yr1'!G55+'6022-yr2'!G55+'6022-yr3'!G55)/3</f>
        <v>0.33</v>
      </c>
      <c r="H55" s="40">
        <f>'6022-yr1'!H55+'6022-yr2'!H55+'6022-yr3'!H55</f>
        <v>62.370000000000005</v>
      </c>
      <c r="I55" s="49">
        <f t="shared" si="106"/>
        <v>60</v>
      </c>
      <c r="J55" s="50">
        <f>'6022-yr1'!J55+'6022-yr2'!J55+'6022-yr3'!J55</f>
        <v>3742.2000000000003</v>
      </c>
      <c r="L55" s="35"/>
    </row>
    <row r="56" spans="1:12">
      <c r="A56" s="45"/>
      <c r="B56" s="62" t="s">
        <v>92</v>
      </c>
      <c r="C56" s="36"/>
      <c r="G56" s="36"/>
      <c r="H56" s="139">
        <f>SUM(H53:H55)</f>
        <v>283.5</v>
      </c>
      <c r="J56" s="140">
        <f>SUM(J53:J55)</f>
        <v>17010</v>
      </c>
      <c r="L56" s="35"/>
    </row>
    <row r="57" spans="1:12">
      <c r="A57" s="45"/>
      <c r="B57" s="62" t="s">
        <v>93</v>
      </c>
      <c r="C57" s="36"/>
      <c r="G57" s="36"/>
      <c r="H57" s="108">
        <f>+H56/3</f>
        <v>94.5</v>
      </c>
      <c r="J57" s="85">
        <f>+J56/3</f>
        <v>5670</v>
      </c>
      <c r="L57" s="35"/>
    </row>
    <row r="58" spans="1:12">
      <c r="A58" s="89"/>
      <c r="B58" s="90" t="s">
        <v>91</v>
      </c>
      <c r="C58" s="63"/>
      <c r="D58" s="35"/>
      <c r="E58" s="35"/>
      <c r="F58" s="35"/>
      <c r="G58" s="81"/>
      <c r="H58" s="91"/>
      <c r="I58" s="35"/>
      <c r="J58" s="91"/>
      <c r="K58" s="64"/>
      <c r="L58" s="35"/>
    </row>
    <row r="59" spans="1:12">
      <c r="A59" s="45"/>
      <c r="B59" s="35"/>
      <c r="C59" s="122" t="s">
        <v>87</v>
      </c>
      <c r="D59" s="123"/>
      <c r="E59" s="124" t="s">
        <v>88</v>
      </c>
      <c r="F59" s="124"/>
      <c r="G59" s="125" t="s">
        <v>89</v>
      </c>
      <c r="H59" s="123"/>
      <c r="I59" s="35"/>
      <c r="J59" s="91"/>
      <c r="K59" s="64"/>
      <c r="L59" s="35"/>
    </row>
    <row r="60" spans="1:12">
      <c r="A60" s="45"/>
      <c r="B60" s="35" t="s">
        <v>85</v>
      </c>
      <c r="C60" s="63" t="s">
        <v>58</v>
      </c>
      <c r="D60" s="35" t="s">
        <v>86</v>
      </c>
      <c r="E60" s="63" t="s">
        <v>58</v>
      </c>
      <c r="F60" s="35" t="s">
        <v>86</v>
      </c>
      <c r="G60" s="63" t="s">
        <v>58</v>
      </c>
      <c r="H60" s="35" t="s">
        <v>86</v>
      </c>
      <c r="I60" s="35"/>
      <c r="J60" s="91"/>
      <c r="K60" s="64"/>
      <c r="L60" s="35"/>
    </row>
    <row r="61" spans="1:12">
      <c r="A61" s="45"/>
      <c r="B61" s="35" t="s">
        <v>122</v>
      </c>
      <c r="C61" s="63">
        <v>48</v>
      </c>
      <c r="D61" s="64">
        <v>43</v>
      </c>
      <c r="E61" s="64">
        <f>43+2</f>
        <v>45</v>
      </c>
      <c r="F61" s="64">
        <v>45</v>
      </c>
      <c r="G61" s="102">
        <f>45+10</f>
        <v>55</v>
      </c>
      <c r="H61" s="92">
        <v>55</v>
      </c>
      <c r="I61" s="35"/>
      <c r="J61" s="91"/>
      <c r="K61" s="64"/>
      <c r="L61" s="35"/>
    </row>
    <row r="62" spans="1:12">
      <c r="A62" s="45"/>
      <c r="B62" s="35" t="s">
        <v>121</v>
      </c>
      <c r="C62" s="37">
        <v>12</v>
      </c>
      <c r="D62" s="37">
        <v>10</v>
      </c>
      <c r="E62" s="37">
        <f>11+8</f>
        <v>19</v>
      </c>
      <c r="F62" s="37">
        <v>18</v>
      </c>
      <c r="G62" s="86">
        <v>19</v>
      </c>
      <c r="H62" s="37">
        <v>18</v>
      </c>
      <c r="L62" s="35"/>
    </row>
    <row r="63" spans="1:12">
      <c r="B63" s="35" t="s">
        <v>90</v>
      </c>
      <c r="C63" s="37">
        <f t="shared" ref="C63:H63" si="107">SUM(C61:C62)</f>
        <v>60</v>
      </c>
      <c r="D63" s="37">
        <f t="shared" si="107"/>
        <v>53</v>
      </c>
      <c r="E63" s="37">
        <f t="shared" si="107"/>
        <v>64</v>
      </c>
      <c r="F63" s="37">
        <f t="shared" si="107"/>
        <v>63</v>
      </c>
      <c r="G63" s="37">
        <f t="shared" si="107"/>
        <v>74</v>
      </c>
      <c r="H63" s="37">
        <f t="shared" si="107"/>
        <v>73</v>
      </c>
      <c r="L63" s="35"/>
    </row>
    <row r="64" spans="1:12">
      <c r="B64" s="35"/>
      <c r="D64" s="37"/>
      <c r="E64" s="37"/>
      <c r="F64" s="37"/>
      <c r="G64" s="37"/>
      <c r="H64" s="37"/>
      <c r="L64" s="35"/>
    </row>
    <row r="65" spans="1:12">
      <c r="A65" s="45"/>
      <c r="B65" s="88" t="s">
        <v>120</v>
      </c>
      <c r="C65" s="63">
        <v>7</v>
      </c>
      <c r="D65" s="64">
        <v>7</v>
      </c>
      <c r="E65" s="64">
        <v>7</v>
      </c>
      <c r="F65" s="64">
        <v>7</v>
      </c>
      <c r="G65" s="102">
        <v>7</v>
      </c>
      <c r="H65" s="92">
        <v>7</v>
      </c>
      <c r="I65" s="35"/>
      <c r="J65" s="91"/>
      <c r="K65" s="64"/>
      <c r="L65" s="35"/>
    </row>
    <row r="66" spans="1:12">
      <c r="A66" s="111"/>
      <c r="B66" s="88"/>
      <c r="C66" s="110"/>
      <c r="D66" s="111"/>
      <c r="E66" s="111"/>
      <c r="F66" s="111"/>
      <c r="G66" s="102"/>
      <c r="H66" s="92"/>
      <c r="I66" s="35"/>
      <c r="J66" s="91"/>
      <c r="K66" s="111"/>
      <c r="L66" s="35"/>
    </row>
    <row r="67" spans="1:12">
      <c r="B67" s="93"/>
      <c r="C67" s="37" t="s">
        <v>90</v>
      </c>
      <c r="D67" s="37" t="s">
        <v>142</v>
      </c>
      <c r="F67" s="37"/>
      <c r="H67" s="37"/>
      <c r="L67" s="35"/>
    </row>
    <row r="68" spans="1:12">
      <c r="B68" s="112" t="s">
        <v>143</v>
      </c>
      <c r="C68" s="37">
        <f>+C63+E63+G63</f>
        <v>198</v>
      </c>
      <c r="D68" s="37">
        <f>+C68/3</f>
        <v>66</v>
      </c>
      <c r="L68" s="35"/>
    </row>
    <row r="69" spans="1:12">
      <c r="B69" s="112" t="s">
        <v>144</v>
      </c>
      <c r="C69" s="37">
        <f>+D63+F63+H63</f>
        <v>189</v>
      </c>
      <c r="D69" s="37">
        <f>+C69/3</f>
        <v>63</v>
      </c>
      <c r="L69" s="35"/>
    </row>
    <row r="70" spans="1:12">
      <c r="L70" s="35"/>
    </row>
    <row r="71" spans="1:12">
      <c r="L71" s="35"/>
    </row>
    <row r="72" spans="1:12">
      <c r="C72" s="36"/>
      <c r="G72" s="36"/>
      <c r="L72" s="35"/>
    </row>
    <row r="73" spans="1:12">
      <c r="C73" s="36"/>
      <c r="G73" s="36"/>
      <c r="L73" s="35"/>
    </row>
    <row r="74" spans="1:12">
      <c r="C74" s="36"/>
      <c r="G74" s="36"/>
      <c r="L74" s="35"/>
    </row>
    <row r="75" spans="1:12">
      <c r="C75" s="36"/>
      <c r="G75" s="36"/>
      <c r="L75" s="35"/>
    </row>
    <row r="76" spans="1:12">
      <c r="C76" s="36"/>
      <c r="G76" s="36"/>
      <c r="L76" s="35"/>
    </row>
    <row r="77" spans="1:12">
      <c r="C77" s="36"/>
      <c r="G77" s="36"/>
      <c r="L77" s="35"/>
    </row>
    <row r="78" spans="1:12">
      <c r="C78" s="36"/>
      <c r="G78" s="36"/>
      <c r="L78" s="35"/>
    </row>
    <row r="79" spans="1:12">
      <c r="C79" s="36"/>
      <c r="G79" s="36"/>
      <c r="L79" s="35"/>
    </row>
    <row r="80" spans="1:12">
      <c r="C80" s="36"/>
      <c r="G80" s="36"/>
      <c r="L80" s="35"/>
    </row>
    <row r="81" spans="3:12">
      <c r="C81" s="36"/>
      <c r="G81" s="36"/>
      <c r="L81" s="35"/>
    </row>
    <row r="82" spans="3:12">
      <c r="C82" s="36"/>
      <c r="G82" s="36"/>
      <c r="L82" s="35"/>
    </row>
    <row r="83" spans="3:12">
      <c r="C83" s="36"/>
      <c r="G83" s="36"/>
      <c r="L83" s="35"/>
    </row>
    <row r="84" spans="3:12">
      <c r="C84" s="36"/>
      <c r="G84" s="36"/>
      <c r="L84" s="35"/>
    </row>
    <row r="85" spans="3:12">
      <c r="C85" s="36"/>
      <c r="G85" s="36"/>
      <c r="L85" s="35"/>
    </row>
    <row r="86" spans="3:12">
      <c r="C86" s="36"/>
      <c r="G86" s="36"/>
      <c r="L86" s="35"/>
    </row>
    <row r="87" spans="3:12">
      <c r="C87" s="36"/>
      <c r="G87" s="36"/>
      <c r="L87" s="35"/>
    </row>
    <row r="88" spans="3:12">
      <c r="C88" s="36"/>
      <c r="G88" s="36"/>
      <c r="L88" s="35"/>
    </row>
    <row r="89" spans="3:12">
      <c r="C89" s="36"/>
      <c r="G89" s="36"/>
      <c r="L89" s="35"/>
    </row>
    <row r="90" spans="3:12">
      <c r="C90" s="36"/>
      <c r="G90" s="36"/>
      <c r="L90" s="35"/>
    </row>
    <row r="91" spans="3:12">
      <c r="C91" s="36"/>
      <c r="G91" s="36"/>
      <c r="L91" s="35"/>
    </row>
    <row r="92" spans="3:12">
      <c r="C92" s="36"/>
      <c r="G92" s="36"/>
      <c r="L92" s="35"/>
    </row>
    <row r="93" spans="3:12">
      <c r="C93" s="36"/>
      <c r="G93" s="36"/>
      <c r="L93" s="35"/>
    </row>
    <row r="94" spans="3:12">
      <c r="C94" s="36"/>
      <c r="G94" s="36"/>
      <c r="L94" s="35"/>
    </row>
    <row r="95" spans="3:12">
      <c r="C95" s="36"/>
      <c r="G95" s="36"/>
      <c r="L95" s="35"/>
    </row>
    <row r="96" spans="3:12">
      <c r="C96" s="36"/>
      <c r="G96" s="36"/>
      <c r="L96" s="35"/>
    </row>
    <row r="97" spans="3:12">
      <c r="C97" s="36"/>
      <c r="G97" s="36"/>
      <c r="L97" s="35"/>
    </row>
    <row r="98" spans="3:12">
      <c r="C98" s="36"/>
      <c r="G98" s="36"/>
      <c r="L98" s="35"/>
    </row>
    <row r="99" spans="3:12">
      <c r="C99" s="36"/>
      <c r="G99" s="36"/>
      <c r="L99" s="35"/>
    </row>
    <row r="100" spans="3:12">
      <c r="C100" s="36"/>
      <c r="G100" s="36"/>
      <c r="L100" s="35"/>
    </row>
    <row r="101" spans="3:12">
      <c r="C101" s="36"/>
      <c r="G101" s="36"/>
      <c r="L101" s="35"/>
    </row>
    <row r="102" spans="3:12">
      <c r="C102" s="36"/>
      <c r="G102" s="36"/>
      <c r="L102" s="35"/>
    </row>
    <row r="103" spans="3:12">
      <c r="C103" s="36"/>
      <c r="G103" s="36"/>
      <c r="L103" s="35"/>
    </row>
    <row r="104" spans="3:12">
      <c r="C104" s="36"/>
      <c r="G104" s="36"/>
      <c r="L104" s="35"/>
    </row>
    <row r="105" spans="3:12">
      <c r="C105" s="36"/>
      <c r="G105" s="36"/>
      <c r="L105" s="35"/>
    </row>
    <row r="106" spans="3:12">
      <c r="C106" s="36"/>
      <c r="G106" s="36"/>
      <c r="L106" s="35"/>
    </row>
    <row r="107" spans="3:12">
      <c r="C107" s="36"/>
      <c r="G107" s="36"/>
      <c r="L107" s="35"/>
    </row>
    <row r="108" spans="3:12">
      <c r="C108" s="36"/>
      <c r="G108" s="36"/>
      <c r="L108" s="35"/>
    </row>
    <row r="109" spans="3:12">
      <c r="C109" s="36"/>
      <c r="G109" s="36"/>
      <c r="L109" s="35"/>
    </row>
    <row r="110" spans="3:12">
      <c r="C110" s="36"/>
      <c r="G110" s="36"/>
      <c r="L110" s="35"/>
    </row>
    <row r="111" spans="3:12">
      <c r="C111" s="36"/>
      <c r="G111" s="36"/>
      <c r="L111" s="35"/>
    </row>
    <row r="112" spans="3:12">
      <c r="C112" s="36"/>
      <c r="G112" s="36"/>
      <c r="L112" s="35"/>
    </row>
    <row r="113" spans="3:12">
      <c r="C113" s="36"/>
      <c r="G113" s="36"/>
      <c r="L113" s="35"/>
    </row>
    <row r="114" spans="3:12">
      <c r="C114" s="36"/>
      <c r="G114" s="36"/>
      <c r="L114" s="35"/>
    </row>
    <row r="115" spans="3:12">
      <c r="C115" s="36"/>
      <c r="G115" s="36"/>
      <c r="L115" s="35"/>
    </row>
    <row r="116" spans="3:12">
      <c r="C116" s="36"/>
      <c r="G116" s="36"/>
      <c r="L116" s="35"/>
    </row>
    <row r="117" spans="3:12">
      <c r="C117" s="36"/>
      <c r="G117" s="36"/>
      <c r="L117" s="35"/>
    </row>
    <row r="118" spans="3:12">
      <c r="C118" s="36"/>
      <c r="G118" s="36"/>
      <c r="L118" s="35"/>
    </row>
    <row r="119" spans="3:12">
      <c r="C119" s="36"/>
      <c r="G119" s="36"/>
      <c r="L119" s="35"/>
    </row>
    <row r="120" spans="3:12">
      <c r="C120" s="36"/>
      <c r="G120" s="36"/>
      <c r="L120" s="35"/>
    </row>
    <row r="121" spans="3:12">
      <c r="C121" s="36"/>
      <c r="G121" s="36"/>
      <c r="L121" s="35"/>
    </row>
    <row r="122" spans="3:12">
      <c r="C122" s="36"/>
      <c r="G122" s="36"/>
      <c r="L122" s="35"/>
    </row>
    <row r="123" spans="3:12">
      <c r="C123" s="36"/>
      <c r="G123" s="36"/>
      <c r="L123" s="35"/>
    </row>
    <row r="124" spans="3:12">
      <c r="C124" s="36"/>
      <c r="G124" s="36"/>
      <c r="L124" s="35"/>
    </row>
    <row r="125" spans="3:12">
      <c r="C125" s="36"/>
      <c r="G125" s="36"/>
      <c r="L125" s="35"/>
    </row>
    <row r="126" spans="3:12">
      <c r="C126" s="36"/>
      <c r="G126" s="36"/>
      <c r="L126" s="35"/>
    </row>
    <row r="127" spans="3:12">
      <c r="C127" s="36"/>
      <c r="G127" s="36"/>
      <c r="L127" s="35"/>
    </row>
    <row r="128" spans="3:12">
      <c r="C128" s="36"/>
      <c r="G128" s="36"/>
      <c r="L128" s="35"/>
    </row>
    <row r="129" spans="3:12">
      <c r="C129" s="36"/>
      <c r="G129" s="36"/>
      <c r="L129" s="35"/>
    </row>
    <row r="130" spans="3:12">
      <c r="C130" s="36"/>
      <c r="G130" s="36"/>
      <c r="L130" s="35"/>
    </row>
    <row r="131" spans="3:12">
      <c r="C131" s="36"/>
      <c r="G131" s="36"/>
      <c r="L131" s="35"/>
    </row>
    <row r="132" spans="3:12">
      <c r="C132" s="36"/>
      <c r="G132" s="36"/>
      <c r="L132" s="35"/>
    </row>
    <row r="133" spans="3:12">
      <c r="C133" s="36"/>
      <c r="G133" s="36"/>
      <c r="L133" s="35"/>
    </row>
    <row r="134" spans="3:12">
      <c r="C134" s="36"/>
      <c r="G134" s="36"/>
      <c r="L134" s="35"/>
    </row>
  </sheetData>
  <customSheetViews>
    <customSheetView guid="{855078B0-1E21-4B25-9C5A-4782BC11700B}" scale="90" showPageBreaks="1" fitToPage="1" printArea="1" topLeftCell="D22">
      <selection activeCell="J54" sqref="J54"/>
      <pageMargins left="0.5" right="0.25" top="0.75" bottom="0" header="0.5" footer="0.5"/>
      <printOptions gridLines="1"/>
      <pageSetup scale="60" orientation="landscape" r:id="rId1"/>
      <headerFooter alignWithMargins="0"/>
    </customSheetView>
    <customSheetView guid="{C3053AD8-900F-4045-B60E-43CCFD9EF7DD}" scale="90" showPageBreaks="1" fitToPage="1" printArea="1">
      <selection activeCell="A31" sqref="A31"/>
      <pageMargins left="0.5" right="0.25" top="0.75" bottom="0" header="0.5" footer="0.5"/>
      <printOptions gridLines="1"/>
      <pageSetup scale="60" orientation="landscape" r:id="rId2"/>
      <headerFooter alignWithMargins="0"/>
    </customSheetView>
  </customSheetViews>
  <mergeCells count="10">
    <mergeCell ref="A1:D1"/>
    <mergeCell ref="A2:D2"/>
    <mergeCell ref="L2:O2"/>
    <mergeCell ref="Q2:T2"/>
    <mergeCell ref="C59:D59"/>
    <mergeCell ref="E59:F59"/>
    <mergeCell ref="G59:H59"/>
    <mergeCell ref="V2:Y2"/>
    <mergeCell ref="AA2:AD2"/>
    <mergeCell ref="B5:C5"/>
  </mergeCells>
  <phoneticPr fontId="0" type="noConversion"/>
  <printOptions gridLines="1"/>
  <pageMargins left="0.5" right="0.25" top="0.75" bottom="0" header="0.5" footer="0.5"/>
  <pageSetup scale="60" orientation="landscape" r:id="rId3"/>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Y137"/>
  <sheetViews>
    <sheetView topLeftCell="A29" zoomScale="90" zoomScaleNormal="90" zoomScaleSheetLayoutView="93" workbookViewId="0">
      <selection activeCell="B36" sqref="B36"/>
    </sheetView>
  </sheetViews>
  <sheetFormatPr defaultColWidth="9.140625" defaultRowHeight="12.75"/>
  <cols>
    <col min="1" max="1" width="19.42578125" style="36" customWidth="1"/>
    <col min="2" max="2" width="43.7109375" style="36" customWidth="1"/>
    <col min="3" max="3" width="23.140625" style="37" customWidth="1"/>
    <col min="4" max="4" width="12.28515625" style="36" customWidth="1"/>
    <col min="5" max="5" width="10.7109375" style="36" customWidth="1"/>
    <col min="6" max="6" width="11.42578125" style="36" customWidth="1"/>
    <col min="7" max="7" width="11.7109375" style="70" customWidth="1"/>
    <col min="8" max="8" width="10.28515625" style="36" customWidth="1"/>
    <col min="9" max="9" width="8.5703125" style="36" customWidth="1"/>
    <col min="10" max="10" width="13.28515625" style="36" bestFit="1" customWidth="1"/>
    <col min="11" max="11" width="9.140625" style="36"/>
    <col min="12" max="12" width="15.5703125" style="36" bestFit="1" customWidth="1"/>
    <col min="13" max="13" width="10.85546875" style="36" bestFit="1" customWidth="1"/>
    <col min="14" max="14" width="11.5703125" style="36" bestFit="1" customWidth="1"/>
    <col min="15" max="15" width="12" style="36" bestFit="1" customWidth="1"/>
    <col min="16" max="16" width="9.140625" style="36"/>
    <col min="17" max="18" width="10.85546875" style="36" bestFit="1" customWidth="1"/>
    <col min="19" max="19" width="11.5703125" style="36" bestFit="1" customWidth="1"/>
    <col min="20" max="20" width="12" style="36" bestFit="1" customWidth="1"/>
    <col min="21" max="21" width="9.140625" style="36"/>
    <col min="22" max="23" width="10.85546875" style="36" bestFit="1" customWidth="1"/>
    <col min="24" max="24" width="11.5703125" style="36" bestFit="1" customWidth="1"/>
    <col min="25" max="25" width="12" style="36" bestFit="1" customWidth="1"/>
    <col min="26" max="16384" width="9.140625" style="36"/>
  </cols>
  <sheetData>
    <row r="1" spans="1:25" s="21" customFormat="1">
      <c r="A1" s="127" t="s">
        <v>108</v>
      </c>
      <c r="B1" s="127"/>
      <c r="C1" s="127"/>
      <c r="D1" s="127"/>
      <c r="G1" s="22"/>
    </row>
    <row r="2" spans="1:25" s="21" customFormat="1">
      <c r="A2" s="130" t="s">
        <v>12</v>
      </c>
      <c r="B2" s="130"/>
      <c r="C2" s="130"/>
      <c r="D2" s="130"/>
      <c r="G2" s="22"/>
      <c r="L2" s="126" t="s">
        <v>32</v>
      </c>
      <c r="M2" s="126"/>
      <c r="N2" s="126"/>
      <c r="O2" s="126"/>
      <c r="P2" s="23"/>
      <c r="Q2" s="126" t="s">
        <v>31</v>
      </c>
      <c r="R2" s="126"/>
      <c r="S2" s="126"/>
      <c r="T2" s="126"/>
      <c r="V2" s="127" t="s">
        <v>39</v>
      </c>
      <c r="W2" s="127"/>
      <c r="X2" s="127"/>
      <c r="Y2" s="127"/>
    </row>
    <row r="3" spans="1:25" s="21" customFormat="1" ht="63.75">
      <c r="A3" s="17" t="s">
        <v>70</v>
      </c>
      <c r="B3" s="5" t="s">
        <v>13</v>
      </c>
      <c r="C3" s="6" t="s">
        <v>14</v>
      </c>
      <c r="D3" s="6" t="s">
        <v>100</v>
      </c>
      <c r="E3" s="6" t="s">
        <v>40</v>
      </c>
      <c r="F3" s="6" t="s">
        <v>42</v>
      </c>
      <c r="G3" s="8" t="s">
        <v>1</v>
      </c>
      <c r="H3" s="6" t="s">
        <v>43</v>
      </c>
      <c r="I3" s="6" t="s">
        <v>65</v>
      </c>
      <c r="J3" s="7" t="s">
        <v>44</v>
      </c>
      <c r="L3" s="2" t="s">
        <v>27</v>
      </c>
      <c r="M3" s="2" t="s">
        <v>28</v>
      </c>
      <c r="N3" s="2" t="s">
        <v>29</v>
      </c>
      <c r="O3" s="2" t="s">
        <v>30</v>
      </c>
      <c r="Q3" s="2" t="s">
        <v>27</v>
      </c>
      <c r="R3" s="2" t="s">
        <v>28</v>
      </c>
      <c r="S3" s="2" t="s">
        <v>29</v>
      </c>
      <c r="T3" s="2" t="s">
        <v>30</v>
      </c>
      <c r="V3" s="2" t="s">
        <v>27</v>
      </c>
      <c r="W3" s="2" t="s">
        <v>28</v>
      </c>
      <c r="X3" s="2" t="s">
        <v>29</v>
      </c>
      <c r="Y3" s="2" t="s">
        <v>30</v>
      </c>
    </row>
    <row r="4" spans="1:25" s="29" customFormat="1">
      <c r="A4" s="25" t="s">
        <v>2</v>
      </c>
      <c r="B4" s="26" t="s">
        <v>3</v>
      </c>
      <c r="C4" s="26" t="s">
        <v>4</v>
      </c>
      <c r="D4" s="26" t="s">
        <v>5</v>
      </c>
      <c r="E4" s="26" t="s">
        <v>6</v>
      </c>
      <c r="F4" s="26" t="s">
        <v>7</v>
      </c>
      <c r="G4" s="27" t="s">
        <v>8</v>
      </c>
      <c r="H4" s="26" t="s">
        <v>9</v>
      </c>
      <c r="I4" s="28" t="s">
        <v>10</v>
      </c>
      <c r="J4" s="29" t="s">
        <v>41</v>
      </c>
    </row>
    <row r="5" spans="1:25">
      <c r="A5" s="30"/>
      <c r="B5" s="128" t="s">
        <v>45</v>
      </c>
      <c r="C5" s="129"/>
      <c r="D5" s="31"/>
      <c r="E5" s="32"/>
      <c r="F5" s="31"/>
      <c r="G5" s="33"/>
      <c r="H5" s="31"/>
      <c r="I5" s="32"/>
      <c r="J5" s="34"/>
      <c r="K5" s="35"/>
      <c r="L5" s="35"/>
    </row>
    <row r="6" spans="1:25">
      <c r="A6" s="37"/>
      <c r="B6" s="38" t="s">
        <v>49</v>
      </c>
      <c r="C6" s="39"/>
      <c r="D6" s="40"/>
      <c r="E6" s="41"/>
      <c r="F6" s="42"/>
      <c r="G6" s="43"/>
      <c r="H6" s="40"/>
      <c r="I6" s="41"/>
      <c r="J6" s="44"/>
      <c r="K6" s="45"/>
      <c r="L6" s="35"/>
    </row>
    <row r="7" spans="1:25">
      <c r="A7" s="37" t="s">
        <v>72</v>
      </c>
      <c r="B7" s="46" t="s">
        <v>62</v>
      </c>
      <c r="C7" s="39" t="s">
        <v>16</v>
      </c>
      <c r="D7" s="40">
        <f>D63</f>
        <v>53</v>
      </c>
      <c r="E7" s="41">
        <v>4</v>
      </c>
      <c r="F7" s="42">
        <f>SUM(D7*E7)</f>
        <v>212</v>
      </c>
      <c r="G7" s="43">
        <v>2</v>
      </c>
      <c r="H7" s="48">
        <f>SUM(G7*F7)</f>
        <v>424</v>
      </c>
      <c r="I7" s="59">
        <v>60</v>
      </c>
      <c r="J7" s="60">
        <f>(H7)*(I7)</f>
        <v>25440</v>
      </c>
      <c r="K7" s="45"/>
      <c r="L7" s="52">
        <v>0</v>
      </c>
      <c r="M7" s="52">
        <v>0.75</v>
      </c>
      <c r="N7" s="52">
        <v>0.25</v>
      </c>
      <c r="O7" s="52">
        <v>0.66669999999999996</v>
      </c>
      <c r="Q7" s="53">
        <f t="shared" ref="Q7:T9" si="0">+$J7*L7</f>
        <v>0</v>
      </c>
      <c r="R7" s="53">
        <f t="shared" si="0"/>
        <v>19080</v>
      </c>
      <c r="S7" s="53">
        <f t="shared" si="0"/>
        <v>6360</v>
      </c>
      <c r="T7" s="53">
        <f t="shared" si="0"/>
        <v>16960.847999999998</v>
      </c>
      <c r="V7" s="54">
        <f t="shared" ref="V7:Y9" si="1">+$D7*L7</f>
        <v>0</v>
      </c>
      <c r="W7" s="55">
        <f t="shared" si="1"/>
        <v>39.75</v>
      </c>
      <c r="X7" s="55">
        <f t="shared" si="1"/>
        <v>13.25</v>
      </c>
      <c r="Y7" s="55">
        <f t="shared" si="1"/>
        <v>35.335099999999997</v>
      </c>
    </row>
    <row r="8" spans="1:25">
      <c r="A8" s="57" t="s">
        <v>177</v>
      </c>
      <c r="B8" s="56" t="s">
        <v>98</v>
      </c>
      <c r="C8" s="39" t="s">
        <v>16</v>
      </c>
      <c r="D8" s="40">
        <v>2</v>
      </c>
      <c r="E8" s="41">
        <v>1</v>
      </c>
      <c r="F8" s="42">
        <f>SUM(D8*E8)</f>
        <v>2</v>
      </c>
      <c r="G8" s="43">
        <v>2</v>
      </c>
      <c r="H8" s="48">
        <f>SUM(G8*F8)</f>
        <v>4</v>
      </c>
      <c r="I8" s="59">
        <v>60</v>
      </c>
      <c r="J8" s="60">
        <f>(H8)*(I8)</f>
        <v>240</v>
      </c>
      <c r="K8" s="45"/>
      <c r="L8" s="52">
        <v>0</v>
      </c>
      <c r="M8" s="52">
        <v>0.75</v>
      </c>
      <c r="N8" s="52">
        <v>0.25</v>
      </c>
      <c r="O8" s="52">
        <v>0.66669999999999996</v>
      </c>
      <c r="Q8" s="53">
        <f t="shared" si="0"/>
        <v>0</v>
      </c>
      <c r="R8" s="53">
        <f t="shared" si="0"/>
        <v>180</v>
      </c>
      <c r="S8" s="53">
        <f t="shared" si="0"/>
        <v>60</v>
      </c>
      <c r="T8" s="53">
        <f t="shared" si="0"/>
        <v>160.00799999999998</v>
      </c>
      <c r="V8" s="54">
        <f t="shared" si="1"/>
        <v>0</v>
      </c>
      <c r="W8" s="55">
        <f t="shared" si="1"/>
        <v>1.5</v>
      </c>
      <c r="X8" s="55">
        <f t="shared" si="1"/>
        <v>0.5</v>
      </c>
      <c r="Y8" s="55">
        <f t="shared" si="1"/>
        <v>1.3333999999999999</v>
      </c>
    </row>
    <row r="9" spans="1:25">
      <c r="A9" s="57" t="s">
        <v>140</v>
      </c>
      <c r="B9" s="56" t="s">
        <v>99</v>
      </c>
      <c r="C9" s="39" t="s">
        <v>16</v>
      </c>
      <c r="D9" s="40">
        <f>SUM(D63)</f>
        <v>53</v>
      </c>
      <c r="E9" s="41">
        <v>1</v>
      </c>
      <c r="F9" s="42">
        <f>SUM(D9*E9)</f>
        <v>53</v>
      </c>
      <c r="G9" s="43">
        <v>2</v>
      </c>
      <c r="H9" s="48">
        <f>SUM(G9*F9)</f>
        <v>106</v>
      </c>
      <c r="I9" s="59">
        <v>60</v>
      </c>
      <c r="J9" s="60">
        <f>(H9)*(I9)</f>
        <v>6360</v>
      </c>
      <c r="K9" s="45"/>
      <c r="L9" s="52">
        <v>0</v>
      </c>
      <c r="M9" s="52">
        <v>0.75</v>
      </c>
      <c r="N9" s="52">
        <v>0.25</v>
      </c>
      <c r="O9" s="52">
        <v>0.66669999999999996</v>
      </c>
      <c r="Q9" s="53">
        <f t="shared" si="0"/>
        <v>0</v>
      </c>
      <c r="R9" s="53">
        <f t="shared" si="0"/>
        <v>4770</v>
      </c>
      <c r="S9" s="53">
        <f t="shared" si="0"/>
        <v>1590</v>
      </c>
      <c r="T9" s="53">
        <f t="shared" si="0"/>
        <v>4240.2119999999995</v>
      </c>
      <c r="V9" s="54">
        <f t="shared" si="1"/>
        <v>0</v>
      </c>
      <c r="W9" s="55">
        <f t="shared" si="1"/>
        <v>39.75</v>
      </c>
      <c r="X9" s="55">
        <f t="shared" si="1"/>
        <v>13.25</v>
      </c>
      <c r="Y9" s="55">
        <f t="shared" si="1"/>
        <v>35.335099999999997</v>
      </c>
    </row>
    <row r="10" spans="1:25">
      <c r="A10" s="37"/>
      <c r="B10" s="38" t="s">
        <v>48</v>
      </c>
      <c r="C10" s="39"/>
      <c r="D10" s="40"/>
      <c r="E10" s="41"/>
      <c r="F10" s="42"/>
      <c r="G10" s="43"/>
      <c r="H10" s="48"/>
      <c r="I10" s="41"/>
      <c r="J10" s="44"/>
      <c r="K10" s="45"/>
      <c r="L10" s="52"/>
      <c r="M10" s="52"/>
      <c r="N10" s="52"/>
      <c r="O10" s="52"/>
      <c r="V10" s="54"/>
      <c r="W10" s="55"/>
      <c r="X10" s="55"/>
      <c r="Y10" s="55"/>
    </row>
    <row r="11" spans="1:25">
      <c r="A11" s="37" t="s">
        <v>73</v>
      </c>
      <c r="B11" s="56" t="s">
        <v>53</v>
      </c>
      <c r="C11" s="39" t="s">
        <v>16</v>
      </c>
      <c r="D11" s="40">
        <f>+C$63</f>
        <v>60</v>
      </c>
      <c r="E11" s="41">
        <v>1</v>
      </c>
      <c r="F11" s="42">
        <f t="shared" ref="F11:F24" si="2">SUM(D11*E11)</f>
        <v>60</v>
      </c>
      <c r="G11" s="43">
        <v>8</v>
      </c>
      <c r="H11" s="48">
        <f t="shared" ref="H11:H24" si="3">SUM(G11*F11)</f>
        <v>480</v>
      </c>
      <c r="I11" s="59">
        <v>60</v>
      </c>
      <c r="J11" s="60">
        <f t="shared" ref="J11:J24" si="4">(H11)*(I11)</f>
        <v>28800</v>
      </c>
      <c r="K11" s="45"/>
      <c r="L11" s="52">
        <v>0</v>
      </c>
      <c r="M11" s="52">
        <v>0.75</v>
      </c>
      <c r="N11" s="52">
        <v>0.25</v>
      </c>
      <c r="O11" s="52">
        <v>0.66669999999999996</v>
      </c>
      <c r="Q11" s="53">
        <f t="shared" ref="Q11:T15" si="5">+$J11*L11</f>
        <v>0</v>
      </c>
      <c r="R11" s="53">
        <f t="shared" si="5"/>
        <v>21600</v>
      </c>
      <c r="S11" s="53">
        <f t="shared" si="5"/>
        <v>7200</v>
      </c>
      <c r="T11" s="53">
        <f t="shared" si="5"/>
        <v>19200.96</v>
      </c>
      <c r="V11" s="54">
        <f>+$D11*L11</f>
        <v>0</v>
      </c>
      <c r="W11" s="55">
        <f>+$D11*M11</f>
        <v>45</v>
      </c>
      <c r="X11" s="55">
        <f>+$D11*N11</f>
        <v>15</v>
      </c>
      <c r="Y11" s="55">
        <f>+$D11*O11</f>
        <v>40.001999999999995</v>
      </c>
    </row>
    <row r="12" spans="1:25" ht="25.5">
      <c r="A12" s="57" t="s">
        <v>71</v>
      </c>
      <c r="B12" s="56" t="s">
        <v>54</v>
      </c>
      <c r="C12" s="39" t="s">
        <v>16</v>
      </c>
      <c r="D12" s="40">
        <f>+C$63</f>
        <v>60</v>
      </c>
      <c r="E12" s="41">
        <v>1</v>
      </c>
      <c r="F12" s="42">
        <f t="shared" si="2"/>
        <v>60</v>
      </c>
      <c r="G12" s="43">
        <v>12</v>
      </c>
      <c r="H12" s="48">
        <f t="shared" si="3"/>
        <v>720</v>
      </c>
      <c r="I12" s="59">
        <v>60</v>
      </c>
      <c r="J12" s="60">
        <f t="shared" si="4"/>
        <v>43200</v>
      </c>
      <c r="K12" s="45"/>
      <c r="L12" s="52">
        <v>0</v>
      </c>
      <c r="M12" s="52">
        <v>0.75</v>
      </c>
      <c r="N12" s="52">
        <v>0.25</v>
      </c>
      <c r="O12" s="52">
        <v>0.66669999999999996</v>
      </c>
      <c r="Q12" s="53">
        <f t="shared" si="5"/>
        <v>0</v>
      </c>
      <c r="R12" s="53">
        <f t="shared" si="5"/>
        <v>32400</v>
      </c>
      <c r="S12" s="53">
        <f t="shared" si="5"/>
        <v>10800</v>
      </c>
      <c r="T12" s="53">
        <f t="shared" si="5"/>
        <v>28801.439999999999</v>
      </c>
      <c r="V12" s="54">
        <f t="shared" ref="V12:V24" si="6">+$D12*L12</f>
        <v>0</v>
      </c>
      <c r="W12" s="55">
        <f t="shared" ref="W12:W24" si="7">+$D12*M12</f>
        <v>45</v>
      </c>
      <c r="X12" s="55">
        <f t="shared" ref="X12:X24" si="8">+$D12*N12</f>
        <v>15</v>
      </c>
      <c r="Y12" s="55">
        <f t="shared" ref="Y12:Y24" si="9">+$D12*O12</f>
        <v>40.001999999999995</v>
      </c>
    </row>
    <row r="13" spans="1:25" ht="25.5">
      <c r="A13" s="57" t="s">
        <v>74</v>
      </c>
      <c r="B13" s="56" t="s">
        <v>167</v>
      </c>
      <c r="C13" s="39" t="s">
        <v>16</v>
      </c>
      <c r="D13" s="40">
        <f>SUM(C61)</f>
        <v>48</v>
      </c>
      <c r="E13" s="41">
        <v>1</v>
      </c>
      <c r="F13" s="42">
        <f t="shared" si="2"/>
        <v>48</v>
      </c>
      <c r="G13" s="43">
        <v>8</v>
      </c>
      <c r="H13" s="48">
        <f t="shared" si="3"/>
        <v>384</v>
      </c>
      <c r="I13" s="59">
        <v>60</v>
      </c>
      <c r="J13" s="60">
        <f t="shared" si="4"/>
        <v>23040</v>
      </c>
      <c r="K13" s="45"/>
      <c r="L13" s="52">
        <v>0</v>
      </c>
      <c r="M13" s="52">
        <v>0.75</v>
      </c>
      <c r="N13" s="52">
        <v>0.25</v>
      </c>
      <c r="O13" s="52">
        <v>0.66669999999999996</v>
      </c>
      <c r="Q13" s="53">
        <f t="shared" si="5"/>
        <v>0</v>
      </c>
      <c r="R13" s="53">
        <f t="shared" si="5"/>
        <v>17280</v>
      </c>
      <c r="S13" s="53">
        <f t="shared" si="5"/>
        <v>5760</v>
      </c>
      <c r="T13" s="53">
        <f t="shared" si="5"/>
        <v>15360.767999999998</v>
      </c>
      <c r="V13" s="54">
        <f t="shared" si="6"/>
        <v>0</v>
      </c>
      <c r="W13" s="55">
        <f t="shared" si="7"/>
        <v>36</v>
      </c>
      <c r="X13" s="55">
        <f t="shared" si="8"/>
        <v>12</v>
      </c>
      <c r="Y13" s="55">
        <f t="shared" si="9"/>
        <v>32.001599999999996</v>
      </c>
    </row>
    <row r="14" spans="1:25" ht="25.5">
      <c r="A14" s="57" t="s">
        <v>74</v>
      </c>
      <c r="B14" s="56" t="s">
        <v>168</v>
      </c>
      <c r="C14" s="39" t="s">
        <v>16</v>
      </c>
      <c r="D14" s="40">
        <v>0</v>
      </c>
      <c r="E14" s="41">
        <v>1</v>
      </c>
      <c r="F14" s="42">
        <f t="shared" ref="F14" si="10">SUM(D14*E14)</f>
        <v>0</v>
      </c>
      <c r="G14" s="43">
        <v>1</v>
      </c>
      <c r="H14" s="48">
        <f t="shared" ref="H14" si="11">SUM(G14*F14)</f>
        <v>0</v>
      </c>
      <c r="I14" s="59">
        <v>60</v>
      </c>
      <c r="J14" s="60">
        <f t="shared" ref="J14" si="12">(H14)*(I14)</f>
        <v>0</v>
      </c>
      <c r="K14" s="45"/>
      <c r="L14" s="52">
        <v>0</v>
      </c>
      <c r="M14" s="52">
        <v>0.75</v>
      </c>
      <c r="N14" s="52">
        <v>0.25</v>
      </c>
      <c r="O14" s="52">
        <v>0.66669999999999996</v>
      </c>
      <c r="Q14" s="53">
        <f t="shared" ref="Q14" si="13">+$J14*L14</f>
        <v>0</v>
      </c>
      <c r="R14" s="53">
        <f t="shared" ref="R14" si="14">+$J14*M14</f>
        <v>0</v>
      </c>
      <c r="S14" s="53">
        <f t="shared" ref="S14" si="15">+$J14*N14</f>
        <v>0</v>
      </c>
      <c r="T14" s="53">
        <f t="shared" ref="T14" si="16">+$J14*O14</f>
        <v>0</v>
      </c>
      <c r="V14" s="54">
        <f t="shared" ref="V14" si="17">+$D14*L14</f>
        <v>0</v>
      </c>
      <c r="W14" s="55">
        <f t="shared" ref="W14" si="18">+$D14*M14</f>
        <v>0</v>
      </c>
      <c r="X14" s="55">
        <f t="shared" ref="X14" si="19">+$D14*N14</f>
        <v>0</v>
      </c>
      <c r="Y14" s="55">
        <f t="shared" ref="Y14" si="20">+$D14*O14</f>
        <v>0</v>
      </c>
    </row>
    <row r="15" spans="1:25" ht="25.5">
      <c r="A15" s="57" t="s">
        <v>178</v>
      </c>
      <c r="B15" s="56" t="s">
        <v>169</v>
      </c>
      <c r="C15" s="39" t="s">
        <v>16</v>
      </c>
      <c r="D15" s="40">
        <f>SUM(C62)</f>
        <v>12</v>
      </c>
      <c r="E15" s="41">
        <v>1</v>
      </c>
      <c r="F15" s="42">
        <f t="shared" si="2"/>
        <v>12</v>
      </c>
      <c r="G15" s="43">
        <v>8</v>
      </c>
      <c r="H15" s="48">
        <f t="shared" si="3"/>
        <v>96</v>
      </c>
      <c r="I15" s="59">
        <v>60</v>
      </c>
      <c r="J15" s="60">
        <f t="shared" si="4"/>
        <v>5760</v>
      </c>
      <c r="K15" s="45"/>
      <c r="L15" s="52">
        <v>0</v>
      </c>
      <c r="M15" s="52">
        <v>0.75</v>
      </c>
      <c r="N15" s="52">
        <v>0.25</v>
      </c>
      <c r="O15" s="52">
        <v>0.66669999999999996</v>
      </c>
      <c r="Q15" s="53">
        <f t="shared" si="5"/>
        <v>0</v>
      </c>
      <c r="R15" s="53">
        <f t="shared" si="5"/>
        <v>4320</v>
      </c>
      <c r="S15" s="53">
        <f t="shared" si="5"/>
        <v>1440</v>
      </c>
      <c r="T15" s="53">
        <f t="shared" si="5"/>
        <v>3840.1919999999996</v>
      </c>
      <c r="V15" s="54">
        <f t="shared" si="6"/>
        <v>0</v>
      </c>
      <c r="W15" s="55">
        <f t="shared" si="7"/>
        <v>9</v>
      </c>
      <c r="X15" s="55">
        <f t="shared" si="8"/>
        <v>3</v>
      </c>
      <c r="Y15" s="55">
        <f t="shared" si="9"/>
        <v>8.0003999999999991</v>
      </c>
    </row>
    <row r="16" spans="1:25" ht="25.5">
      <c r="A16" s="57" t="s">
        <v>178</v>
      </c>
      <c r="B16" s="56" t="s">
        <v>170</v>
      </c>
      <c r="C16" s="39" t="s">
        <v>16</v>
      </c>
      <c r="D16" s="40">
        <v>0</v>
      </c>
      <c r="E16" s="41">
        <v>1</v>
      </c>
      <c r="F16" s="42">
        <f t="shared" ref="F16" si="21">SUM(D16*E16)</f>
        <v>0</v>
      </c>
      <c r="G16" s="43">
        <v>1</v>
      </c>
      <c r="H16" s="48">
        <f t="shared" ref="H16" si="22">SUM(G16*F16)</f>
        <v>0</v>
      </c>
      <c r="I16" s="59">
        <v>60</v>
      </c>
      <c r="J16" s="60">
        <f t="shared" ref="J16" si="23">(H16)*(I16)</f>
        <v>0</v>
      </c>
      <c r="K16" s="45"/>
      <c r="L16" s="52">
        <v>0</v>
      </c>
      <c r="M16" s="52">
        <v>0.75</v>
      </c>
      <c r="N16" s="52">
        <v>0.25</v>
      </c>
      <c r="O16" s="52">
        <v>0.66669999999999996</v>
      </c>
      <c r="Q16" s="53">
        <f t="shared" ref="Q16" si="24">+$J16*L16</f>
        <v>0</v>
      </c>
      <c r="R16" s="53">
        <f t="shared" ref="R16" si="25">+$J16*M16</f>
        <v>0</v>
      </c>
      <c r="S16" s="53">
        <f t="shared" ref="S16" si="26">+$J16*N16</f>
        <v>0</v>
      </c>
      <c r="T16" s="53">
        <f t="shared" ref="T16" si="27">+$J16*O16</f>
        <v>0</v>
      </c>
      <c r="V16" s="54">
        <f t="shared" ref="V16" si="28">+$D16*L16</f>
        <v>0</v>
      </c>
      <c r="W16" s="55">
        <f t="shared" ref="W16" si="29">+$D16*M16</f>
        <v>0</v>
      </c>
      <c r="X16" s="55">
        <f t="shared" ref="X16" si="30">+$D16*N16</f>
        <v>0</v>
      </c>
      <c r="Y16" s="55">
        <f t="shared" ref="Y16" si="31">+$D16*O16</f>
        <v>0</v>
      </c>
    </row>
    <row r="17" spans="1:25" ht="25.5">
      <c r="A17" s="57" t="s">
        <v>75</v>
      </c>
      <c r="B17" s="56" t="s">
        <v>124</v>
      </c>
      <c r="C17" s="39" t="s">
        <v>16</v>
      </c>
      <c r="D17" s="40">
        <f>C65</f>
        <v>7</v>
      </c>
      <c r="E17" s="41">
        <v>1</v>
      </c>
      <c r="F17" s="42">
        <f t="shared" si="2"/>
        <v>7</v>
      </c>
      <c r="G17" s="43">
        <v>6</v>
      </c>
      <c r="H17" s="48">
        <f t="shared" si="3"/>
        <v>42</v>
      </c>
      <c r="I17" s="59">
        <v>60</v>
      </c>
      <c r="J17" s="60">
        <f t="shared" si="4"/>
        <v>2520</v>
      </c>
      <c r="K17" s="45"/>
      <c r="L17" s="52">
        <v>0</v>
      </c>
      <c r="M17" s="52">
        <v>0.75</v>
      </c>
      <c r="N17" s="52">
        <v>0.25</v>
      </c>
      <c r="O17" s="52">
        <v>0.66669999999999996</v>
      </c>
      <c r="Q17" s="53">
        <f t="shared" ref="Q17:Q24" si="32">+$J17*L17</f>
        <v>0</v>
      </c>
      <c r="R17" s="53">
        <f t="shared" ref="R17:R24" si="33">+$J17*M17</f>
        <v>1890</v>
      </c>
      <c r="S17" s="53">
        <f t="shared" ref="S17:S24" si="34">+$J17*N17</f>
        <v>630</v>
      </c>
      <c r="T17" s="53">
        <f t="shared" ref="T17:T24" si="35">+$J17*O17</f>
        <v>1680.0839999999998</v>
      </c>
      <c r="V17" s="54">
        <f t="shared" si="6"/>
        <v>0</v>
      </c>
      <c r="W17" s="55">
        <f t="shared" si="7"/>
        <v>5.25</v>
      </c>
      <c r="X17" s="55">
        <f t="shared" si="8"/>
        <v>1.75</v>
      </c>
      <c r="Y17" s="55">
        <f t="shared" si="9"/>
        <v>4.6669</v>
      </c>
    </row>
    <row r="18" spans="1:25" ht="25.5">
      <c r="A18" s="57" t="s">
        <v>76</v>
      </c>
      <c r="B18" s="56" t="s">
        <v>125</v>
      </c>
      <c r="C18" s="39" t="s">
        <v>16</v>
      </c>
      <c r="D18" s="40">
        <v>0</v>
      </c>
      <c r="E18" s="41">
        <v>1</v>
      </c>
      <c r="F18" s="42">
        <f t="shared" si="2"/>
        <v>0</v>
      </c>
      <c r="G18" s="43">
        <v>4</v>
      </c>
      <c r="H18" s="48">
        <f t="shared" si="3"/>
        <v>0</v>
      </c>
      <c r="I18" s="59">
        <v>60</v>
      </c>
      <c r="J18" s="60">
        <f t="shared" si="4"/>
        <v>0</v>
      </c>
      <c r="K18" s="45"/>
      <c r="L18" s="52">
        <v>0</v>
      </c>
      <c r="M18" s="52">
        <v>0.75</v>
      </c>
      <c r="N18" s="52">
        <v>0.25</v>
      </c>
      <c r="O18" s="52">
        <v>0.66669999999999996</v>
      </c>
      <c r="Q18" s="53">
        <f t="shared" si="32"/>
        <v>0</v>
      </c>
      <c r="R18" s="53">
        <f t="shared" si="33"/>
        <v>0</v>
      </c>
      <c r="S18" s="53">
        <f t="shared" si="34"/>
        <v>0</v>
      </c>
      <c r="T18" s="53">
        <f t="shared" si="35"/>
        <v>0</v>
      </c>
      <c r="V18" s="54">
        <f t="shared" si="6"/>
        <v>0</v>
      </c>
      <c r="W18" s="55">
        <f t="shared" si="7"/>
        <v>0</v>
      </c>
      <c r="X18" s="55">
        <f t="shared" si="8"/>
        <v>0</v>
      </c>
      <c r="Y18" s="55">
        <f t="shared" si="9"/>
        <v>0</v>
      </c>
    </row>
    <row r="19" spans="1:25">
      <c r="A19" s="57" t="s">
        <v>80</v>
      </c>
      <c r="B19" s="56" t="s">
        <v>79</v>
      </c>
      <c r="C19" s="39" t="s">
        <v>16</v>
      </c>
      <c r="D19" s="40">
        <f>SUM(D$63)</f>
        <v>53</v>
      </c>
      <c r="E19" s="41">
        <v>1</v>
      </c>
      <c r="F19" s="42">
        <f t="shared" si="2"/>
        <v>53</v>
      </c>
      <c r="G19" s="43">
        <v>1</v>
      </c>
      <c r="H19" s="48">
        <f t="shared" si="3"/>
        <v>53</v>
      </c>
      <c r="I19" s="59">
        <v>60</v>
      </c>
      <c r="J19" s="60">
        <f t="shared" si="4"/>
        <v>3180</v>
      </c>
      <c r="K19" s="45"/>
      <c r="L19" s="52">
        <v>0</v>
      </c>
      <c r="M19" s="52">
        <v>0.75</v>
      </c>
      <c r="N19" s="52">
        <v>0.25</v>
      </c>
      <c r="O19" s="52">
        <v>0.66669999999999996</v>
      </c>
      <c r="Q19" s="53">
        <f t="shared" si="32"/>
        <v>0</v>
      </c>
      <c r="R19" s="53">
        <f t="shared" si="33"/>
        <v>2385</v>
      </c>
      <c r="S19" s="53">
        <f t="shared" si="34"/>
        <v>795</v>
      </c>
      <c r="T19" s="53">
        <f t="shared" si="35"/>
        <v>2120.1059999999998</v>
      </c>
      <c r="V19" s="54">
        <f t="shared" si="6"/>
        <v>0</v>
      </c>
      <c r="W19" s="55">
        <f t="shared" si="7"/>
        <v>39.75</v>
      </c>
      <c r="X19" s="55">
        <f t="shared" si="8"/>
        <v>13.25</v>
      </c>
      <c r="Y19" s="55">
        <f t="shared" si="9"/>
        <v>35.335099999999997</v>
      </c>
    </row>
    <row r="20" spans="1:25">
      <c r="A20" s="57" t="s">
        <v>81</v>
      </c>
      <c r="B20" s="56" t="s">
        <v>82</v>
      </c>
      <c r="C20" s="39" t="s">
        <v>16</v>
      </c>
      <c r="D20" s="40">
        <f>SUM(D$63)</f>
        <v>53</v>
      </c>
      <c r="E20" s="41">
        <v>1</v>
      </c>
      <c r="F20" s="42">
        <f t="shared" si="2"/>
        <v>53</v>
      </c>
      <c r="G20" s="43">
        <v>0.5</v>
      </c>
      <c r="H20" s="48">
        <f t="shared" si="3"/>
        <v>26.5</v>
      </c>
      <c r="I20" s="59">
        <v>60</v>
      </c>
      <c r="J20" s="60">
        <f t="shared" si="4"/>
        <v>1590</v>
      </c>
      <c r="K20" s="45"/>
      <c r="L20" s="52">
        <v>0</v>
      </c>
      <c r="M20" s="52">
        <v>0.75</v>
      </c>
      <c r="N20" s="52">
        <v>0.25</v>
      </c>
      <c r="O20" s="52">
        <v>0.66669999999999996</v>
      </c>
      <c r="Q20" s="53">
        <f t="shared" si="32"/>
        <v>0</v>
      </c>
      <c r="R20" s="53">
        <f t="shared" si="33"/>
        <v>1192.5</v>
      </c>
      <c r="S20" s="53">
        <f t="shared" si="34"/>
        <v>397.5</v>
      </c>
      <c r="T20" s="53">
        <f t="shared" si="35"/>
        <v>1060.0529999999999</v>
      </c>
      <c r="V20" s="54">
        <f t="shared" si="6"/>
        <v>0</v>
      </c>
      <c r="W20" s="55">
        <f t="shared" si="7"/>
        <v>39.75</v>
      </c>
      <c r="X20" s="55">
        <f t="shared" si="8"/>
        <v>13.25</v>
      </c>
      <c r="Y20" s="55">
        <f t="shared" si="9"/>
        <v>35.335099999999997</v>
      </c>
    </row>
    <row r="21" spans="1:25">
      <c r="A21" s="57"/>
      <c r="B21" s="58" t="s">
        <v>50</v>
      </c>
      <c r="C21" s="39"/>
      <c r="D21" s="40"/>
      <c r="E21" s="41"/>
      <c r="F21" s="42"/>
      <c r="G21" s="43"/>
      <c r="H21" s="48"/>
      <c r="I21" s="59"/>
      <c r="J21" s="60"/>
      <c r="K21" s="45"/>
      <c r="L21" s="52"/>
      <c r="M21" s="52"/>
      <c r="N21" s="52"/>
      <c r="O21" s="52"/>
      <c r="Q21" s="53"/>
      <c r="R21" s="53"/>
      <c r="S21" s="53"/>
      <c r="T21" s="53"/>
      <c r="V21" s="54">
        <f t="shared" si="6"/>
        <v>0</v>
      </c>
      <c r="W21" s="55">
        <f t="shared" si="7"/>
        <v>0</v>
      </c>
      <c r="X21" s="55">
        <f t="shared" si="8"/>
        <v>0</v>
      </c>
      <c r="Y21" s="55">
        <f t="shared" si="9"/>
        <v>0</v>
      </c>
    </row>
    <row r="22" spans="1:25">
      <c r="A22" s="37" t="s">
        <v>179</v>
      </c>
      <c r="B22" s="56" t="s">
        <v>46</v>
      </c>
      <c r="C22" s="39" t="s">
        <v>16</v>
      </c>
      <c r="D22" s="40">
        <f>SUM(C$63)</f>
        <v>60</v>
      </c>
      <c r="E22" s="39">
        <v>1</v>
      </c>
      <c r="F22" s="42">
        <f t="shared" si="2"/>
        <v>60</v>
      </c>
      <c r="G22" s="94">
        <v>1</v>
      </c>
      <c r="H22" s="48">
        <f t="shared" si="3"/>
        <v>60</v>
      </c>
      <c r="I22" s="59">
        <v>60</v>
      </c>
      <c r="J22" s="60">
        <f t="shared" si="4"/>
        <v>3600</v>
      </c>
      <c r="K22" s="89"/>
      <c r="L22" s="52">
        <v>0</v>
      </c>
      <c r="M22" s="52">
        <v>0.75</v>
      </c>
      <c r="N22" s="52">
        <v>0.25</v>
      </c>
      <c r="O22" s="52">
        <v>0.66669999999999996</v>
      </c>
      <c r="Q22" s="53">
        <f t="shared" si="32"/>
        <v>0</v>
      </c>
      <c r="R22" s="53">
        <f t="shared" si="33"/>
        <v>2700</v>
      </c>
      <c r="S22" s="53">
        <f t="shared" si="34"/>
        <v>900</v>
      </c>
      <c r="T22" s="53">
        <f t="shared" si="35"/>
        <v>2400.12</v>
      </c>
      <c r="V22" s="54">
        <f t="shared" si="6"/>
        <v>0</v>
      </c>
      <c r="W22" s="55">
        <f t="shared" si="7"/>
        <v>45</v>
      </c>
      <c r="X22" s="55">
        <f t="shared" si="8"/>
        <v>15</v>
      </c>
      <c r="Y22" s="55">
        <f t="shared" si="9"/>
        <v>40.001999999999995</v>
      </c>
    </row>
    <row r="23" spans="1:25">
      <c r="A23" s="37"/>
      <c r="B23" s="58" t="s">
        <v>51</v>
      </c>
      <c r="C23" s="39"/>
      <c r="D23" s="61"/>
      <c r="E23" s="41"/>
      <c r="F23" s="42"/>
      <c r="G23" s="43"/>
      <c r="H23" s="48"/>
      <c r="I23" s="59"/>
      <c r="J23" s="60"/>
      <c r="K23" s="45"/>
      <c r="L23" s="52"/>
      <c r="M23" s="52"/>
      <c r="N23" s="52"/>
      <c r="O23" s="52"/>
      <c r="Q23" s="53"/>
      <c r="R23" s="53"/>
      <c r="S23" s="53"/>
      <c r="T23" s="53"/>
      <c r="V23" s="54"/>
      <c r="W23" s="55"/>
      <c r="X23" s="55"/>
      <c r="Y23" s="55"/>
    </row>
    <row r="24" spans="1:25">
      <c r="A24" s="57">
        <v>304</v>
      </c>
      <c r="B24" s="56" t="s">
        <v>47</v>
      </c>
      <c r="C24" s="39" t="s">
        <v>16</v>
      </c>
      <c r="D24" s="61">
        <v>5</v>
      </c>
      <c r="E24" s="41">
        <v>1</v>
      </c>
      <c r="F24" s="42">
        <f t="shared" si="2"/>
        <v>5</v>
      </c>
      <c r="G24" s="43">
        <v>2</v>
      </c>
      <c r="H24" s="48">
        <f t="shared" si="3"/>
        <v>10</v>
      </c>
      <c r="I24" s="59">
        <v>60</v>
      </c>
      <c r="J24" s="60">
        <f t="shared" si="4"/>
        <v>600</v>
      </c>
      <c r="K24" s="45"/>
      <c r="L24" s="52">
        <v>0</v>
      </c>
      <c r="M24" s="52">
        <v>0.75</v>
      </c>
      <c r="N24" s="52">
        <v>0.25</v>
      </c>
      <c r="O24" s="52">
        <v>0.66669999999999996</v>
      </c>
      <c r="Q24" s="53">
        <f t="shared" si="32"/>
        <v>0</v>
      </c>
      <c r="R24" s="53">
        <f t="shared" si="33"/>
        <v>450</v>
      </c>
      <c r="S24" s="53">
        <f t="shared" si="34"/>
        <v>150</v>
      </c>
      <c r="T24" s="53">
        <f t="shared" si="35"/>
        <v>400.02</v>
      </c>
      <c r="V24" s="54">
        <f t="shared" si="6"/>
        <v>0</v>
      </c>
      <c r="W24" s="55">
        <f t="shared" si="7"/>
        <v>3.75</v>
      </c>
      <c r="X24" s="55">
        <f t="shared" si="8"/>
        <v>1.25</v>
      </c>
      <c r="Y24" s="55">
        <f t="shared" si="9"/>
        <v>3.3334999999999999</v>
      </c>
    </row>
    <row r="25" spans="1:25">
      <c r="A25" s="37"/>
      <c r="B25" s="62" t="s">
        <v>38</v>
      </c>
      <c r="C25" s="63"/>
      <c r="D25" s="65">
        <f>SUM(D11)</f>
        <v>60</v>
      </c>
      <c r="E25" s="64"/>
      <c r="F25" s="65">
        <f>SUM(F7:F24)</f>
        <v>625</v>
      </c>
      <c r="G25" s="66"/>
      <c r="H25" s="67">
        <f>SUM(H7:H24)</f>
        <v>2405.5</v>
      </c>
      <c r="I25" s="68"/>
      <c r="J25" s="69">
        <f>SUM(J7:J24)</f>
        <v>144330</v>
      </c>
      <c r="K25" s="45"/>
      <c r="L25" s="52"/>
      <c r="M25" s="52"/>
      <c r="N25" s="52"/>
      <c r="O25" s="52"/>
      <c r="Q25" s="53"/>
      <c r="R25" s="53"/>
      <c r="S25" s="53"/>
      <c r="T25" s="53"/>
      <c r="V25" s="54"/>
      <c r="W25" s="55"/>
      <c r="X25" s="55"/>
      <c r="Y25" s="55"/>
    </row>
    <row r="26" spans="1:25">
      <c r="A26" s="37"/>
      <c r="D26" s="37"/>
      <c r="E26" s="37"/>
      <c r="F26" s="37"/>
      <c r="H26" s="71"/>
      <c r="I26" s="72"/>
      <c r="J26" s="37"/>
      <c r="K26" s="73"/>
      <c r="L26" s="52"/>
      <c r="M26" s="52"/>
      <c r="N26" s="52"/>
      <c r="O26" s="52"/>
      <c r="Q26" s="53"/>
      <c r="R26" s="53"/>
      <c r="S26" s="53"/>
      <c r="T26" s="53"/>
      <c r="V26" s="54"/>
      <c r="W26" s="55"/>
      <c r="X26" s="55"/>
      <c r="Y26" s="55"/>
    </row>
    <row r="27" spans="1:25">
      <c r="A27" s="37"/>
      <c r="B27" s="74" t="s">
        <v>55</v>
      </c>
      <c r="C27" s="18"/>
      <c r="D27" s="75"/>
      <c r="E27" s="75"/>
      <c r="F27" s="75"/>
      <c r="G27" s="66"/>
      <c r="H27" s="76"/>
      <c r="I27" s="69"/>
      <c r="J27" s="69"/>
      <c r="K27" s="73"/>
      <c r="L27" s="52"/>
      <c r="M27" s="52"/>
      <c r="N27" s="52"/>
      <c r="O27" s="52"/>
      <c r="Q27" s="53"/>
      <c r="R27" s="53"/>
      <c r="S27" s="53"/>
      <c r="T27" s="53"/>
      <c r="V27" s="54"/>
      <c r="W27" s="55"/>
      <c r="X27" s="55"/>
      <c r="Y27" s="55"/>
    </row>
    <row r="28" spans="1:25" ht="42.75" customHeight="1">
      <c r="A28" s="37" t="s">
        <v>180</v>
      </c>
      <c r="B28" s="56" t="s">
        <v>19</v>
      </c>
      <c r="C28" s="39" t="s">
        <v>20</v>
      </c>
      <c r="D28" s="40">
        <f>SUM(C$63)</f>
        <v>60</v>
      </c>
      <c r="E28" s="41">
        <v>1</v>
      </c>
      <c r="F28" s="42">
        <f>SUM(D28*E28)</f>
        <v>60</v>
      </c>
      <c r="G28" s="95">
        <v>0.25</v>
      </c>
      <c r="H28" s="48">
        <f>SUM(G28*F28)</f>
        <v>15</v>
      </c>
      <c r="I28" s="59">
        <v>60</v>
      </c>
      <c r="J28" s="60">
        <f>(H28)*(I28)</f>
        <v>900</v>
      </c>
      <c r="K28" s="73"/>
      <c r="L28" s="52">
        <v>0</v>
      </c>
      <c r="M28" s="52">
        <v>0.75</v>
      </c>
      <c r="N28" s="52">
        <v>0.25</v>
      </c>
      <c r="O28" s="52">
        <v>0.66669999999999996</v>
      </c>
      <c r="Q28" s="53">
        <f t="shared" ref="Q28:T37" si="36">+$J28*L28</f>
        <v>0</v>
      </c>
      <c r="R28" s="53">
        <f t="shared" si="36"/>
        <v>675</v>
      </c>
      <c r="S28" s="53">
        <f t="shared" si="36"/>
        <v>225</v>
      </c>
      <c r="T28" s="53">
        <f t="shared" si="36"/>
        <v>600.03</v>
      </c>
      <c r="V28" s="54">
        <f t="shared" ref="V28:Y37" si="37">+$D28*L28</f>
        <v>0</v>
      </c>
      <c r="W28" s="55">
        <f t="shared" si="37"/>
        <v>45</v>
      </c>
      <c r="X28" s="55">
        <f t="shared" si="37"/>
        <v>15</v>
      </c>
      <c r="Y28" s="55">
        <f t="shared" si="37"/>
        <v>40.001999999999995</v>
      </c>
    </row>
    <row r="29" spans="1:25" ht="13.5" customHeight="1">
      <c r="A29" s="37" t="s">
        <v>181</v>
      </c>
      <c r="B29" s="56" t="s">
        <v>84</v>
      </c>
      <c r="C29" s="39" t="s">
        <v>83</v>
      </c>
      <c r="D29" s="40">
        <f>SUM(C$63)</f>
        <v>60</v>
      </c>
      <c r="E29" s="41">
        <v>1</v>
      </c>
      <c r="F29" s="42">
        <f>SUM(D29*E29)</f>
        <v>60</v>
      </c>
      <c r="G29" s="95">
        <v>8</v>
      </c>
      <c r="H29" s="48">
        <f>SUM(G29*F29)</f>
        <v>480</v>
      </c>
      <c r="I29" s="59">
        <v>60</v>
      </c>
      <c r="J29" s="60">
        <f>(H29)*(I29)</f>
        <v>28800</v>
      </c>
      <c r="K29" s="73"/>
      <c r="L29" s="52">
        <v>0</v>
      </c>
      <c r="M29" s="52">
        <v>0.75</v>
      </c>
      <c r="N29" s="52">
        <v>0.25</v>
      </c>
      <c r="O29" s="52">
        <v>0.66669999999999996</v>
      </c>
      <c r="Q29" s="53">
        <f t="shared" si="36"/>
        <v>0</v>
      </c>
      <c r="R29" s="53">
        <f t="shared" si="36"/>
        <v>21600</v>
      </c>
      <c r="S29" s="53">
        <f t="shared" si="36"/>
        <v>7200</v>
      </c>
      <c r="T29" s="53">
        <f t="shared" si="36"/>
        <v>19200.96</v>
      </c>
      <c r="V29" s="54">
        <f t="shared" si="37"/>
        <v>0</v>
      </c>
      <c r="W29" s="55">
        <f t="shared" si="37"/>
        <v>45</v>
      </c>
      <c r="X29" s="55">
        <f t="shared" si="37"/>
        <v>15</v>
      </c>
      <c r="Y29" s="55">
        <f t="shared" si="37"/>
        <v>40.001999999999995</v>
      </c>
    </row>
    <row r="30" spans="1:25" ht="13.5" customHeight="1">
      <c r="A30" s="37" t="s">
        <v>182</v>
      </c>
      <c r="B30" s="56" t="s">
        <v>126</v>
      </c>
      <c r="C30" s="39" t="s">
        <v>127</v>
      </c>
      <c r="D30" s="40">
        <f t="shared" ref="D30:D37" si="38">SUM(D$63)</f>
        <v>53</v>
      </c>
      <c r="E30" s="41">
        <v>1</v>
      </c>
      <c r="F30" s="42">
        <f t="shared" ref="F30:F35" si="39">SUM(D30*E30)</f>
        <v>53</v>
      </c>
      <c r="G30" s="95">
        <v>0.1</v>
      </c>
      <c r="H30" s="48">
        <f t="shared" ref="H30:H35" si="40">SUM(G30*F30)</f>
        <v>5.3000000000000007</v>
      </c>
      <c r="I30" s="59">
        <v>60</v>
      </c>
      <c r="J30" s="60">
        <f t="shared" ref="J30:J35" si="41">(H30)*(I30)</f>
        <v>318.00000000000006</v>
      </c>
      <c r="K30" s="73"/>
      <c r="L30" s="52">
        <v>0</v>
      </c>
      <c r="M30" s="52">
        <v>0.75</v>
      </c>
      <c r="N30" s="52">
        <v>0.25</v>
      </c>
      <c r="O30" s="52">
        <v>0.66669999999999996</v>
      </c>
      <c r="Q30" s="53">
        <f t="shared" ref="Q30:Q35" si="42">+$J30*L30</f>
        <v>0</v>
      </c>
      <c r="R30" s="53">
        <f t="shared" ref="R30:R35" si="43">+$J30*M30</f>
        <v>238.50000000000006</v>
      </c>
      <c r="S30" s="53">
        <f t="shared" ref="S30:S35" si="44">+$J30*N30</f>
        <v>79.500000000000014</v>
      </c>
      <c r="T30" s="53">
        <f t="shared" ref="T30:T35" si="45">+$J30*O30</f>
        <v>212.01060000000001</v>
      </c>
      <c r="V30" s="54">
        <f t="shared" ref="V30:V35" si="46">+$D30*L30</f>
        <v>0</v>
      </c>
      <c r="W30" s="55">
        <f t="shared" ref="W30:W35" si="47">+$D30*M30</f>
        <v>39.75</v>
      </c>
      <c r="X30" s="55">
        <f t="shared" ref="X30:X35" si="48">+$D30*N30</f>
        <v>13.25</v>
      </c>
      <c r="Y30" s="55">
        <f t="shared" ref="Y30:Y35" si="49">+$D30*O30</f>
        <v>35.335099999999997</v>
      </c>
    </row>
    <row r="31" spans="1:25" ht="13.5" customHeight="1">
      <c r="A31" s="37" t="s">
        <v>138</v>
      </c>
      <c r="B31" s="56" t="s">
        <v>190</v>
      </c>
      <c r="C31" s="120" t="s">
        <v>189</v>
      </c>
      <c r="D31" s="40">
        <f t="shared" si="38"/>
        <v>53</v>
      </c>
      <c r="E31" s="41">
        <v>2</v>
      </c>
      <c r="F31" s="42">
        <f t="shared" ref="F31" si="50">SUM(D31*E31)</f>
        <v>106</v>
      </c>
      <c r="G31" s="95">
        <v>0.25</v>
      </c>
      <c r="H31" s="48">
        <f t="shared" ref="H31" si="51">SUM(G31*F31)</f>
        <v>26.5</v>
      </c>
      <c r="I31" s="59">
        <v>60</v>
      </c>
      <c r="J31" s="60">
        <f t="shared" ref="J31" si="52">(H31)*(I31)</f>
        <v>1590</v>
      </c>
      <c r="K31" s="73"/>
      <c r="L31" s="52">
        <v>0</v>
      </c>
      <c r="M31" s="52">
        <v>0.75</v>
      </c>
      <c r="N31" s="52">
        <v>0.25</v>
      </c>
      <c r="O31" s="52">
        <v>0.66669999999999996</v>
      </c>
      <c r="Q31" s="53">
        <f t="shared" ref="Q31" si="53">+$J31*L31</f>
        <v>0</v>
      </c>
      <c r="R31" s="53">
        <f t="shared" ref="R31" si="54">+$J31*M31</f>
        <v>1192.5</v>
      </c>
      <c r="S31" s="53">
        <f t="shared" ref="S31" si="55">+$J31*N31</f>
        <v>397.5</v>
      </c>
      <c r="T31" s="53">
        <f t="shared" ref="T31" si="56">+$J31*O31</f>
        <v>1060.0529999999999</v>
      </c>
      <c r="V31" s="54"/>
      <c r="W31" s="55"/>
      <c r="X31" s="55"/>
      <c r="Y31" s="55"/>
    </row>
    <row r="32" spans="1:25" ht="13.5" customHeight="1">
      <c r="A32" s="37" t="s">
        <v>137</v>
      </c>
      <c r="B32" s="56" t="s">
        <v>132</v>
      </c>
      <c r="C32" s="39" t="s">
        <v>131</v>
      </c>
      <c r="D32" s="40">
        <f t="shared" si="38"/>
        <v>53</v>
      </c>
      <c r="E32" s="41">
        <v>1</v>
      </c>
      <c r="F32" s="42">
        <f t="shared" si="39"/>
        <v>53</v>
      </c>
      <c r="G32" s="95">
        <v>1</v>
      </c>
      <c r="H32" s="48">
        <f t="shared" si="40"/>
        <v>53</v>
      </c>
      <c r="I32" s="59">
        <v>60</v>
      </c>
      <c r="J32" s="60">
        <f t="shared" si="41"/>
        <v>3180</v>
      </c>
      <c r="K32" s="73"/>
      <c r="L32" s="52">
        <v>0</v>
      </c>
      <c r="M32" s="52">
        <v>0.75</v>
      </c>
      <c r="N32" s="52">
        <v>0.25</v>
      </c>
      <c r="O32" s="52">
        <v>0.66669999999999996</v>
      </c>
      <c r="Q32" s="53">
        <f t="shared" si="42"/>
        <v>0</v>
      </c>
      <c r="R32" s="53">
        <f t="shared" si="43"/>
        <v>2385</v>
      </c>
      <c r="S32" s="53">
        <f t="shared" si="44"/>
        <v>795</v>
      </c>
      <c r="T32" s="53">
        <f t="shared" si="45"/>
        <v>2120.1059999999998</v>
      </c>
      <c r="V32" s="54">
        <f t="shared" si="46"/>
        <v>0</v>
      </c>
      <c r="W32" s="55">
        <f t="shared" si="47"/>
        <v>39.75</v>
      </c>
      <c r="X32" s="55">
        <f t="shared" si="48"/>
        <v>13.25</v>
      </c>
      <c r="Y32" s="55">
        <f t="shared" si="49"/>
        <v>35.335099999999997</v>
      </c>
    </row>
    <row r="33" spans="1:25" ht="13.5" customHeight="1">
      <c r="A33" s="37" t="s">
        <v>136</v>
      </c>
      <c r="B33" s="78" t="s">
        <v>133</v>
      </c>
      <c r="C33" s="37" t="s">
        <v>134</v>
      </c>
      <c r="D33" s="40">
        <f t="shared" si="38"/>
        <v>53</v>
      </c>
      <c r="E33" s="41">
        <v>4</v>
      </c>
      <c r="F33" s="42">
        <f t="shared" si="39"/>
        <v>212</v>
      </c>
      <c r="G33" s="95">
        <v>4</v>
      </c>
      <c r="H33" s="48">
        <f t="shared" si="40"/>
        <v>848</v>
      </c>
      <c r="I33" s="59">
        <v>60</v>
      </c>
      <c r="J33" s="60">
        <f t="shared" si="41"/>
        <v>50880</v>
      </c>
      <c r="K33" s="73"/>
      <c r="L33" s="52">
        <v>0</v>
      </c>
      <c r="M33" s="52">
        <v>0.75</v>
      </c>
      <c r="N33" s="52">
        <v>0.25</v>
      </c>
      <c r="O33" s="52">
        <v>0.66669999999999996</v>
      </c>
      <c r="Q33" s="53">
        <f t="shared" si="42"/>
        <v>0</v>
      </c>
      <c r="R33" s="53">
        <f t="shared" si="43"/>
        <v>38160</v>
      </c>
      <c r="S33" s="53">
        <f t="shared" si="44"/>
        <v>12720</v>
      </c>
      <c r="T33" s="53">
        <f t="shared" si="45"/>
        <v>33921.695999999996</v>
      </c>
      <c r="V33" s="54">
        <f t="shared" si="46"/>
        <v>0</v>
      </c>
      <c r="W33" s="55">
        <f t="shared" si="47"/>
        <v>39.75</v>
      </c>
      <c r="X33" s="55">
        <f t="shared" si="48"/>
        <v>13.25</v>
      </c>
      <c r="Y33" s="55">
        <f t="shared" si="49"/>
        <v>35.335099999999997</v>
      </c>
    </row>
    <row r="34" spans="1:25" ht="13.5" customHeight="1">
      <c r="A34" s="37" t="s">
        <v>139</v>
      </c>
      <c r="B34" s="56" t="s">
        <v>128</v>
      </c>
      <c r="C34" s="39" t="s">
        <v>135</v>
      </c>
      <c r="D34" s="40">
        <f t="shared" si="38"/>
        <v>53</v>
      </c>
      <c r="E34" s="41">
        <v>1</v>
      </c>
      <c r="F34" s="42">
        <f t="shared" si="39"/>
        <v>53</v>
      </c>
      <c r="G34" s="95">
        <v>1.5</v>
      </c>
      <c r="H34" s="48">
        <f t="shared" si="40"/>
        <v>79.5</v>
      </c>
      <c r="I34" s="59">
        <v>60</v>
      </c>
      <c r="J34" s="60">
        <f t="shared" si="41"/>
        <v>4770</v>
      </c>
      <c r="K34" s="73"/>
      <c r="L34" s="52">
        <v>0</v>
      </c>
      <c r="M34" s="52">
        <v>0.75</v>
      </c>
      <c r="N34" s="52">
        <v>0.25</v>
      </c>
      <c r="O34" s="52">
        <v>0.66669999999999996</v>
      </c>
      <c r="Q34" s="53">
        <f t="shared" si="42"/>
        <v>0</v>
      </c>
      <c r="R34" s="53">
        <f t="shared" si="43"/>
        <v>3577.5</v>
      </c>
      <c r="S34" s="53">
        <f t="shared" si="44"/>
        <v>1192.5</v>
      </c>
      <c r="T34" s="53">
        <f t="shared" si="45"/>
        <v>3180.1589999999997</v>
      </c>
      <c r="V34" s="54">
        <f t="shared" si="46"/>
        <v>0</v>
      </c>
      <c r="W34" s="55">
        <f t="shared" si="47"/>
        <v>39.75</v>
      </c>
      <c r="X34" s="55">
        <f t="shared" si="48"/>
        <v>13.25</v>
      </c>
      <c r="Y34" s="55">
        <f t="shared" si="49"/>
        <v>35.335099999999997</v>
      </c>
    </row>
    <row r="35" spans="1:25" ht="13.5" customHeight="1">
      <c r="A35" s="37" t="s">
        <v>138</v>
      </c>
      <c r="B35" s="56" t="s">
        <v>129</v>
      </c>
      <c r="C35" s="39" t="s">
        <v>130</v>
      </c>
      <c r="D35" s="40">
        <f t="shared" si="38"/>
        <v>53</v>
      </c>
      <c r="E35" s="41">
        <v>1</v>
      </c>
      <c r="F35" s="42">
        <f t="shared" si="39"/>
        <v>53</v>
      </c>
      <c r="G35" s="95">
        <v>1.5</v>
      </c>
      <c r="H35" s="48">
        <f t="shared" si="40"/>
        <v>79.5</v>
      </c>
      <c r="I35" s="59">
        <v>60</v>
      </c>
      <c r="J35" s="60">
        <f t="shared" si="41"/>
        <v>4770</v>
      </c>
      <c r="K35" s="73"/>
      <c r="L35" s="52">
        <v>0</v>
      </c>
      <c r="M35" s="52">
        <v>0.75</v>
      </c>
      <c r="N35" s="52">
        <v>0.25</v>
      </c>
      <c r="O35" s="52">
        <v>0.66669999999999996</v>
      </c>
      <c r="Q35" s="53">
        <f t="shared" si="42"/>
        <v>0</v>
      </c>
      <c r="R35" s="53">
        <f t="shared" si="43"/>
        <v>3577.5</v>
      </c>
      <c r="S35" s="53">
        <f t="shared" si="44"/>
        <v>1192.5</v>
      </c>
      <c r="T35" s="53">
        <f t="shared" si="45"/>
        <v>3180.1589999999997</v>
      </c>
      <c r="V35" s="54">
        <f t="shared" si="46"/>
        <v>0</v>
      </c>
      <c r="W35" s="55">
        <f t="shared" si="47"/>
        <v>39.75</v>
      </c>
      <c r="X35" s="55">
        <f t="shared" si="48"/>
        <v>13.25</v>
      </c>
      <c r="Y35" s="55">
        <f t="shared" si="49"/>
        <v>35.335099999999997</v>
      </c>
    </row>
    <row r="36" spans="1:25" ht="40.5" customHeight="1">
      <c r="A36" s="37" t="s">
        <v>176</v>
      </c>
      <c r="B36" s="56" t="s">
        <v>201</v>
      </c>
      <c r="C36" s="39" t="s">
        <v>175</v>
      </c>
      <c r="D36" s="40">
        <f>SUM(D63+D65)</f>
        <v>60</v>
      </c>
      <c r="E36" s="41">
        <v>1</v>
      </c>
      <c r="F36" s="42">
        <f t="shared" ref="F36" si="57">SUM(D36*E36)</f>
        <v>60</v>
      </c>
      <c r="G36" s="95">
        <v>1</v>
      </c>
      <c r="H36" s="48">
        <f t="shared" ref="H36" si="58">SUM(G36*F36)</f>
        <v>60</v>
      </c>
      <c r="I36" s="59">
        <v>60</v>
      </c>
      <c r="J36" s="60">
        <f t="shared" ref="J36" si="59">(H36)*(I36)</f>
        <v>3600</v>
      </c>
      <c r="K36" s="73"/>
      <c r="L36" s="52">
        <v>0</v>
      </c>
      <c r="M36" s="52">
        <v>0.75</v>
      </c>
      <c r="N36" s="52">
        <v>0.25</v>
      </c>
      <c r="O36" s="52">
        <v>0.66669999999999996</v>
      </c>
      <c r="Q36" s="53">
        <f t="shared" ref="Q36" si="60">+$J36*L36</f>
        <v>0</v>
      </c>
      <c r="R36" s="53">
        <f t="shared" ref="R36" si="61">+$J36*M36</f>
        <v>2700</v>
      </c>
      <c r="S36" s="53">
        <f t="shared" ref="S36" si="62">+$J36*N36</f>
        <v>900</v>
      </c>
      <c r="T36" s="53">
        <f t="shared" ref="T36" si="63">+$J36*O36</f>
        <v>2400.12</v>
      </c>
      <c r="V36" s="54">
        <f t="shared" ref="V36" si="64">+$D36*L36</f>
        <v>0</v>
      </c>
      <c r="W36" s="55">
        <f t="shared" ref="W36" si="65">+$D36*M36</f>
        <v>45</v>
      </c>
      <c r="X36" s="55">
        <f t="shared" ref="X36" si="66">+$D36*N36</f>
        <v>15</v>
      </c>
      <c r="Y36" s="55">
        <f t="shared" ref="Y36" si="67">+$D36*O36</f>
        <v>40.001999999999995</v>
      </c>
    </row>
    <row r="37" spans="1:25" ht="13.5" customHeight="1">
      <c r="A37" s="37" t="s">
        <v>183</v>
      </c>
      <c r="B37" s="56" t="s">
        <v>69</v>
      </c>
      <c r="C37" s="39" t="s">
        <v>68</v>
      </c>
      <c r="D37" s="40">
        <f t="shared" si="38"/>
        <v>53</v>
      </c>
      <c r="E37" s="41">
        <v>1</v>
      </c>
      <c r="F37" s="42">
        <f>SUM(D37*E37)</f>
        <v>53</v>
      </c>
      <c r="G37" s="95">
        <v>0.25</v>
      </c>
      <c r="H37" s="48">
        <f>SUM(G37*F37)</f>
        <v>13.25</v>
      </c>
      <c r="I37" s="59">
        <v>60</v>
      </c>
      <c r="J37" s="60">
        <f>(H37)*(I37)</f>
        <v>795</v>
      </c>
      <c r="K37" s="73"/>
      <c r="L37" s="52">
        <v>0</v>
      </c>
      <c r="M37" s="52">
        <v>0.75</v>
      </c>
      <c r="N37" s="52">
        <v>0.25</v>
      </c>
      <c r="O37" s="52">
        <v>0.66669999999999996</v>
      </c>
      <c r="Q37" s="53">
        <f t="shared" si="36"/>
        <v>0</v>
      </c>
      <c r="R37" s="53">
        <f t="shared" si="36"/>
        <v>596.25</v>
      </c>
      <c r="S37" s="53">
        <f t="shared" si="36"/>
        <v>198.75</v>
      </c>
      <c r="T37" s="53">
        <f t="shared" si="36"/>
        <v>530.02649999999994</v>
      </c>
      <c r="V37" s="54">
        <f t="shared" si="37"/>
        <v>0</v>
      </c>
      <c r="W37" s="55">
        <f t="shared" si="37"/>
        <v>39.75</v>
      </c>
      <c r="X37" s="55">
        <f t="shared" si="37"/>
        <v>13.25</v>
      </c>
      <c r="Y37" s="55">
        <f t="shared" si="37"/>
        <v>35.335099999999997</v>
      </c>
    </row>
    <row r="38" spans="1:25">
      <c r="A38" s="37"/>
      <c r="B38" s="62" t="s">
        <v>38</v>
      </c>
      <c r="C38" s="18"/>
      <c r="D38" s="105">
        <f>SUM(D28)</f>
        <v>60</v>
      </c>
      <c r="E38" s="75"/>
      <c r="F38" s="75">
        <f>SUM(F28:F37)</f>
        <v>763</v>
      </c>
      <c r="G38" s="66"/>
      <c r="H38" s="76">
        <f>SUM(H28:H37)</f>
        <v>1660.05</v>
      </c>
      <c r="I38" s="77"/>
      <c r="J38" s="69">
        <f>SUM(J28:J37)</f>
        <v>99603</v>
      </c>
      <c r="K38" s="73"/>
      <c r="L38" s="52"/>
      <c r="M38" s="52"/>
      <c r="N38" s="52"/>
      <c r="O38" s="52"/>
      <c r="Q38" s="53"/>
      <c r="R38" s="53"/>
      <c r="S38" s="53"/>
      <c r="T38" s="53"/>
      <c r="V38" s="54"/>
      <c r="W38" s="55"/>
      <c r="X38" s="55"/>
      <c r="Y38" s="55"/>
    </row>
    <row r="39" spans="1:25">
      <c r="A39" s="37"/>
      <c r="B39" s="62"/>
      <c r="C39" s="18"/>
      <c r="D39" s="75"/>
      <c r="E39" s="75"/>
      <c r="F39" s="75"/>
      <c r="G39" s="66"/>
      <c r="H39" s="76"/>
      <c r="I39" s="77"/>
      <c r="J39" s="69"/>
      <c r="K39" s="73"/>
      <c r="L39" s="52"/>
      <c r="M39" s="52"/>
      <c r="N39" s="52"/>
      <c r="O39" s="52"/>
      <c r="Q39" s="53"/>
      <c r="R39" s="53"/>
      <c r="S39" s="53"/>
      <c r="T39" s="53"/>
      <c r="V39" s="54"/>
      <c r="W39" s="55"/>
      <c r="X39" s="55"/>
      <c r="Y39" s="55"/>
    </row>
    <row r="40" spans="1:25">
      <c r="A40" s="37"/>
      <c r="B40" s="74" t="s">
        <v>52</v>
      </c>
      <c r="C40" s="18"/>
      <c r="D40" s="65"/>
      <c r="E40" s="77"/>
      <c r="F40" s="65"/>
      <c r="G40" s="66"/>
      <c r="H40" s="67"/>
      <c r="I40" s="77"/>
      <c r="J40" s="75"/>
      <c r="K40" s="77"/>
      <c r="L40" s="52"/>
      <c r="M40" s="52"/>
      <c r="N40" s="52"/>
      <c r="O40" s="52"/>
      <c r="Q40" s="53"/>
      <c r="R40" s="53"/>
      <c r="S40" s="53"/>
      <c r="T40" s="53"/>
      <c r="V40" s="54"/>
      <c r="W40" s="55"/>
      <c r="X40" s="55"/>
      <c r="Y40" s="55"/>
    </row>
    <row r="41" spans="1:25">
      <c r="A41" s="37" t="s">
        <v>184</v>
      </c>
      <c r="B41" s="56" t="s">
        <v>15</v>
      </c>
      <c r="C41" s="39" t="s">
        <v>34</v>
      </c>
      <c r="D41" s="40">
        <f>SUM(C$63)</f>
        <v>60</v>
      </c>
      <c r="E41" s="41">
        <v>1</v>
      </c>
      <c r="F41" s="42">
        <f t="shared" ref="F41:F45" si="68">SUM(D41*E41)</f>
        <v>60</v>
      </c>
      <c r="G41" s="43">
        <v>1</v>
      </c>
      <c r="H41" s="48">
        <f t="shared" ref="H41:H45" si="69">SUM(G41*F41)</f>
        <v>60</v>
      </c>
      <c r="I41" s="59">
        <v>60</v>
      </c>
      <c r="J41" s="60">
        <f t="shared" ref="J41:J45" si="70">(H41)*(I41)</f>
        <v>3600</v>
      </c>
      <c r="K41" s="45"/>
      <c r="L41" s="52">
        <v>0</v>
      </c>
      <c r="M41" s="52">
        <v>0.75</v>
      </c>
      <c r="N41" s="52">
        <v>0.25</v>
      </c>
      <c r="O41" s="52">
        <v>0.66669999999999996</v>
      </c>
      <c r="Q41" s="53">
        <f t="shared" ref="Q41:T45" si="71">+$J41*L41</f>
        <v>0</v>
      </c>
      <c r="R41" s="53">
        <f t="shared" si="71"/>
        <v>2700</v>
      </c>
      <c r="S41" s="53">
        <f t="shared" si="71"/>
        <v>900</v>
      </c>
      <c r="T41" s="53">
        <f t="shared" si="71"/>
        <v>2400.12</v>
      </c>
      <c r="V41" s="54">
        <f t="shared" ref="V41:Y46" si="72">+$D41*L41</f>
        <v>0</v>
      </c>
      <c r="W41" s="55">
        <f t="shared" si="72"/>
        <v>45</v>
      </c>
      <c r="X41" s="55">
        <f t="shared" si="72"/>
        <v>15</v>
      </c>
      <c r="Y41" s="55">
        <f t="shared" si="72"/>
        <v>40.001999999999995</v>
      </c>
    </row>
    <row r="42" spans="1:25">
      <c r="A42" s="37" t="s">
        <v>185</v>
      </c>
      <c r="B42" s="78" t="s">
        <v>35</v>
      </c>
      <c r="C42" s="39" t="s">
        <v>33</v>
      </c>
      <c r="D42" s="40">
        <f>SUM(C$63)</f>
        <v>60</v>
      </c>
      <c r="E42" s="41">
        <v>1</v>
      </c>
      <c r="F42" s="42">
        <f t="shared" si="68"/>
        <v>60</v>
      </c>
      <c r="G42" s="43">
        <v>3</v>
      </c>
      <c r="H42" s="48">
        <f t="shared" si="69"/>
        <v>180</v>
      </c>
      <c r="I42" s="59">
        <v>60</v>
      </c>
      <c r="J42" s="60">
        <f t="shared" si="70"/>
        <v>10800</v>
      </c>
      <c r="K42" s="45"/>
      <c r="L42" s="52">
        <v>0</v>
      </c>
      <c r="M42" s="52">
        <v>0.75</v>
      </c>
      <c r="N42" s="52">
        <v>0.25</v>
      </c>
      <c r="O42" s="52">
        <v>0.66669999999999996</v>
      </c>
      <c r="Q42" s="53">
        <f t="shared" si="71"/>
        <v>0</v>
      </c>
      <c r="R42" s="53">
        <f t="shared" si="71"/>
        <v>8100</v>
      </c>
      <c r="S42" s="53">
        <f t="shared" si="71"/>
        <v>2700</v>
      </c>
      <c r="T42" s="53">
        <f t="shared" si="71"/>
        <v>7200.36</v>
      </c>
      <c r="V42" s="54">
        <f t="shared" si="72"/>
        <v>0</v>
      </c>
      <c r="W42" s="55">
        <f t="shared" si="72"/>
        <v>45</v>
      </c>
      <c r="X42" s="55">
        <f t="shared" si="72"/>
        <v>15</v>
      </c>
      <c r="Y42" s="55">
        <f t="shared" si="72"/>
        <v>40.001999999999995</v>
      </c>
    </row>
    <row r="43" spans="1:25">
      <c r="A43" s="37" t="s">
        <v>186</v>
      </c>
      <c r="B43" s="79" t="s">
        <v>36</v>
      </c>
      <c r="C43" s="39" t="s">
        <v>37</v>
      </c>
      <c r="D43" s="40">
        <f>SUM(C$63)</f>
        <v>60</v>
      </c>
      <c r="E43" s="80">
        <v>1</v>
      </c>
      <c r="F43" s="42">
        <f t="shared" si="68"/>
        <v>60</v>
      </c>
      <c r="G43" s="96">
        <v>0.25</v>
      </c>
      <c r="H43" s="48">
        <f t="shared" si="69"/>
        <v>15</v>
      </c>
      <c r="I43" s="59">
        <v>60</v>
      </c>
      <c r="J43" s="60">
        <f t="shared" si="70"/>
        <v>900</v>
      </c>
      <c r="K43" s="45"/>
      <c r="L43" s="52">
        <v>0</v>
      </c>
      <c r="M43" s="52">
        <v>0.75</v>
      </c>
      <c r="N43" s="52">
        <v>0.25</v>
      </c>
      <c r="O43" s="52">
        <v>0.66669999999999996</v>
      </c>
      <c r="Q43" s="53">
        <f t="shared" si="71"/>
        <v>0</v>
      </c>
      <c r="R43" s="53">
        <f t="shared" si="71"/>
        <v>675</v>
      </c>
      <c r="S43" s="53">
        <f t="shared" si="71"/>
        <v>225</v>
      </c>
      <c r="T43" s="53">
        <f t="shared" si="71"/>
        <v>600.03</v>
      </c>
      <c r="V43" s="54">
        <f t="shared" si="72"/>
        <v>0</v>
      </c>
      <c r="W43" s="55">
        <f t="shared" si="72"/>
        <v>45</v>
      </c>
      <c r="X43" s="55">
        <f t="shared" si="72"/>
        <v>15</v>
      </c>
      <c r="Y43" s="55">
        <f t="shared" si="72"/>
        <v>40.001999999999995</v>
      </c>
    </row>
    <row r="44" spans="1:25">
      <c r="A44" s="37" t="s">
        <v>188</v>
      </c>
      <c r="B44" s="56" t="s">
        <v>77</v>
      </c>
      <c r="C44" s="39" t="s">
        <v>78</v>
      </c>
      <c r="D44" s="40">
        <f>SUM(D$63)</f>
        <v>53</v>
      </c>
      <c r="E44" s="80">
        <v>4</v>
      </c>
      <c r="F44" s="42">
        <f t="shared" si="68"/>
        <v>212</v>
      </c>
      <c r="G44" s="96">
        <v>1</v>
      </c>
      <c r="H44" s="48">
        <f t="shared" si="69"/>
        <v>212</v>
      </c>
      <c r="I44" s="59">
        <v>60</v>
      </c>
      <c r="J44" s="60">
        <f t="shared" si="70"/>
        <v>12720</v>
      </c>
      <c r="K44" s="45"/>
      <c r="L44" s="52">
        <v>0</v>
      </c>
      <c r="M44" s="52">
        <v>0.75</v>
      </c>
      <c r="N44" s="52">
        <v>0.25</v>
      </c>
      <c r="O44" s="52">
        <v>0.66669999999999996</v>
      </c>
      <c r="Q44" s="53">
        <f t="shared" si="71"/>
        <v>0</v>
      </c>
      <c r="R44" s="53">
        <f t="shared" si="71"/>
        <v>9540</v>
      </c>
      <c r="S44" s="53">
        <f t="shared" si="71"/>
        <v>3180</v>
      </c>
      <c r="T44" s="53">
        <f t="shared" si="71"/>
        <v>8480.4239999999991</v>
      </c>
      <c r="V44" s="54">
        <f t="shared" si="72"/>
        <v>0</v>
      </c>
      <c r="W44" s="55">
        <f t="shared" si="72"/>
        <v>39.75</v>
      </c>
      <c r="X44" s="55">
        <f t="shared" si="72"/>
        <v>13.25</v>
      </c>
      <c r="Y44" s="55">
        <f t="shared" si="72"/>
        <v>35.335099999999997</v>
      </c>
    </row>
    <row r="45" spans="1:25">
      <c r="A45" s="37" t="s">
        <v>187</v>
      </c>
      <c r="B45" s="56" t="s">
        <v>17</v>
      </c>
      <c r="C45" s="39" t="s">
        <v>18</v>
      </c>
      <c r="D45" s="40">
        <f>SUM(C$63)</f>
        <v>60</v>
      </c>
      <c r="E45" s="41">
        <v>1</v>
      </c>
      <c r="F45" s="42">
        <f t="shared" si="68"/>
        <v>60</v>
      </c>
      <c r="G45" s="95">
        <v>0.25</v>
      </c>
      <c r="H45" s="48">
        <f t="shared" si="69"/>
        <v>15</v>
      </c>
      <c r="I45" s="59">
        <v>60</v>
      </c>
      <c r="J45" s="60">
        <f t="shared" si="70"/>
        <v>900</v>
      </c>
      <c r="K45" s="45"/>
      <c r="L45" s="52">
        <v>0</v>
      </c>
      <c r="M45" s="52">
        <v>0.75</v>
      </c>
      <c r="N45" s="52">
        <v>0.25</v>
      </c>
      <c r="O45" s="52">
        <v>0.66669999999999996</v>
      </c>
      <c r="Q45" s="53">
        <f t="shared" si="71"/>
        <v>0</v>
      </c>
      <c r="R45" s="53">
        <f t="shared" si="71"/>
        <v>675</v>
      </c>
      <c r="S45" s="53">
        <f t="shared" si="71"/>
        <v>225</v>
      </c>
      <c r="T45" s="53">
        <f t="shared" si="71"/>
        <v>600.03</v>
      </c>
      <c r="V45" s="54">
        <f t="shared" si="72"/>
        <v>0</v>
      </c>
      <c r="W45" s="55">
        <f t="shared" si="72"/>
        <v>45</v>
      </c>
      <c r="X45" s="55">
        <f t="shared" si="72"/>
        <v>15</v>
      </c>
      <c r="Y45" s="55">
        <f t="shared" si="72"/>
        <v>40.001999999999995</v>
      </c>
    </row>
    <row r="46" spans="1:25">
      <c r="B46" s="62" t="s">
        <v>38</v>
      </c>
      <c r="C46" s="63"/>
      <c r="D46" s="75">
        <f>SUM(D41)</f>
        <v>60</v>
      </c>
      <c r="E46" s="35"/>
      <c r="F46" s="75">
        <f>SUM(F41:F45)</f>
        <v>452</v>
      </c>
      <c r="G46" s="81"/>
      <c r="H46" s="76">
        <f>SUM(H41:H45)</f>
        <v>482</v>
      </c>
      <c r="I46" s="35"/>
      <c r="J46" s="69">
        <f>SUM(J41:J45)</f>
        <v>28920</v>
      </c>
      <c r="L46" s="52">
        <v>0</v>
      </c>
      <c r="M46" s="52">
        <v>0.75</v>
      </c>
      <c r="N46" s="52">
        <v>0.25</v>
      </c>
      <c r="O46" s="52">
        <v>0.66669999999999996</v>
      </c>
      <c r="V46" s="54">
        <f t="shared" si="72"/>
        <v>0</v>
      </c>
      <c r="W46" s="97">
        <f t="shared" si="72"/>
        <v>45</v>
      </c>
      <c r="X46" s="97">
        <f t="shared" si="72"/>
        <v>15</v>
      </c>
      <c r="Y46" s="55">
        <f t="shared" si="72"/>
        <v>40.001999999999995</v>
      </c>
    </row>
    <row r="47" spans="1:25">
      <c r="B47" s="62"/>
      <c r="C47" s="63"/>
      <c r="D47" s="77"/>
      <c r="E47" s="35"/>
      <c r="F47" s="75"/>
      <c r="G47" s="81"/>
      <c r="H47" s="75"/>
      <c r="I47" s="35"/>
      <c r="J47" s="69"/>
      <c r="L47" s="35"/>
      <c r="R47" s="82">
        <f>SUM(R7:R46)</f>
        <v>204639.75</v>
      </c>
      <c r="S47" s="82">
        <f>SUM(S7:S46)</f>
        <v>68213.25</v>
      </c>
      <c r="T47" s="82">
        <f>SUM(T7:T45)</f>
        <v>181911.09509999995</v>
      </c>
      <c r="W47" s="83"/>
      <c r="X47" s="83"/>
      <c r="Y47" s="84"/>
    </row>
    <row r="48" spans="1:25">
      <c r="B48" s="62" t="s">
        <v>59</v>
      </c>
      <c r="C48" s="63"/>
      <c r="D48" s="66">
        <f>SUM(D46)</f>
        <v>60</v>
      </c>
      <c r="E48" s="35"/>
      <c r="F48" s="76">
        <f>SUM(F46+F38+F25)</f>
        <v>1840</v>
      </c>
      <c r="G48" s="81"/>
      <c r="H48" s="76">
        <f>SUM(H46+H38+H25)</f>
        <v>4547.55</v>
      </c>
      <c r="I48" s="35">
        <f>+J48/H48</f>
        <v>60</v>
      </c>
      <c r="J48" s="69">
        <f>SUM(J46+J38+J25)</f>
        <v>272853</v>
      </c>
      <c r="L48" s="35"/>
    </row>
    <row r="49" spans="1:12">
      <c r="A49" s="35"/>
      <c r="J49" s="37"/>
      <c r="L49" s="35"/>
    </row>
    <row r="50" spans="1:12">
      <c r="A50" s="45"/>
      <c r="B50" s="88"/>
      <c r="C50" s="36"/>
      <c r="G50" s="36"/>
      <c r="L50" s="35"/>
    </row>
    <row r="51" spans="1:12">
      <c r="A51" s="45"/>
      <c r="B51" s="88"/>
      <c r="C51" s="36"/>
      <c r="G51" s="36"/>
      <c r="L51" s="35"/>
    </row>
    <row r="52" spans="1:12">
      <c r="A52" s="45"/>
      <c r="B52" s="138" t="s">
        <v>191</v>
      </c>
      <c r="C52" s="36"/>
      <c r="G52" s="36"/>
      <c r="L52" s="35"/>
    </row>
    <row r="53" spans="1:12">
      <c r="A53" s="37" t="s">
        <v>200</v>
      </c>
      <c r="B53" s="56" t="s">
        <v>192</v>
      </c>
      <c r="C53" s="78" t="s">
        <v>197</v>
      </c>
      <c r="D53" s="41">
        <f>+D$63</f>
        <v>53</v>
      </c>
      <c r="E53" s="41">
        <v>1</v>
      </c>
      <c r="F53" s="42">
        <f t="shared" ref="F53:F55" si="73">SUM(D53*E53)</f>
        <v>53</v>
      </c>
      <c r="G53" s="41">
        <v>0.42</v>
      </c>
      <c r="H53" s="48">
        <f t="shared" ref="H53:H55" si="74">SUM(G53*F53)</f>
        <v>22.259999999999998</v>
      </c>
      <c r="I53" s="59">
        <v>60</v>
      </c>
      <c r="J53" s="60">
        <f t="shared" ref="J53:J55" si="75">(H53)*(I53)</f>
        <v>1335.6</v>
      </c>
      <c r="L53" s="35"/>
    </row>
    <row r="54" spans="1:12">
      <c r="A54" s="37" t="s">
        <v>200</v>
      </c>
      <c r="B54" s="56" t="s">
        <v>193</v>
      </c>
      <c r="C54" s="78" t="s">
        <v>198</v>
      </c>
      <c r="D54" s="41">
        <f t="shared" ref="D54:D55" si="76">+D$63</f>
        <v>53</v>
      </c>
      <c r="E54" s="41">
        <v>1</v>
      </c>
      <c r="F54" s="42">
        <f t="shared" si="73"/>
        <v>53</v>
      </c>
      <c r="G54" s="41">
        <v>0.75</v>
      </c>
      <c r="H54" s="48">
        <f t="shared" si="74"/>
        <v>39.75</v>
      </c>
      <c r="I54" s="59">
        <v>60</v>
      </c>
      <c r="J54" s="60">
        <f t="shared" si="75"/>
        <v>2385</v>
      </c>
      <c r="L54" s="35"/>
    </row>
    <row r="55" spans="1:12">
      <c r="A55" s="37" t="s">
        <v>200</v>
      </c>
      <c r="B55" s="56" t="s">
        <v>194</v>
      </c>
      <c r="C55" s="78" t="s">
        <v>199</v>
      </c>
      <c r="D55" s="41">
        <f t="shared" si="76"/>
        <v>53</v>
      </c>
      <c r="E55" s="41">
        <v>1</v>
      </c>
      <c r="F55" s="42">
        <f t="shared" si="73"/>
        <v>53</v>
      </c>
      <c r="G55" s="41">
        <v>0.33</v>
      </c>
      <c r="H55" s="48">
        <f t="shared" si="74"/>
        <v>17.490000000000002</v>
      </c>
      <c r="I55" s="59">
        <v>60</v>
      </c>
      <c r="J55" s="60">
        <f t="shared" si="75"/>
        <v>1049.4000000000001</v>
      </c>
      <c r="L55" s="35"/>
    </row>
    <row r="56" spans="1:12">
      <c r="A56" s="45"/>
      <c r="B56" s="88"/>
      <c r="C56" s="36"/>
      <c r="G56" s="36"/>
      <c r="H56" s="71">
        <f>SUM(H53:H55)</f>
        <v>79.5</v>
      </c>
      <c r="J56" s="72">
        <f>SUM(J53:J55)</f>
        <v>4770</v>
      </c>
      <c r="L56" s="35"/>
    </row>
    <row r="57" spans="1:12">
      <c r="A57" s="45"/>
      <c r="B57" s="88"/>
      <c r="C57" s="36"/>
      <c r="G57" s="36"/>
      <c r="L57" s="35"/>
    </row>
    <row r="58" spans="1:12">
      <c r="A58" s="89"/>
      <c r="B58" s="90" t="s">
        <v>91</v>
      </c>
      <c r="C58" s="63"/>
      <c r="D58" s="35"/>
      <c r="E58" s="35"/>
      <c r="F58" s="35"/>
      <c r="G58" s="81"/>
      <c r="H58" s="91"/>
      <c r="I58" s="35"/>
      <c r="J58" s="91"/>
      <c r="K58" s="64"/>
      <c r="L58" s="35"/>
    </row>
    <row r="59" spans="1:12">
      <c r="A59" s="45"/>
      <c r="B59" s="35"/>
      <c r="C59" s="122" t="s">
        <v>87</v>
      </c>
      <c r="D59" s="123"/>
      <c r="E59" s="124" t="s">
        <v>88</v>
      </c>
      <c r="F59" s="124"/>
      <c r="G59" s="125" t="s">
        <v>89</v>
      </c>
      <c r="H59" s="123"/>
      <c r="I59" s="35"/>
      <c r="J59" s="91"/>
      <c r="K59" s="64"/>
      <c r="L59" s="35"/>
    </row>
    <row r="60" spans="1:12">
      <c r="A60" s="45"/>
      <c r="B60" s="35" t="s">
        <v>85</v>
      </c>
      <c r="C60" s="63" t="s">
        <v>58</v>
      </c>
      <c r="D60" s="35" t="s">
        <v>86</v>
      </c>
      <c r="E60" s="63" t="s">
        <v>58</v>
      </c>
      <c r="F60" s="35" t="s">
        <v>86</v>
      </c>
      <c r="G60" s="63" t="s">
        <v>58</v>
      </c>
      <c r="H60" s="35" t="s">
        <v>86</v>
      </c>
      <c r="I60" s="35"/>
      <c r="J60" s="91"/>
      <c r="K60" s="64"/>
      <c r="L60" s="35"/>
    </row>
    <row r="61" spans="1:12">
      <c r="A61" s="45"/>
      <c r="B61" s="35" t="s">
        <v>122</v>
      </c>
      <c r="C61" s="110">
        <v>48</v>
      </c>
      <c r="D61" s="111">
        <v>43</v>
      </c>
      <c r="E61" s="111">
        <f>43+2</f>
        <v>45</v>
      </c>
      <c r="F61" s="111">
        <v>45</v>
      </c>
      <c r="G61" s="102">
        <f>45+10</f>
        <v>55</v>
      </c>
      <c r="H61" s="92">
        <v>55</v>
      </c>
      <c r="I61" s="35"/>
      <c r="J61" s="91"/>
      <c r="K61" s="64"/>
      <c r="L61" s="35"/>
    </row>
    <row r="62" spans="1:12">
      <c r="A62" s="45"/>
      <c r="B62" s="35" t="s">
        <v>121</v>
      </c>
      <c r="C62" s="37">
        <v>12</v>
      </c>
      <c r="D62" s="37">
        <v>10</v>
      </c>
      <c r="E62" s="37">
        <f>11+8</f>
        <v>19</v>
      </c>
      <c r="F62" s="37">
        <v>18</v>
      </c>
      <c r="G62" s="86">
        <v>19</v>
      </c>
      <c r="H62" s="37">
        <v>18</v>
      </c>
      <c r="I62" s="35"/>
      <c r="J62" s="91"/>
      <c r="K62" s="64"/>
      <c r="L62" s="35"/>
    </row>
    <row r="63" spans="1:12">
      <c r="A63" s="45"/>
      <c r="B63" s="35" t="s">
        <v>90</v>
      </c>
      <c r="C63" s="37">
        <f t="shared" ref="C63:H63" si="77">SUM(C61:C62)</f>
        <v>60</v>
      </c>
      <c r="D63" s="37">
        <f t="shared" si="77"/>
        <v>53</v>
      </c>
      <c r="E63" s="37">
        <f t="shared" si="77"/>
        <v>64</v>
      </c>
      <c r="F63" s="37">
        <f t="shared" si="77"/>
        <v>63</v>
      </c>
      <c r="G63" s="37">
        <f t="shared" si="77"/>
        <v>74</v>
      </c>
      <c r="H63" s="37">
        <f t="shared" si="77"/>
        <v>73</v>
      </c>
      <c r="I63" s="35"/>
      <c r="J63" s="91"/>
      <c r="K63" s="64"/>
      <c r="L63" s="35"/>
    </row>
    <row r="64" spans="1:12">
      <c r="A64" s="45"/>
      <c r="B64" s="35"/>
      <c r="D64" s="37"/>
      <c r="E64" s="37"/>
      <c r="F64" s="37"/>
      <c r="G64" s="37"/>
      <c r="H64" s="37"/>
      <c r="L64" s="35"/>
    </row>
    <row r="65" spans="2:12">
      <c r="B65" s="88" t="s">
        <v>120</v>
      </c>
      <c r="C65" s="110">
        <v>7</v>
      </c>
      <c r="D65" s="111">
        <v>7</v>
      </c>
      <c r="E65" s="111">
        <v>7</v>
      </c>
      <c r="F65" s="111">
        <v>7</v>
      </c>
      <c r="G65" s="102">
        <v>7</v>
      </c>
      <c r="H65" s="92">
        <v>7</v>
      </c>
      <c r="L65" s="35"/>
    </row>
    <row r="66" spans="2:12">
      <c r="B66" s="93"/>
      <c r="D66" s="37"/>
      <c r="F66" s="37"/>
      <c r="H66" s="37"/>
      <c r="L66" s="35"/>
    </row>
    <row r="67" spans="2:12">
      <c r="B67" s="93"/>
      <c r="D67" s="37"/>
      <c r="F67" s="37"/>
      <c r="H67" s="37"/>
      <c r="L67" s="35"/>
    </row>
    <row r="68" spans="2:12">
      <c r="L68" s="35"/>
    </row>
    <row r="69" spans="2:12">
      <c r="L69" s="35"/>
    </row>
    <row r="70" spans="2:12">
      <c r="L70" s="35"/>
    </row>
    <row r="71" spans="2:12">
      <c r="L71" s="35"/>
    </row>
    <row r="72" spans="2:12">
      <c r="L72" s="35"/>
    </row>
    <row r="73" spans="2:12">
      <c r="B73" s="36" t="s">
        <v>145</v>
      </c>
      <c r="C73" s="37" t="s">
        <v>146</v>
      </c>
      <c r="D73" s="36" t="s">
        <v>149</v>
      </c>
      <c r="E73" s="36" t="s">
        <v>147</v>
      </c>
      <c r="F73" s="36" t="s">
        <v>148</v>
      </c>
      <c r="L73" s="35"/>
    </row>
    <row r="74" spans="2:12">
      <c r="D74" s="36" t="s">
        <v>150</v>
      </c>
      <c r="L74" s="35"/>
    </row>
    <row r="75" spans="2:12">
      <c r="B75" s="56" t="s">
        <v>53</v>
      </c>
      <c r="C75" s="37">
        <v>1</v>
      </c>
      <c r="D75" s="37">
        <v>60</v>
      </c>
      <c r="E75" s="37">
        <v>8</v>
      </c>
      <c r="F75" s="36">
        <f>+D75*E75</f>
        <v>480</v>
      </c>
      <c r="L75" s="35"/>
    </row>
    <row r="76" spans="2:12" ht="25.5">
      <c r="B76" s="56" t="s">
        <v>54</v>
      </c>
      <c r="C76" s="37">
        <v>1</v>
      </c>
      <c r="D76" s="37">
        <v>60</v>
      </c>
      <c r="E76" s="37">
        <v>12</v>
      </c>
      <c r="F76" s="36">
        <f t="shared" ref="F76:F96" si="78">+D76*E76</f>
        <v>720</v>
      </c>
      <c r="L76" s="35"/>
    </row>
    <row r="77" spans="2:12" ht="25.5">
      <c r="B77" s="56" t="s">
        <v>117</v>
      </c>
      <c r="C77" s="37">
        <v>1</v>
      </c>
      <c r="D77" s="37">
        <v>48</v>
      </c>
      <c r="E77" s="37">
        <v>8</v>
      </c>
      <c r="F77" s="36">
        <f t="shared" si="78"/>
        <v>384</v>
      </c>
      <c r="L77" s="35"/>
    </row>
    <row r="78" spans="2:12" ht="25.5">
      <c r="B78" s="56" t="s">
        <v>118</v>
      </c>
      <c r="C78" s="37">
        <v>1</v>
      </c>
      <c r="D78" s="37">
        <v>12</v>
      </c>
      <c r="E78" s="37">
        <v>8</v>
      </c>
      <c r="F78" s="36">
        <f t="shared" si="78"/>
        <v>96</v>
      </c>
      <c r="L78" s="35"/>
    </row>
    <row r="79" spans="2:12">
      <c r="E79" s="37"/>
      <c r="G79" s="114">
        <f>SUM(F75:F78)</f>
        <v>1680</v>
      </c>
      <c r="H79" s="36" t="s">
        <v>161</v>
      </c>
      <c r="L79" s="35"/>
    </row>
    <row r="80" spans="2:12" ht="27.4" customHeight="1">
      <c r="B80" s="56" t="s">
        <v>151</v>
      </c>
      <c r="C80" s="37">
        <v>2</v>
      </c>
      <c r="D80" s="37">
        <v>53</v>
      </c>
      <c r="E80" s="37">
        <v>8</v>
      </c>
      <c r="F80" s="36">
        <f t="shared" si="78"/>
        <v>424</v>
      </c>
      <c r="L80" s="35"/>
    </row>
    <row r="81" spans="2:12" ht="25.5" customHeight="1">
      <c r="B81" s="56" t="s">
        <v>152</v>
      </c>
      <c r="C81" s="37">
        <v>2</v>
      </c>
      <c r="D81" s="37">
        <v>11</v>
      </c>
      <c r="E81" s="37">
        <v>8</v>
      </c>
      <c r="F81" s="36">
        <f t="shared" si="78"/>
        <v>88</v>
      </c>
      <c r="L81" s="35"/>
    </row>
    <row r="82" spans="2:12" ht="25.5">
      <c r="B82" s="56" t="s">
        <v>153</v>
      </c>
      <c r="C82" s="37">
        <v>2</v>
      </c>
      <c r="D82" s="37">
        <v>53</v>
      </c>
      <c r="E82" s="37">
        <v>2</v>
      </c>
      <c r="F82" s="36">
        <f t="shared" si="78"/>
        <v>106</v>
      </c>
      <c r="L82" s="35"/>
    </row>
    <row r="83" spans="2:12" ht="25.5">
      <c r="B83" s="56" t="s">
        <v>154</v>
      </c>
      <c r="C83" s="37">
        <v>2</v>
      </c>
      <c r="D83" s="37">
        <v>11</v>
      </c>
      <c r="E83" s="37">
        <v>2</v>
      </c>
      <c r="F83" s="36">
        <f t="shared" si="78"/>
        <v>22</v>
      </c>
      <c r="L83" s="35"/>
    </row>
    <row r="84" spans="2:12" ht="25.5">
      <c r="B84" s="56" t="s">
        <v>155</v>
      </c>
      <c r="C84" s="37">
        <v>2</v>
      </c>
      <c r="D84" s="37">
        <v>43</v>
      </c>
      <c r="E84" s="37">
        <v>1</v>
      </c>
      <c r="F84" s="36">
        <f t="shared" si="78"/>
        <v>43</v>
      </c>
      <c r="L84" s="35"/>
    </row>
    <row r="85" spans="2:12" ht="26.25" customHeight="1">
      <c r="B85" s="115" t="s">
        <v>156</v>
      </c>
      <c r="C85" s="116">
        <v>2</v>
      </c>
      <c r="D85" s="116">
        <v>2</v>
      </c>
      <c r="E85" s="116">
        <v>8</v>
      </c>
      <c r="F85" s="117">
        <f t="shared" si="78"/>
        <v>16</v>
      </c>
      <c r="L85" s="35"/>
    </row>
    <row r="86" spans="2:12" ht="25.5">
      <c r="B86" s="56" t="s">
        <v>157</v>
      </c>
      <c r="C86" s="37">
        <v>2</v>
      </c>
      <c r="D86" s="37">
        <v>8</v>
      </c>
      <c r="E86" s="37">
        <v>1</v>
      </c>
      <c r="F86" s="36">
        <f t="shared" si="78"/>
        <v>8</v>
      </c>
      <c r="L86" s="35"/>
    </row>
    <row r="87" spans="2:12" ht="25.5">
      <c r="B87" s="115" t="s">
        <v>158</v>
      </c>
      <c r="C87" s="116">
        <v>2</v>
      </c>
      <c r="D87" s="116">
        <v>11</v>
      </c>
      <c r="E87" s="116">
        <v>8</v>
      </c>
      <c r="F87" s="117">
        <f t="shared" si="78"/>
        <v>88</v>
      </c>
      <c r="L87" s="35"/>
    </row>
    <row r="88" spans="2:12">
      <c r="D88" s="37"/>
      <c r="E88" s="37"/>
      <c r="G88" s="114">
        <f>SUM(F80:F87)</f>
        <v>795</v>
      </c>
      <c r="H88" s="36" t="s">
        <v>159</v>
      </c>
      <c r="L88" s="35"/>
    </row>
    <row r="89" spans="2:12" ht="25.5">
      <c r="B89" s="56" t="s">
        <v>151</v>
      </c>
      <c r="C89" s="37">
        <v>3</v>
      </c>
      <c r="D89" s="37">
        <v>63</v>
      </c>
      <c r="E89" s="37">
        <v>8</v>
      </c>
      <c r="F89" s="36">
        <f t="shared" si="78"/>
        <v>504</v>
      </c>
      <c r="L89" s="35"/>
    </row>
    <row r="90" spans="2:12" ht="25.5">
      <c r="B90" s="56" t="s">
        <v>152</v>
      </c>
      <c r="C90" s="37">
        <v>3</v>
      </c>
      <c r="D90" s="37">
        <v>11</v>
      </c>
      <c r="E90" s="37">
        <v>8</v>
      </c>
      <c r="F90" s="36">
        <f t="shared" si="78"/>
        <v>88</v>
      </c>
      <c r="L90" s="35"/>
    </row>
    <row r="91" spans="2:12" ht="25.5">
      <c r="B91" s="56" t="s">
        <v>153</v>
      </c>
      <c r="C91" s="37">
        <v>3</v>
      </c>
      <c r="D91" s="37">
        <v>63</v>
      </c>
      <c r="E91" s="37">
        <v>2</v>
      </c>
      <c r="F91" s="36">
        <f t="shared" si="78"/>
        <v>126</v>
      </c>
      <c r="L91" s="35"/>
    </row>
    <row r="92" spans="2:12" ht="25.5">
      <c r="B92" s="56" t="s">
        <v>154</v>
      </c>
      <c r="C92" s="37">
        <v>3</v>
      </c>
      <c r="D92" s="37">
        <v>11</v>
      </c>
      <c r="E92" s="37">
        <v>2</v>
      </c>
      <c r="F92" s="36">
        <f t="shared" si="78"/>
        <v>22</v>
      </c>
      <c r="L92" s="35"/>
    </row>
    <row r="93" spans="2:12" ht="25.5">
      <c r="B93" s="56" t="s">
        <v>155</v>
      </c>
      <c r="C93" s="37">
        <v>3</v>
      </c>
      <c r="D93" s="37">
        <v>45</v>
      </c>
      <c r="E93" s="37">
        <v>1</v>
      </c>
      <c r="F93" s="36">
        <f t="shared" si="78"/>
        <v>45</v>
      </c>
      <c r="L93" s="35"/>
    </row>
    <row r="94" spans="2:12" ht="25.5">
      <c r="B94" s="115" t="s">
        <v>156</v>
      </c>
      <c r="C94" s="116">
        <v>3</v>
      </c>
      <c r="D94" s="116">
        <v>10</v>
      </c>
      <c r="E94" s="116">
        <v>8</v>
      </c>
      <c r="F94" s="117">
        <f t="shared" si="78"/>
        <v>80</v>
      </c>
      <c r="L94" s="35"/>
    </row>
    <row r="95" spans="2:12" ht="25.5">
      <c r="B95" s="56" t="s">
        <v>157</v>
      </c>
      <c r="C95" s="37">
        <v>3</v>
      </c>
      <c r="D95" s="37">
        <v>8</v>
      </c>
      <c r="E95" s="37">
        <v>1</v>
      </c>
      <c r="F95" s="36">
        <f t="shared" si="78"/>
        <v>8</v>
      </c>
      <c r="L95" s="35"/>
    </row>
    <row r="96" spans="2:12" ht="25.5">
      <c r="B96" s="115" t="s">
        <v>158</v>
      </c>
      <c r="C96" s="116">
        <v>3</v>
      </c>
      <c r="D96" s="116">
        <v>11</v>
      </c>
      <c r="E96" s="116">
        <v>8</v>
      </c>
      <c r="F96" s="117">
        <f t="shared" si="78"/>
        <v>88</v>
      </c>
      <c r="L96" s="35"/>
    </row>
    <row r="97" spans="2:12">
      <c r="F97" s="113">
        <f>SUM(F75:F96)</f>
        <v>3436</v>
      </c>
      <c r="G97" s="114">
        <f>SUM(F89:F96)</f>
        <v>961</v>
      </c>
      <c r="H97" s="36" t="s">
        <v>160</v>
      </c>
      <c r="L97" s="35"/>
    </row>
    <row r="98" spans="2:12">
      <c r="L98" s="35"/>
    </row>
    <row r="99" spans="2:12">
      <c r="L99" s="35"/>
    </row>
    <row r="100" spans="2:12">
      <c r="L100" s="35"/>
    </row>
    <row r="101" spans="2:12">
      <c r="B101" s="118" t="s">
        <v>162</v>
      </c>
      <c r="L101" s="35"/>
    </row>
    <row r="102" spans="2:12">
      <c r="B102" s="36" t="s">
        <v>164</v>
      </c>
      <c r="L102" s="35"/>
    </row>
    <row r="103" spans="2:12">
      <c r="B103" s="36" t="s">
        <v>165</v>
      </c>
      <c r="L103" s="35"/>
    </row>
    <row r="104" spans="2:12">
      <c r="B104" s="36" t="s">
        <v>163</v>
      </c>
      <c r="L104" s="35"/>
    </row>
    <row r="105" spans="2:12">
      <c r="B105" s="36" t="s">
        <v>166</v>
      </c>
      <c r="L105" s="35"/>
    </row>
    <row r="106" spans="2:12">
      <c r="L106" s="35"/>
    </row>
    <row r="107" spans="2:12">
      <c r="L107" s="35"/>
    </row>
    <row r="108" spans="2:12">
      <c r="L108" s="35"/>
    </row>
    <row r="109" spans="2:12">
      <c r="L109" s="35"/>
    </row>
    <row r="110" spans="2:12">
      <c r="L110" s="35"/>
    </row>
    <row r="111" spans="2:12">
      <c r="L111" s="35"/>
    </row>
    <row r="112" spans="2:12">
      <c r="L112" s="35"/>
    </row>
    <row r="113" spans="3:12">
      <c r="L113" s="35"/>
    </row>
    <row r="114" spans="3:12">
      <c r="L114" s="35"/>
    </row>
    <row r="115" spans="3:12">
      <c r="L115" s="35"/>
    </row>
    <row r="116" spans="3:12">
      <c r="L116" s="35"/>
    </row>
    <row r="117" spans="3:12">
      <c r="L117" s="35"/>
    </row>
    <row r="118" spans="3:12">
      <c r="L118" s="35"/>
    </row>
    <row r="119" spans="3:12">
      <c r="L119" s="35"/>
    </row>
    <row r="120" spans="3:12">
      <c r="C120" s="36"/>
      <c r="G120" s="36"/>
      <c r="L120" s="35"/>
    </row>
    <row r="121" spans="3:12">
      <c r="C121" s="36"/>
      <c r="G121" s="36"/>
      <c r="L121" s="35"/>
    </row>
    <row r="122" spans="3:12">
      <c r="C122" s="36"/>
      <c r="G122" s="36"/>
      <c r="L122" s="35"/>
    </row>
    <row r="123" spans="3:12">
      <c r="C123" s="36"/>
      <c r="G123" s="36"/>
      <c r="L123" s="35"/>
    </row>
    <row r="124" spans="3:12">
      <c r="C124" s="36"/>
      <c r="G124" s="36"/>
      <c r="L124" s="35"/>
    </row>
    <row r="125" spans="3:12">
      <c r="C125" s="36"/>
      <c r="G125" s="36"/>
      <c r="L125" s="35"/>
    </row>
    <row r="126" spans="3:12">
      <c r="C126" s="36"/>
      <c r="G126" s="36"/>
      <c r="L126" s="35"/>
    </row>
    <row r="127" spans="3:12">
      <c r="C127" s="36"/>
      <c r="G127" s="36"/>
      <c r="L127" s="35"/>
    </row>
    <row r="128" spans="3:12">
      <c r="C128" s="36"/>
      <c r="G128" s="36"/>
      <c r="L128" s="35"/>
    </row>
    <row r="129" spans="3:12">
      <c r="C129" s="36"/>
      <c r="G129" s="36"/>
      <c r="L129" s="35"/>
    </row>
    <row r="130" spans="3:12">
      <c r="C130" s="36"/>
      <c r="G130" s="36"/>
      <c r="L130" s="35"/>
    </row>
    <row r="131" spans="3:12">
      <c r="C131" s="36"/>
      <c r="G131" s="36"/>
      <c r="L131" s="35"/>
    </row>
    <row r="132" spans="3:12">
      <c r="C132" s="36"/>
      <c r="G132" s="36"/>
      <c r="L132" s="35"/>
    </row>
    <row r="133" spans="3:12">
      <c r="C133" s="36"/>
      <c r="G133" s="36"/>
      <c r="L133" s="35"/>
    </row>
    <row r="134" spans="3:12">
      <c r="C134" s="36"/>
      <c r="G134" s="36"/>
      <c r="L134" s="35"/>
    </row>
    <row r="135" spans="3:12">
      <c r="C135" s="36"/>
      <c r="G135" s="36"/>
      <c r="L135" s="35"/>
    </row>
    <row r="136" spans="3:12">
      <c r="C136" s="36"/>
      <c r="G136" s="36"/>
      <c r="L136" s="35"/>
    </row>
    <row r="137" spans="3:12">
      <c r="C137" s="36"/>
      <c r="G137" s="36"/>
      <c r="L137" s="35"/>
    </row>
  </sheetData>
  <customSheetViews>
    <customSheetView guid="{855078B0-1E21-4B25-9C5A-4782BC11700B}" scale="90" showPageBreaks="1" fitToPage="1" printArea="1">
      <selection activeCell="D9" sqref="D9"/>
      <pageMargins left="0.5" right="0.25" top="0.75" bottom="0" header="0.5" footer="0.5"/>
      <printOptions gridLines="1"/>
      <pageSetup scale="76" orientation="landscape" r:id="rId1"/>
      <headerFooter alignWithMargins="0"/>
    </customSheetView>
    <customSheetView guid="{C3053AD8-900F-4045-B60E-43CCFD9EF7DD}" scale="90" showPageBreaks="1" fitToPage="1" printArea="1" topLeftCell="A4">
      <selection activeCell="D45" sqref="D45"/>
      <pageMargins left="0.5" right="0.25" top="0.75" bottom="0" header="0.5" footer="0.5"/>
      <printOptions gridLines="1"/>
      <pageSetup scale="76" orientation="landscape" r:id="rId2"/>
      <headerFooter alignWithMargins="0"/>
    </customSheetView>
  </customSheetViews>
  <mergeCells count="9">
    <mergeCell ref="V2:Y2"/>
    <mergeCell ref="L2:O2"/>
    <mergeCell ref="Q2:T2"/>
    <mergeCell ref="B5:C5"/>
    <mergeCell ref="C59:D59"/>
    <mergeCell ref="E59:F59"/>
    <mergeCell ref="G59:H59"/>
    <mergeCell ref="A1:D1"/>
    <mergeCell ref="A2:D2"/>
  </mergeCells>
  <phoneticPr fontId="2" type="noConversion"/>
  <printOptions gridLines="1"/>
  <pageMargins left="0.5" right="0.25" top="0.75" bottom="0" header="0.5" footer="0.5"/>
  <pageSetup scale="76" orientation="landscape" r:id="rId3"/>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Y136"/>
  <sheetViews>
    <sheetView topLeftCell="A25" zoomScale="90" zoomScaleNormal="90" workbookViewId="0">
      <selection activeCell="B36" sqref="B36"/>
    </sheetView>
  </sheetViews>
  <sheetFormatPr defaultColWidth="9.140625" defaultRowHeight="12.75"/>
  <cols>
    <col min="1" max="1" width="19.42578125" style="36" customWidth="1"/>
    <col min="2" max="2" width="43.7109375" style="36" customWidth="1"/>
    <col min="3" max="3" width="23.140625" style="37" customWidth="1"/>
    <col min="4" max="4" width="13.7109375" style="36" customWidth="1"/>
    <col min="5" max="5" width="8.42578125" style="36" customWidth="1"/>
    <col min="6" max="6" width="11.42578125" style="36" customWidth="1"/>
    <col min="7" max="7" width="11.7109375" style="70" customWidth="1"/>
    <col min="8" max="8" width="10.28515625" style="36" customWidth="1"/>
    <col min="9" max="9" width="8.5703125" style="36" customWidth="1"/>
    <col min="10" max="10" width="13.28515625" style="36" bestFit="1" customWidth="1"/>
    <col min="11" max="11" width="9.140625" style="36"/>
    <col min="12" max="12" width="15.5703125" style="36" bestFit="1" customWidth="1"/>
    <col min="13" max="13" width="10.85546875" style="36" bestFit="1" customWidth="1"/>
    <col min="14" max="14" width="11.5703125" style="36" bestFit="1" customWidth="1"/>
    <col min="15" max="15" width="12" style="36" bestFit="1" customWidth="1"/>
    <col min="16" max="16" width="9.140625" style="36"/>
    <col min="17" max="18" width="10.85546875" style="36" bestFit="1" customWidth="1"/>
    <col min="19" max="19" width="11.5703125" style="36" bestFit="1" customWidth="1"/>
    <col min="20" max="20" width="12" style="36" bestFit="1" customWidth="1"/>
    <col min="21" max="21" width="9.140625" style="36"/>
    <col min="22" max="23" width="10.85546875" style="36" bestFit="1" customWidth="1"/>
    <col min="24" max="24" width="11.5703125" style="36" bestFit="1" customWidth="1"/>
    <col min="25" max="25" width="12" style="36" bestFit="1" customWidth="1"/>
    <col min="26" max="16384" width="9.140625" style="36"/>
  </cols>
  <sheetData>
    <row r="1" spans="1:25" s="21" customFormat="1">
      <c r="A1" s="127" t="s">
        <v>109</v>
      </c>
      <c r="B1" s="127"/>
      <c r="C1" s="127"/>
      <c r="D1" s="127"/>
      <c r="G1" s="22"/>
    </row>
    <row r="2" spans="1:25" s="21" customFormat="1">
      <c r="A2" s="130" t="s">
        <v>12</v>
      </c>
      <c r="B2" s="130"/>
      <c r="C2" s="130"/>
      <c r="D2" s="130"/>
      <c r="G2" s="22"/>
      <c r="L2" s="126" t="s">
        <v>32</v>
      </c>
      <c r="M2" s="126"/>
      <c r="N2" s="126"/>
      <c r="O2" s="126"/>
      <c r="P2" s="23"/>
      <c r="Q2" s="126" t="s">
        <v>31</v>
      </c>
      <c r="R2" s="126"/>
      <c r="S2" s="126"/>
      <c r="T2" s="126"/>
      <c r="V2" s="127" t="s">
        <v>39</v>
      </c>
      <c r="W2" s="127"/>
      <c r="X2" s="127"/>
      <c r="Y2" s="127"/>
    </row>
    <row r="3" spans="1:25" s="21" customFormat="1" ht="63.75">
      <c r="A3" s="4" t="s">
        <v>0</v>
      </c>
      <c r="B3" s="5" t="s">
        <v>13</v>
      </c>
      <c r="C3" s="6" t="s">
        <v>14</v>
      </c>
      <c r="D3" s="6" t="s">
        <v>100</v>
      </c>
      <c r="E3" s="6" t="s">
        <v>40</v>
      </c>
      <c r="F3" s="6" t="s">
        <v>42</v>
      </c>
      <c r="G3" s="8" t="s">
        <v>1</v>
      </c>
      <c r="H3" s="6" t="s">
        <v>43</v>
      </c>
      <c r="I3" s="6" t="s">
        <v>64</v>
      </c>
      <c r="J3" s="7" t="s">
        <v>44</v>
      </c>
      <c r="L3" s="2" t="s">
        <v>27</v>
      </c>
      <c r="M3" s="2" t="s">
        <v>28</v>
      </c>
      <c r="N3" s="2" t="s">
        <v>29</v>
      </c>
      <c r="O3" s="2" t="s">
        <v>30</v>
      </c>
      <c r="Q3" s="2" t="s">
        <v>27</v>
      </c>
      <c r="R3" s="2" t="s">
        <v>28</v>
      </c>
      <c r="S3" s="2" t="s">
        <v>29</v>
      </c>
      <c r="T3" s="2" t="s">
        <v>30</v>
      </c>
      <c r="V3" s="2" t="s">
        <v>27</v>
      </c>
      <c r="W3" s="2" t="s">
        <v>28</v>
      </c>
      <c r="X3" s="2" t="s">
        <v>29</v>
      </c>
      <c r="Y3" s="2" t="s">
        <v>30</v>
      </c>
    </row>
    <row r="4" spans="1:25" s="29" customFormat="1">
      <c r="A4" s="25" t="s">
        <v>2</v>
      </c>
      <c r="B4" s="26" t="s">
        <v>3</v>
      </c>
      <c r="C4" s="26" t="s">
        <v>4</v>
      </c>
      <c r="D4" s="26" t="s">
        <v>5</v>
      </c>
      <c r="E4" s="26" t="s">
        <v>6</v>
      </c>
      <c r="F4" s="26" t="s">
        <v>7</v>
      </c>
      <c r="G4" s="27" t="s">
        <v>8</v>
      </c>
      <c r="H4" s="26" t="s">
        <v>9</v>
      </c>
      <c r="I4" s="28" t="s">
        <v>10</v>
      </c>
      <c r="J4" s="29" t="s">
        <v>41</v>
      </c>
    </row>
    <row r="5" spans="1:25">
      <c r="A5" s="30"/>
      <c r="B5" s="128" t="s">
        <v>45</v>
      </c>
      <c r="C5" s="129"/>
      <c r="D5" s="31"/>
      <c r="E5" s="32"/>
      <c r="F5" s="31"/>
      <c r="G5" s="33"/>
      <c r="H5" s="31"/>
      <c r="I5" s="32"/>
      <c r="J5" s="34"/>
      <c r="K5" s="35"/>
      <c r="L5" s="35"/>
    </row>
    <row r="6" spans="1:25">
      <c r="A6" s="37"/>
      <c r="B6" s="38" t="s">
        <v>49</v>
      </c>
      <c r="C6" s="39"/>
      <c r="D6" s="40"/>
      <c r="E6" s="41"/>
      <c r="F6" s="42"/>
      <c r="G6" s="43"/>
      <c r="H6" s="40"/>
      <c r="I6" s="41"/>
      <c r="J6" s="44"/>
      <c r="K6" s="45"/>
      <c r="L6" s="35"/>
    </row>
    <row r="7" spans="1:25">
      <c r="A7" s="37" t="s">
        <v>72</v>
      </c>
      <c r="B7" s="46" t="s">
        <v>62</v>
      </c>
      <c r="C7" s="39" t="s">
        <v>16</v>
      </c>
      <c r="D7" s="40">
        <f>'6022-yr1'!F$63</f>
        <v>63</v>
      </c>
      <c r="E7" s="41">
        <v>4</v>
      </c>
      <c r="F7" s="42">
        <f>SUM(D7*E7)</f>
        <v>252</v>
      </c>
      <c r="G7" s="43">
        <v>2</v>
      </c>
      <c r="H7" s="48">
        <f>SUM(G7*F7)</f>
        <v>504</v>
      </c>
      <c r="I7" s="49">
        <v>61.8</v>
      </c>
      <c r="J7" s="60">
        <f>(H7)*(I7)</f>
        <v>31147.199999999997</v>
      </c>
      <c r="K7" s="45"/>
      <c r="L7" s="52">
        <v>0</v>
      </c>
      <c r="M7" s="52">
        <v>0.75</v>
      </c>
      <c r="N7" s="52">
        <v>0.25</v>
      </c>
      <c r="O7" s="52">
        <v>0.66669999999999996</v>
      </c>
      <c r="Q7" s="53">
        <f t="shared" ref="Q7:T9" si="0">+$J7*L7</f>
        <v>0</v>
      </c>
      <c r="R7" s="53">
        <f t="shared" si="0"/>
        <v>23360.399999999998</v>
      </c>
      <c r="S7" s="53">
        <f t="shared" si="0"/>
        <v>7786.7999999999993</v>
      </c>
      <c r="T7" s="53">
        <f t="shared" si="0"/>
        <v>20765.838239999997</v>
      </c>
      <c r="V7" s="54">
        <f t="shared" ref="V7:Y9" si="1">+$D7*L7</f>
        <v>0</v>
      </c>
      <c r="W7" s="55">
        <f t="shared" si="1"/>
        <v>47.25</v>
      </c>
      <c r="X7" s="55">
        <f t="shared" si="1"/>
        <v>15.75</v>
      </c>
      <c r="Y7" s="55">
        <f t="shared" si="1"/>
        <v>42.002099999999999</v>
      </c>
    </row>
    <row r="8" spans="1:25">
      <c r="A8" s="57" t="s">
        <v>177</v>
      </c>
      <c r="B8" s="56" t="s">
        <v>98</v>
      </c>
      <c r="C8" s="39" t="s">
        <v>16</v>
      </c>
      <c r="D8" s="40">
        <v>2</v>
      </c>
      <c r="E8" s="41">
        <v>1</v>
      </c>
      <c r="F8" s="42">
        <f>SUM(D8*E8)</f>
        <v>2</v>
      </c>
      <c r="G8" s="43">
        <v>2</v>
      </c>
      <c r="H8" s="48">
        <f>SUM(G8*F8)</f>
        <v>4</v>
      </c>
      <c r="I8" s="49">
        <v>61.8</v>
      </c>
      <c r="J8" s="60">
        <f>(H8)*(I8)</f>
        <v>247.2</v>
      </c>
      <c r="K8" s="45"/>
      <c r="L8" s="52">
        <v>0</v>
      </c>
      <c r="M8" s="52">
        <v>0.75</v>
      </c>
      <c r="N8" s="52">
        <v>0.25</v>
      </c>
      <c r="O8" s="52">
        <v>0.66669999999999996</v>
      </c>
      <c r="Q8" s="53">
        <f t="shared" si="0"/>
        <v>0</v>
      </c>
      <c r="R8" s="53">
        <f t="shared" si="0"/>
        <v>185.39999999999998</v>
      </c>
      <c r="S8" s="53">
        <f t="shared" si="0"/>
        <v>61.8</v>
      </c>
      <c r="T8" s="53">
        <f t="shared" si="0"/>
        <v>164.80823999999998</v>
      </c>
      <c r="V8" s="54">
        <f t="shared" si="1"/>
        <v>0</v>
      </c>
      <c r="W8" s="55">
        <f t="shared" si="1"/>
        <v>1.5</v>
      </c>
      <c r="X8" s="55">
        <f t="shared" si="1"/>
        <v>0.5</v>
      </c>
      <c r="Y8" s="55">
        <f t="shared" si="1"/>
        <v>1.3333999999999999</v>
      </c>
    </row>
    <row r="9" spans="1:25">
      <c r="A9" s="57" t="s">
        <v>140</v>
      </c>
      <c r="B9" s="56" t="s">
        <v>99</v>
      </c>
      <c r="C9" s="39" t="s">
        <v>16</v>
      </c>
      <c r="D9" s="40">
        <f>'6022-yr1'!F$63</f>
        <v>63</v>
      </c>
      <c r="E9" s="41">
        <v>1</v>
      </c>
      <c r="F9" s="42">
        <f>SUM(D9*E9)</f>
        <v>63</v>
      </c>
      <c r="G9" s="43">
        <v>2</v>
      </c>
      <c r="H9" s="48">
        <f>SUM(G9*F9)</f>
        <v>126</v>
      </c>
      <c r="I9" s="49">
        <v>61.8</v>
      </c>
      <c r="J9" s="60">
        <f>(H9)*(I9)</f>
        <v>7786.7999999999993</v>
      </c>
      <c r="K9" s="45"/>
      <c r="L9" s="52">
        <v>0</v>
      </c>
      <c r="M9" s="52">
        <v>0.75</v>
      </c>
      <c r="N9" s="52">
        <v>0.25</v>
      </c>
      <c r="O9" s="52">
        <v>0.66669999999999996</v>
      </c>
      <c r="Q9" s="53">
        <f t="shared" si="0"/>
        <v>0</v>
      </c>
      <c r="R9" s="53">
        <f t="shared" si="0"/>
        <v>5840.0999999999995</v>
      </c>
      <c r="S9" s="53">
        <f t="shared" si="0"/>
        <v>1946.6999999999998</v>
      </c>
      <c r="T9" s="53">
        <f t="shared" si="0"/>
        <v>5191.4595599999993</v>
      </c>
      <c r="V9" s="54">
        <f t="shared" si="1"/>
        <v>0</v>
      </c>
      <c r="W9" s="55">
        <f t="shared" si="1"/>
        <v>47.25</v>
      </c>
      <c r="X9" s="55">
        <f t="shared" si="1"/>
        <v>15.75</v>
      </c>
      <c r="Y9" s="55">
        <f t="shared" si="1"/>
        <v>42.002099999999999</v>
      </c>
    </row>
    <row r="10" spans="1:25">
      <c r="A10" s="37"/>
      <c r="B10" s="38" t="s">
        <v>61</v>
      </c>
      <c r="C10" s="39"/>
      <c r="D10" s="40"/>
      <c r="E10" s="41"/>
      <c r="F10" s="42"/>
      <c r="G10" s="43"/>
      <c r="H10" s="48"/>
      <c r="I10" s="41"/>
      <c r="J10" s="44"/>
      <c r="K10" s="45"/>
      <c r="L10" s="52"/>
      <c r="M10" s="52"/>
      <c r="N10" s="52"/>
      <c r="O10" s="52"/>
      <c r="V10" s="54"/>
      <c r="W10" s="55"/>
      <c r="X10" s="55"/>
      <c r="Y10" s="55"/>
    </row>
    <row r="11" spans="1:25">
      <c r="A11" s="37" t="s">
        <v>73</v>
      </c>
      <c r="B11" s="56" t="s">
        <v>53</v>
      </c>
      <c r="C11" s="39" t="s">
        <v>16</v>
      </c>
      <c r="D11" s="40">
        <f>'6022-yr1'!E$63</f>
        <v>64</v>
      </c>
      <c r="E11" s="41">
        <v>1</v>
      </c>
      <c r="F11" s="42">
        <f t="shared" ref="F11:F22" si="2">SUM(D11*E11)</f>
        <v>64</v>
      </c>
      <c r="G11" s="43">
        <v>8</v>
      </c>
      <c r="H11" s="48">
        <f t="shared" ref="H11:H22" si="3">SUM(G11*F11)</f>
        <v>512</v>
      </c>
      <c r="I11" s="49">
        <v>61.8</v>
      </c>
      <c r="J11" s="60">
        <f t="shared" ref="J11:J22" si="4">(H11)*(I11)</f>
        <v>31641.599999999999</v>
      </c>
      <c r="K11" s="45"/>
      <c r="L11" s="52">
        <v>0</v>
      </c>
      <c r="M11" s="52">
        <v>0.75</v>
      </c>
      <c r="N11" s="52">
        <v>0.25</v>
      </c>
      <c r="O11" s="52">
        <v>0.66669999999999996</v>
      </c>
      <c r="Q11" s="53">
        <f t="shared" ref="Q11:Q22" si="5">+$J11*L11</f>
        <v>0</v>
      </c>
      <c r="R11" s="53">
        <f t="shared" ref="R11:R22" si="6">+$J11*M11</f>
        <v>23731.199999999997</v>
      </c>
      <c r="S11" s="53">
        <f t="shared" ref="S11:S22" si="7">+$J11*N11</f>
        <v>7910.4</v>
      </c>
      <c r="T11" s="53">
        <f t="shared" ref="T11:T22" si="8">+$J11*O11</f>
        <v>21095.454719999998</v>
      </c>
      <c r="V11" s="54">
        <f>+$D11*L11</f>
        <v>0</v>
      </c>
      <c r="W11" s="55">
        <f>+$D11*M11</f>
        <v>48</v>
      </c>
      <c r="X11" s="55">
        <f>+$D11*N11</f>
        <v>16</v>
      </c>
      <c r="Y11" s="55">
        <f>+$D11*O11</f>
        <v>42.668799999999997</v>
      </c>
    </row>
    <row r="12" spans="1:25" ht="25.5">
      <c r="A12" s="57" t="s">
        <v>71</v>
      </c>
      <c r="B12" s="56" t="s">
        <v>54</v>
      </c>
      <c r="C12" s="39" t="s">
        <v>16</v>
      </c>
      <c r="D12" s="40">
        <f>'6022-yr1'!E$63</f>
        <v>64</v>
      </c>
      <c r="E12" s="41">
        <v>1</v>
      </c>
      <c r="F12" s="42">
        <f t="shared" si="2"/>
        <v>64</v>
      </c>
      <c r="G12" s="43">
        <v>2</v>
      </c>
      <c r="H12" s="48">
        <f t="shared" si="3"/>
        <v>128</v>
      </c>
      <c r="I12" s="49">
        <v>61.8</v>
      </c>
      <c r="J12" s="60">
        <f t="shared" si="4"/>
        <v>7910.4</v>
      </c>
      <c r="K12" s="45"/>
      <c r="L12" s="52">
        <v>0</v>
      </c>
      <c r="M12" s="52">
        <v>0.75</v>
      </c>
      <c r="N12" s="52">
        <v>0.25</v>
      </c>
      <c r="O12" s="52">
        <v>0.66669999999999996</v>
      </c>
      <c r="Q12" s="53">
        <f t="shared" si="5"/>
        <v>0</v>
      </c>
      <c r="R12" s="53">
        <f t="shared" si="6"/>
        <v>5932.7999999999993</v>
      </c>
      <c r="S12" s="53">
        <f t="shared" si="7"/>
        <v>1977.6</v>
      </c>
      <c r="T12" s="53">
        <f t="shared" si="8"/>
        <v>5273.8636799999995</v>
      </c>
      <c r="V12" s="54">
        <f t="shared" ref="V12:V22" si="9">+$D12*L12</f>
        <v>0</v>
      </c>
      <c r="W12" s="55">
        <f t="shared" ref="W12:W22" si="10">+$D12*M12</f>
        <v>48</v>
      </c>
      <c r="X12" s="55">
        <f t="shared" ref="X12:X22" si="11">+$D12*N12</f>
        <v>16</v>
      </c>
      <c r="Y12" s="55">
        <f t="shared" ref="Y12:Y22" si="12">+$D12*O12</f>
        <v>42.668799999999997</v>
      </c>
    </row>
    <row r="13" spans="1:25" ht="28.5" customHeight="1">
      <c r="A13" s="57" t="s">
        <v>74</v>
      </c>
      <c r="B13" s="56" t="s">
        <v>167</v>
      </c>
      <c r="C13" s="39" t="s">
        <v>16</v>
      </c>
      <c r="D13" s="40">
        <v>2</v>
      </c>
      <c r="E13" s="41">
        <v>1</v>
      </c>
      <c r="F13" s="42">
        <f t="shared" si="2"/>
        <v>2</v>
      </c>
      <c r="G13" s="43">
        <v>8</v>
      </c>
      <c r="H13" s="48">
        <f t="shared" si="3"/>
        <v>16</v>
      </c>
      <c r="I13" s="49">
        <v>61.8</v>
      </c>
      <c r="J13" s="60">
        <f t="shared" si="4"/>
        <v>988.8</v>
      </c>
      <c r="K13" s="45"/>
      <c r="L13" s="52">
        <v>0</v>
      </c>
      <c r="M13" s="52">
        <v>0.75</v>
      </c>
      <c r="N13" s="52">
        <v>0.25</v>
      </c>
      <c r="O13" s="52">
        <v>0.66669999999999996</v>
      </c>
      <c r="Q13" s="53">
        <f t="shared" si="5"/>
        <v>0</v>
      </c>
      <c r="R13" s="53">
        <f t="shared" si="6"/>
        <v>741.59999999999991</v>
      </c>
      <c r="S13" s="53">
        <f t="shared" si="7"/>
        <v>247.2</v>
      </c>
      <c r="T13" s="53">
        <f t="shared" si="8"/>
        <v>659.23295999999993</v>
      </c>
      <c r="V13" s="54">
        <f t="shared" si="9"/>
        <v>0</v>
      </c>
      <c r="W13" s="55">
        <f t="shared" si="10"/>
        <v>1.5</v>
      </c>
      <c r="X13" s="55">
        <f t="shared" si="11"/>
        <v>0.5</v>
      </c>
      <c r="Y13" s="55">
        <f t="shared" si="12"/>
        <v>1.3333999999999999</v>
      </c>
    </row>
    <row r="14" spans="1:25" ht="27.4" customHeight="1">
      <c r="A14" s="57" t="s">
        <v>74</v>
      </c>
      <c r="B14" s="56" t="s">
        <v>168</v>
      </c>
      <c r="C14" s="39" t="s">
        <v>16</v>
      </c>
      <c r="D14" s="40">
        <v>43</v>
      </c>
      <c r="E14" s="41">
        <v>1</v>
      </c>
      <c r="F14" s="42">
        <f t="shared" ref="F14" si="13">SUM(D14*E14)</f>
        <v>43</v>
      </c>
      <c r="G14" s="43">
        <v>1</v>
      </c>
      <c r="H14" s="48">
        <f t="shared" ref="H14" si="14">SUM(G14*F14)</f>
        <v>43</v>
      </c>
      <c r="I14" s="49">
        <v>61.8</v>
      </c>
      <c r="J14" s="60">
        <f t="shared" ref="J14" si="15">(H14)*(I14)</f>
        <v>2657.4</v>
      </c>
      <c r="K14" s="45"/>
      <c r="L14" s="52">
        <v>0</v>
      </c>
      <c r="M14" s="52">
        <v>0.75</v>
      </c>
      <c r="N14" s="52">
        <v>0.25</v>
      </c>
      <c r="O14" s="52">
        <v>0.66669999999999996</v>
      </c>
      <c r="Q14" s="53">
        <f t="shared" ref="Q14" si="16">+$J14*L14</f>
        <v>0</v>
      </c>
      <c r="R14" s="53">
        <f t="shared" ref="R14" si="17">+$J14*M14</f>
        <v>1993.0500000000002</v>
      </c>
      <c r="S14" s="53">
        <f t="shared" ref="S14" si="18">+$J14*N14</f>
        <v>664.35</v>
      </c>
      <c r="T14" s="53">
        <f t="shared" ref="T14" si="19">+$J14*O14</f>
        <v>1771.68858</v>
      </c>
      <c r="V14" s="54">
        <f t="shared" ref="V14" si="20">+$D14*L14</f>
        <v>0</v>
      </c>
      <c r="W14" s="55">
        <f t="shared" ref="W14" si="21">+$D14*M14</f>
        <v>32.25</v>
      </c>
      <c r="X14" s="55">
        <f t="shared" ref="X14" si="22">+$D14*N14</f>
        <v>10.75</v>
      </c>
      <c r="Y14" s="55">
        <f t="shared" ref="Y14" si="23">+$D14*O14</f>
        <v>28.668099999999999</v>
      </c>
    </row>
    <row r="15" spans="1:25" ht="25.7" customHeight="1">
      <c r="A15" s="57" t="s">
        <v>178</v>
      </c>
      <c r="B15" s="56" t="s">
        <v>169</v>
      </c>
      <c r="C15" s="39" t="s">
        <v>16</v>
      </c>
      <c r="D15" s="40">
        <v>11</v>
      </c>
      <c r="E15" s="41">
        <v>1</v>
      </c>
      <c r="F15" s="42">
        <f t="shared" si="2"/>
        <v>11</v>
      </c>
      <c r="G15" s="43">
        <v>8</v>
      </c>
      <c r="H15" s="48">
        <f t="shared" si="3"/>
        <v>88</v>
      </c>
      <c r="I15" s="49">
        <v>61.8</v>
      </c>
      <c r="J15" s="60">
        <f t="shared" si="4"/>
        <v>5438.4</v>
      </c>
      <c r="K15" s="45"/>
      <c r="L15" s="52">
        <v>0</v>
      </c>
      <c r="M15" s="52">
        <v>0.75</v>
      </c>
      <c r="N15" s="52">
        <v>0.25</v>
      </c>
      <c r="O15" s="52">
        <v>0.66669999999999996</v>
      </c>
      <c r="Q15" s="53">
        <f t="shared" si="5"/>
        <v>0</v>
      </c>
      <c r="R15" s="53">
        <f t="shared" si="6"/>
        <v>4078.7999999999997</v>
      </c>
      <c r="S15" s="53">
        <f t="shared" si="7"/>
        <v>1359.6</v>
      </c>
      <c r="T15" s="53">
        <f t="shared" si="8"/>
        <v>3625.7812799999997</v>
      </c>
      <c r="V15" s="54">
        <f t="shared" si="9"/>
        <v>0</v>
      </c>
      <c r="W15" s="55">
        <f t="shared" si="10"/>
        <v>8.25</v>
      </c>
      <c r="X15" s="55">
        <f t="shared" si="11"/>
        <v>2.75</v>
      </c>
      <c r="Y15" s="55">
        <f t="shared" si="12"/>
        <v>7.3336999999999994</v>
      </c>
    </row>
    <row r="16" spans="1:25" ht="29.25" customHeight="1">
      <c r="A16" s="57" t="s">
        <v>178</v>
      </c>
      <c r="B16" s="56" t="s">
        <v>170</v>
      </c>
      <c r="C16" s="39" t="s">
        <v>16</v>
      </c>
      <c r="D16" s="40">
        <v>8</v>
      </c>
      <c r="E16" s="41">
        <v>1</v>
      </c>
      <c r="F16" s="42">
        <f t="shared" ref="F16" si="24">SUM(D16*E16)</f>
        <v>8</v>
      </c>
      <c r="G16" s="43">
        <v>1</v>
      </c>
      <c r="H16" s="48">
        <f t="shared" ref="H16" si="25">SUM(G16*F16)</f>
        <v>8</v>
      </c>
      <c r="I16" s="49">
        <v>61.8</v>
      </c>
      <c r="J16" s="60">
        <f t="shared" ref="J16" si="26">(H16)*(I16)</f>
        <v>494.4</v>
      </c>
      <c r="K16" s="45"/>
      <c r="L16" s="52">
        <v>0</v>
      </c>
      <c r="M16" s="52">
        <v>0.75</v>
      </c>
      <c r="N16" s="52">
        <v>0.25</v>
      </c>
      <c r="O16" s="52">
        <v>0.66669999999999996</v>
      </c>
      <c r="Q16" s="53">
        <f t="shared" ref="Q16" si="27">+$J16*L16</f>
        <v>0</v>
      </c>
      <c r="R16" s="53">
        <f t="shared" ref="R16" si="28">+$J16*M16</f>
        <v>370.79999999999995</v>
      </c>
      <c r="S16" s="53">
        <f t="shared" ref="S16" si="29">+$J16*N16</f>
        <v>123.6</v>
      </c>
      <c r="T16" s="53">
        <f t="shared" ref="T16" si="30">+$J16*O16</f>
        <v>329.61647999999997</v>
      </c>
      <c r="V16" s="54">
        <f t="shared" ref="V16" si="31">+$D16*L16</f>
        <v>0</v>
      </c>
      <c r="W16" s="55">
        <f t="shared" ref="W16" si="32">+$D16*M16</f>
        <v>6</v>
      </c>
      <c r="X16" s="55">
        <f t="shared" ref="X16" si="33">+$D16*N16</f>
        <v>2</v>
      </c>
      <c r="Y16" s="55">
        <f t="shared" ref="Y16" si="34">+$D16*O16</f>
        <v>5.3335999999999997</v>
      </c>
    </row>
    <row r="17" spans="1:25" ht="25.5">
      <c r="A17" s="57" t="s">
        <v>75</v>
      </c>
      <c r="B17" s="56" t="str">
        <f>'6022-yr1'!B17</f>
        <v>Additional Documentation - microlender enhancement grants</v>
      </c>
      <c r="C17" s="39" t="s">
        <v>16</v>
      </c>
      <c r="D17" s="40">
        <f>'6022-yr1'!E65</f>
        <v>7</v>
      </c>
      <c r="E17" s="41">
        <v>1</v>
      </c>
      <c r="F17" s="42">
        <f t="shared" si="2"/>
        <v>7</v>
      </c>
      <c r="G17" s="43">
        <v>6</v>
      </c>
      <c r="H17" s="48">
        <f t="shared" si="3"/>
        <v>42</v>
      </c>
      <c r="I17" s="49">
        <v>61.8</v>
      </c>
      <c r="J17" s="60">
        <f t="shared" si="4"/>
        <v>2595.6</v>
      </c>
      <c r="K17" s="45"/>
      <c r="L17" s="52">
        <v>0</v>
      </c>
      <c r="M17" s="52">
        <v>0.75</v>
      </c>
      <c r="N17" s="52">
        <v>0.25</v>
      </c>
      <c r="O17" s="52">
        <v>0.66669999999999996</v>
      </c>
      <c r="Q17" s="53">
        <f t="shared" si="5"/>
        <v>0</v>
      </c>
      <c r="R17" s="53">
        <f t="shared" si="6"/>
        <v>1946.6999999999998</v>
      </c>
      <c r="S17" s="53">
        <f t="shared" si="7"/>
        <v>648.9</v>
      </c>
      <c r="T17" s="53">
        <f t="shared" si="8"/>
        <v>1730.4865199999999</v>
      </c>
      <c r="V17" s="54">
        <f t="shared" si="9"/>
        <v>0</v>
      </c>
      <c r="W17" s="55">
        <f t="shared" si="10"/>
        <v>5.25</v>
      </c>
      <c r="X17" s="55">
        <f t="shared" si="11"/>
        <v>1.75</v>
      </c>
      <c r="Y17" s="55">
        <f t="shared" si="12"/>
        <v>4.6669</v>
      </c>
    </row>
    <row r="18" spans="1:25" ht="25.5">
      <c r="A18" s="57" t="s">
        <v>76</v>
      </c>
      <c r="B18" s="56" t="str">
        <f>'6022-yr1'!B18</f>
        <v>Application microlenders with &gt; 5 yrs exp in the program</v>
      </c>
      <c r="C18" s="39" t="s">
        <v>16</v>
      </c>
      <c r="D18" s="40">
        <v>0</v>
      </c>
      <c r="E18" s="41">
        <v>1</v>
      </c>
      <c r="F18" s="42">
        <f t="shared" si="2"/>
        <v>0</v>
      </c>
      <c r="G18" s="43">
        <v>1</v>
      </c>
      <c r="H18" s="48">
        <f t="shared" si="3"/>
        <v>0</v>
      </c>
      <c r="I18" s="49">
        <v>61.8</v>
      </c>
      <c r="J18" s="60">
        <f t="shared" si="4"/>
        <v>0</v>
      </c>
      <c r="K18" s="45"/>
      <c r="L18" s="52">
        <v>0</v>
      </c>
      <c r="M18" s="52">
        <v>0.75</v>
      </c>
      <c r="N18" s="52">
        <v>0.25</v>
      </c>
      <c r="O18" s="52">
        <v>0.66669999999999996</v>
      </c>
      <c r="Q18" s="53">
        <f t="shared" si="5"/>
        <v>0</v>
      </c>
      <c r="R18" s="53">
        <f t="shared" si="6"/>
        <v>0</v>
      </c>
      <c r="S18" s="53">
        <f t="shared" si="7"/>
        <v>0</v>
      </c>
      <c r="T18" s="53">
        <f t="shared" si="8"/>
        <v>0</v>
      </c>
      <c r="V18" s="54">
        <f t="shared" si="9"/>
        <v>0</v>
      </c>
      <c r="W18" s="55">
        <f t="shared" si="10"/>
        <v>0</v>
      </c>
      <c r="X18" s="55">
        <f t="shared" si="11"/>
        <v>0</v>
      </c>
      <c r="Y18" s="55">
        <f t="shared" si="12"/>
        <v>0</v>
      </c>
    </row>
    <row r="19" spans="1:25">
      <c r="A19" s="57" t="s">
        <v>80</v>
      </c>
      <c r="B19" s="56" t="s">
        <v>79</v>
      </c>
      <c r="C19" s="39" t="s">
        <v>16</v>
      </c>
      <c r="D19" s="40">
        <f>'6022-yr1'!F$63</f>
        <v>63</v>
      </c>
      <c r="E19" s="41">
        <v>1</v>
      </c>
      <c r="F19" s="42">
        <f>SUM(D19*E19)</f>
        <v>63</v>
      </c>
      <c r="G19" s="43">
        <v>1</v>
      </c>
      <c r="H19" s="48">
        <f>SUM(G19*F19)</f>
        <v>63</v>
      </c>
      <c r="I19" s="49">
        <v>61.8</v>
      </c>
      <c r="J19" s="60">
        <f>(H19)*(I19)</f>
        <v>3893.3999999999996</v>
      </c>
      <c r="K19" s="45"/>
      <c r="L19" s="52">
        <v>0</v>
      </c>
      <c r="M19" s="52">
        <v>0.75</v>
      </c>
      <c r="N19" s="52">
        <v>0.25</v>
      </c>
      <c r="O19" s="52">
        <v>0.66669999999999996</v>
      </c>
      <c r="Q19" s="53">
        <f t="shared" si="5"/>
        <v>0</v>
      </c>
      <c r="R19" s="53">
        <f t="shared" si="6"/>
        <v>2920.0499999999997</v>
      </c>
      <c r="S19" s="53">
        <f t="shared" si="7"/>
        <v>973.34999999999991</v>
      </c>
      <c r="T19" s="53">
        <f t="shared" si="8"/>
        <v>2595.7297799999997</v>
      </c>
      <c r="V19" s="54">
        <f t="shared" si="9"/>
        <v>0</v>
      </c>
      <c r="W19" s="55">
        <f t="shared" si="10"/>
        <v>47.25</v>
      </c>
      <c r="X19" s="55">
        <f t="shared" si="11"/>
        <v>15.75</v>
      </c>
      <c r="Y19" s="55">
        <f t="shared" si="12"/>
        <v>42.002099999999999</v>
      </c>
    </row>
    <row r="20" spans="1:25">
      <c r="A20" s="57" t="s">
        <v>81</v>
      </c>
      <c r="B20" s="56" t="s">
        <v>82</v>
      </c>
      <c r="C20" s="39" t="s">
        <v>16</v>
      </c>
      <c r="D20" s="40">
        <f>'6022-yr1'!F$63</f>
        <v>63</v>
      </c>
      <c r="E20" s="41">
        <v>1</v>
      </c>
      <c r="F20" s="42">
        <f>SUM(D20*E20)</f>
        <v>63</v>
      </c>
      <c r="G20" s="43">
        <v>0.5</v>
      </c>
      <c r="H20" s="48">
        <f>SUM(G20*F20)</f>
        <v>31.5</v>
      </c>
      <c r="I20" s="49">
        <v>61.8</v>
      </c>
      <c r="J20" s="60">
        <f>(H20)*(I20)</f>
        <v>1946.6999999999998</v>
      </c>
      <c r="K20" s="45"/>
      <c r="L20" s="52">
        <v>0</v>
      </c>
      <c r="M20" s="52">
        <v>0.75</v>
      </c>
      <c r="N20" s="52">
        <v>0.25</v>
      </c>
      <c r="O20" s="52">
        <v>0.66669999999999996</v>
      </c>
      <c r="Q20" s="53">
        <f t="shared" si="5"/>
        <v>0</v>
      </c>
      <c r="R20" s="53">
        <f t="shared" si="6"/>
        <v>1460.0249999999999</v>
      </c>
      <c r="S20" s="53">
        <f t="shared" si="7"/>
        <v>486.67499999999995</v>
      </c>
      <c r="T20" s="53">
        <f t="shared" si="8"/>
        <v>1297.8648899999998</v>
      </c>
      <c r="V20" s="54">
        <f t="shared" si="9"/>
        <v>0</v>
      </c>
      <c r="W20" s="55">
        <f t="shared" si="10"/>
        <v>47.25</v>
      </c>
      <c r="X20" s="55">
        <f t="shared" si="11"/>
        <v>15.75</v>
      </c>
      <c r="Y20" s="55">
        <f t="shared" si="12"/>
        <v>42.002099999999999</v>
      </c>
    </row>
    <row r="21" spans="1:25">
      <c r="A21" s="57"/>
      <c r="B21" s="58" t="s">
        <v>50</v>
      </c>
      <c r="C21" s="39"/>
      <c r="D21" s="40"/>
      <c r="E21" s="41"/>
      <c r="F21" s="42"/>
      <c r="G21" s="43"/>
      <c r="H21" s="48"/>
      <c r="I21" s="59"/>
      <c r="J21" s="60"/>
      <c r="K21" s="45"/>
      <c r="L21" s="52">
        <v>0</v>
      </c>
      <c r="M21" s="52">
        <v>0.75</v>
      </c>
      <c r="N21" s="52">
        <v>0.25</v>
      </c>
      <c r="O21" s="52">
        <v>0.66669999999999996</v>
      </c>
      <c r="Q21" s="53">
        <f t="shared" si="5"/>
        <v>0</v>
      </c>
      <c r="R21" s="53">
        <f t="shared" si="6"/>
        <v>0</v>
      </c>
      <c r="S21" s="53">
        <f t="shared" si="7"/>
        <v>0</v>
      </c>
      <c r="T21" s="53">
        <f t="shared" si="8"/>
        <v>0</v>
      </c>
      <c r="V21" s="54">
        <f t="shared" si="9"/>
        <v>0</v>
      </c>
      <c r="W21" s="55">
        <f t="shared" si="10"/>
        <v>0</v>
      </c>
      <c r="X21" s="55">
        <f t="shared" si="11"/>
        <v>0</v>
      </c>
      <c r="Y21" s="55">
        <f t="shared" si="12"/>
        <v>0</v>
      </c>
    </row>
    <row r="22" spans="1:25">
      <c r="A22" s="37" t="s">
        <v>179</v>
      </c>
      <c r="B22" s="56" t="s">
        <v>46</v>
      </c>
      <c r="C22" s="39" t="s">
        <v>16</v>
      </c>
      <c r="D22" s="40">
        <f>'6022-yr1'!E$63</f>
        <v>64</v>
      </c>
      <c r="E22" s="39">
        <v>1</v>
      </c>
      <c r="F22" s="42">
        <f t="shared" si="2"/>
        <v>64</v>
      </c>
      <c r="G22" s="98">
        <v>0.25</v>
      </c>
      <c r="H22" s="48">
        <f t="shared" si="3"/>
        <v>16</v>
      </c>
      <c r="I22" s="49">
        <v>61.8</v>
      </c>
      <c r="J22" s="60">
        <f t="shared" si="4"/>
        <v>988.8</v>
      </c>
      <c r="K22" s="89"/>
      <c r="L22" s="52">
        <v>0</v>
      </c>
      <c r="M22" s="52">
        <v>0.75</v>
      </c>
      <c r="N22" s="52">
        <v>0.25</v>
      </c>
      <c r="O22" s="52">
        <v>0.66669999999999996</v>
      </c>
      <c r="Q22" s="53">
        <f t="shared" si="5"/>
        <v>0</v>
      </c>
      <c r="R22" s="53">
        <f t="shared" si="6"/>
        <v>741.59999999999991</v>
      </c>
      <c r="S22" s="53">
        <f t="shared" si="7"/>
        <v>247.2</v>
      </c>
      <c r="T22" s="53">
        <f t="shared" si="8"/>
        <v>659.23295999999993</v>
      </c>
      <c r="V22" s="54">
        <f t="shared" si="9"/>
        <v>0</v>
      </c>
      <c r="W22" s="55">
        <f t="shared" si="10"/>
        <v>48</v>
      </c>
      <c r="X22" s="55">
        <f t="shared" si="11"/>
        <v>16</v>
      </c>
      <c r="Y22" s="55">
        <f t="shared" si="12"/>
        <v>42.668799999999997</v>
      </c>
    </row>
    <row r="23" spans="1:25">
      <c r="A23" s="37"/>
      <c r="B23" s="58" t="str">
        <f>'6022-yr1'!B23</f>
        <v>Appeals</v>
      </c>
      <c r="C23" s="39"/>
      <c r="D23" s="61"/>
      <c r="E23" s="41"/>
      <c r="F23" s="42"/>
      <c r="G23" s="43"/>
      <c r="H23" s="48"/>
      <c r="I23" s="49"/>
      <c r="J23" s="59"/>
      <c r="K23" s="45"/>
      <c r="L23" s="52"/>
      <c r="M23" s="52"/>
      <c r="N23" s="52"/>
      <c r="O23" s="52"/>
      <c r="Q23" s="53"/>
      <c r="R23" s="53"/>
      <c r="S23" s="53"/>
      <c r="T23" s="53"/>
      <c r="V23" s="54"/>
      <c r="W23" s="55"/>
      <c r="X23" s="55"/>
      <c r="Y23" s="55"/>
    </row>
    <row r="24" spans="1:25" ht="15" customHeight="1">
      <c r="A24" s="57">
        <v>304</v>
      </c>
      <c r="B24" s="56" t="str">
        <f>'6022-yr1'!B24</f>
        <v>Request for Appeal</v>
      </c>
      <c r="C24" s="39"/>
      <c r="D24" s="61"/>
      <c r="E24" s="41"/>
      <c r="F24" s="42"/>
      <c r="G24" s="43"/>
      <c r="H24" s="48"/>
      <c r="I24" s="49"/>
      <c r="J24" s="59"/>
      <c r="K24" s="45"/>
      <c r="L24" s="52"/>
      <c r="M24" s="52"/>
      <c r="N24" s="52"/>
      <c r="O24" s="52"/>
      <c r="Q24" s="53"/>
      <c r="R24" s="53"/>
      <c r="S24" s="53"/>
      <c r="T24" s="53"/>
      <c r="V24" s="54"/>
      <c r="W24" s="55"/>
      <c r="X24" s="55"/>
      <c r="Y24" s="55"/>
    </row>
    <row r="25" spans="1:25">
      <c r="A25" s="37"/>
      <c r="B25" s="62" t="s">
        <v>38</v>
      </c>
      <c r="C25" s="63"/>
      <c r="D25" s="65">
        <f>SUM(D11)</f>
        <v>64</v>
      </c>
      <c r="E25" s="64"/>
      <c r="F25" s="65">
        <f>SUM(F7:F22)</f>
        <v>706</v>
      </c>
      <c r="G25" s="66"/>
      <c r="H25" s="67">
        <f>SUM(H7:H22)</f>
        <v>1581.5</v>
      </c>
      <c r="I25" s="68"/>
      <c r="J25" s="69">
        <f>SUM(J7:J22)</f>
        <v>97736.699999999968</v>
      </c>
      <c r="K25" s="45"/>
      <c r="L25" s="52"/>
      <c r="M25" s="52"/>
      <c r="N25" s="52"/>
      <c r="O25" s="52"/>
      <c r="Q25" s="53"/>
      <c r="R25" s="53"/>
      <c r="S25" s="53"/>
      <c r="T25" s="53"/>
      <c r="V25" s="54"/>
      <c r="W25" s="55"/>
      <c r="X25" s="55"/>
      <c r="Y25" s="55"/>
    </row>
    <row r="26" spans="1:25">
      <c r="A26" s="37"/>
      <c r="D26" s="37"/>
      <c r="E26" s="37"/>
      <c r="F26" s="37"/>
      <c r="H26" s="71"/>
      <c r="I26" s="72"/>
      <c r="J26" s="37"/>
      <c r="K26" s="73"/>
      <c r="L26" s="52"/>
      <c r="M26" s="52"/>
      <c r="N26" s="52"/>
      <c r="O26" s="52"/>
      <c r="Q26" s="53"/>
      <c r="R26" s="53"/>
      <c r="S26" s="53"/>
      <c r="T26" s="53"/>
      <c r="V26" s="54"/>
      <c r="W26" s="55"/>
      <c r="X26" s="55"/>
      <c r="Y26" s="55"/>
    </row>
    <row r="27" spans="1:25">
      <c r="A27" s="37"/>
      <c r="B27" s="74" t="s">
        <v>55</v>
      </c>
      <c r="C27" s="18"/>
      <c r="D27" s="75"/>
      <c r="E27" s="75"/>
      <c r="F27" s="75"/>
      <c r="G27" s="66"/>
      <c r="H27" s="76"/>
      <c r="I27" s="69"/>
      <c r="J27" s="69"/>
      <c r="K27" s="73"/>
      <c r="L27" s="52"/>
      <c r="M27" s="52"/>
      <c r="N27" s="52"/>
      <c r="O27" s="52"/>
      <c r="Q27" s="53"/>
      <c r="R27" s="53"/>
      <c r="S27" s="53"/>
      <c r="T27" s="53"/>
      <c r="V27" s="54"/>
      <c r="W27" s="55"/>
      <c r="X27" s="55"/>
      <c r="Y27" s="55"/>
    </row>
    <row r="28" spans="1:25" ht="42.75" customHeight="1">
      <c r="A28" s="37" t="s">
        <v>180</v>
      </c>
      <c r="B28" s="56" t="s">
        <v>19</v>
      </c>
      <c r="C28" s="39" t="s">
        <v>20</v>
      </c>
      <c r="D28" s="40">
        <f>'6022-yr1'!E$63</f>
        <v>64</v>
      </c>
      <c r="E28" s="41">
        <v>1</v>
      </c>
      <c r="F28" s="42">
        <f>SUM(D28*E28)</f>
        <v>64</v>
      </c>
      <c r="G28" s="95">
        <v>0.25</v>
      </c>
      <c r="H28" s="48">
        <f>SUM(G28*F28)</f>
        <v>16</v>
      </c>
      <c r="I28" s="49">
        <v>61.8</v>
      </c>
      <c r="J28" s="60">
        <f>(H28)*(I28)</f>
        <v>988.8</v>
      </c>
      <c r="K28" s="73"/>
      <c r="L28" s="52">
        <v>0</v>
      </c>
      <c r="M28" s="52">
        <v>0.75</v>
      </c>
      <c r="N28" s="52">
        <v>0.25</v>
      </c>
      <c r="O28" s="52">
        <v>0.66669999999999996</v>
      </c>
      <c r="Q28" s="53">
        <f t="shared" ref="Q28:T37" si="35">+$J28*L28</f>
        <v>0</v>
      </c>
      <c r="R28" s="53">
        <f t="shared" si="35"/>
        <v>741.59999999999991</v>
      </c>
      <c r="S28" s="53">
        <f t="shared" si="35"/>
        <v>247.2</v>
      </c>
      <c r="T28" s="53">
        <f t="shared" si="35"/>
        <v>659.23295999999993</v>
      </c>
      <c r="V28" s="54">
        <f>+$D28*L28</f>
        <v>0</v>
      </c>
      <c r="W28" s="55">
        <f>+$D28*M28</f>
        <v>48</v>
      </c>
      <c r="X28" s="55">
        <f>+$D28*N28</f>
        <v>16</v>
      </c>
      <c r="Y28" s="55">
        <f>+$D28*O28</f>
        <v>42.668799999999997</v>
      </c>
    </row>
    <row r="29" spans="1:25" ht="13.5" customHeight="1">
      <c r="A29" s="37" t="s">
        <v>181</v>
      </c>
      <c r="B29" s="56" t="s">
        <v>84</v>
      </c>
      <c r="C29" s="39" t="s">
        <v>83</v>
      </c>
      <c r="D29" s="40">
        <f>'6022-yr1'!E$63</f>
        <v>64</v>
      </c>
      <c r="E29" s="41">
        <v>1</v>
      </c>
      <c r="F29" s="42">
        <f>SUM(D29*E29)</f>
        <v>64</v>
      </c>
      <c r="G29" s="95">
        <v>8</v>
      </c>
      <c r="H29" s="48">
        <f>SUM(G29*F29)</f>
        <v>512</v>
      </c>
      <c r="I29" s="49">
        <v>61.8</v>
      </c>
      <c r="J29" s="60">
        <f>(H29)*(I29)</f>
        <v>31641.599999999999</v>
      </c>
      <c r="K29" s="73"/>
      <c r="L29" s="52">
        <v>0</v>
      </c>
      <c r="M29" s="52">
        <v>0.75</v>
      </c>
      <c r="N29" s="52">
        <v>0.25</v>
      </c>
      <c r="O29" s="52">
        <v>0.66669999999999996</v>
      </c>
      <c r="Q29" s="53">
        <f t="shared" si="35"/>
        <v>0</v>
      </c>
      <c r="R29" s="53">
        <f t="shared" si="35"/>
        <v>23731.199999999997</v>
      </c>
      <c r="S29" s="53">
        <f t="shared" si="35"/>
        <v>7910.4</v>
      </c>
      <c r="T29" s="53">
        <f t="shared" si="35"/>
        <v>21095.454719999998</v>
      </c>
      <c r="V29" s="54">
        <f t="shared" ref="V29:V45" si="36">+$D29*L29</f>
        <v>0</v>
      </c>
      <c r="W29" s="55">
        <f t="shared" ref="W29:W45" si="37">+$D29*M29</f>
        <v>48</v>
      </c>
      <c r="X29" s="55">
        <f t="shared" ref="X29:X45" si="38">+$D29*N29</f>
        <v>16</v>
      </c>
      <c r="Y29" s="55">
        <f t="shared" ref="Y29:Y45" si="39">+$D29*O29</f>
        <v>42.668799999999997</v>
      </c>
    </row>
    <row r="30" spans="1:25" ht="13.5" customHeight="1">
      <c r="A30" s="37" t="s">
        <v>182</v>
      </c>
      <c r="B30" s="56" t="s">
        <v>126</v>
      </c>
      <c r="C30" s="39" t="s">
        <v>127</v>
      </c>
      <c r="D30" s="40">
        <f>'6022-yr1'!F$63</f>
        <v>63</v>
      </c>
      <c r="E30" s="41">
        <v>1</v>
      </c>
      <c r="F30" s="42">
        <f t="shared" ref="F30:F35" si="40">SUM(D30*E30)</f>
        <v>63</v>
      </c>
      <c r="G30" s="95">
        <v>0.1</v>
      </c>
      <c r="H30" s="48">
        <f t="shared" ref="H30:H35" si="41">SUM(G30*F30)</f>
        <v>6.3000000000000007</v>
      </c>
      <c r="I30" s="49">
        <v>61.8</v>
      </c>
      <c r="J30" s="60">
        <f t="shared" ref="J30:J35" si="42">(H30)*(I30)</f>
        <v>389.34000000000003</v>
      </c>
      <c r="K30" s="73"/>
      <c r="L30" s="52">
        <v>0</v>
      </c>
      <c r="M30" s="52">
        <v>0.75</v>
      </c>
      <c r="N30" s="52">
        <v>0.25</v>
      </c>
      <c r="O30" s="52">
        <v>0.66669999999999996</v>
      </c>
      <c r="Q30" s="53">
        <f t="shared" ref="Q30:Q35" si="43">+$J30*L30</f>
        <v>0</v>
      </c>
      <c r="R30" s="53">
        <f t="shared" ref="R30:R35" si="44">+$J30*M30</f>
        <v>292.005</v>
      </c>
      <c r="S30" s="53">
        <f t="shared" ref="S30:S35" si="45">+$J30*N30</f>
        <v>97.335000000000008</v>
      </c>
      <c r="T30" s="53">
        <f t="shared" ref="T30:T35" si="46">+$J30*O30</f>
        <v>259.57297799999998</v>
      </c>
      <c r="V30" s="54">
        <f t="shared" ref="V30:V35" si="47">+$D30*L30</f>
        <v>0</v>
      </c>
      <c r="W30" s="55">
        <f t="shared" ref="W30:W35" si="48">+$D30*M30</f>
        <v>47.25</v>
      </c>
      <c r="X30" s="55">
        <f t="shared" ref="X30:X35" si="49">+$D30*N30</f>
        <v>15.75</v>
      </c>
      <c r="Y30" s="55">
        <f t="shared" ref="Y30:Y35" si="50">+$D30*O30</f>
        <v>42.002099999999999</v>
      </c>
    </row>
    <row r="31" spans="1:25" ht="13.5" customHeight="1">
      <c r="A31" s="37" t="s">
        <v>138</v>
      </c>
      <c r="B31" s="56" t="s">
        <v>190</v>
      </c>
      <c r="C31" s="120" t="s">
        <v>189</v>
      </c>
      <c r="D31" s="40">
        <f>'6022-yr1'!F$63</f>
        <v>63</v>
      </c>
      <c r="E31" s="41">
        <v>2</v>
      </c>
      <c r="F31" s="42">
        <f t="shared" ref="F31" si="51">SUM(D31*E31)</f>
        <v>126</v>
      </c>
      <c r="G31" s="95">
        <v>0.25</v>
      </c>
      <c r="H31" s="48">
        <f t="shared" ref="H31" si="52">SUM(G31*F31)</f>
        <v>31.5</v>
      </c>
      <c r="I31" s="49">
        <v>61.8</v>
      </c>
      <c r="J31" s="60">
        <f t="shared" ref="J31" si="53">(H31)*(I31)</f>
        <v>1946.6999999999998</v>
      </c>
      <c r="K31" s="73"/>
      <c r="L31" s="52">
        <v>0</v>
      </c>
      <c r="M31" s="52">
        <v>0.75</v>
      </c>
      <c r="N31" s="52">
        <v>0.25</v>
      </c>
      <c r="O31" s="52">
        <v>0.66669999999999996</v>
      </c>
      <c r="Q31" s="53">
        <f t="shared" ref="Q31" si="54">+$J31*L31</f>
        <v>0</v>
      </c>
      <c r="R31" s="53">
        <f t="shared" ref="R31" si="55">+$J31*M31</f>
        <v>1460.0249999999999</v>
      </c>
      <c r="S31" s="53">
        <f t="shared" ref="S31" si="56">+$J31*N31</f>
        <v>486.67499999999995</v>
      </c>
      <c r="T31" s="53">
        <f t="shared" ref="T31" si="57">+$J31*O31</f>
        <v>1297.8648899999998</v>
      </c>
      <c r="V31" s="54"/>
      <c r="W31" s="55"/>
      <c r="X31" s="55"/>
      <c r="Y31" s="55"/>
    </row>
    <row r="32" spans="1:25" ht="13.5" customHeight="1">
      <c r="A32" s="37" t="s">
        <v>137</v>
      </c>
      <c r="B32" s="56" t="s">
        <v>132</v>
      </c>
      <c r="C32" s="39" t="s">
        <v>131</v>
      </c>
      <c r="D32" s="40">
        <f>'6022-yr1'!F$63</f>
        <v>63</v>
      </c>
      <c r="E32" s="41">
        <v>1</v>
      </c>
      <c r="F32" s="42">
        <f t="shared" si="40"/>
        <v>63</v>
      </c>
      <c r="G32" s="95">
        <v>1</v>
      </c>
      <c r="H32" s="48">
        <f t="shared" si="41"/>
        <v>63</v>
      </c>
      <c r="I32" s="49">
        <v>61.8</v>
      </c>
      <c r="J32" s="60">
        <f t="shared" si="42"/>
        <v>3893.3999999999996</v>
      </c>
      <c r="K32" s="73"/>
      <c r="L32" s="52">
        <v>0</v>
      </c>
      <c r="M32" s="52">
        <v>0.75</v>
      </c>
      <c r="N32" s="52">
        <v>0.25</v>
      </c>
      <c r="O32" s="52">
        <v>0.66669999999999996</v>
      </c>
      <c r="Q32" s="53">
        <f t="shared" si="43"/>
        <v>0</v>
      </c>
      <c r="R32" s="53">
        <f t="shared" si="44"/>
        <v>2920.0499999999997</v>
      </c>
      <c r="S32" s="53">
        <f t="shared" si="45"/>
        <v>973.34999999999991</v>
      </c>
      <c r="T32" s="53">
        <f t="shared" si="46"/>
        <v>2595.7297799999997</v>
      </c>
      <c r="V32" s="54">
        <f t="shared" si="47"/>
        <v>0</v>
      </c>
      <c r="W32" s="55">
        <f t="shared" si="48"/>
        <v>47.25</v>
      </c>
      <c r="X32" s="55">
        <f t="shared" si="49"/>
        <v>15.75</v>
      </c>
      <c r="Y32" s="55">
        <f t="shared" si="50"/>
        <v>42.002099999999999</v>
      </c>
    </row>
    <row r="33" spans="1:25" ht="13.5" customHeight="1">
      <c r="A33" s="37" t="s">
        <v>136</v>
      </c>
      <c r="B33" s="78" t="s">
        <v>133</v>
      </c>
      <c r="C33" s="37" t="s">
        <v>134</v>
      </c>
      <c r="D33" s="40">
        <f>'6022-yr1'!F$63</f>
        <v>63</v>
      </c>
      <c r="E33" s="41">
        <v>4</v>
      </c>
      <c r="F33" s="42">
        <f t="shared" si="40"/>
        <v>252</v>
      </c>
      <c r="G33" s="95">
        <v>4</v>
      </c>
      <c r="H33" s="48">
        <f t="shared" si="41"/>
        <v>1008</v>
      </c>
      <c r="I33" s="49">
        <v>61.8</v>
      </c>
      <c r="J33" s="60">
        <f t="shared" si="42"/>
        <v>62294.399999999994</v>
      </c>
      <c r="K33" s="73"/>
      <c r="L33" s="52">
        <v>0</v>
      </c>
      <c r="M33" s="52">
        <v>0.75</v>
      </c>
      <c r="N33" s="52">
        <v>0.25</v>
      </c>
      <c r="O33" s="52">
        <v>0.66669999999999996</v>
      </c>
      <c r="Q33" s="53">
        <f t="shared" si="43"/>
        <v>0</v>
      </c>
      <c r="R33" s="53">
        <f t="shared" si="44"/>
        <v>46720.799999999996</v>
      </c>
      <c r="S33" s="53">
        <f t="shared" si="45"/>
        <v>15573.599999999999</v>
      </c>
      <c r="T33" s="53">
        <f t="shared" si="46"/>
        <v>41531.676479999995</v>
      </c>
      <c r="V33" s="54">
        <f t="shared" si="47"/>
        <v>0</v>
      </c>
      <c r="W33" s="55">
        <f t="shared" si="48"/>
        <v>47.25</v>
      </c>
      <c r="X33" s="55">
        <f t="shared" si="49"/>
        <v>15.75</v>
      </c>
      <c r="Y33" s="55">
        <f t="shared" si="50"/>
        <v>42.002099999999999</v>
      </c>
    </row>
    <row r="34" spans="1:25" ht="13.5" customHeight="1">
      <c r="A34" s="37" t="s">
        <v>139</v>
      </c>
      <c r="B34" s="56" t="s">
        <v>128</v>
      </c>
      <c r="C34" s="39" t="s">
        <v>135</v>
      </c>
      <c r="D34" s="40">
        <f>'6022-yr1'!F$63</f>
        <v>63</v>
      </c>
      <c r="E34" s="41">
        <v>1</v>
      </c>
      <c r="F34" s="42">
        <f t="shared" si="40"/>
        <v>63</v>
      </c>
      <c r="G34" s="95">
        <v>1.5</v>
      </c>
      <c r="H34" s="48">
        <f t="shared" si="41"/>
        <v>94.5</v>
      </c>
      <c r="I34" s="49">
        <v>61.8</v>
      </c>
      <c r="J34" s="60">
        <f t="shared" si="42"/>
        <v>5840.0999999999995</v>
      </c>
      <c r="K34" s="73"/>
      <c r="L34" s="52">
        <v>0</v>
      </c>
      <c r="M34" s="52">
        <v>0.75</v>
      </c>
      <c r="N34" s="52">
        <v>0.25</v>
      </c>
      <c r="O34" s="52">
        <v>0.66669999999999996</v>
      </c>
      <c r="Q34" s="53">
        <f t="shared" si="43"/>
        <v>0</v>
      </c>
      <c r="R34" s="53">
        <f t="shared" si="44"/>
        <v>4380.0749999999998</v>
      </c>
      <c r="S34" s="53">
        <f t="shared" si="45"/>
        <v>1460.0249999999999</v>
      </c>
      <c r="T34" s="53">
        <f t="shared" si="46"/>
        <v>3893.5946699999995</v>
      </c>
      <c r="V34" s="54">
        <f t="shared" si="47"/>
        <v>0</v>
      </c>
      <c r="W34" s="55">
        <f t="shared" si="48"/>
        <v>47.25</v>
      </c>
      <c r="X34" s="55">
        <f t="shared" si="49"/>
        <v>15.75</v>
      </c>
      <c r="Y34" s="55">
        <f t="shared" si="50"/>
        <v>42.002099999999999</v>
      </c>
    </row>
    <row r="35" spans="1:25" ht="13.5" customHeight="1">
      <c r="A35" s="37" t="s">
        <v>138</v>
      </c>
      <c r="B35" s="56" t="s">
        <v>129</v>
      </c>
      <c r="C35" s="39" t="s">
        <v>130</v>
      </c>
      <c r="D35" s="40">
        <f>'6022-yr1'!F$63</f>
        <v>63</v>
      </c>
      <c r="E35" s="41">
        <v>1</v>
      </c>
      <c r="F35" s="42">
        <f t="shared" si="40"/>
        <v>63</v>
      </c>
      <c r="G35" s="95">
        <v>1.5</v>
      </c>
      <c r="H35" s="48">
        <f t="shared" si="41"/>
        <v>94.5</v>
      </c>
      <c r="I35" s="49">
        <v>61.8</v>
      </c>
      <c r="J35" s="60">
        <f t="shared" si="42"/>
        <v>5840.0999999999995</v>
      </c>
      <c r="K35" s="73"/>
      <c r="L35" s="52">
        <v>0</v>
      </c>
      <c r="M35" s="52">
        <v>0.75</v>
      </c>
      <c r="N35" s="52">
        <v>0.25</v>
      </c>
      <c r="O35" s="52">
        <v>0.66669999999999996</v>
      </c>
      <c r="Q35" s="53">
        <f t="shared" si="43"/>
        <v>0</v>
      </c>
      <c r="R35" s="53">
        <f t="shared" si="44"/>
        <v>4380.0749999999998</v>
      </c>
      <c r="S35" s="53">
        <f t="shared" si="45"/>
        <v>1460.0249999999999</v>
      </c>
      <c r="T35" s="53">
        <f t="shared" si="46"/>
        <v>3893.5946699999995</v>
      </c>
      <c r="V35" s="54">
        <f t="shared" si="47"/>
        <v>0</v>
      </c>
      <c r="W35" s="55">
        <f t="shared" si="48"/>
        <v>47.25</v>
      </c>
      <c r="X35" s="55">
        <f t="shared" si="49"/>
        <v>15.75</v>
      </c>
      <c r="Y35" s="55">
        <f t="shared" si="50"/>
        <v>42.002099999999999</v>
      </c>
    </row>
    <row r="36" spans="1:25" ht="41.25" customHeight="1">
      <c r="A36" s="37" t="s">
        <v>176</v>
      </c>
      <c r="B36" s="56" t="s">
        <v>201</v>
      </c>
      <c r="C36" s="39" t="s">
        <v>175</v>
      </c>
      <c r="D36" s="40">
        <f>SUM('6022-yr1'!F63+'6022-yr1'!F65)</f>
        <v>70</v>
      </c>
      <c r="E36" s="41">
        <v>1</v>
      </c>
      <c r="F36" s="42">
        <f t="shared" ref="F36" si="58">SUM(D36*E36)</f>
        <v>70</v>
      </c>
      <c r="G36" s="95">
        <v>1</v>
      </c>
      <c r="H36" s="48">
        <f t="shared" ref="H36" si="59">SUM(G36*F36)</f>
        <v>70</v>
      </c>
      <c r="I36" s="49">
        <v>61.8</v>
      </c>
      <c r="J36" s="60">
        <f t="shared" ref="J36" si="60">(H36)*(I36)</f>
        <v>4326</v>
      </c>
      <c r="K36" s="73"/>
      <c r="L36" s="52">
        <v>0</v>
      </c>
      <c r="M36" s="52">
        <v>0.75</v>
      </c>
      <c r="N36" s="52">
        <v>0.25</v>
      </c>
      <c r="O36" s="52">
        <v>0.66669999999999996</v>
      </c>
      <c r="Q36" s="53">
        <f t="shared" ref="Q36" si="61">+$J36*L36</f>
        <v>0</v>
      </c>
      <c r="R36" s="53">
        <f t="shared" ref="R36" si="62">+$J36*M36</f>
        <v>3244.5</v>
      </c>
      <c r="S36" s="53">
        <f t="shared" ref="S36" si="63">+$J36*N36</f>
        <v>1081.5</v>
      </c>
      <c r="T36" s="53">
        <f t="shared" ref="T36" si="64">+$J36*O36</f>
        <v>2884.1441999999997</v>
      </c>
      <c r="V36" s="54">
        <f t="shared" ref="V36" si="65">+$D36*L36</f>
        <v>0</v>
      </c>
      <c r="W36" s="55">
        <f t="shared" ref="W36" si="66">+$D36*M36</f>
        <v>52.5</v>
      </c>
      <c r="X36" s="55">
        <f t="shared" ref="X36" si="67">+$D36*N36</f>
        <v>17.5</v>
      </c>
      <c r="Y36" s="55">
        <f t="shared" ref="Y36" si="68">+$D36*O36</f>
        <v>46.668999999999997</v>
      </c>
    </row>
    <row r="37" spans="1:25" ht="13.5" customHeight="1">
      <c r="A37" s="37" t="s">
        <v>183</v>
      </c>
      <c r="B37" s="56" t="s">
        <v>69</v>
      </c>
      <c r="C37" s="39" t="s">
        <v>68</v>
      </c>
      <c r="D37" s="40">
        <f>'6022-yr1'!F$63</f>
        <v>63</v>
      </c>
      <c r="E37" s="41">
        <v>1</v>
      </c>
      <c r="F37" s="42">
        <f>SUM(D37*E37)</f>
        <v>63</v>
      </c>
      <c r="G37" s="95">
        <v>0.25</v>
      </c>
      <c r="H37" s="48">
        <f>SUM(G37*F37)</f>
        <v>15.75</v>
      </c>
      <c r="I37" s="49">
        <v>61.8</v>
      </c>
      <c r="J37" s="60">
        <f>(H37)*(I37)</f>
        <v>973.34999999999991</v>
      </c>
      <c r="K37" s="73"/>
      <c r="L37" s="52">
        <v>0</v>
      </c>
      <c r="M37" s="52">
        <v>0.75</v>
      </c>
      <c r="N37" s="52">
        <v>0.25</v>
      </c>
      <c r="O37" s="52">
        <v>0.66669999999999996</v>
      </c>
      <c r="Q37" s="53">
        <f t="shared" si="35"/>
        <v>0</v>
      </c>
      <c r="R37" s="53">
        <f t="shared" si="35"/>
        <v>730.01249999999993</v>
      </c>
      <c r="S37" s="53">
        <f t="shared" si="35"/>
        <v>243.33749999999998</v>
      </c>
      <c r="T37" s="53">
        <f t="shared" si="35"/>
        <v>648.93244499999992</v>
      </c>
      <c r="V37" s="54">
        <f t="shared" si="36"/>
        <v>0</v>
      </c>
      <c r="W37" s="55">
        <f t="shared" si="37"/>
        <v>47.25</v>
      </c>
      <c r="X37" s="55">
        <f t="shared" si="38"/>
        <v>15.75</v>
      </c>
      <c r="Y37" s="55">
        <f t="shared" si="39"/>
        <v>42.002099999999999</v>
      </c>
    </row>
    <row r="38" spans="1:25">
      <c r="A38" s="37"/>
      <c r="B38" s="62" t="s">
        <v>38</v>
      </c>
      <c r="C38" s="18"/>
      <c r="D38" s="75">
        <f>SUM(D28)</f>
        <v>64</v>
      </c>
      <c r="E38" s="75"/>
      <c r="F38" s="75">
        <f>SUM(F28:F37)</f>
        <v>891</v>
      </c>
      <c r="G38" s="66"/>
      <c r="H38" s="75">
        <f>SUM(H28:H37)</f>
        <v>1911.55</v>
      </c>
      <c r="I38" s="77"/>
      <c r="J38" s="69">
        <f>SUM(J28:J37)</f>
        <v>118133.79000000001</v>
      </c>
      <c r="K38" s="73"/>
      <c r="L38" s="52"/>
      <c r="M38" s="52"/>
      <c r="N38" s="52"/>
      <c r="O38" s="52"/>
      <c r="Q38" s="53"/>
      <c r="R38" s="53"/>
      <c r="S38" s="53"/>
      <c r="T38" s="53"/>
      <c r="V38" s="54"/>
      <c r="W38" s="55"/>
      <c r="X38" s="55"/>
      <c r="Y38" s="55"/>
    </row>
    <row r="39" spans="1:25">
      <c r="A39" s="37"/>
      <c r="B39" s="62"/>
      <c r="C39" s="18"/>
      <c r="D39" s="75"/>
      <c r="E39" s="75"/>
      <c r="F39" s="75"/>
      <c r="G39" s="66"/>
      <c r="H39" s="76"/>
      <c r="I39" s="77"/>
      <c r="J39" s="69"/>
      <c r="K39" s="73"/>
      <c r="L39" s="52"/>
      <c r="M39" s="52"/>
      <c r="N39" s="52"/>
      <c r="O39" s="52"/>
      <c r="Q39" s="53"/>
      <c r="R39" s="53"/>
      <c r="S39" s="53"/>
      <c r="T39" s="53"/>
      <c r="V39" s="54"/>
      <c r="W39" s="55"/>
      <c r="X39" s="55"/>
      <c r="Y39" s="55"/>
    </row>
    <row r="40" spans="1:25">
      <c r="A40" s="37"/>
      <c r="B40" s="74" t="s">
        <v>52</v>
      </c>
      <c r="C40" s="18"/>
      <c r="D40" s="65"/>
      <c r="E40" s="77"/>
      <c r="F40" s="65"/>
      <c r="G40" s="66"/>
      <c r="H40" s="67"/>
      <c r="I40" s="77"/>
      <c r="J40" s="75"/>
      <c r="K40" s="77"/>
      <c r="L40" s="52"/>
      <c r="M40" s="52"/>
      <c r="N40" s="52"/>
      <c r="O40" s="52"/>
      <c r="Q40" s="53"/>
      <c r="R40" s="53"/>
      <c r="S40" s="53"/>
      <c r="T40" s="53"/>
      <c r="V40" s="54"/>
      <c r="W40" s="55"/>
      <c r="X40" s="55"/>
      <c r="Y40" s="55"/>
    </row>
    <row r="41" spans="1:25">
      <c r="A41" s="37" t="s">
        <v>184</v>
      </c>
      <c r="B41" s="56" t="s">
        <v>15</v>
      </c>
      <c r="C41" s="39" t="s">
        <v>34</v>
      </c>
      <c r="D41" s="40">
        <f>'6022-yr1'!E$63</f>
        <v>64</v>
      </c>
      <c r="E41" s="41">
        <v>1</v>
      </c>
      <c r="F41" s="42">
        <f t="shared" ref="F41:F45" si="69">SUM(D41*E41)</f>
        <v>64</v>
      </c>
      <c r="G41" s="43">
        <v>1</v>
      </c>
      <c r="H41" s="48">
        <f t="shared" ref="H41:H45" si="70">SUM(G41*F41)</f>
        <v>64</v>
      </c>
      <c r="I41" s="49">
        <v>61.8</v>
      </c>
      <c r="J41" s="60">
        <f t="shared" ref="J41:J45" si="71">(H41)*(I41)</f>
        <v>3955.2</v>
      </c>
      <c r="K41" s="45"/>
      <c r="L41" s="52">
        <v>0</v>
      </c>
      <c r="M41" s="52">
        <v>0.75</v>
      </c>
      <c r="N41" s="52">
        <v>0.25</v>
      </c>
      <c r="O41" s="52">
        <v>0.66669999999999996</v>
      </c>
      <c r="Q41" s="53">
        <f t="shared" ref="Q41:Q45" si="72">+$J41*L41</f>
        <v>0</v>
      </c>
      <c r="R41" s="53">
        <f t="shared" ref="R41:R45" si="73">+$J41*M41</f>
        <v>2966.3999999999996</v>
      </c>
      <c r="S41" s="53">
        <f t="shared" ref="S41:S45" si="74">+$J41*N41</f>
        <v>988.8</v>
      </c>
      <c r="T41" s="53">
        <f t="shared" ref="T41:T45" si="75">+$J41*O41</f>
        <v>2636.9318399999997</v>
      </c>
      <c r="V41" s="54">
        <f t="shared" si="36"/>
        <v>0</v>
      </c>
      <c r="W41" s="55">
        <f t="shared" si="37"/>
        <v>48</v>
      </c>
      <c r="X41" s="55">
        <f t="shared" si="38"/>
        <v>16</v>
      </c>
      <c r="Y41" s="55">
        <f t="shared" si="39"/>
        <v>42.668799999999997</v>
      </c>
    </row>
    <row r="42" spans="1:25">
      <c r="A42" s="37" t="s">
        <v>185</v>
      </c>
      <c r="B42" s="78" t="s">
        <v>35</v>
      </c>
      <c r="C42" s="39" t="s">
        <v>33</v>
      </c>
      <c r="D42" s="40">
        <f>'6022-yr1'!E$63</f>
        <v>64</v>
      </c>
      <c r="E42" s="41">
        <v>1</v>
      </c>
      <c r="F42" s="42">
        <f t="shared" si="69"/>
        <v>64</v>
      </c>
      <c r="G42" s="43">
        <v>1</v>
      </c>
      <c r="H42" s="48">
        <f t="shared" si="70"/>
        <v>64</v>
      </c>
      <c r="I42" s="49">
        <v>61.8</v>
      </c>
      <c r="J42" s="60">
        <f t="shared" si="71"/>
        <v>3955.2</v>
      </c>
      <c r="K42" s="45"/>
      <c r="L42" s="52">
        <v>0</v>
      </c>
      <c r="M42" s="52">
        <v>0.75</v>
      </c>
      <c r="N42" s="52">
        <v>0.25</v>
      </c>
      <c r="O42" s="52">
        <v>0.66669999999999996</v>
      </c>
      <c r="Q42" s="53">
        <f t="shared" si="72"/>
        <v>0</v>
      </c>
      <c r="R42" s="53">
        <f t="shared" si="73"/>
        <v>2966.3999999999996</v>
      </c>
      <c r="S42" s="53">
        <f t="shared" si="74"/>
        <v>988.8</v>
      </c>
      <c r="T42" s="53">
        <f t="shared" si="75"/>
        <v>2636.9318399999997</v>
      </c>
      <c r="V42" s="54">
        <f t="shared" si="36"/>
        <v>0</v>
      </c>
      <c r="W42" s="55">
        <f t="shared" si="37"/>
        <v>48</v>
      </c>
      <c r="X42" s="55">
        <f t="shared" si="38"/>
        <v>16</v>
      </c>
      <c r="Y42" s="55">
        <f t="shared" si="39"/>
        <v>42.668799999999997</v>
      </c>
    </row>
    <row r="43" spans="1:25">
      <c r="A43" s="37" t="s">
        <v>186</v>
      </c>
      <c r="B43" s="79" t="s">
        <v>36</v>
      </c>
      <c r="C43" s="39" t="s">
        <v>37</v>
      </c>
      <c r="D43" s="40">
        <f>'6022-yr1'!E$63</f>
        <v>64</v>
      </c>
      <c r="E43" s="80">
        <v>1</v>
      </c>
      <c r="F43" s="42">
        <f t="shared" si="69"/>
        <v>64</v>
      </c>
      <c r="G43" s="96">
        <v>0.25</v>
      </c>
      <c r="H43" s="48">
        <f t="shared" si="70"/>
        <v>16</v>
      </c>
      <c r="I43" s="49">
        <v>61.8</v>
      </c>
      <c r="J43" s="60">
        <f t="shared" si="71"/>
        <v>988.8</v>
      </c>
      <c r="K43" s="45"/>
      <c r="L43" s="52">
        <v>0</v>
      </c>
      <c r="M43" s="52">
        <v>0.75</v>
      </c>
      <c r="N43" s="52">
        <v>0.25</v>
      </c>
      <c r="O43" s="52">
        <v>0.66669999999999996</v>
      </c>
      <c r="Q43" s="53">
        <f t="shared" si="72"/>
        <v>0</v>
      </c>
      <c r="R43" s="53">
        <f t="shared" si="73"/>
        <v>741.59999999999991</v>
      </c>
      <c r="S43" s="53">
        <f t="shared" si="74"/>
        <v>247.2</v>
      </c>
      <c r="T43" s="53">
        <f t="shared" si="75"/>
        <v>659.23295999999993</v>
      </c>
      <c r="V43" s="54">
        <f t="shared" si="36"/>
        <v>0</v>
      </c>
      <c r="W43" s="55">
        <f t="shared" si="37"/>
        <v>48</v>
      </c>
      <c r="X43" s="55">
        <f t="shared" si="38"/>
        <v>16</v>
      </c>
      <c r="Y43" s="55">
        <f t="shared" si="39"/>
        <v>42.668799999999997</v>
      </c>
    </row>
    <row r="44" spans="1:25">
      <c r="A44" s="37" t="s">
        <v>188</v>
      </c>
      <c r="B44" s="56" t="s">
        <v>77</v>
      </c>
      <c r="C44" s="39" t="s">
        <v>78</v>
      </c>
      <c r="D44" s="40">
        <f>'6022-yr1'!F$63</f>
        <v>63</v>
      </c>
      <c r="E44" s="80">
        <v>4</v>
      </c>
      <c r="F44" s="42">
        <f t="shared" si="69"/>
        <v>252</v>
      </c>
      <c r="G44" s="96">
        <v>1</v>
      </c>
      <c r="H44" s="48">
        <f t="shared" si="70"/>
        <v>252</v>
      </c>
      <c r="I44" s="49">
        <v>61.8</v>
      </c>
      <c r="J44" s="60">
        <f t="shared" si="71"/>
        <v>15573.599999999999</v>
      </c>
      <c r="K44" s="45"/>
      <c r="L44" s="52">
        <v>0</v>
      </c>
      <c r="M44" s="52">
        <v>0.75</v>
      </c>
      <c r="N44" s="52">
        <v>0.25</v>
      </c>
      <c r="O44" s="52">
        <v>0.66669999999999996</v>
      </c>
      <c r="Q44" s="53">
        <f t="shared" si="72"/>
        <v>0</v>
      </c>
      <c r="R44" s="53">
        <f t="shared" si="73"/>
        <v>11680.199999999999</v>
      </c>
      <c r="S44" s="53">
        <f t="shared" si="74"/>
        <v>3893.3999999999996</v>
      </c>
      <c r="T44" s="53">
        <f t="shared" si="75"/>
        <v>10382.919119999999</v>
      </c>
      <c r="V44" s="54">
        <f t="shared" si="36"/>
        <v>0</v>
      </c>
      <c r="W44" s="55">
        <f t="shared" si="37"/>
        <v>47.25</v>
      </c>
      <c r="X44" s="55">
        <f t="shared" si="38"/>
        <v>15.75</v>
      </c>
      <c r="Y44" s="55">
        <f t="shared" si="39"/>
        <v>42.002099999999999</v>
      </c>
    </row>
    <row r="45" spans="1:25">
      <c r="A45" s="37" t="s">
        <v>187</v>
      </c>
      <c r="B45" s="56" t="s">
        <v>17</v>
      </c>
      <c r="C45" s="39" t="s">
        <v>18</v>
      </c>
      <c r="D45" s="40">
        <f>'6022-yr1'!E$63</f>
        <v>64</v>
      </c>
      <c r="E45" s="41">
        <v>1</v>
      </c>
      <c r="F45" s="42">
        <f t="shared" si="69"/>
        <v>64</v>
      </c>
      <c r="G45" s="95">
        <v>0.25</v>
      </c>
      <c r="H45" s="48">
        <f t="shared" si="70"/>
        <v>16</v>
      </c>
      <c r="I45" s="49">
        <v>61.8</v>
      </c>
      <c r="J45" s="60">
        <f t="shared" si="71"/>
        <v>988.8</v>
      </c>
      <c r="K45" s="45"/>
      <c r="L45" s="52">
        <v>0</v>
      </c>
      <c r="M45" s="52">
        <v>0.75</v>
      </c>
      <c r="N45" s="52">
        <v>0.25</v>
      </c>
      <c r="O45" s="52">
        <v>0.66669999999999996</v>
      </c>
      <c r="Q45" s="53">
        <f t="shared" si="72"/>
        <v>0</v>
      </c>
      <c r="R45" s="53">
        <f t="shared" si="73"/>
        <v>741.59999999999991</v>
      </c>
      <c r="S45" s="53">
        <f t="shared" si="74"/>
        <v>247.2</v>
      </c>
      <c r="T45" s="53">
        <f t="shared" si="75"/>
        <v>659.23295999999993</v>
      </c>
      <c r="V45" s="54">
        <f t="shared" si="36"/>
        <v>0</v>
      </c>
      <c r="W45" s="55">
        <f t="shared" si="37"/>
        <v>48</v>
      </c>
      <c r="X45" s="55">
        <f t="shared" si="38"/>
        <v>16</v>
      </c>
      <c r="Y45" s="55">
        <f t="shared" si="39"/>
        <v>42.668799999999997</v>
      </c>
    </row>
    <row r="46" spans="1:25">
      <c r="B46" s="62" t="s">
        <v>38</v>
      </c>
      <c r="C46" s="63"/>
      <c r="D46" s="75">
        <f>SUM(D41)</f>
        <v>64</v>
      </c>
      <c r="E46" s="35"/>
      <c r="F46" s="75">
        <f>SUM(F41:F45)</f>
        <v>508</v>
      </c>
      <c r="G46" s="81"/>
      <c r="H46" s="76">
        <f>SUM(H41:H45)</f>
        <v>412</v>
      </c>
      <c r="I46" s="35"/>
      <c r="J46" s="69">
        <f>SUM(J41:J45)</f>
        <v>25461.599999999995</v>
      </c>
      <c r="L46" s="52">
        <v>0</v>
      </c>
      <c r="M46" s="52">
        <v>0.75</v>
      </c>
      <c r="N46" s="52">
        <v>0.25</v>
      </c>
      <c r="O46" s="52">
        <v>0.66669999999999996</v>
      </c>
      <c r="V46" s="54">
        <f>+$D46*L46</f>
        <v>0</v>
      </c>
      <c r="W46" s="97">
        <f>+$D46*M46</f>
        <v>48</v>
      </c>
      <c r="X46" s="97">
        <f>+$D46*N46</f>
        <v>16</v>
      </c>
      <c r="Y46" s="55">
        <f>+$D46*O46</f>
        <v>42.668799999999997</v>
      </c>
    </row>
    <row r="47" spans="1:25">
      <c r="B47" s="62"/>
      <c r="C47" s="63"/>
      <c r="D47" s="77"/>
      <c r="E47" s="35"/>
      <c r="F47" s="75"/>
      <c r="G47" s="81"/>
      <c r="H47" s="75"/>
      <c r="I47" s="35"/>
      <c r="J47" s="69"/>
      <c r="L47" s="35"/>
      <c r="M47" s="52"/>
      <c r="N47" s="52"/>
      <c r="O47" s="52"/>
      <c r="R47" s="82">
        <f>SUM(R7:R46)</f>
        <v>180999.06750000003</v>
      </c>
      <c r="S47" s="82">
        <f>SUM(S7:S46)</f>
        <v>60333.022499999999</v>
      </c>
      <c r="T47" s="82">
        <f>SUM(T7:T45)</f>
        <v>160896.10440299998</v>
      </c>
      <c r="W47" s="83"/>
      <c r="X47" s="83"/>
      <c r="Y47" s="84"/>
    </row>
    <row r="48" spans="1:25">
      <c r="B48" s="62" t="s">
        <v>60</v>
      </c>
      <c r="C48" s="63"/>
      <c r="D48" s="66">
        <f>SUM(D46)</f>
        <v>64</v>
      </c>
      <c r="E48" s="35"/>
      <c r="F48" s="76">
        <f>SUM(F46+F38+F25)</f>
        <v>2105</v>
      </c>
      <c r="G48" s="81"/>
      <c r="H48" s="76">
        <f>SUM(H46+H38+H25)</f>
        <v>3905.05</v>
      </c>
      <c r="I48" s="35">
        <f>+J48/H48</f>
        <v>61.79999999999999</v>
      </c>
      <c r="J48" s="69">
        <f>SUM(J46+J38+J25)</f>
        <v>241332.08999999997</v>
      </c>
      <c r="L48" s="35"/>
      <c r="M48" s="52"/>
      <c r="N48" s="52"/>
      <c r="O48" s="52"/>
    </row>
    <row r="49" spans="1:12">
      <c r="A49" s="35"/>
      <c r="J49" s="37"/>
      <c r="L49" s="35"/>
    </row>
    <row r="50" spans="1:12">
      <c r="B50" s="35" t="s">
        <v>195</v>
      </c>
      <c r="C50" s="23"/>
      <c r="D50" s="23"/>
      <c r="E50" s="23"/>
      <c r="F50" s="23"/>
      <c r="G50" s="23"/>
      <c r="H50" s="23"/>
      <c r="I50" s="23"/>
      <c r="J50" s="23"/>
      <c r="K50" s="64"/>
      <c r="L50" s="35"/>
    </row>
    <row r="51" spans="1:12">
      <c r="B51" s="35"/>
      <c r="C51" s="23"/>
      <c r="D51" s="23"/>
      <c r="E51" s="23"/>
      <c r="F51" s="23"/>
      <c r="G51" s="23"/>
      <c r="H51" s="23"/>
      <c r="I51" s="23"/>
      <c r="J51" s="23"/>
      <c r="K51" s="121"/>
      <c r="L51" s="35"/>
    </row>
    <row r="52" spans="1:12">
      <c r="A52" s="99"/>
      <c r="B52" s="138" t="s">
        <v>191</v>
      </c>
      <c r="C52" s="36"/>
      <c r="G52" s="36"/>
      <c r="K52" s="64"/>
      <c r="L52" s="35"/>
    </row>
    <row r="53" spans="1:12">
      <c r="A53" s="37" t="s">
        <v>200</v>
      </c>
      <c r="B53" s="56" t="s">
        <v>192</v>
      </c>
      <c r="C53" s="78" t="s">
        <v>197</v>
      </c>
      <c r="D53" s="41">
        <f>'6022-yr1'!F$63</f>
        <v>63</v>
      </c>
      <c r="E53" s="41">
        <v>1</v>
      </c>
      <c r="F53" s="42">
        <f t="shared" ref="F53:F55" si="76">SUM(D53*E53)</f>
        <v>63</v>
      </c>
      <c r="G53" s="41">
        <v>0.42</v>
      </c>
      <c r="H53" s="48">
        <f t="shared" ref="H53:H55" si="77">SUM(G53*F53)</f>
        <v>26.459999999999997</v>
      </c>
      <c r="I53" s="59">
        <v>60</v>
      </c>
      <c r="J53" s="60">
        <f t="shared" ref="J53:J55" si="78">(H53)*(I53)</f>
        <v>1587.6</v>
      </c>
      <c r="L53" s="35"/>
    </row>
    <row r="54" spans="1:12">
      <c r="A54" s="37" t="s">
        <v>200</v>
      </c>
      <c r="B54" s="56" t="s">
        <v>193</v>
      </c>
      <c r="C54" s="78" t="s">
        <v>198</v>
      </c>
      <c r="D54" s="41">
        <f>'6022-yr1'!F$63</f>
        <v>63</v>
      </c>
      <c r="E54" s="41">
        <v>1</v>
      </c>
      <c r="F54" s="42">
        <f t="shared" si="76"/>
        <v>63</v>
      </c>
      <c r="G54" s="41">
        <v>0.75</v>
      </c>
      <c r="H54" s="48">
        <f t="shared" si="77"/>
        <v>47.25</v>
      </c>
      <c r="I54" s="59">
        <v>60</v>
      </c>
      <c r="J54" s="60">
        <f t="shared" si="78"/>
        <v>2835</v>
      </c>
      <c r="L54" s="35"/>
    </row>
    <row r="55" spans="1:12">
      <c r="A55" s="37" t="s">
        <v>200</v>
      </c>
      <c r="B55" s="56" t="s">
        <v>194</v>
      </c>
      <c r="C55" s="78" t="s">
        <v>199</v>
      </c>
      <c r="D55" s="41">
        <f>'6022-yr1'!F$63</f>
        <v>63</v>
      </c>
      <c r="E55" s="41">
        <v>1</v>
      </c>
      <c r="F55" s="42">
        <f t="shared" si="76"/>
        <v>63</v>
      </c>
      <c r="G55" s="41">
        <v>0.33</v>
      </c>
      <c r="H55" s="48">
        <f t="shared" si="77"/>
        <v>20.790000000000003</v>
      </c>
      <c r="I55" s="59">
        <v>60</v>
      </c>
      <c r="J55" s="60">
        <f t="shared" si="78"/>
        <v>1247.4000000000001</v>
      </c>
      <c r="K55" s="100"/>
      <c r="L55" s="35"/>
    </row>
    <row r="56" spans="1:12">
      <c r="A56" s="45"/>
      <c r="B56" s="88"/>
      <c r="C56" s="36"/>
      <c r="G56" s="36"/>
      <c r="H56" s="71">
        <f>SUM(H53:H55)</f>
        <v>94.5</v>
      </c>
      <c r="J56" s="72">
        <f>SUM(J53:J55)</f>
        <v>5670</v>
      </c>
      <c r="K56" s="64"/>
      <c r="L56" s="35"/>
    </row>
    <row r="57" spans="1:12">
      <c r="A57" s="45"/>
      <c r="B57" s="88"/>
      <c r="C57" s="100"/>
      <c r="D57" s="100"/>
      <c r="E57" s="100"/>
      <c r="F57" s="100"/>
      <c r="G57" s="100"/>
      <c r="H57" s="100"/>
      <c r="I57" s="100"/>
      <c r="J57" s="100"/>
      <c r="K57" s="100"/>
      <c r="L57" s="35"/>
    </row>
    <row r="58" spans="1:12">
      <c r="A58" s="45"/>
      <c r="B58" s="88"/>
      <c r="C58" s="36"/>
      <c r="G58" s="36"/>
      <c r="L58" s="35"/>
    </row>
    <row r="59" spans="1:12">
      <c r="A59" s="89"/>
      <c r="B59" s="35"/>
      <c r="C59" s="63"/>
      <c r="D59" s="35"/>
      <c r="E59" s="35"/>
      <c r="F59" s="35"/>
      <c r="G59" s="81"/>
      <c r="H59" s="91"/>
      <c r="I59" s="35"/>
      <c r="J59" s="91"/>
      <c r="K59" s="64"/>
      <c r="L59" s="35"/>
    </row>
    <row r="60" spans="1:12">
      <c r="A60" s="45"/>
      <c r="B60" s="35"/>
      <c r="C60" s="63"/>
      <c r="D60" s="35"/>
      <c r="E60" s="35"/>
      <c r="F60" s="35"/>
      <c r="G60" s="81"/>
      <c r="H60" s="91"/>
      <c r="I60" s="35"/>
      <c r="J60" s="91"/>
      <c r="K60" s="64"/>
      <c r="L60" s="35"/>
    </row>
    <row r="61" spans="1:12">
      <c r="A61" s="45"/>
      <c r="B61" s="35"/>
      <c r="C61" s="63"/>
      <c r="D61" s="35"/>
      <c r="E61" s="35"/>
      <c r="F61" s="35"/>
      <c r="G61" s="81"/>
      <c r="H61" s="91"/>
      <c r="I61" s="35"/>
      <c r="J61" s="91"/>
      <c r="K61" s="64"/>
      <c r="L61" s="35"/>
    </row>
    <row r="62" spans="1:12">
      <c r="A62" s="45"/>
      <c r="B62" s="35"/>
      <c r="C62" s="63"/>
      <c r="D62" s="35"/>
      <c r="E62" s="35"/>
      <c r="F62" s="35"/>
      <c r="G62" s="81"/>
      <c r="H62" s="91"/>
      <c r="I62" s="35"/>
      <c r="J62" s="91"/>
      <c r="K62" s="64"/>
      <c r="L62" s="35"/>
    </row>
    <row r="63" spans="1:12">
      <c r="A63" s="45"/>
      <c r="B63" s="35"/>
      <c r="C63" s="63"/>
      <c r="D63" s="35"/>
      <c r="E63" s="35"/>
      <c r="F63" s="35"/>
      <c r="G63" s="81"/>
      <c r="H63" s="91"/>
      <c r="I63" s="35"/>
      <c r="J63" s="91"/>
      <c r="K63" s="64"/>
      <c r="L63" s="35"/>
    </row>
    <row r="64" spans="1:12">
      <c r="A64" s="45"/>
      <c r="B64" s="88"/>
      <c r="C64" s="63"/>
      <c r="D64" s="35"/>
      <c r="E64" s="35"/>
      <c r="F64" s="35"/>
      <c r="G64" s="81"/>
      <c r="H64" s="91"/>
      <c r="I64" s="35"/>
      <c r="J64" s="91"/>
      <c r="K64" s="64"/>
      <c r="L64" s="35"/>
    </row>
    <row r="65" spans="1:12">
      <c r="A65" s="45"/>
      <c r="B65" s="88"/>
      <c r="C65" s="63"/>
      <c r="D65" s="35"/>
      <c r="E65" s="35"/>
      <c r="F65" s="35"/>
      <c r="G65" s="81"/>
      <c r="H65" s="91"/>
      <c r="I65" s="35"/>
      <c r="J65" s="91"/>
      <c r="K65" s="64"/>
      <c r="L65" s="35"/>
    </row>
    <row r="66" spans="1:12">
      <c r="A66" s="45"/>
      <c r="L66" s="35"/>
    </row>
    <row r="67" spans="1:12">
      <c r="L67" s="35"/>
    </row>
    <row r="68" spans="1:12">
      <c r="L68" s="35"/>
    </row>
    <row r="69" spans="1:12">
      <c r="L69" s="35"/>
    </row>
    <row r="70" spans="1:12">
      <c r="L70" s="35"/>
    </row>
    <row r="71" spans="1:12">
      <c r="L71" s="35"/>
    </row>
    <row r="72" spans="1:12">
      <c r="L72" s="35"/>
    </row>
    <row r="73" spans="1:12">
      <c r="L73" s="35"/>
    </row>
    <row r="74" spans="1:12">
      <c r="L74" s="35"/>
    </row>
    <row r="75" spans="1:12">
      <c r="L75" s="35"/>
    </row>
    <row r="76" spans="1:12">
      <c r="L76" s="35"/>
    </row>
    <row r="77" spans="1:12">
      <c r="L77" s="35"/>
    </row>
    <row r="78" spans="1:12">
      <c r="L78" s="35"/>
    </row>
    <row r="79" spans="1:12">
      <c r="L79" s="35"/>
    </row>
    <row r="80" spans="1:12">
      <c r="L80" s="35"/>
    </row>
    <row r="81" spans="3:12">
      <c r="L81" s="35"/>
    </row>
    <row r="82" spans="3:12">
      <c r="C82" s="36"/>
      <c r="G82" s="36"/>
      <c r="L82" s="35"/>
    </row>
    <row r="83" spans="3:12">
      <c r="C83" s="36"/>
      <c r="G83" s="36"/>
      <c r="L83" s="35"/>
    </row>
    <row r="84" spans="3:12">
      <c r="C84" s="36"/>
      <c r="G84" s="36"/>
      <c r="L84" s="35"/>
    </row>
    <row r="85" spans="3:12">
      <c r="C85" s="36"/>
      <c r="G85" s="36"/>
      <c r="L85" s="35"/>
    </row>
    <row r="86" spans="3:12">
      <c r="C86" s="36"/>
      <c r="G86" s="36"/>
      <c r="L86" s="35"/>
    </row>
    <row r="87" spans="3:12">
      <c r="C87" s="36"/>
      <c r="G87" s="36"/>
      <c r="L87" s="35"/>
    </row>
    <row r="88" spans="3:12">
      <c r="C88" s="36"/>
      <c r="G88" s="36"/>
      <c r="L88" s="35"/>
    </row>
    <row r="89" spans="3:12">
      <c r="C89" s="36"/>
      <c r="G89" s="36"/>
      <c r="L89" s="35"/>
    </row>
    <row r="90" spans="3:12">
      <c r="C90" s="36"/>
      <c r="G90" s="36"/>
      <c r="L90" s="35"/>
    </row>
    <row r="91" spans="3:12">
      <c r="C91" s="36"/>
      <c r="G91" s="36"/>
      <c r="L91" s="35"/>
    </row>
    <row r="92" spans="3:12">
      <c r="C92" s="36"/>
      <c r="G92" s="36"/>
      <c r="L92" s="35"/>
    </row>
    <row r="93" spans="3:12">
      <c r="C93" s="36"/>
      <c r="G93" s="36"/>
      <c r="L93" s="35"/>
    </row>
    <row r="94" spans="3:12">
      <c r="C94" s="36"/>
      <c r="G94" s="36"/>
      <c r="L94" s="35"/>
    </row>
    <row r="95" spans="3:12">
      <c r="C95" s="36"/>
      <c r="G95" s="36"/>
      <c r="L95" s="35"/>
    </row>
    <row r="96" spans="3:12">
      <c r="C96" s="36"/>
      <c r="G96" s="36"/>
      <c r="L96" s="35"/>
    </row>
    <row r="97" spans="3:12">
      <c r="C97" s="36"/>
      <c r="G97" s="36"/>
      <c r="L97" s="35"/>
    </row>
    <row r="98" spans="3:12">
      <c r="C98" s="36"/>
      <c r="G98" s="36"/>
      <c r="L98" s="35"/>
    </row>
    <row r="99" spans="3:12">
      <c r="C99" s="36"/>
      <c r="G99" s="36"/>
      <c r="L99" s="35"/>
    </row>
    <row r="100" spans="3:12">
      <c r="C100" s="36"/>
      <c r="G100" s="36"/>
      <c r="L100" s="35"/>
    </row>
    <row r="101" spans="3:12">
      <c r="C101" s="36"/>
      <c r="G101" s="36"/>
      <c r="L101" s="35"/>
    </row>
    <row r="102" spans="3:12">
      <c r="C102" s="36"/>
      <c r="G102" s="36"/>
      <c r="L102" s="35"/>
    </row>
    <row r="103" spans="3:12">
      <c r="C103" s="36"/>
      <c r="G103" s="36"/>
      <c r="L103" s="35"/>
    </row>
    <row r="104" spans="3:12">
      <c r="C104" s="36"/>
      <c r="G104" s="36"/>
      <c r="L104" s="35"/>
    </row>
    <row r="105" spans="3:12">
      <c r="C105" s="36"/>
      <c r="G105" s="36"/>
      <c r="L105" s="35"/>
    </row>
    <row r="106" spans="3:12">
      <c r="C106" s="36"/>
      <c r="G106" s="36"/>
      <c r="L106" s="35"/>
    </row>
    <row r="107" spans="3:12">
      <c r="C107" s="36"/>
      <c r="G107" s="36"/>
      <c r="L107" s="35"/>
    </row>
    <row r="108" spans="3:12">
      <c r="C108" s="36"/>
      <c r="G108" s="36"/>
      <c r="L108" s="35"/>
    </row>
    <row r="109" spans="3:12">
      <c r="C109" s="36"/>
      <c r="G109" s="36"/>
      <c r="L109" s="35"/>
    </row>
    <row r="110" spans="3:12">
      <c r="C110" s="36"/>
      <c r="G110" s="36"/>
      <c r="L110" s="35"/>
    </row>
    <row r="111" spans="3:12">
      <c r="C111" s="36"/>
      <c r="G111" s="36"/>
      <c r="L111" s="35"/>
    </row>
    <row r="112" spans="3:12">
      <c r="C112" s="36"/>
      <c r="G112" s="36"/>
      <c r="L112" s="35"/>
    </row>
    <row r="113" spans="3:12">
      <c r="C113" s="36"/>
      <c r="G113" s="36"/>
      <c r="L113" s="35"/>
    </row>
    <row r="114" spans="3:12">
      <c r="C114" s="36"/>
      <c r="G114" s="36"/>
      <c r="L114" s="35"/>
    </row>
    <row r="115" spans="3:12">
      <c r="C115" s="36"/>
      <c r="G115" s="36"/>
      <c r="L115" s="35"/>
    </row>
    <row r="116" spans="3:12">
      <c r="C116" s="36"/>
      <c r="G116" s="36"/>
      <c r="L116" s="35"/>
    </row>
    <row r="117" spans="3:12">
      <c r="C117" s="36"/>
      <c r="G117" s="36"/>
      <c r="L117" s="35"/>
    </row>
    <row r="118" spans="3:12">
      <c r="C118" s="36"/>
      <c r="G118" s="36"/>
      <c r="L118" s="35"/>
    </row>
    <row r="119" spans="3:12">
      <c r="C119" s="36"/>
      <c r="G119" s="36"/>
      <c r="L119" s="35"/>
    </row>
    <row r="120" spans="3:12">
      <c r="C120" s="36"/>
      <c r="G120" s="36"/>
      <c r="L120" s="35"/>
    </row>
    <row r="121" spans="3:12">
      <c r="C121" s="36"/>
      <c r="G121" s="36"/>
      <c r="L121" s="35"/>
    </row>
    <row r="122" spans="3:12">
      <c r="C122" s="36"/>
      <c r="G122" s="36"/>
      <c r="L122" s="35"/>
    </row>
    <row r="123" spans="3:12">
      <c r="C123" s="36"/>
      <c r="G123" s="36"/>
      <c r="L123" s="35"/>
    </row>
    <row r="124" spans="3:12">
      <c r="C124" s="36"/>
      <c r="G124" s="36"/>
      <c r="L124" s="35"/>
    </row>
    <row r="125" spans="3:12">
      <c r="C125" s="36"/>
      <c r="G125" s="36"/>
      <c r="L125" s="35"/>
    </row>
    <row r="126" spans="3:12">
      <c r="C126" s="36"/>
      <c r="G126" s="36"/>
      <c r="L126" s="35"/>
    </row>
    <row r="127" spans="3:12">
      <c r="C127" s="36"/>
      <c r="G127" s="36"/>
      <c r="L127" s="35"/>
    </row>
    <row r="128" spans="3:12">
      <c r="C128" s="36"/>
      <c r="G128" s="36"/>
      <c r="L128" s="35"/>
    </row>
    <row r="129" spans="3:12">
      <c r="C129" s="36"/>
      <c r="G129" s="36"/>
      <c r="L129" s="35"/>
    </row>
    <row r="130" spans="3:12">
      <c r="C130" s="36"/>
      <c r="G130" s="36"/>
      <c r="L130" s="35"/>
    </row>
    <row r="131" spans="3:12">
      <c r="C131" s="36"/>
      <c r="G131" s="36"/>
      <c r="L131" s="35"/>
    </row>
    <row r="132" spans="3:12">
      <c r="C132" s="36"/>
      <c r="G132" s="36"/>
      <c r="L132" s="35"/>
    </row>
    <row r="133" spans="3:12">
      <c r="C133" s="36"/>
      <c r="G133" s="36"/>
      <c r="L133" s="35"/>
    </row>
    <row r="134" spans="3:12">
      <c r="C134" s="36"/>
      <c r="G134" s="36"/>
      <c r="L134" s="35"/>
    </row>
    <row r="135" spans="3:12">
      <c r="C135" s="36"/>
      <c r="G135" s="36"/>
      <c r="L135" s="35"/>
    </row>
    <row r="136" spans="3:12">
      <c r="C136" s="36"/>
      <c r="G136" s="36"/>
      <c r="L136" s="35"/>
    </row>
  </sheetData>
  <customSheetViews>
    <customSheetView guid="{855078B0-1E21-4B25-9C5A-4782BC11700B}" scale="90" showPageBreaks="1" fitToPage="1" topLeftCell="F13">
      <selection activeCell="D32" sqref="D32:D33"/>
      <pageMargins left="0.7" right="0.7" top="0.75" bottom="0.75" header="0.3" footer="0.3"/>
      <pageSetup scale="54" fitToWidth="2" orientation="landscape" r:id="rId1"/>
    </customSheetView>
    <customSheetView guid="{C3053AD8-900F-4045-B60E-43CCFD9EF7DD}" scale="90" fitToPage="1">
      <selection activeCell="D45" sqref="D45"/>
      <pageMargins left="0.7" right="0.7" top="0.75" bottom="0.75" header="0.3" footer="0.3"/>
      <pageSetup scale="56" fitToWidth="2" orientation="landscape" r:id="rId2"/>
    </customSheetView>
  </customSheetViews>
  <mergeCells count="6">
    <mergeCell ref="V2:Y2"/>
    <mergeCell ref="B5:C5"/>
    <mergeCell ref="A1:D1"/>
    <mergeCell ref="A2:D2"/>
    <mergeCell ref="L2:O2"/>
    <mergeCell ref="Q2:T2"/>
  </mergeCells>
  <phoneticPr fontId="0" type="noConversion"/>
  <pageMargins left="0.7" right="0.7" top="0.75" bottom="0.75" header="0.3" footer="0.3"/>
  <pageSetup scale="54" fitToWidth="2" orientation="landscape" r:id="rId3"/>
</worksheet>
</file>

<file path=xl/worksheets/sheet4.xml><?xml version="1.0" encoding="utf-8"?>
<worksheet xmlns="http://schemas.openxmlformats.org/spreadsheetml/2006/main" xmlns:r="http://schemas.openxmlformats.org/officeDocument/2006/relationships">
  <sheetPr>
    <pageSetUpPr fitToPage="1"/>
  </sheetPr>
  <dimension ref="A1:Y136"/>
  <sheetViews>
    <sheetView tabSelected="1" topLeftCell="A25" zoomScale="90" zoomScaleNormal="90" workbookViewId="0">
      <selection activeCell="B36" sqref="B36"/>
    </sheetView>
  </sheetViews>
  <sheetFormatPr defaultColWidth="9.140625" defaultRowHeight="12.75"/>
  <cols>
    <col min="1" max="1" width="19.42578125" style="36" customWidth="1"/>
    <col min="2" max="2" width="43.7109375" style="36" customWidth="1"/>
    <col min="3" max="3" width="23.140625" style="37" customWidth="1"/>
    <col min="4" max="4" width="13" style="36" bestFit="1" customWidth="1"/>
    <col min="5" max="5" width="8.42578125" style="36" customWidth="1"/>
    <col min="6" max="6" width="11.42578125" style="36" customWidth="1"/>
    <col min="7" max="7" width="11.7109375" style="70" customWidth="1"/>
    <col min="8" max="8" width="10.28515625" style="36" customWidth="1"/>
    <col min="9" max="9" width="8.5703125" style="36" customWidth="1"/>
    <col min="10" max="10" width="13.28515625" style="36" bestFit="1" customWidth="1"/>
    <col min="11" max="11" width="9.140625" style="36"/>
    <col min="12" max="12" width="15.5703125" style="36" bestFit="1" customWidth="1"/>
    <col min="13" max="13" width="10.85546875" style="36" bestFit="1" customWidth="1"/>
    <col min="14" max="14" width="11.5703125" style="36" bestFit="1" customWidth="1"/>
    <col min="15" max="15" width="12" style="36" bestFit="1" customWidth="1"/>
    <col min="16" max="16" width="9.140625" style="36"/>
    <col min="17" max="18" width="10.85546875" style="36" bestFit="1" customWidth="1"/>
    <col min="19" max="19" width="11.5703125" style="36" bestFit="1" customWidth="1"/>
    <col min="20" max="20" width="12" style="36" bestFit="1" customWidth="1"/>
    <col min="21" max="21" width="9.140625" style="36"/>
    <col min="22" max="23" width="10.85546875" style="36" bestFit="1" customWidth="1"/>
    <col min="24" max="24" width="11.5703125" style="36" bestFit="1" customWidth="1"/>
    <col min="25" max="25" width="12" style="36" bestFit="1" customWidth="1"/>
    <col min="26" max="16384" width="9.140625" style="36"/>
  </cols>
  <sheetData>
    <row r="1" spans="1:25" s="21" customFormat="1">
      <c r="A1" s="127" t="s">
        <v>110</v>
      </c>
      <c r="B1" s="127"/>
      <c r="C1" s="127"/>
      <c r="D1" s="127"/>
      <c r="G1" s="22"/>
    </row>
    <row r="2" spans="1:25" s="21" customFormat="1">
      <c r="A2" s="130" t="s">
        <v>12</v>
      </c>
      <c r="B2" s="130"/>
      <c r="C2" s="130"/>
      <c r="D2" s="130"/>
      <c r="G2" s="22"/>
      <c r="L2" s="126" t="s">
        <v>32</v>
      </c>
      <c r="M2" s="126"/>
      <c r="N2" s="126"/>
      <c r="O2" s="126"/>
      <c r="P2" s="23"/>
      <c r="Q2" s="126" t="s">
        <v>31</v>
      </c>
      <c r="R2" s="126"/>
      <c r="S2" s="126"/>
      <c r="T2" s="126"/>
      <c r="V2" s="127" t="s">
        <v>39</v>
      </c>
      <c r="W2" s="127"/>
      <c r="X2" s="127"/>
      <c r="Y2" s="127"/>
    </row>
    <row r="3" spans="1:25" s="21" customFormat="1" ht="63.75">
      <c r="A3" s="4" t="s">
        <v>0</v>
      </c>
      <c r="B3" s="5" t="s">
        <v>13</v>
      </c>
      <c r="C3" s="6" t="s">
        <v>14</v>
      </c>
      <c r="D3" s="6" t="s">
        <v>100</v>
      </c>
      <c r="E3" s="6" t="s">
        <v>40</v>
      </c>
      <c r="F3" s="6" t="s">
        <v>42</v>
      </c>
      <c r="G3" s="8" t="s">
        <v>1</v>
      </c>
      <c r="H3" s="6" t="s">
        <v>43</v>
      </c>
      <c r="I3" s="6" t="s">
        <v>64</v>
      </c>
      <c r="J3" s="7" t="s">
        <v>44</v>
      </c>
      <c r="L3" s="2" t="s">
        <v>27</v>
      </c>
      <c r="M3" s="2" t="s">
        <v>28</v>
      </c>
      <c r="N3" s="2" t="s">
        <v>29</v>
      </c>
      <c r="O3" s="2" t="s">
        <v>30</v>
      </c>
      <c r="Q3" s="2" t="s">
        <v>27</v>
      </c>
      <c r="R3" s="2" t="s">
        <v>28</v>
      </c>
      <c r="S3" s="2" t="s">
        <v>29</v>
      </c>
      <c r="T3" s="2" t="s">
        <v>30</v>
      </c>
      <c r="V3" s="2" t="s">
        <v>27</v>
      </c>
      <c r="W3" s="2" t="s">
        <v>28</v>
      </c>
      <c r="X3" s="2" t="s">
        <v>29</v>
      </c>
      <c r="Y3" s="2" t="s">
        <v>30</v>
      </c>
    </row>
    <row r="4" spans="1:25" s="29" customFormat="1">
      <c r="A4" s="25" t="s">
        <v>2</v>
      </c>
      <c r="B4" s="26" t="s">
        <v>3</v>
      </c>
      <c r="C4" s="26" t="s">
        <v>4</v>
      </c>
      <c r="D4" s="26" t="s">
        <v>5</v>
      </c>
      <c r="E4" s="26" t="s">
        <v>6</v>
      </c>
      <c r="F4" s="26" t="s">
        <v>7</v>
      </c>
      <c r="G4" s="27" t="s">
        <v>8</v>
      </c>
      <c r="H4" s="26" t="s">
        <v>9</v>
      </c>
      <c r="I4" s="28" t="s">
        <v>10</v>
      </c>
      <c r="J4" s="29" t="s">
        <v>41</v>
      </c>
    </row>
    <row r="5" spans="1:25">
      <c r="A5" s="30"/>
      <c r="B5" s="128" t="s">
        <v>45</v>
      </c>
      <c r="C5" s="129"/>
      <c r="D5" s="31"/>
      <c r="E5" s="32"/>
      <c r="F5" s="31"/>
      <c r="G5" s="33"/>
      <c r="H5" s="31"/>
      <c r="I5" s="32"/>
      <c r="J5" s="34"/>
      <c r="K5" s="35"/>
      <c r="L5" s="35"/>
    </row>
    <row r="6" spans="1:25">
      <c r="A6" s="37"/>
      <c r="B6" s="38" t="s">
        <v>49</v>
      </c>
      <c r="C6" s="39"/>
      <c r="D6" s="40"/>
      <c r="E6" s="41"/>
      <c r="F6" s="42"/>
      <c r="G6" s="43"/>
      <c r="H6" s="40"/>
      <c r="I6" s="41"/>
      <c r="J6" s="44"/>
      <c r="K6" s="45"/>
      <c r="L6" s="35"/>
    </row>
    <row r="7" spans="1:25">
      <c r="A7" s="37" t="s">
        <v>72</v>
      </c>
      <c r="B7" s="46" t="s">
        <v>62</v>
      </c>
      <c r="C7" s="39" t="s">
        <v>16</v>
      </c>
      <c r="D7" s="40">
        <f>'6022-yr1'!H$63</f>
        <v>73</v>
      </c>
      <c r="E7" s="41">
        <v>4</v>
      </c>
      <c r="F7" s="42">
        <f>SUM(D7*E7)</f>
        <v>292</v>
      </c>
      <c r="G7" s="43">
        <v>2</v>
      </c>
      <c r="H7" s="48">
        <f>SUM(G7*F7)</f>
        <v>584</v>
      </c>
      <c r="I7" s="49">
        <v>63.654000000000003</v>
      </c>
      <c r="J7" s="60">
        <f>(H7)*(I7)</f>
        <v>37173.936000000002</v>
      </c>
      <c r="K7" s="45"/>
      <c r="L7" s="52">
        <v>0</v>
      </c>
      <c r="M7" s="52">
        <v>0.75</v>
      </c>
      <c r="N7" s="52">
        <v>0.25</v>
      </c>
      <c r="O7" s="52">
        <v>0.66669999999999996</v>
      </c>
      <c r="Q7" s="53">
        <f t="shared" ref="Q7:T9" si="0">+$J7*L7</f>
        <v>0</v>
      </c>
      <c r="R7" s="53">
        <f t="shared" si="0"/>
        <v>27880.452000000001</v>
      </c>
      <c r="S7" s="53">
        <f t="shared" si="0"/>
        <v>9293.4840000000004</v>
      </c>
      <c r="T7" s="53">
        <f t="shared" si="0"/>
        <v>24783.8631312</v>
      </c>
      <c r="V7" s="54">
        <f t="shared" ref="V7:Y9" si="1">+$D7*L7</f>
        <v>0</v>
      </c>
      <c r="W7" s="55">
        <f t="shared" si="1"/>
        <v>54.75</v>
      </c>
      <c r="X7" s="55">
        <f t="shared" si="1"/>
        <v>18.25</v>
      </c>
      <c r="Y7" s="55">
        <f t="shared" si="1"/>
        <v>48.6691</v>
      </c>
    </row>
    <row r="8" spans="1:25">
      <c r="A8" s="57" t="s">
        <v>177</v>
      </c>
      <c r="B8" s="56" t="s">
        <v>98</v>
      </c>
      <c r="C8" s="39" t="s">
        <v>16</v>
      </c>
      <c r="D8" s="40">
        <v>2</v>
      </c>
      <c r="E8" s="41">
        <v>1</v>
      </c>
      <c r="F8" s="42">
        <f>SUM(D8*E8)</f>
        <v>2</v>
      </c>
      <c r="G8" s="43">
        <v>2</v>
      </c>
      <c r="H8" s="48">
        <f>SUM(G8*F8)</f>
        <v>4</v>
      </c>
      <c r="I8" s="49">
        <v>63.654000000000003</v>
      </c>
      <c r="J8" s="60">
        <f>(H8)*(I8)</f>
        <v>254.61600000000001</v>
      </c>
      <c r="K8" s="45"/>
      <c r="L8" s="52">
        <v>0</v>
      </c>
      <c r="M8" s="52">
        <v>0.75</v>
      </c>
      <c r="N8" s="52">
        <v>0.25</v>
      </c>
      <c r="O8" s="52">
        <v>0.66669999999999996</v>
      </c>
      <c r="Q8" s="53">
        <f t="shared" si="0"/>
        <v>0</v>
      </c>
      <c r="R8" s="53">
        <f t="shared" si="0"/>
        <v>190.96200000000002</v>
      </c>
      <c r="S8" s="53">
        <f t="shared" si="0"/>
        <v>63.654000000000003</v>
      </c>
      <c r="T8" s="53">
        <f t="shared" si="0"/>
        <v>169.75248719999999</v>
      </c>
      <c r="V8" s="54">
        <f t="shared" si="1"/>
        <v>0</v>
      </c>
      <c r="W8" s="55">
        <f t="shared" si="1"/>
        <v>1.5</v>
      </c>
      <c r="X8" s="55">
        <f t="shared" si="1"/>
        <v>0.5</v>
      </c>
      <c r="Y8" s="55">
        <f t="shared" si="1"/>
        <v>1.3333999999999999</v>
      </c>
    </row>
    <row r="9" spans="1:25">
      <c r="A9" s="57" t="s">
        <v>140</v>
      </c>
      <c r="B9" s="56" t="s">
        <v>99</v>
      </c>
      <c r="C9" s="39" t="s">
        <v>16</v>
      </c>
      <c r="D9" s="40">
        <f>'6022-yr1'!H$63</f>
        <v>73</v>
      </c>
      <c r="E9" s="41">
        <v>1</v>
      </c>
      <c r="F9" s="42">
        <f>SUM(D9*E9)</f>
        <v>73</v>
      </c>
      <c r="G9" s="43">
        <v>2</v>
      </c>
      <c r="H9" s="48">
        <f>SUM(G9*F9)</f>
        <v>146</v>
      </c>
      <c r="I9" s="49">
        <v>63.654000000000003</v>
      </c>
      <c r="J9" s="60">
        <f>(H9)*(I9)</f>
        <v>9293.4840000000004</v>
      </c>
      <c r="K9" s="45"/>
      <c r="L9" s="52">
        <v>0</v>
      </c>
      <c r="M9" s="52">
        <v>0.75</v>
      </c>
      <c r="N9" s="52">
        <v>0.25</v>
      </c>
      <c r="O9" s="52">
        <v>0.66669999999999996</v>
      </c>
      <c r="Q9" s="53">
        <f t="shared" si="0"/>
        <v>0</v>
      </c>
      <c r="R9" s="53">
        <f t="shared" si="0"/>
        <v>6970.1130000000003</v>
      </c>
      <c r="S9" s="53">
        <f t="shared" si="0"/>
        <v>2323.3710000000001</v>
      </c>
      <c r="T9" s="53">
        <f t="shared" si="0"/>
        <v>6195.9657827999999</v>
      </c>
      <c r="V9" s="54">
        <f t="shared" si="1"/>
        <v>0</v>
      </c>
      <c r="W9" s="55">
        <f t="shared" si="1"/>
        <v>54.75</v>
      </c>
      <c r="X9" s="55">
        <f t="shared" si="1"/>
        <v>18.25</v>
      </c>
      <c r="Y9" s="55">
        <f t="shared" si="1"/>
        <v>48.6691</v>
      </c>
    </row>
    <row r="10" spans="1:25">
      <c r="A10" s="37"/>
      <c r="B10" s="38" t="s">
        <v>61</v>
      </c>
      <c r="C10" s="39"/>
      <c r="D10" s="40"/>
      <c r="E10" s="41"/>
      <c r="F10" s="42"/>
      <c r="G10" s="43"/>
      <c r="H10" s="48"/>
      <c r="I10" s="49">
        <v>63.654000000000003</v>
      </c>
      <c r="J10" s="44"/>
      <c r="K10" s="45"/>
      <c r="L10" s="52"/>
      <c r="M10" s="52"/>
      <c r="N10" s="52"/>
      <c r="O10" s="52"/>
      <c r="V10" s="54"/>
      <c r="W10" s="55"/>
      <c r="X10" s="55"/>
      <c r="Y10" s="55"/>
    </row>
    <row r="11" spans="1:25">
      <c r="A11" s="37" t="s">
        <v>73</v>
      </c>
      <c r="B11" s="56" t="s">
        <v>53</v>
      </c>
      <c r="C11" s="39" t="s">
        <v>16</v>
      </c>
      <c r="D11" s="40">
        <f>'6022-yr1'!G$63</f>
        <v>74</v>
      </c>
      <c r="E11" s="41">
        <v>1</v>
      </c>
      <c r="F11" s="42">
        <f t="shared" ref="F11:F22" si="2">SUM(D11*E11)</f>
        <v>74</v>
      </c>
      <c r="G11" s="43">
        <v>8</v>
      </c>
      <c r="H11" s="48">
        <f t="shared" ref="H11:H22" si="3">SUM(G11*F11)</f>
        <v>592</v>
      </c>
      <c r="I11" s="49">
        <v>63.654000000000003</v>
      </c>
      <c r="J11" s="60">
        <f t="shared" ref="J11:J22" si="4">(H11)*(I11)</f>
        <v>37683.168000000005</v>
      </c>
      <c r="K11" s="45"/>
      <c r="L11" s="52">
        <v>0</v>
      </c>
      <c r="M11" s="52">
        <v>0.75</v>
      </c>
      <c r="N11" s="52">
        <v>0.25</v>
      </c>
      <c r="O11" s="52">
        <v>0.66669999999999996</v>
      </c>
      <c r="Q11" s="53">
        <f>+$J11*L11</f>
        <v>0</v>
      </c>
      <c r="R11" s="53">
        <f>+$J11*M11</f>
        <v>28262.376000000004</v>
      </c>
      <c r="S11" s="53">
        <f>+$J11*N11</f>
        <v>9420.7920000000013</v>
      </c>
      <c r="T11" s="53">
        <f>+$J11*O11</f>
        <v>25123.368105600002</v>
      </c>
      <c r="V11" s="54">
        <f>+$D11*L11</f>
        <v>0</v>
      </c>
      <c r="W11" s="55">
        <f>+$D11*M11</f>
        <v>55.5</v>
      </c>
      <c r="X11" s="55">
        <f>+$D11*N11</f>
        <v>18.5</v>
      </c>
      <c r="Y11" s="55">
        <f>+$D11*O11</f>
        <v>49.335799999999999</v>
      </c>
    </row>
    <row r="12" spans="1:25" ht="25.5">
      <c r="A12" s="57" t="s">
        <v>71</v>
      </c>
      <c r="B12" s="56" t="s">
        <v>54</v>
      </c>
      <c r="C12" s="39" t="s">
        <v>16</v>
      </c>
      <c r="D12" s="40">
        <f>'6022-yr1'!G$63</f>
        <v>74</v>
      </c>
      <c r="E12" s="41">
        <v>1</v>
      </c>
      <c r="F12" s="42">
        <f t="shared" si="2"/>
        <v>74</v>
      </c>
      <c r="G12" s="43">
        <v>2</v>
      </c>
      <c r="H12" s="48">
        <f t="shared" si="3"/>
        <v>148</v>
      </c>
      <c r="I12" s="49">
        <v>63.654000000000003</v>
      </c>
      <c r="J12" s="60">
        <f t="shared" si="4"/>
        <v>9420.7920000000013</v>
      </c>
      <c r="K12" s="45"/>
      <c r="L12" s="52">
        <v>0</v>
      </c>
      <c r="M12" s="52">
        <v>0.75</v>
      </c>
      <c r="N12" s="52">
        <v>0.25</v>
      </c>
      <c r="O12" s="52">
        <v>0.66669999999999996</v>
      </c>
      <c r="Q12" s="53">
        <f t="shared" ref="Q12:Q20" si="5">+$J12*L12</f>
        <v>0</v>
      </c>
      <c r="R12" s="53">
        <f t="shared" ref="R12:R20" si="6">+$J12*M12</f>
        <v>7065.594000000001</v>
      </c>
      <c r="S12" s="53">
        <f t="shared" ref="S12:S20" si="7">+$J12*N12</f>
        <v>2355.1980000000003</v>
      </c>
      <c r="T12" s="53">
        <f t="shared" ref="T12:T20" si="8">+$J12*O12</f>
        <v>6280.8420264000006</v>
      </c>
      <c r="V12" s="54">
        <f t="shared" ref="V12:V20" si="9">+$D12*L12</f>
        <v>0</v>
      </c>
      <c r="W12" s="55">
        <f t="shared" ref="W12:W20" si="10">+$D12*M12</f>
        <v>55.5</v>
      </c>
      <c r="X12" s="55">
        <f t="shared" ref="X12:X20" si="11">+$D12*N12</f>
        <v>18.5</v>
      </c>
      <c r="Y12" s="55">
        <f t="shared" ref="Y12:Y20" si="12">+$D12*O12</f>
        <v>49.335799999999999</v>
      </c>
    </row>
    <row r="13" spans="1:25" ht="25.5">
      <c r="A13" s="57" t="s">
        <v>74</v>
      </c>
      <c r="B13" s="56" t="s">
        <v>167</v>
      </c>
      <c r="C13" s="39" t="s">
        <v>16</v>
      </c>
      <c r="D13" s="40">
        <v>10</v>
      </c>
      <c r="E13" s="41">
        <v>1</v>
      </c>
      <c r="F13" s="42">
        <f t="shared" si="2"/>
        <v>10</v>
      </c>
      <c r="G13" s="43">
        <v>8</v>
      </c>
      <c r="H13" s="48">
        <f t="shared" si="3"/>
        <v>80</v>
      </c>
      <c r="I13" s="49">
        <v>63.654000000000003</v>
      </c>
      <c r="J13" s="60">
        <f t="shared" si="4"/>
        <v>5092.3200000000006</v>
      </c>
      <c r="K13" s="45"/>
      <c r="L13" s="52">
        <v>0</v>
      </c>
      <c r="M13" s="52">
        <v>0.75</v>
      </c>
      <c r="N13" s="52">
        <v>0.25</v>
      </c>
      <c r="O13" s="52">
        <v>0.66669999999999996</v>
      </c>
      <c r="Q13" s="53">
        <f t="shared" si="5"/>
        <v>0</v>
      </c>
      <c r="R13" s="53">
        <f t="shared" si="6"/>
        <v>3819.2400000000007</v>
      </c>
      <c r="S13" s="53">
        <f t="shared" si="7"/>
        <v>1273.0800000000002</v>
      </c>
      <c r="T13" s="53">
        <f t="shared" si="8"/>
        <v>3395.0497440000004</v>
      </c>
      <c r="V13" s="54">
        <f t="shared" si="9"/>
        <v>0</v>
      </c>
      <c r="W13" s="55">
        <f t="shared" si="10"/>
        <v>7.5</v>
      </c>
      <c r="X13" s="55">
        <f t="shared" si="11"/>
        <v>2.5</v>
      </c>
      <c r="Y13" s="55">
        <f t="shared" si="12"/>
        <v>6.6669999999999998</v>
      </c>
    </row>
    <row r="14" spans="1:25" ht="25.5">
      <c r="A14" s="57" t="s">
        <v>74</v>
      </c>
      <c r="B14" s="56" t="s">
        <v>168</v>
      </c>
      <c r="C14" s="39" t="s">
        <v>16</v>
      </c>
      <c r="D14" s="40">
        <v>45</v>
      </c>
      <c r="E14" s="41">
        <v>1</v>
      </c>
      <c r="F14" s="42">
        <f t="shared" ref="F14" si="13">SUM(D14*E14)</f>
        <v>45</v>
      </c>
      <c r="G14" s="43">
        <v>1</v>
      </c>
      <c r="H14" s="48">
        <f t="shared" ref="H14" si="14">SUM(G14*F14)</f>
        <v>45</v>
      </c>
      <c r="I14" s="49">
        <v>63.654000000000003</v>
      </c>
      <c r="J14" s="60">
        <f t="shared" ref="J14" si="15">(H14)*(I14)</f>
        <v>2864.4300000000003</v>
      </c>
      <c r="K14" s="45"/>
      <c r="L14" s="52">
        <v>0</v>
      </c>
      <c r="M14" s="52">
        <v>0.75</v>
      </c>
      <c r="N14" s="52">
        <v>0.25</v>
      </c>
      <c r="O14" s="52">
        <v>0.66669999999999996</v>
      </c>
      <c r="Q14" s="53">
        <f t="shared" ref="Q14" si="16">+$J14*L14</f>
        <v>0</v>
      </c>
      <c r="R14" s="53">
        <f t="shared" ref="R14" si="17">+$J14*M14</f>
        <v>2148.3225000000002</v>
      </c>
      <c r="S14" s="53">
        <f t="shared" ref="S14" si="18">+$J14*N14</f>
        <v>716.10750000000007</v>
      </c>
      <c r="T14" s="53">
        <f t="shared" ref="T14" si="19">+$J14*O14</f>
        <v>1909.7154810000002</v>
      </c>
      <c r="V14" s="54">
        <f t="shared" ref="V14" si="20">+$D14*L14</f>
        <v>0</v>
      </c>
      <c r="W14" s="55">
        <f t="shared" ref="W14" si="21">+$D14*M14</f>
        <v>33.75</v>
      </c>
      <c r="X14" s="55">
        <f t="shared" ref="X14" si="22">+$D14*N14</f>
        <v>11.25</v>
      </c>
      <c r="Y14" s="55">
        <f t="shared" ref="Y14" si="23">+$D14*O14</f>
        <v>30.001499999999997</v>
      </c>
    </row>
    <row r="15" spans="1:25" ht="25.5">
      <c r="A15" s="57" t="s">
        <v>178</v>
      </c>
      <c r="B15" s="56" t="s">
        <v>169</v>
      </c>
      <c r="C15" s="39" t="s">
        <v>16</v>
      </c>
      <c r="D15" s="40">
        <v>11</v>
      </c>
      <c r="E15" s="41">
        <v>1</v>
      </c>
      <c r="F15" s="42">
        <f t="shared" si="2"/>
        <v>11</v>
      </c>
      <c r="G15" s="43">
        <v>8</v>
      </c>
      <c r="H15" s="48">
        <f t="shared" si="3"/>
        <v>88</v>
      </c>
      <c r="I15" s="49">
        <v>63.654000000000003</v>
      </c>
      <c r="J15" s="60">
        <f t="shared" si="4"/>
        <v>5601.5520000000006</v>
      </c>
      <c r="K15" s="45"/>
      <c r="L15" s="52">
        <v>0</v>
      </c>
      <c r="M15" s="52">
        <v>0.75</v>
      </c>
      <c r="N15" s="52">
        <v>0.25</v>
      </c>
      <c r="O15" s="52">
        <v>0.66669999999999996</v>
      </c>
      <c r="Q15" s="53">
        <f t="shared" si="5"/>
        <v>0</v>
      </c>
      <c r="R15" s="53">
        <f t="shared" si="6"/>
        <v>4201.1640000000007</v>
      </c>
      <c r="S15" s="53">
        <f t="shared" si="7"/>
        <v>1400.3880000000001</v>
      </c>
      <c r="T15" s="53">
        <f t="shared" si="8"/>
        <v>3734.5547184000002</v>
      </c>
      <c r="V15" s="54">
        <f t="shared" si="9"/>
        <v>0</v>
      </c>
      <c r="W15" s="55">
        <f t="shared" si="10"/>
        <v>8.25</v>
      </c>
      <c r="X15" s="55">
        <f t="shared" si="11"/>
        <v>2.75</v>
      </c>
      <c r="Y15" s="55">
        <f t="shared" si="12"/>
        <v>7.3336999999999994</v>
      </c>
    </row>
    <row r="16" spans="1:25" ht="32.1" customHeight="1">
      <c r="A16" s="57" t="s">
        <v>178</v>
      </c>
      <c r="B16" s="56" t="s">
        <v>170</v>
      </c>
      <c r="C16" s="39" t="s">
        <v>16</v>
      </c>
      <c r="D16" s="40">
        <v>8</v>
      </c>
      <c r="E16" s="41">
        <v>1</v>
      </c>
      <c r="F16" s="42">
        <f t="shared" ref="F16" si="24">SUM(D16*E16)</f>
        <v>8</v>
      </c>
      <c r="G16" s="43">
        <v>1</v>
      </c>
      <c r="H16" s="48">
        <f t="shared" ref="H16" si="25">SUM(G16*F16)</f>
        <v>8</v>
      </c>
      <c r="I16" s="49">
        <v>63.654000000000003</v>
      </c>
      <c r="J16" s="60">
        <f t="shared" ref="J16" si="26">(H16)*(I16)</f>
        <v>509.23200000000003</v>
      </c>
      <c r="K16" s="45"/>
      <c r="L16" s="52">
        <v>0</v>
      </c>
      <c r="M16" s="52">
        <v>0.75</v>
      </c>
      <c r="N16" s="52">
        <v>0.25</v>
      </c>
      <c r="O16" s="52">
        <v>0.66669999999999996</v>
      </c>
      <c r="Q16" s="53">
        <f t="shared" ref="Q16" si="27">+$J16*L16</f>
        <v>0</v>
      </c>
      <c r="R16" s="53">
        <f t="shared" ref="R16" si="28">+$J16*M16</f>
        <v>381.92400000000004</v>
      </c>
      <c r="S16" s="53">
        <f t="shared" ref="S16" si="29">+$J16*N16</f>
        <v>127.30800000000001</v>
      </c>
      <c r="T16" s="53">
        <f t="shared" ref="T16" si="30">+$J16*O16</f>
        <v>339.50497439999998</v>
      </c>
      <c r="V16" s="54">
        <f t="shared" ref="V16" si="31">+$D16*L16</f>
        <v>0</v>
      </c>
      <c r="W16" s="55">
        <f t="shared" ref="W16" si="32">+$D16*M16</f>
        <v>6</v>
      </c>
      <c r="X16" s="55">
        <f t="shared" ref="X16" si="33">+$D16*N16</f>
        <v>2</v>
      </c>
      <c r="Y16" s="55">
        <f t="shared" ref="Y16" si="34">+$D16*O16</f>
        <v>5.3335999999999997</v>
      </c>
    </row>
    <row r="17" spans="1:25" ht="25.5">
      <c r="A17" s="57" t="s">
        <v>75</v>
      </c>
      <c r="B17" s="56" t="str">
        <f>'6022-yr1'!B17</f>
        <v>Additional Documentation - microlender enhancement grants</v>
      </c>
      <c r="C17" s="39" t="s">
        <v>16</v>
      </c>
      <c r="D17" s="40">
        <f>'6022-yr1'!G65</f>
        <v>7</v>
      </c>
      <c r="E17" s="41">
        <v>1</v>
      </c>
      <c r="F17" s="42">
        <f t="shared" si="2"/>
        <v>7</v>
      </c>
      <c r="G17" s="43">
        <v>6</v>
      </c>
      <c r="H17" s="48">
        <f t="shared" si="3"/>
        <v>42</v>
      </c>
      <c r="I17" s="49">
        <v>63.654000000000003</v>
      </c>
      <c r="J17" s="60">
        <f t="shared" si="4"/>
        <v>2673.4680000000003</v>
      </c>
      <c r="K17" s="45"/>
      <c r="L17" s="52">
        <v>0</v>
      </c>
      <c r="M17" s="52">
        <v>0.75</v>
      </c>
      <c r="N17" s="52">
        <v>0.25</v>
      </c>
      <c r="O17" s="52">
        <v>0.66669999999999996</v>
      </c>
      <c r="Q17" s="53">
        <f t="shared" si="5"/>
        <v>0</v>
      </c>
      <c r="R17" s="53">
        <f t="shared" si="6"/>
        <v>2005.1010000000001</v>
      </c>
      <c r="S17" s="53">
        <f t="shared" si="7"/>
        <v>668.36700000000008</v>
      </c>
      <c r="T17" s="53">
        <f t="shared" si="8"/>
        <v>1782.4011156000001</v>
      </c>
      <c r="V17" s="54">
        <f t="shared" si="9"/>
        <v>0</v>
      </c>
      <c r="W17" s="55">
        <f t="shared" si="10"/>
        <v>5.25</v>
      </c>
      <c r="X17" s="55">
        <f t="shared" si="11"/>
        <v>1.75</v>
      </c>
      <c r="Y17" s="55">
        <f t="shared" si="12"/>
        <v>4.6669</v>
      </c>
    </row>
    <row r="18" spans="1:25" ht="25.5">
      <c r="A18" s="57" t="s">
        <v>76</v>
      </c>
      <c r="B18" s="56" t="str">
        <f>'6022-yr1'!B18</f>
        <v>Application microlenders with &gt; 5 yrs exp in the program</v>
      </c>
      <c r="C18" s="39" t="s">
        <v>16</v>
      </c>
      <c r="D18" s="40">
        <v>0</v>
      </c>
      <c r="E18" s="41">
        <v>1</v>
      </c>
      <c r="F18" s="42">
        <f t="shared" si="2"/>
        <v>0</v>
      </c>
      <c r="G18" s="43">
        <v>1</v>
      </c>
      <c r="H18" s="48">
        <f t="shared" si="3"/>
        <v>0</v>
      </c>
      <c r="I18" s="49">
        <v>63.654000000000003</v>
      </c>
      <c r="J18" s="60">
        <f t="shared" si="4"/>
        <v>0</v>
      </c>
      <c r="K18" s="45"/>
      <c r="L18" s="52">
        <v>0</v>
      </c>
      <c r="M18" s="52">
        <v>0.75</v>
      </c>
      <c r="N18" s="52">
        <v>0.25</v>
      </c>
      <c r="O18" s="52">
        <v>0.66669999999999996</v>
      </c>
      <c r="Q18" s="53">
        <f t="shared" si="5"/>
        <v>0</v>
      </c>
      <c r="R18" s="53">
        <f t="shared" si="6"/>
        <v>0</v>
      </c>
      <c r="S18" s="53">
        <f t="shared" si="7"/>
        <v>0</v>
      </c>
      <c r="T18" s="53">
        <f t="shared" si="8"/>
        <v>0</v>
      </c>
      <c r="V18" s="54">
        <f t="shared" si="9"/>
        <v>0</v>
      </c>
      <c r="W18" s="55">
        <f t="shared" si="10"/>
        <v>0</v>
      </c>
      <c r="X18" s="55">
        <f t="shared" si="11"/>
        <v>0</v>
      </c>
      <c r="Y18" s="55">
        <f t="shared" si="12"/>
        <v>0</v>
      </c>
    </row>
    <row r="19" spans="1:25">
      <c r="A19" s="57" t="s">
        <v>80</v>
      </c>
      <c r="B19" s="56" t="s">
        <v>79</v>
      </c>
      <c r="C19" s="39" t="s">
        <v>16</v>
      </c>
      <c r="D19" s="40">
        <f>'6022-yr1'!H$63</f>
        <v>73</v>
      </c>
      <c r="E19" s="41">
        <v>1</v>
      </c>
      <c r="F19" s="42">
        <f>SUM(D19*E19)</f>
        <v>73</v>
      </c>
      <c r="G19" s="43">
        <v>1</v>
      </c>
      <c r="H19" s="48">
        <f>SUM(G19*F19)</f>
        <v>73</v>
      </c>
      <c r="I19" s="49">
        <v>63.654000000000003</v>
      </c>
      <c r="J19" s="60">
        <f>(H19)*(I19)</f>
        <v>4646.7420000000002</v>
      </c>
      <c r="K19" s="45"/>
      <c r="L19" s="52">
        <v>0</v>
      </c>
      <c r="M19" s="52">
        <v>0.75</v>
      </c>
      <c r="N19" s="52">
        <v>0.25</v>
      </c>
      <c r="O19" s="52">
        <v>0.66669999999999996</v>
      </c>
      <c r="Q19" s="53">
        <f t="shared" si="5"/>
        <v>0</v>
      </c>
      <c r="R19" s="53">
        <f t="shared" si="6"/>
        <v>3485.0565000000001</v>
      </c>
      <c r="S19" s="53">
        <f t="shared" si="7"/>
        <v>1161.6855</v>
      </c>
      <c r="T19" s="53">
        <f t="shared" si="8"/>
        <v>3097.9828914</v>
      </c>
      <c r="V19" s="54">
        <f t="shared" si="9"/>
        <v>0</v>
      </c>
      <c r="W19" s="55">
        <f t="shared" si="10"/>
        <v>54.75</v>
      </c>
      <c r="X19" s="55">
        <f t="shared" si="11"/>
        <v>18.25</v>
      </c>
      <c r="Y19" s="55">
        <f t="shared" si="12"/>
        <v>48.6691</v>
      </c>
    </row>
    <row r="20" spans="1:25">
      <c r="A20" s="57" t="s">
        <v>81</v>
      </c>
      <c r="B20" s="56" t="s">
        <v>82</v>
      </c>
      <c r="C20" s="39" t="s">
        <v>16</v>
      </c>
      <c r="D20" s="40">
        <f>'6022-yr1'!H$63</f>
        <v>73</v>
      </c>
      <c r="E20" s="41">
        <v>1</v>
      </c>
      <c r="F20" s="42">
        <f>SUM(D20*E20)</f>
        <v>73</v>
      </c>
      <c r="G20" s="43">
        <v>0.5</v>
      </c>
      <c r="H20" s="48">
        <f>SUM(G20*F20)</f>
        <v>36.5</v>
      </c>
      <c r="I20" s="49">
        <v>63.654000000000003</v>
      </c>
      <c r="J20" s="60">
        <f>(H20)*(I20)</f>
        <v>2323.3710000000001</v>
      </c>
      <c r="K20" s="45"/>
      <c r="L20" s="52">
        <v>0</v>
      </c>
      <c r="M20" s="52">
        <v>0.75</v>
      </c>
      <c r="N20" s="52">
        <v>0.25</v>
      </c>
      <c r="O20" s="52">
        <v>0.66669999999999996</v>
      </c>
      <c r="Q20" s="53">
        <f t="shared" si="5"/>
        <v>0</v>
      </c>
      <c r="R20" s="53">
        <f t="shared" si="6"/>
        <v>1742.5282500000001</v>
      </c>
      <c r="S20" s="53">
        <f t="shared" si="7"/>
        <v>580.84275000000002</v>
      </c>
      <c r="T20" s="53">
        <f t="shared" si="8"/>
        <v>1548.9914457</v>
      </c>
      <c r="V20" s="54">
        <f t="shared" si="9"/>
        <v>0</v>
      </c>
      <c r="W20" s="55">
        <f t="shared" si="10"/>
        <v>54.75</v>
      </c>
      <c r="X20" s="55">
        <f t="shared" si="11"/>
        <v>18.25</v>
      </c>
      <c r="Y20" s="55">
        <f t="shared" si="12"/>
        <v>48.6691</v>
      </c>
    </row>
    <row r="21" spans="1:25">
      <c r="A21" s="57"/>
      <c r="B21" s="58" t="s">
        <v>50</v>
      </c>
      <c r="C21" s="39"/>
      <c r="D21" s="40"/>
      <c r="E21" s="41"/>
      <c r="F21" s="42"/>
      <c r="G21" s="43"/>
      <c r="H21" s="48"/>
      <c r="I21" s="59"/>
      <c r="J21" s="60"/>
      <c r="K21" s="45"/>
      <c r="L21" s="52"/>
      <c r="M21" s="52"/>
      <c r="N21" s="52"/>
      <c r="O21" s="52"/>
      <c r="Q21" s="53"/>
      <c r="R21" s="53"/>
      <c r="S21" s="53"/>
      <c r="T21" s="53"/>
      <c r="V21" s="54"/>
      <c r="W21" s="55"/>
      <c r="X21" s="55"/>
      <c r="Y21" s="55"/>
    </row>
    <row r="22" spans="1:25">
      <c r="A22" s="37" t="s">
        <v>179</v>
      </c>
      <c r="B22" s="56" t="s">
        <v>46</v>
      </c>
      <c r="C22" s="39" t="s">
        <v>16</v>
      </c>
      <c r="D22" s="40">
        <f>'6022-yr1'!G$63</f>
        <v>74</v>
      </c>
      <c r="E22" s="39">
        <v>1</v>
      </c>
      <c r="F22" s="42">
        <f t="shared" si="2"/>
        <v>74</v>
      </c>
      <c r="G22" s="98">
        <v>0.25</v>
      </c>
      <c r="H22" s="48">
        <f t="shared" si="3"/>
        <v>18.5</v>
      </c>
      <c r="I22" s="49">
        <v>63.654000000000003</v>
      </c>
      <c r="J22" s="60">
        <f t="shared" si="4"/>
        <v>1177.5990000000002</v>
      </c>
      <c r="K22" s="89"/>
      <c r="L22" s="52">
        <v>0</v>
      </c>
      <c r="M22" s="52">
        <v>0.75</v>
      </c>
      <c r="N22" s="52">
        <v>0.25</v>
      </c>
      <c r="O22" s="52">
        <v>0.66669999999999996</v>
      </c>
      <c r="Q22" s="53">
        <f>+$J22*L22</f>
        <v>0</v>
      </c>
      <c r="R22" s="53">
        <f>+$J22*M22</f>
        <v>883.19925000000012</v>
      </c>
      <c r="S22" s="53">
        <f>+$J22*N22</f>
        <v>294.39975000000004</v>
      </c>
      <c r="T22" s="53">
        <f>+$J22*O22</f>
        <v>785.10525330000007</v>
      </c>
      <c r="V22" s="54">
        <f>+$D22*L22</f>
        <v>0</v>
      </c>
      <c r="W22" s="55">
        <f>+$D22*M22</f>
        <v>55.5</v>
      </c>
      <c r="X22" s="55">
        <f>+$D22*N22</f>
        <v>18.5</v>
      </c>
      <c r="Y22" s="55">
        <f>+$D22*O22</f>
        <v>49.335799999999999</v>
      </c>
    </row>
    <row r="23" spans="1:25">
      <c r="A23" s="37"/>
      <c r="B23" s="58" t="str">
        <f>'6022-yr1'!B23</f>
        <v>Appeals</v>
      </c>
      <c r="C23" s="39"/>
      <c r="D23" s="61"/>
      <c r="E23" s="41"/>
      <c r="F23" s="42"/>
      <c r="G23" s="43"/>
      <c r="H23" s="48"/>
      <c r="I23" s="49"/>
      <c r="J23" s="59"/>
      <c r="K23" s="45"/>
      <c r="L23" s="52"/>
      <c r="M23" s="52"/>
      <c r="N23" s="52"/>
      <c r="O23" s="52"/>
      <c r="Q23" s="53"/>
      <c r="R23" s="53"/>
      <c r="S23" s="53"/>
      <c r="T23" s="53"/>
      <c r="V23" s="54"/>
      <c r="W23" s="55"/>
      <c r="X23" s="55"/>
      <c r="Y23" s="55"/>
    </row>
    <row r="24" spans="1:25">
      <c r="A24" s="57">
        <v>304</v>
      </c>
      <c r="B24" s="56" t="str">
        <f>'6022-yr1'!B24</f>
        <v>Request for Appeal</v>
      </c>
      <c r="C24" s="39"/>
      <c r="D24" s="61"/>
      <c r="E24" s="41"/>
      <c r="F24" s="42"/>
      <c r="G24" s="43"/>
      <c r="H24" s="48"/>
      <c r="I24" s="49"/>
      <c r="J24" s="59"/>
      <c r="K24" s="45"/>
      <c r="L24" s="52"/>
      <c r="M24" s="52"/>
      <c r="N24" s="52"/>
      <c r="O24" s="52"/>
      <c r="Q24" s="53"/>
      <c r="R24" s="53"/>
      <c r="S24" s="53"/>
      <c r="T24" s="53"/>
      <c r="V24" s="54"/>
      <c r="W24" s="55"/>
      <c r="X24" s="55"/>
      <c r="Y24" s="55"/>
    </row>
    <row r="25" spans="1:25">
      <c r="A25" s="37"/>
      <c r="B25" s="62" t="s">
        <v>38</v>
      </c>
      <c r="C25" s="63"/>
      <c r="D25" s="65">
        <f>SUM(D11)</f>
        <v>74</v>
      </c>
      <c r="E25" s="64"/>
      <c r="F25" s="65">
        <f>SUM(F7:F22)</f>
        <v>816</v>
      </c>
      <c r="G25" s="66"/>
      <c r="H25" s="67">
        <f>SUM(H7:H22)</f>
        <v>1865</v>
      </c>
      <c r="I25" s="68"/>
      <c r="J25" s="69">
        <f>SUM(J7:J22)</f>
        <v>118714.71</v>
      </c>
      <c r="K25" s="45"/>
      <c r="L25" s="52"/>
      <c r="M25" s="52"/>
      <c r="N25" s="52"/>
      <c r="O25" s="52"/>
      <c r="Q25" s="53"/>
      <c r="R25" s="53"/>
      <c r="S25" s="53"/>
      <c r="T25" s="53"/>
      <c r="V25" s="54"/>
      <c r="W25" s="55"/>
      <c r="X25" s="55"/>
      <c r="Y25" s="55"/>
    </row>
    <row r="26" spans="1:25">
      <c r="A26" s="37"/>
      <c r="D26" s="37"/>
      <c r="E26" s="37"/>
      <c r="F26" s="37"/>
      <c r="H26" s="71"/>
      <c r="I26" s="72"/>
      <c r="J26" s="37"/>
      <c r="K26" s="73"/>
      <c r="L26" s="52"/>
      <c r="M26" s="52"/>
      <c r="N26" s="52"/>
      <c r="O26" s="52"/>
      <c r="Q26" s="53"/>
      <c r="R26" s="53"/>
      <c r="S26" s="53"/>
      <c r="T26" s="53"/>
      <c r="V26" s="54"/>
      <c r="W26" s="55"/>
      <c r="X26" s="55"/>
      <c r="Y26" s="55"/>
    </row>
    <row r="27" spans="1:25">
      <c r="A27" s="37"/>
      <c r="B27" s="74" t="s">
        <v>55</v>
      </c>
      <c r="C27" s="18"/>
      <c r="D27" s="75"/>
      <c r="E27" s="75"/>
      <c r="F27" s="75"/>
      <c r="G27" s="66"/>
      <c r="H27" s="76"/>
      <c r="I27" s="69"/>
      <c r="J27" s="69"/>
      <c r="K27" s="73"/>
      <c r="L27" s="52"/>
      <c r="M27" s="52"/>
      <c r="N27" s="52"/>
      <c r="O27" s="52"/>
      <c r="Q27" s="53"/>
      <c r="R27" s="53"/>
      <c r="S27" s="53"/>
      <c r="T27" s="53"/>
      <c r="V27" s="54"/>
      <c r="W27" s="55"/>
      <c r="X27" s="55"/>
      <c r="Y27" s="55"/>
    </row>
    <row r="28" spans="1:25" ht="41.25" customHeight="1">
      <c r="A28" s="37" t="s">
        <v>180</v>
      </c>
      <c r="B28" s="56" t="s">
        <v>19</v>
      </c>
      <c r="C28" s="39" t="s">
        <v>20</v>
      </c>
      <c r="D28" s="40">
        <f>'6022-yr1'!G$63</f>
        <v>74</v>
      </c>
      <c r="E28" s="41">
        <v>1</v>
      </c>
      <c r="F28" s="42">
        <f>SUM(D28*E28)</f>
        <v>74</v>
      </c>
      <c r="G28" s="95">
        <v>0.25</v>
      </c>
      <c r="H28" s="48">
        <f>SUM(G28*F28)</f>
        <v>18.5</v>
      </c>
      <c r="I28" s="49">
        <v>63.654000000000003</v>
      </c>
      <c r="J28" s="60">
        <f>(H28)*(I28)</f>
        <v>1177.5990000000002</v>
      </c>
      <c r="K28" s="73"/>
      <c r="L28" s="52">
        <v>0</v>
      </c>
      <c r="M28" s="52">
        <v>0.75</v>
      </c>
      <c r="N28" s="52">
        <v>0.25</v>
      </c>
      <c r="O28" s="52">
        <v>0.66669999999999996</v>
      </c>
      <c r="Q28" s="53">
        <f t="shared" ref="Q28:T37" si="35">+$J28*L28</f>
        <v>0</v>
      </c>
      <c r="R28" s="53">
        <f t="shared" si="35"/>
        <v>883.19925000000012</v>
      </c>
      <c r="S28" s="53">
        <f t="shared" si="35"/>
        <v>294.39975000000004</v>
      </c>
      <c r="T28" s="53">
        <f t="shared" si="35"/>
        <v>785.10525330000007</v>
      </c>
      <c r="V28" s="54">
        <f t="shared" ref="V28:Y37" si="36">+$D28*L28</f>
        <v>0</v>
      </c>
      <c r="W28" s="55">
        <f t="shared" si="36"/>
        <v>55.5</v>
      </c>
      <c r="X28" s="55">
        <f t="shared" si="36"/>
        <v>18.5</v>
      </c>
      <c r="Y28" s="55">
        <f t="shared" si="36"/>
        <v>49.335799999999999</v>
      </c>
    </row>
    <row r="29" spans="1:25" ht="13.5" customHeight="1">
      <c r="A29" s="37" t="s">
        <v>181</v>
      </c>
      <c r="B29" s="56" t="s">
        <v>84</v>
      </c>
      <c r="C29" s="39" t="s">
        <v>83</v>
      </c>
      <c r="D29" s="40">
        <f>'6022-yr1'!G$63</f>
        <v>74</v>
      </c>
      <c r="E29" s="41">
        <v>1</v>
      </c>
      <c r="F29" s="42">
        <f>SUM(D29*E29)</f>
        <v>74</v>
      </c>
      <c r="G29" s="95">
        <v>8</v>
      </c>
      <c r="H29" s="48">
        <f>SUM(G29*F29)</f>
        <v>592</v>
      </c>
      <c r="I29" s="49">
        <v>63.65</v>
      </c>
      <c r="J29" s="60">
        <f>(H29)*(I29)</f>
        <v>37680.799999999996</v>
      </c>
      <c r="K29" s="73"/>
      <c r="L29" s="52">
        <v>0</v>
      </c>
      <c r="M29" s="52">
        <v>0.75</v>
      </c>
      <c r="N29" s="52">
        <v>0.25</v>
      </c>
      <c r="O29" s="52">
        <v>0.66669999999999996</v>
      </c>
      <c r="Q29" s="53">
        <f t="shared" si="35"/>
        <v>0</v>
      </c>
      <c r="R29" s="53">
        <f t="shared" si="35"/>
        <v>28260.6</v>
      </c>
      <c r="S29" s="53">
        <f t="shared" si="35"/>
        <v>9420.1999999999989</v>
      </c>
      <c r="T29" s="53">
        <f t="shared" si="35"/>
        <v>25121.789359999995</v>
      </c>
      <c r="V29" s="54">
        <f t="shared" si="36"/>
        <v>0</v>
      </c>
      <c r="W29" s="55">
        <f t="shared" si="36"/>
        <v>55.5</v>
      </c>
      <c r="X29" s="55">
        <f t="shared" si="36"/>
        <v>18.5</v>
      </c>
      <c r="Y29" s="55">
        <f t="shared" si="36"/>
        <v>49.335799999999999</v>
      </c>
    </row>
    <row r="30" spans="1:25" ht="13.5" customHeight="1">
      <c r="A30" s="37" t="s">
        <v>182</v>
      </c>
      <c r="B30" s="56" t="s">
        <v>126</v>
      </c>
      <c r="C30" s="39" t="s">
        <v>127</v>
      </c>
      <c r="D30" s="40">
        <f>'6022-yr1'!H$63</f>
        <v>73</v>
      </c>
      <c r="E30" s="41">
        <v>1</v>
      </c>
      <c r="F30" s="42">
        <f t="shared" ref="F30:F35" si="37">SUM(D30*E30)</f>
        <v>73</v>
      </c>
      <c r="G30" s="95">
        <v>0.1</v>
      </c>
      <c r="H30" s="48">
        <f t="shared" ref="H30:H35" si="38">SUM(G30*F30)</f>
        <v>7.3000000000000007</v>
      </c>
      <c r="I30" s="49">
        <v>63.65</v>
      </c>
      <c r="J30" s="60">
        <f t="shared" ref="J30:J35" si="39">(H30)*(I30)</f>
        <v>464.64500000000004</v>
      </c>
      <c r="K30" s="73"/>
      <c r="L30" s="52">
        <v>0</v>
      </c>
      <c r="M30" s="52">
        <v>0.75</v>
      </c>
      <c r="N30" s="52">
        <v>0.25</v>
      </c>
      <c r="O30" s="52">
        <v>0.66669999999999996</v>
      </c>
      <c r="Q30" s="53">
        <f t="shared" ref="Q30:Q35" si="40">+$J30*L30</f>
        <v>0</v>
      </c>
      <c r="R30" s="53">
        <f t="shared" ref="R30:R35" si="41">+$J30*M30</f>
        <v>348.48375000000004</v>
      </c>
      <c r="S30" s="53">
        <f t="shared" ref="S30:S35" si="42">+$J30*N30</f>
        <v>116.16125000000001</v>
      </c>
      <c r="T30" s="53">
        <f t="shared" ref="T30:T35" si="43">+$J30*O30</f>
        <v>309.77882149999999</v>
      </c>
      <c r="V30" s="54">
        <f t="shared" ref="V30:V35" si="44">+$D30*L30</f>
        <v>0</v>
      </c>
      <c r="W30" s="55">
        <f t="shared" ref="W30:W35" si="45">+$D30*M30</f>
        <v>54.75</v>
      </c>
      <c r="X30" s="55">
        <f t="shared" ref="X30:X35" si="46">+$D30*N30</f>
        <v>18.25</v>
      </c>
      <c r="Y30" s="55">
        <f t="shared" ref="Y30:Y35" si="47">+$D30*O30</f>
        <v>48.6691</v>
      </c>
    </row>
    <row r="31" spans="1:25" ht="13.5" customHeight="1">
      <c r="A31" s="37" t="s">
        <v>138</v>
      </c>
      <c r="B31" s="56" t="s">
        <v>190</v>
      </c>
      <c r="C31" s="120" t="s">
        <v>189</v>
      </c>
      <c r="D31" s="40">
        <f>'6022-yr1'!H$63</f>
        <v>73</v>
      </c>
      <c r="E31" s="41">
        <v>2</v>
      </c>
      <c r="F31" s="42">
        <f t="shared" ref="F31" si="48">SUM(D31*E31)</f>
        <v>146</v>
      </c>
      <c r="G31" s="95">
        <v>0.25</v>
      </c>
      <c r="H31" s="48">
        <f t="shared" ref="H31" si="49">SUM(G31*F31)</f>
        <v>36.5</v>
      </c>
      <c r="I31" s="49">
        <v>63.65</v>
      </c>
      <c r="J31" s="60">
        <f t="shared" ref="J31" si="50">(H31)*(I31)</f>
        <v>2323.2249999999999</v>
      </c>
      <c r="K31" s="73"/>
      <c r="L31" s="52">
        <v>0</v>
      </c>
      <c r="M31" s="52">
        <v>0.75</v>
      </c>
      <c r="N31" s="52">
        <v>0.25</v>
      </c>
      <c r="O31" s="52">
        <v>0.66669999999999996</v>
      </c>
      <c r="Q31" s="53">
        <f t="shared" ref="Q31" si="51">+$J31*L31</f>
        <v>0</v>
      </c>
      <c r="R31" s="53">
        <f t="shared" ref="R31" si="52">+$J31*M31</f>
        <v>1742.4187499999998</v>
      </c>
      <c r="S31" s="53">
        <f t="shared" ref="S31" si="53">+$J31*N31</f>
        <v>580.80624999999998</v>
      </c>
      <c r="T31" s="53">
        <f t="shared" ref="T31" si="54">+$J31*O31</f>
        <v>1548.8941074999998</v>
      </c>
      <c r="V31" s="54"/>
      <c r="W31" s="55"/>
      <c r="X31" s="55"/>
      <c r="Y31" s="55"/>
    </row>
    <row r="32" spans="1:25" ht="13.5" customHeight="1">
      <c r="A32" s="37" t="s">
        <v>137</v>
      </c>
      <c r="B32" s="56" t="s">
        <v>132</v>
      </c>
      <c r="C32" s="39" t="s">
        <v>131</v>
      </c>
      <c r="D32" s="40">
        <f>'6022-yr1'!H$63</f>
        <v>73</v>
      </c>
      <c r="E32" s="41">
        <v>1</v>
      </c>
      <c r="F32" s="42">
        <f t="shared" si="37"/>
        <v>73</v>
      </c>
      <c r="G32" s="95">
        <v>1</v>
      </c>
      <c r="H32" s="48">
        <f t="shared" si="38"/>
        <v>73</v>
      </c>
      <c r="I32" s="49">
        <v>63.65</v>
      </c>
      <c r="J32" s="60">
        <f t="shared" si="39"/>
        <v>4646.45</v>
      </c>
      <c r="K32" s="73"/>
      <c r="L32" s="52">
        <v>0</v>
      </c>
      <c r="M32" s="52">
        <v>0.75</v>
      </c>
      <c r="N32" s="52">
        <v>0.25</v>
      </c>
      <c r="O32" s="52">
        <v>0.66669999999999996</v>
      </c>
      <c r="Q32" s="53">
        <f t="shared" si="40"/>
        <v>0</v>
      </c>
      <c r="R32" s="53">
        <f t="shared" si="41"/>
        <v>3484.8374999999996</v>
      </c>
      <c r="S32" s="53">
        <f t="shared" si="42"/>
        <v>1161.6125</v>
      </c>
      <c r="T32" s="53">
        <f t="shared" si="43"/>
        <v>3097.7882149999996</v>
      </c>
      <c r="V32" s="54">
        <f t="shared" si="44"/>
        <v>0</v>
      </c>
      <c r="W32" s="55">
        <f t="shared" si="45"/>
        <v>54.75</v>
      </c>
      <c r="X32" s="55">
        <f t="shared" si="46"/>
        <v>18.25</v>
      </c>
      <c r="Y32" s="55">
        <f t="shared" si="47"/>
        <v>48.6691</v>
      </c>
    </row>
    <row r="33" spans="1:25" ht="13.5" customHeight="1">
      <c r="A33" s="37" t="s">
        <v>136</v>
      </c>
      <c r="B33" s="78" t="s">
        <v>133</v>
      </c>
      <c r="C33" s="37" t="s">
        <v>134</v>
      </c>
      <c r="D33" s="40">
        <f>'6022-yr1'!H$63</f>
        <v>73</v>
      </c>
      <c r="E33" s="41">
        <v>4</v>
      </c>
      <c r="F33" s="42">
        <f t="shared" si="37"/>
        <v>292</v>
      </c>
      <c r="G33" s="95">
        <v>4</v>
      </c>
      <c r="H33" s="48">
        <f t="shared" si="38"/>
        <v>1168</v>
      </c>
      <c r="I33" s="49">
        <v>63.65</v>
      </c>
      <c r="J33" s="60">
        <f t="shared" si="39"/>
        <v>74343.199999999997</v>
      </c>
      <c r="K33" s="73"/>
      <c r="L33" s="52">
        <v>0</v>
      </c>
      <c r="M33" s="52">
        <v>0.75</v>
      </c>
      <c r="N33" s="52">
        <v>0.25</v>
      </c>
      <c r="O33" s="52">
        <v>0.66669999999999996</v>
      </c>
      <c r="Q33" s="53">
        <f t="shared" si="40"/>
        <v>0</v>
      </c>
      <c r="R33" s="53">
        <f t="shared" si="41"/>
        <v>55757.399999999994</v>
      </c>
      <c r="S33" s="53">
        <f t="shared" si="42"/>
        <v>18585.8</v>
      </c>
      <c r="T33" s="53">
        <f t="shared" si="43"/>
        <v>49564.611439999993</v>
      </c>
      <c r="V33" s="54">
        <f t="shared" si="44"/>
        <v>0</v>
      </c>
      <c r="W33" s="55">
        <f t="shared" si="45"/>
        <v>54.75</v>
      </c>
      <c r="X33" s="55">
        <f t="shared" si="46"/>
        <v>18.25</v>
      </c>
      <c r="Y33" s="55">
        <f t="shared" si="47"/>
        <v>48.6691</v>
      </c>
    </row>
    <row r="34" spans="1:25" ht="13.5" customHeight="1">
      <c r="A34" s="37" t="s">
        <v>139</v>
      </c>
      <c r="B34" s="56" t="s">
        <v>128</v>
      </c>
      <c r="C34" s="39" t="s">
        <v>135</v>
      </c>
      <c r="D34" s="40">
        <f>'6022-yr1'!H$63</f>
        <v>73</v>
      </c>
      <c r="E34" s="41">
        <v>1</v>
      </c>
      <c r="F34" s="42">
        <f t="shared" si="37"/>
        <v>73</v>
      </c>
      <c r="G34" s="95">
        <v>1.5</v>
      </c>
      <c r="H34" s="48">
        <f t="shared" si="38"/>
        <v>109.5</v>
      </c>
      <c r="I34" s="49">
        <v>63.65</v>
      </c>
      <c r="J34" s="60">
        <f t="shared" si="39"/>
        <v>6969.6750000000002</v>
      </c>
      <c r="K34" s="73"/>
      <c r="L34" s="52">
        <v>0</v>
      </c>
      <c r="M34" s="52">
        <v>0.75</v>
      </c>
      <c r="N34" s="52">
        <v>0.25</v>
      </c>
      <c r="O34" s="52">
        <v>0.66669999999999996</v>
      </c>
      <c r="Q34" s="53">
        <f t="shared" si="40"/>
        <v>0</v>
      </c>
      <c r="R34" s="53">
        <f t="shared" si="41"/>
        <v>5227.2562500000004</v>
      </c>
      <c r="S34" s="53">
        <f t="shared" si="42"/>
        <v>1742.41875</v>
      </c>
      <c r="T34" s="53">
        <f t="shared" si="43"/>
        <v>4646.6823224999998</v>
      </c>
      <c r="V34" s="54">
        <f t="shared" si="44"/>
        <v>0</v>
      </c>
      <c r="W34" s="55">
        <f t="shared" si="45"/>
        <v>54.75</v>
      </c>
      <c r="X34" s="55">
        <f t="shared" si="46"/>
        <v>18.25</v>
      </c>
      <c r="Y34" s="55">
        <f t="shared" si="47"/>
        <v>48.6691</v>
      </c>
    </row>
    <row r="35" spans="1:25" ht="13.5" customHeight="1">
      <c r="A35" s="37" t="s">
        <v>138</v>
      </c>
      <c r="B35" s="56" t="s">
        <v>129</v>
      </c>
      <c r="C35" s="39" t="s">
        <v>130</v>
      </c>
      <c r="D35" s="40">
        <f>'6022-yr1'!H$63</f>
        <v>73</v>
      </c>
      <c r="E35" s="41">
        <v>1</v>
      </c>
      <c r="F35" s="42">
        <f t="shared" si="37"/>
        <v>73</v>
      </c>
      <c r="G35" s="95">
        <v>1.5</v>
      </c>
      <c r="H35" s="48">
        <f t="shared" si="38"/>
        <v>109.5</v>
      </c>
      <c r="I35" s="49">
        <v>63.65</v>
      </c>
      <c r="J35" s="60">
        <f t="shared" si="39"/>
        <v>6969.6750000000002</v>
      </c>
      <c r="K35" s="73"/>
      <c r="L35" s="52">
        <v>0</v>
      </c>
      <c r="M35" s="52">
        <v>0.75</v>
      </c>
      <c r="N35" s="52">
        <v>0.25</v>
      </c>
      <c r="O35" s="52">
        <v>0.66669999999999996</v>
      </c>
      <c r="Q35" s="53">
        <f t="shared" si="40"/>
        <v>0</v>
      </c>
      <c r="R35" s="53">
        <f t="shared" si="41"/>
        <v>5227.2562500000004</v>
      </c>
      <c r="S35" s="53">
        <f t="shared" si="42"/>
        <v>1742.41875</v>
      </c>
      <c r="T35" s="53">
        <f t="shared" si="43"/>
        <v>4646.6823224999998</v>
      </c>
      <c r="V35" s="54">
        <f t="shared" si="44"/>
        <v>0</v>
      </c>
      <c r="W35" s="55">
        <f t="shared" si="45"/>
        <v>54.75</v>
      </c>
      <c r="X35" s="55">
        <f t="shared" si="46"/>
        <v>18.25</v>
      </c>
      <c r="Y35" s="55">
        <f t="shared" si="47"/>
        <v>48.6691</v>
      </c>
    </row>
    <row r="36" spans="1:25" ht="40.5" customHeight="1">
      <c r="A36" s="37" t="s">
        <v>176</v>
      </c>
      <c r="B36" s="56" t="s">
        <v>201</v>
      </c>
      <c r="C36" s="39" t="s">
        <v>175</v>
      </c>
      <c r="D36" s="40">
        <f>SUM('6022-yr1'!H63+'6022-yr1'!H65)</f>
        <v>80</v>
      </c>
      <c r="E36" s="41">
        <v>1</v>
      </c>
      <c r="F36" s="42">
        <f t="shared" ref="F36" si="55">SUM(D36*E36)</f>
        <v>80</v>
      </c>
      <c r="G36" s="95">
        <v>1</v>
      </c>
      <c r="H36" s="48">
        <f t="shared" ref="H36" si="56">SUM(G36*F36)</f>
        <v>80</v>
      </c>
      <c r="I36" s="49">
        <v>63.65</v>
      </c>
      <c r="J36" s="60">
        <f t="shared" ref="J36" si="57">(H36)*(I36)</f>
        <v>5092</v>
      </c>
      <c r="K36" s="73"/>
      <c r="L36" s="52">
        <v>0</v>
      </c>
      <c r="M36" s="52">
        <v>0.75</v>
      </c>
      <c r="N36" s="52">
        <v>0.25</v>
      </c>
      <c r="O36" s="52">
        <v>0.66669999999999996</v>
      </c>
      <c r="Q36" s="53">
        <f t="shared" ref="Q36" si="58">+$J36*L36</f>
        <v>0</v>
      </c>
      <c r="R36" s="53">
        <f t="shared" ref="R36" si="59">+$J36*M36</f>
        <v>3819</v>
      </c>
      <c r="S36" s="53">
        <f t="shared" ref="S36" si="60">+$J36*N36</f>
        <v>1273</v>
      </c>
      <c r="T36" s="53">
        <f t="shared" ref="T36" si="61">+$J36*O36</f>
        <v>3394.8363999999997</v>
      </c>
      <c r="V36" s="54">
        <f t="shared" ref="V36" si="62">+$D36*L36</f>
        <v>0</v>
      </c>
      <c r="W36" s="55">
        <f t="shared" ref="W36" si="63">+$D36*M36</f>
        <v>60</v>
      </c>
      <c r="X36" s="55">
        <f t="shared" ref="X36" si="64">+$D36*N36</f>
        <v>20</v>
      </c>
      <c r="Y36" s="55">
        <f t="shared" ref="Y36" si="65">+$D36*O36</f>
        <v>53.335999999999999</v>
      </c>
    </row>
    <row r="37" spans="1:25" ht="13.5" customHeight="1">
      <c r="A37" s="37" t="s">
        <v>183</v>
      </c>
      <c r="B37" s="56" t="s">
        <v>69</v>
      </c>
      <c r="C37" s="39" t="s">
        <v>68</v>
      </c>
      <c r="D37" s="40">
        <f>'6022-yr1'!H$63</f>
        <v>73</v>
      </c>
      <c r="E37" s="41">
        <v>1</v>
      </c>
      <c r="F37" s="42">
        <f>SUM(D37*E37)</f>
        <v>73</v>
      </c>
      <c r="G37" s="95">
        <v>0.25</v>
      </c>
      <c r="H37" s="48">
        <f>SUM(G37*F37)</f>
        <v>18.25</v>
      </c>
      <c r="I37" s="49">
        <v>63.654000000000003</v>
      </c>
      <c r="J37" s="60">
        <f>(H37)*(I37)</f>
        <v>1161.6855</v>
      </c>
      <c r="K37" s="73"/>
      <c r="L37" s="52">
        <v>0</v>
      </c>
      <c r="M37" s="52">
        <v>0.75</v>
      </c>
      <c r="N37" s="52">
        <v>0.25</v>
      </c>
      <c r="O37" s="52">
        <v>0.66669999999999996</v>
      </c>
      <c r="Q37" s="53">
        <f t="shared" si="35"/>
        <v>0</v>
      </c>
      <c r="R37" s="53">
        <f t="shared" si="35"/>
        <v>871.26412500000004</v>
      </c>
      <c r="S37" s="53">
        <f t="shared" si="35"/>
        <v>290.42137500000001</v>
      </c>
      <c r="T37" s="53">
        <f t="shared" si="35"/>
        <v>774.49572284999999</v>
      </c>
      <c r="V37" s="54">
        <f t="shared" si="36"/>
        <v>0</v>
      </c>
      <c r="W37" s="55">
        <f t="shared" si="36"/>
        <v>54.75</v>
      </c>
      <c r="X37" s="55">
        <f t="shared" si="36"/>
        <v>18.25</v>
      </c>
      <c r="Y37" s="55">
        <f t="shared" si="36"/>
        <v>48.6691</v>
      </c>
    </row>
    <row r="38" spans="1:25">
      <c r="A38" s="37"/>
      <c r="B38" s="62" t="s">
        <v>38</v>
      </c>
      <c r="C38" s="18"/>
      <c r="D38" s="75">
        <f>SUM(D28)</f>
        <v>74</v>
      </c>
      <c r="E38" s="75"/>
      <c r="F38" s="75">
        <f>SUM(F28:F37)</f>
        <v>1031</v>
      </c>
      <c r="G38" s="66"/>
      <c r="H38" s="75">
        <f>SUM(H28:H37)</f>
        <v>2212.5500000000002</v>
      </c>
      <c r="I38" s="77"/>
      <c r="J38" s="69">
        <f>SUM(J28:J37)</f>
        <v>140828.95449999999</v>
      </c>
      <c r="K38" s="73"/>
      <c r="L38" s="52"/>
      <c r="M38" s="52"/>
      <c r="N38" s="52"/>
      <c r="O38" s="52"/>
      <c r="Q38" s="53"/>
      <c r="R38" s="53"/>
      <c r="S38" s="53"/>
      <c r="T38" s="53"/>
      <c r="V38" s="54"/>
      <c r="W38" s="55"/>
      <c r="X38" s="55"/>
      <c r="Y38" s="55"/>
    </row>
    <row r="39" spans="1:25">
      <c r="A39" s="37"/>
      <c r="B39" s="62"/>
      <c r="C39" s="18"/>
      <c r="D39" s="75"/>
      <c r="E39" s="75"/>
      <c r="F39" s="75"/>
      <c r="G39" s="66"/>
      <c r="H39" s="76"/>
      <c r="I39" s="77"/>
      <c r="J39" s="69"/>
      <c r="K39" s="73"/>
      <c r="L39" s="52"/>
      <c r="M39" s="52"/>
      <c r="N39" s="52"/>
      <c r="O39" s="52"/>
      <c r="Q39" s="53"/>
      <c r="R39" s="53"/>
      <c r="S39" s="53"/>
      <c r="T39" s="53"/>
      <c r="V39" s="54"/>
      <c r="W39" s="55"/>
      <c r="X39" s="55"/>
      <c r="Y39" s="55"/>
    </row>
    <row r="40" spans="1:25">
      <c r="A40" s="37"/>
      <c r="B40" s="74" t="s">
        <v>52</v>
      </c>
      <c r="C40" s="18"/>
      <c r="D40" s="65"/>
      <c r="E40" s="77"/>
      <c r="F40" s="65"/>
      <c r="G40" s="66"/>
      <c r="H40" s="67"/>
      <c r="I40" s="77"/>
      <c r="J40" s="75"/>
      <c r="K40" s="77"/>
      <c r="L40" s="52"/>
      <c r="M40" s="52"/>
      <c r="N40" s="52"/>
      <c r="O40" s="52"/>
      <c r="Q40" s="53"/>
      <c r="R40" s="53"/>
      <c r="S40" s="53"/>
      <c r="T40" s="53"/>
      <c r="V40" s="54"/>
      <c r="W40" s="55"/>
      <c r="X40" s="55"/>
      <c r="Y40" s="55"/>
    </row>
    <row r="41" spans="1:25">
      <c r="A41" s="37" t="s">
        <v>184</v>
      </c>
      <c r="B41" s="56" t="s">
        <v>15</v>
      </c>
      <c r="C41" s="39" t="s">
        <v>34</v>
      </c>
      <c r="D41" s="40">
        <f>'6022-yr1'!G$63</f>
        <v>74</v>
      </c>
      <c r="E41" s="41">
        <v>1</v>
      </c>
      <c r="F41" s="42">
        <f t="shared" ref="F41:F45" si="66">SUM(D41*E41)</f>
        <v>74</v>
      </c>
      <c r="G41" s="43">
        <v>1</v>
      </c>
      <c r="H41" s="48">
        <f t="shared" ref="H41:H45" si="67">SUM(G41*F41)</f>
        <v>74</v>
      </c>
      <c r="I41" s="49">
        <v>63.654000000000003</v>
      </c>
      <c r="J41" s="60">
        <f t="shared" ref="J41:J45" si="68">(H41)*(I41)</f>
        <v>4710.3960000000006</v>
      </c>
      <c r="K41" s="45"/>
      <c r="L41" s="52">
        <v>0</v>
      </c>
      <c r="M41" s="52">
        <v>0.75</v>
      </c>
      <c r="N41" s="52">
        <v>0.25</v>
      </c>
      <c r="O41" s="52">
        <v>0.66669999999999996</v>
      </c>
      <c r="Q41" s="53">
        <f t="shared" ref="Q41:T45" si="69">+$J41*L41</f>
        <v>0</v>
      </c>
      <c r="R41" s="53">
        <f t="shared" si="69"/>
        <v>3532.7970000000005</v>
      </c>
      <c r="S41" s="53">
        <f t="shared" si="69"/>
        <v>1177.5990000000002</v>
      </c>
      <c r="T41" s="53">
        <f t="shared" si="69"/>
        <v>3140.4210132000003</v>
      </c>
      <c r="V41" s="54">
        <f t="shared" ref="V41:Y46" si="70">+$D41*L41</f>
        <v>0</v>
      </c>
      <c r="W41" s="55">
        <f t="shared" si="70"/>
        <v>55.5</v>
      </c>
      <c r="X41" s="55">
        <f t="shared" si="70"/>
        <v>18.5</v>
      </c>
      <c r="Y41" s="55">
        <f t="shared" si="70"/>
        <v>49.335799999999999</v>
      </c>
    </row>
    <row r="42" spans="1:25">
      <c r="A42" s="37" t="s">
        <v>185</v>
      </c>
      <c r="B42" s="78" t="s">
        <v>35</v>
      </c>
      <c r="C42" s="39" t="s">
        <v>33</v>
      </c>
      <c r="D42" s="40">
        <f>'6022-yr1'!G$63</f>
        <v>74</v>
      </c>
      <c r="E42" s="41">
        <v>1</v>
      </c>
      <c r="F42" s="42">
        <f t="shared" si="66"/>
        <v>74</v>
      </c>
      <c r="G42" s="43">
        <v>1</v>
      </c>
      <c r="H42" s="48">
        <f t="shared" si="67"/>
        <v>74</v>
      </c>
      <c r="I42" s="49">
        <v>63.654000000000003</v>
      </c>
      <c r="J42" s="60">
        <f t="shared" si="68"/>
        <v>4710.3960000000006</v>
      </c>
      <c r="K42" s="45"/>
      <c r="L42" s="52">
        <v>0</v>
      </c>
      <c r="M42" s="52">
        <v>0.75</v>
      </c>
      <c r="N42" s="52">
        <v>0.25</v>
      </c>
      <c r="O42" s="52">
        <v>0.66669999999999996</v>
      </c>
      <c r="Q42" s="53">
        <f t="shared" si="69"/>
        <v>0</v>
      </c>
      <c r="R42" s="53">
        <f t="shared" si="69"/>
        <v>3532.7970000000005</v>
      </c>
      <c r="S42" s="53">
        <f t="shared" si="69"/>
        <v>1177.5990000000002</v>
      </c>
      <c r="T42" s="53">
        <f t="shared" si="69"/>
        <v>3140.4210132000003</v>
      </c>
      <c r="V42" s="54">
        <f t="shared" si="70"/>
        <v>0</v>
      </c>
      <c r="W42" s="55">
        <f t="shared" si="70"/>
        <v>55.5</v>
      </c>
      <c r="X42" s="55">
        <f t="shared" si="70"/>
        <v>18.5</v>
      </c>
      <c r="Y42" s="55">
        <f t="shared" si="70"/>
        <v>49.335799999999999</v>
      </c>
    </row>
    <row r="43" spans="1:25">
      <c r="A43" s="37" t="s">
        <v>186</v>
      </c>
      <c r="B43" s="79" t="s">
        <v>36</v>
      </c>
      <c r="C43" s="39" t="s">
        <v>37</v>
      </c>
      <c r="D43" s="40">
        <f>'6022-yr1'!G$63</f>
        <v>74</v>
      </c>
      <c r="E43" s="80">
        <v>1</v>
      </c>
      <c r="F43" s="42">
        <f t="shared" si="66"/>
        <v>74</v>
      </c>
      <c r="G43" s="96">
        <v>0.25</v>
      </c>
      <c r="H43" s="48">
        <f t="shared" si="67"/>
        <v>18.5</v>
      </c>
      <c r="I43" s="49">
        <v>63.654000000000003</v>
      </c>
      <c r="J43" s="60">
        <f t="shared" si="68"/>
        <v>1177.5990000000002</v>
      </c>
      <c r="K43" s="45"/>
      <c r="L43" s="52">
        <v>0</v>
      </c>
      <c r="M43" s="52">
        <v>0.75</v>
      </c>
      <c r="N43" s="52">
        <v>0.25</v>
      </c>
      <c r="O43" s="52">
        <v>0.66669999999999996</v>
      </c>
      <c r="Q43" s="53">
        <f t="shared" si="69"/>
        <v>0</v>
      </c>
      <c r="R43" s="53">
        <f t="shared" si="69"/>
        <v>883.19925000000012</v>
      </c>
      <c r="S43" s="53">
        <f t="shared" si="69"/>
        <v>294.39975000000004</v>
      </c>
      <c r="T43" s="53">
        <f t="shared" si="69"/>
        <v>785.10525330000007</v>
      </c>
      <c r="V43" s="54">
        <f t="shared" si="70"/>
        <v>0</v>
      </c>
      <c r="W43" s="55">
        <f t="shared" si="70"/>
        <v>55.5</v>
      </c>
      <c r="X43" s="55">
        <f t="shared" si="70"/>
        <v>18.5</v>
      </c>
      <c r="Y43" s="55">
        <f t="shared" si="70"/>
        <v>49.335799999999999</v>
      </c>
    </row>
    <row r="44" spans="1:25">
      <c r="A44" s="37" t="s">
        <v>188</v>
      </c>
      <c r="B44" s="56" t="s">
        <v>77</v>
      </c>
      <c r="C44" s="39" t="s">
        <v>78</v>
      </c>
      <c r="D44" s="40">
        <f>'6022-yr1'!H$63</f>
        <v>73</v>
      </c>
      <c r="E44" s="80">
        <v>4</v>
      </c>
      <c r="F44" s="42">
        <f t="shared" si="66"/>
        <v>292</v>
      </c>
      <c r="G44" s="96">
        <v>1</v>
      </c>
      <c r="H44" s="48">
        <f t="shared" si="67"/>
        <v>292</v>
      </c>
      <c r="I44" s="49">
        <v>63.654000000000003</v>
      </c>
      <c r="J44" s="60">
        <f t="shared" si="68"/>
        <v>18586.968000000001</v>
      </c>
      <c r="K44" s="45"/>
      <c r="L44" s="52">
        <v>0</v>
      </c>
      <c r="M44" s="52">
        <v>0.75</v>
      </c>
      <c r="N44" s="52">
        <v>0.25</v>
      </c>
      <c r="O44" s="52">
        <v>0.66669999999999996</v>
      </c>
      <c r="Q44" s="53">
        <f t="shared" si="69"/>
        <v>0</v>
      </c>
      <c r="R44" s="53">
        <f t="shared" si="69"/>
        <v>13940.226000000001</v>
      </c>
      <c r="S44" s="53">
        <f t="shared" si="69"/>
        <v>4646.7420000000002</v>
      </c>
      <c r="T44" s="53">
        <f t="shared" si="69"/>
        <v>12391.9315656</v>
      </c>
      <c r="V44" s="54">
        <f t="shared" si="70"/>
        <v>0</v>
      </c>
      <c r="W44" s="55">
        <f t="shared" si="70"/>
        <v>54.75</v>
      </c>
      <c r="X44" s="55">
        <f t="shared" si="70"/>
        <v>18.25</v>
      </c>
      <c r="Y44" s="55">
        <f t="shared" si="70"/>
        <v>48.6691</v>
      </c>
    </row>
    <row r="45" spans="1:25">
      <c r="A45" s="37" t="s">
        <v>187</v>
      </c>
      <c r="B45" s="56" t="s">
        <v>17</v>
      </c>
      <c r="C45" s="39" t="s">
        <v>18</v>
      </c>
      <c r="D45" s="40">
        <f>'6022-yr1'!G$63</f>
        <v>74</v>
      </c>
      <c r="E45" s="41">
        <v>1</v>
      </c>
      <c r="F45" s="42">
        <f t="shared" si="66"/>
        <v>74</v>
      </c>
      <c r="G45" s="95">
        <v>0.25</v>
      </c>
      <c r="H45" s="48">
        <f t="shared" si="67"/>
        <v>18.5</v>
      </c>
      <c r="I45" s="49">
        <v>63.654000000000003</v>
      </c>
      <c r="J45" s="60">
        <f t="shared" si="68"/>
        <v>1177.5990000000002</v>
      </c>
      <c r="K45" s="45"/>
      <c r="L45" s="52">
        <v>0</v>
      </c>
      <c r="M45" s="52">
        <v>0.75</v>
      </c>
      <c r="N45" s="52">
        <v>0.25</v>
      </c>
      <c r="O45" s="52">
        <v>0.66669999999999996</v>
      </c>
      <c r="Q45" s="53">
        <f t="shared" si="69"/>
        <v>0</v>
      </c>
      <c r="R45" s="53">
        <f t="shared" si="69"/>
        <v>883.19925000000012</v>
      </c>
      <c r="S45" s="53">
        <f t="shared" si="69"/>
        <v>294.39975000000004</v>
      </c>
      <c r="T45" s="53">
        <f t="shared" si="69"/>
        <v>785.10525330000007</v>
      </c>
      <c r="V45" s="54">
        <f t="shared" si="70"/>
        <v>0</v>
      </c>
      <c r="W45" s="55">
        <f t="shared" si="70"/>
        <v>55.5</v>
      </c>
      <c r="X45" s="55">
        <f t="shared" si="70"/>
        <v>18.5</v>
      </c>
      <c r="Y45" s="55">
        <f t="shared" si="70"/>
        <v>49.335799999999999</v>
      </c>
    </row>
    <row r="46" spans="1:25">
      <c r="B46" s="62" t="s">
        <v>38</v>
      </c>
      <c r="C46" s="63"/>
      <c r="D46" s="75">
        <f>SUM(D41)</f>
        <v>74</v>
      </c>
      <c r="E46" s="35"/>
      <c r="F46" s="75">
        <f>SUM(F41:F45)</f>
        <v>588</v>
      </c>
      <c r="G46" s="81"/>
      <c r="H46" s="76">
        <f>SUM(H41:H45)</f>
        <v>477</v>
      </c>
      <c r="I46" s="35"/>
      <c r="J46" s="69">
        <f>SUM(J41:J45)</f>
        <v>30362.958000000006</v>
      </c>
      <c r="L46" s="52">
        <v>0</v>
      </c>
      <c r="M46" s="52">
        <v>0.75</v>
      </c>
      <c r="N46" s="52">
        <v>0.25</v>
      </c>
      <c r="O46" s="52">
        <v>0.66669999999999996</v>
      </c>
      <c r="V46" s="54">
        <f t="shared" si="70"/>
        <v>0</v>
      </c>
      <c r="W46" s="97">
        <f t="shared" si="70"/>
        <v>55.5</v>
      </c>
      <c r="X46" s="97">
        <f t="shared" si="70"/>
        <v>18.5</v>
      </c>
      <c r="Y46" s="55">
        <f t="shared" si="70"/>
        <v>49.335799999999999</v>
      </c>
    </row>
    <row r="47" spans="1:25">
      <c r="B47" s="62"/>
      <c r="C47" s="63"/>
      <c r="D47" s="77"/>
      <c r="E47" s="35"/>
      <c r="F47" s="75"/>
      <c r="G47" s="81"/>
      <c r="H47" s="75"/>
      <c r="I47" s="35"/>
      <c r="J47" s="69"/>
      <c r="L47" s="35"/>
      <c r="M47" s="52"/>
      <c r="N47" s="52"/>
      <c r="O47" s="52"/>
      <c r="R47" s="82">
        <f>SUM(R7:R46)</f>
        <v>217429.96687499998</v>
      </c>
      <c r="S47" s="82">
        <f>SUM(S7:S46)</f>
        <v>72476.655624999985</v>
      </c>
      <c r="T47" s="82">
        <f>SUM(T7:T45)</f>
        <v>193280.74522074999</v>
      </c>
      <c r="W47" s="83"/>
      <c r="X47" s="83"/>
      <c r="Y47" s="84"/>
    </row>
    <row r="48" spans="1:25">
      <c r="B48" s="62" t="s">
        <v>63</v>
      </c>
      <c r="C48" s="63"/>
      <c r="D48" s="66">
        <f>SUM(D46)</f>
        <v>74</v>
      </c>
      <c r="E48" s="35"/>
      <c r="F48" s="76">
        <f>SUM(F46+F38+F25)</f>
        <v>2435</v>
      </c>
      <c r="G48" s="81"/>
      <c r="H48" s="76">
        <f>SUM(H46+H38+H25)</f>
        <v>4554.55</v>
      </c>
      <c r="I48" s="101">
        <f>+J48/H48</f>
        <v>63.652089119671537</v>
      </c>
      <c r="J48" s="69">
        <f>SUM(J46+J38+J25)</f>
        <v>289906.6225</v>
      </c>
      <c r="L48" s="35"/>
      <c r="M48" s="52"/>
      <c r="N48" s="52"/>
      <c r="O48" s="52"/>
    </row>
    <row r="49" spans="1:12">
      <c r="A49" s="35"/>
      <c r="J49" s="37"/>
      <c r="L49" s="35"/>
    </row>
    <row r="50" spans="1:12">
      <c r="B50" s="35" t="s">
        <v>196</v>
      </c>
      <c r="C50" s="23"/>
      <c r="D50" s="23"/>
      <c r="E50" s="23"/>
      <c r="F50" s="23"/>
      <c r="G50" s="23"/>
      <c r="H50" s="23"/>
      <c r="I50" s="23"/>
      <c r="J50" s="23"/>
      <c r="K50" s="64"/>
      <c r="L50" s="35"/>
    </row>
    <row r="51" spans="1:12">
      <c r="B51" s="35"/>
      <c r="C51" s="23"/>
      <c r="D51" s="23"/>
      <c r="E51" s="23"/>
      <c r="F51" s="23"/>
      <c r="G51" s="23"/>
      <c r="H51" s="23"/>
      <c r="I51" s="23"/>
      <c r="J51" s="23"/>
      <c r="K51" s="121"/>
      <c r="L51" s="35"/>
    </row>
    <row r="52" spans="1:12">
      <c r="A52" s="99"/>
      <c r="B52" s="138" t="s">
        <v>191</v>
      </c>
      <c r="C52" s="36"/>
      <c r="G52" s="36"/>
      <c r="K52" s="64"/>
      <c r="L52" s="35"/>
    </row>
    <row r="53" spans="1:12">
      <c r="A53" s="37" t="s">
        <v>200</v>
      </c>
      <c r="B53" s="56" t="s">
        <v>192</v>
      </c>
      <c r="C53" s="78" t="s">
        <v>197</v>
      </c>
      <c r="D53" s="41">
        <f>'6022-yr1'!H$63</f>
        <v>73</v>
      </c>
      <c r="E53" s="41">
        <v>1</v>
      </c>
      <c r="F53" s="42">
        <f t="shared" ref="F53:F55" si="71">SUM(D53*E53)</f>
        <v>73</v>
      </c>
      <c r="G53" s="41">
        <v>0.42</v>
      </c>
      <c r="H53" s="48">
        <f t="shared" ref="H53:H55" si="72">SUM(G53*F53)</f>
        <v>30.66</v>
      </c>
      <c r="I53" s="59">
        <v>60</v>
      </c>
      <c r="J53" s="60">
        <f t="shared" ref="J53:J55" si="73">(H53)*(I53)</f>
        <v>1839.6</v>
      </c>
      <c r="L53" s="35"/>
    </row>
    <row r="54" spans="1:12">
      <c r="A54" s="37" t="s">
        <v>200</v>
      </c>
      <c r="B54" s="56" t="s">
        <v>193</v>
      </c>
      <c r="C54" s="78" t="s">
        <v>198</v>
      </c>
      <c r="D54" s="41">
        <f>'6022-yr1'!H$63</f>
        <v>73</v>
      </c>
      <c r="E54" s="41">
        <v>1</v>
      </c>
      <c r="F54" s="42">
        <f t="shared" si="71"/>
        <v>73</v>
      </c>
      <c r="G54" s="41">
        <v>0.75</v>
      </c>
      <c r="H54" s="48">
        <f t="shared" si="72"/>
        <v>54.75</v>
      </c>
      <c r="I54" s="59">
        <v>60</v>
      </c>
      <c r="J54" s="60">
        <f t="shared" si="73"/>
        <v>3285</v>
      </c>
      <c r="L54" s="35"/>
    </row>
    <row r="55" spans="1:12">
      <c r="A55" s="37" t="s">
        <v>200</v>
      </c>
      <c r="B55" s="56" t="s">
        <v>194</v>
      </c>
      <c r="C55" s="78" t="s">
        <v>199</v>
      </c>
      <c r="D55" s="41">
        <f>'6022-yr1'!H$63</f>
        <v>73</v>
      </c>
      <c r="E55" s="41">
        <v>1</v>
      </c>
      <c r="F55" s="42">
        <f t="shared" si="71"/>
        <v>73</v>
      </c>
      <c r="G55" s="41">
        <v>0.33</v>
      </c>
      <c r="H55" s="48">
        <f t="shared" si="72"/>
        <v>24.09</v>
      </c>
      <c r="I55" s="59">
        <v>60</v>
      </c>
      <c r="J55" s="60">
        <f t="shared" si="73"/>
        <v>1445.4</v>
      </c>
      <c r="K55" s="100"/>
      <c r="L55" s="35"/>
    </row>
    <row r="56" spans="1:12">
      <c r="A56" s="45"/>
      <c r="B56" s="88"/>
      <c r="C56" s="36"/>
      <c r="G56" s="36"/>
      <c r="H56" s="71">
        <f>SUM(H53:H55)</f>
        <v>109.5</v>
      </c>
      <c r="J56" s="72">
        <f>SUM(J53:J55)</f>
        <v>6570</v>
      </c>
      <c r="K56" s="64"/>
      <c r="L56" s="35"/>
    </row>
    <row r="57" spans="1:12">
      <c r="A57" s="45"/>
      <c r="B57" s="88"/>
      <c r="C57" s="100"/>
      <c r="D57" s="100"/>
      <c r="E57" s="100"/>
      <c r="F57" s="100"/>
      <c r="G57" s="100"/>
      <c r="H57" s="100"/>
      <c r="I57" s="100"/>
      <c r="J57" s="100"/>
      <c r="K57" s="100"/>
      <c r="L57" s="35"/>
    </row>
    <row r="58" spans="1:12">
      <c r="A58" s="45"/>
      <c r="B58" s="88"/>
      <c r="C58" s="36"/>
      <c r="G58" s="36"/>
      <c r="L58" s="35"/>
    </row>
    <row r="59" spans="1:12">
      <c r="A59" s="89"/>
      <c r="B59" s="35"/>
      <c r="C59" s="63"/>
      <c r="D59" s="35"/>
      <c r="E59" s="35"/>
      <c r="F59" s="35"/>
      <c r="G59" s="81"/>
      <c r="H59" s="91"/>
      <c r="I59" s="35"/>
      <c r="J59" s="91"/>
      <c r="K59" s="64"/>
      <c r="L59" s="35"/>
    </row>
    <row r="60" spans="1:12">
      <c r="A60" s="45"/>
      <c r="B60" s="35"/>
      <c r="C60" s="63"/>
      <c r="D60" s="35"/>
      <c r="E60" s="35"/>
      <c r="F60" s="35"/>
      <c r="G60" s="81"/>
      <c r="H60" s="91"/>
      <c r="I60" s="35"/>
      <c r="J60" s="91"/>
      <c r="K60" s="64"/>
      <c r="L60" s="35"/>
    </row>
    <row r="61" spans="1:12">
      <c r="A61" s="45"/>
      <c r="B61" s="35"/>
      <c r="C61" s="63"/>
      <c r="D61" s="35"/>
      <c r="E61" s="35"/>
      <c r="F61" s="35"/>
      <c r="G61" s="81"/>
      <c r="H61" s="91"/>
      <c r="I61" s="35"/>
      <c r="J61" s="91"/>
      <c r="K61" s="64"/>
      <c r="L61" s="35"/>
    </row>
    <row r="62" spans="1:12">
      <c r="A62" s="45"/>
      <c r="B62" s="35"/>
      <c r="C62" s="63"/>
      <c r="D62" s="35"/>
      <c r="E62" s="35"/>
      <c r="F62" s="35"/>
      <c r="G62" s="81"/>
      <c r="H62" s="91"/>
      <c r="I62" s="35"/>
      <c r="J62" s="91"/>
      <c r="K62" s="64"/>
      <c r="L62" s="35"/>
    </row>
    <row r="63" spans="1:12">
      <c r="A63" s="45"/>
      <c r="B63" s="35"/>
      <c r="C63" s="63"/>
      <c r="D63" s="35"/>
      <c r="E63" s="35"/>
      <c r="F63" s="35"/>
      <c r="G63" s="81"/>
      <c r="H63" s="91"/>
      <c r="I63" s="35"/>
      <c r="J63" s="91"/>
      <c r="K63" s="64"/>
      <c r="L63" s="35"/>
    </row>
    <row r="64" spans="1:12">
      <c r="A64" s="45"/>
      <c r="B64" s="88"/>
      <c r="C64" s="63"/>
      <c r="D64" s="35"/>
      <c r="E64" s="35"/>
      <c r="F64" s="35"/>
      <c r="G64" s="81"/>
      <c r="H64" s="91"/>
      <c r="I64" s="35"/>
      <c r="J64" s="91"/>
      <c r="K64" s="64"/>
      <c r="L64" s="35"/>
    </row>
    <row r="65" spans="1:12">
      <c r="A65" s="45"/>
      <c r="B65" s="88"/>
      <c r="C65" s="63"/>
      <c r="D65" s="35"/>
      <c r="E65" s="35"/>
      <c r="F65" s="35"/>
      <c r="G65" s="81"/>
      <c r="H65" s="91"/>
      <c r="I65" s="35"/>
      <c r="J65" s="91"/>
      <c r="K65" s="64"/>
      <c r="L65" s="35"/>
    </row>
    <row r="66" spans="1:12">
      <c r="A66" s="45"/>
      <c r="L66" s="35"/>
    </row>
    <row r="67" spans="1:12">
      <c r="L67" s="35"/>
    </row>
    <row r="68" spans="1:12">
      <c r="L68" s="35"/>
    </row>
    <row r="69" spans="1:12">
      <c r="L69" s="35"/>
    </row>
    <row r="70" spans="1:12">
      <c r="L70" s="35"/>
    </row>
    <row r="71" spans="1:12">
      <c r="L71" s="35"/>
    </row>
    <row r="72" spans="1:12">
      <c r="L72" s="35"/>
    </row>
    <row r="73" spans="1:12">
      <c r="L73" s="35"/>
    </row>
    <row r="74" spans="1:12">
      <c r="L74" s="35"/>
    </row>
    <row r="75" spans="1:12">
      <c r="L75" s="35"/>
    </row>
    <row r="76" spans="1:12">
      <c r="L76" s="35"/>
    </row>
    <row r="77" spans="1:12">
      <c r="L77" s="35"/>
    </row>
    <row r="78" spans="1:12">
      <c r="L78" s="35"/>
    </row>
    <row r="79" spans="1:12">
      <c r="L79" s="35"/>
    </row>
    <row r="80" spans="1:12">
      <c r="L80" s="35"/>
    </row>
    <row r="81" spans="3:12">
      <c r="L81" s="35"/>
    </row>
    <row r="82" spans="3:12">
      <c r="C82" s="36"/>
      <c r="G82" s="36"/>
      <c r="L82" s="35"/>
    </row>
    <row r="83" spans="3:12">
      <c r="C83" s="36"/>
      <c r="G83" s="36"/>
      <c r="L83" s="35"/>
    </row>
    <row r="84" spans="3:12">
      <c r="C84" s="36"/>
      <c r="G84" s="36"/>
      <c r="L84" s="35"/>
    </row>
    <row r="85" spans="3:12">
      <c r="C85" s="36"/>
      <c r="G85" s="36"/>
      <c r="L85" s="35"/>
    </row>
    <row r="86" spans="3:12">
      <c r="C86" s="36"/>
      <c r="G86" s="36"/>
      <c r="L86" s="35"/>
    </row>
    <row r="87" spans="3:12">
      <c r="C87" s="36"/>
      <c r="G87" s="36"/>
      <c r="L87" s="35"/>
    </row>
    <row r="88" spans="3:12">
      <c r="C88" s="36"/>
      <c r="G88" s="36"/>
      <c r="L88" s="35"/>
    </row>
    <row r="89" spans="3:12">
      <c r="C89" s="36"/>
      <c r="G89" s="36"/>
      <c r="L89" s="35"/>
    </row>
    <row r="90" spans="3:12">
      <c r="C90" s="36"/>
      <c r="G90" s="36"/>
      <c r="L90" s="35"/>
    </row>
    <row r="91" spans="3:12">
      <c r="C91" s="36"/>
      <c r="G91" s="36"/>
      <c r="L91" s="35"/>
    </row>
    <row r="92" spans="3:12">
      <c r="C92" s="36"/>
      <c r="G92" s="36"/>
      <c r="L92" s="35"/>
    </row>
    <row r="93" spans="3:12">
      <c r="C93" s="36"/>
      <c r="G93" s="36"/>
      <c r="L93" s="35"/>
    </row>
    <row r="94" spans="3:12">
      <c r="C94" s="36"/>
      <c r="G94" s="36"/>
      <c r="L94" s="35"/>
    </row>
    <row r="95" spans="3:12">
      <c r="C95" s="36"/>
      <c r="G95" s="36"/>
      <c r="L95" s="35"/>
    </row>
    <row r="96" spans="3:12">
      <c r="C96" s="36"/>
      <c r="G96" s="36"/>
      <c r="L96" s="35"/>
    </row>
    <row r="97" spans="3:12">
      <c r="C97" s="36"/>
      <c r="G97" s="36"/>
      <c r="L97" s="35"/>
    </row>
    <row r="98" spans="3:12">
      <c r="C98" s="36"/>
      <c r="G98" s="36"/>
      <c r="L98" s="35"/>
    </row>
    <row r="99" spans="3:12">
      <c r="C99" s="36"/>
      <c r="G99" s="36"/>
      <c r="L99" s="35"/>
    </row>
    <row r="100" spans="3:12">
      <c r="C100" s="36"/>
      <c r="G100" s="36"/>
      <c r="L100" s="35"/>
    </row>
    <row r="101" spans="3:12">
      <c r="C101" s="36"/>
      <c r="G101" s="36"/>
      <c r="L101" s="35"/>
    </row>
    <row r="102" spans="3:12">
      <c r="C102" s="36"/>
      <c r="G102" s="36"/>
      <c r="L102" s="35"/>
    </row>
    <row r="103" spans="3:12">
      <c r="C103" s="36"/>
      <c r="G103" s="36"/>
      <c r="L103" s="35"/>
    </row>
    <row r="104" spans="3:12">
      <c r="C104" s="36"/>
      <c r="G104" s="36"/>
      <c r="L104" s="35"/>
    </row>
    <row r="105" spans="3:12">
      <c r="C105" s="36"/>
      <c r="G105" s="36"/>
      <c r="L105" s="35"/>
    </row>
    <row r="106" spans="3:12">
      <c r="C106" s="36"/>
      <c r="G106" s="36"/>
      <c r="L106" s="35"/>
    </row>
    <row r="107" spans="3:12">
      <c r="C107" s="36"/>
      <c r="G107" s="36"/>
      <c r="L107" s="35"/>
    </row>
    <row r="108" spans="3:12">
      <c r="C108" s="36"/>
      <c r="G108" s="36"/>
      <c r="L108" s="35"/>
    </row>
    <row r="109" spans="3:12">
      <c r="C109" s="36"/>
      <c r="G109" s="36"/>
      <c r="L109" s="35"/>
    </row>
    <row r="110" spans="3:12">
      <c r="C110" s="36"/>
      <c r="G110" s="36"/>
      <c r="L110" s="35"/>
    </row>
    <row r="111" spans="3:12">
      <c r="C111" s="36"/>
      <c r="G111" s="36"/>
      <c r="L111" s="35"/>
    </row>
    <row r="112" spans="3:12">
      <c r="C112" s="36"/>
      <c r="G112" s="36"/>
      <c r="L112" s="35"/>
    </row>
    <row r="113" spans="3:12">
      <c r="C113" s="36"/>
      <c r="G113" s="36"/>
      <c r="L113" s="35"/>
    </row>
    <row r="114" spans="3:12">
      <c r="C114" s="36"/>
      <c r="G114" s="36"/>
      <c r="L114" s="35"/>
    </row>
    <row r="115" spans="3:12">
      <c r="C115" s="36"/>
      <c r="G115" s="36"/>
      <c r="L115" s="35"/>
    </row>
    <row r="116" spans="3:12">
      <c r="C116" s="36"/>
      <c r="G116" s="36"/>
      <c r="L116" s="35"/>
    </row>
    <row r="117" spans="3:12">
      <c r="C117" s="36"/>
      <c r="G117" s="36"/>
      <c r="L117" s="35"/>
    </row>
    <row r="118" spans="3:12">
      <c r="C118" s="36"/>
      <c r="G118" s="36"/>
      <c r="L118" s="35"/>
    </row>
    <row r="119" spans="3:12">
      <c r="C119" s="36"/>
      <c r="G119" s="36"/>
      <c r="L119" s="35"/>
    </row>
    <row r="120" spans="3:12">
      <c r="C120" s="36"/>
      <c r="G120" s="36"/>
      <c r="L120" s="35"/>
    </row>
    <row r="121" spans="3:12">
      <c r="C121" s="36"/>
      <c r="G121" s="36"/>
      <c r="L121" s="35"/>
    </row>
    <row r="122" spans="3:12">
      <c r="C122" s="36"/>
      <c r="G122" s="36"/>
      <c r="L122" s="35"/>
    </row>
    <row r="123" spans="3:12">
      <c r="C123" s="36"/>
      <c r="G123" s="36"/>
      <c r="L123" s="35"/>
    </row>
    <row r="124" spans="3:12">
      <c r="C124" s="36"/>
      <c r="G124" s="36"/>
      <c r="L124" s="35"/>
    </row>
    <row r="125" spans="3:12">
      <c r="C125" s="36"/>
      <c r="G125" s="36"/>
      <c r="L125" s="35"/>
    </row>
    <row r="126" spans="3:12">
      <c r="C126" s="36"/>
      <c r="G126" s="36"/>
      <c r="L126" s="35"/>
    </row>
    <row r="127" spans="3:12">
      <c r="C127" s="36"/>
      <c r="G127" s="36"/>
      <c r="L127" s="35"/>
    </row>
    <row r="128" spans="3:12">
      <c r="C128" s="36"/>
      <c r="G128" s="36"/>
      <c r="L128" s="35"/>
    </row>
    <row r="129" spans="3:12">
      <c r="C129" s="36"/>
      <c r="G129" s="36"/>
      <c r="L129" s="35"/>
    </row>
    <row r="130" spans="3:12">
      <c r="C130" s="36"/>
      <c r="G130" s="36"/>
      <c r="L130" s="35"/>
    </row>
    <row r="131" spans="3:12">
      <c r="C131" s="36"/>
      <c r="G131" s="36"/>
      <c r="L131" s="35"/>
    </row>
    <row r="132" spans="3:12">
      <c r="C132" s="36"/>
      <c r="G132" s="36"/>
      <c r="L132" s="35"/>
    </row>
    <row r="133" spans="3:12">
      <c r="C133" s="36"/>
      <c r="G133" s="36"/>
      <c r="L133" s="35"/>
    </row>
    <row r="134" spans="3:12">
      <c r="C134" s="36"/>
      <c r="G134" s="36"/>
      <c r="L134" s="35"/>
    </row>
    <row r="135" spans="3:12">
      <c r="C135" s="36"/>
      <c r="G135" s="36"/>
      <c r="L135" s="35"/>
    </row>
    <row r="136" spans="3:12">
      <c r="C136" s="36"/>
      <c r="G136" s="36"/>
      <c r="L136" s="35"/>
    </row>
  </sheetData>
  <customSheetViews>
    <customSheetView guid="{855078B0-1E21-4B25-9C5A-4782BC11700B}" scale="90" showPageBreaks="1" fitToPage="1" topLeftCell="G16">
      <selection activeCell="D16" sqref="D16"/>
      <pageMargins left="0.7" right="0.7" top="0.75" bottom="0.75" header="0.3" footer="0.3"/>
      <pageSetup scale="55" fitToWidth="2" orientation="landscape" r:id="rId1"/>
    </customSheetView>
    <customSheetView guid="{C3053AD8-900F-4045-B60E-43CCFD9EF7DD}" scale="90" fitToPage="1" topLeftCell="A13">
      <selection activeCell="D45" sqref="D45"/>
      <pageMargins left="0.7" right="0.7" top="0.75" bottom="0.75" header="0.3" footer="0.3"/>
      <pageSetup scale="55" fitToWidth="2" orientation="landscape" r:id="rId2"/>
    </customSheetView>
  </customSheetViews>
  <mergeCells count="6">
    <mergeCell ref="V2:Y2"/>
    <mergeCell ref="B5:C5"/>
    <mergeCell ref="A1:D1"/>
    <mergeCell ref="A2:D2"/>
    <mergeCell ref="L2:O2"/>
    <mergeCell ref="Q2:T2"/>
  </mergeCells>
  <phoneticPr fontId="0" type="noConversion"/>
  <pageMargins left="0.7" right="0.7" top="0.75" bottom="0.75" header="0.3" footer="0.3"/>
  <pageSetup scale="55" fitToWidth="2" orientation="landscape" r:id="rId3"/>
</worksheet>
</file>

<file path=xl/worksheets/sheet5.xml><?xml version="1.0" encoding="utf-8"?>
<worksheet xmlns="http://schemas.openxmlformats.org/spreadsheetml/2006/main" xmlns:r="http://schemas.openxmlformats.org/officeDocument/2006/relationships">
  <sheetPr>
    <pageSetUpPr fitToPage="1"/>
  </sheetPr>
  <dimension ref="A1:G71"/>
  <sheetViews>
    <sheetView topLeftCell="A52" zoomScale="90" zoomScaleNormal="90" workbookViewId="0">
      <selection activeCell="D75" sqref="D75"/>
    </sheetView>
  </sheetViews>
  <sheetFormatPr defaultRowHeight="12.75"/>
  <cols>
    <col min="1" max="1" width="49.85546875" customWidth="1"/>
    <col min="2" max="2" width="15.5703125" customWidth="1"/>
    <col min="3" max="3" width="11.7109375" customWidth="1"/>
    <col min="4" max="4" width="15" customWidth="1"/>
    <col min="5" max="5" width="16.42578125" customWidth="1"/>
    <col min="6" max="6" width="14" customWidth="1"/>
    <col min="7" max="7" width="14.7109375" customWidth="1"/>
    <col min="8" max="8" width="21.7109375" customWidth="1"/>
    <col min="9" max="9" width="36.28515625" customWidth="1"/>
    <col min="10" max="10" width="11.42578125" customWidth="1"/>
    <col min="11" max="11" width="11.7109375" customWidth="1"/>
    <col min="12" max="12" width="9.85546875" customWidth="1"/>
    <col min="13" max="15" width="10.28515625" customWidth="1"/>
    <col min="16" max="16" width="10" customWidth="1"/>
    <col min="17" max="17" width="12.85546875" bestFit="1" customWidth="1"/>
    <col min="18" max="18" width="10.85546875" bestFit="1" customWidth="1"/>
    <col min="26" max="26" width="10.85546875" bestFit="1" customWidth="1"/>
  </cols>
  <sheetData>
    <row r="1" spans="1:6">
      <c r="A1" s="131" t="s">
        <v>106</v>
      </c>
      <c r="B1" s="131"/>
      <c r="C1" s="131"/>
      <c r="D1" s="131"/>
      <c r="E1" s="131"/>
    </row>
    <row r="2" spans="1:6">
      <c r="A2" s="132" t="s">
        <v>56</v>
      </c>
      <c r="B2" s="132"/>
      <c r="C2" s="132"/>
      <c r="D2" s="132"/>
      <c r="E2" s="132"/>
      <c r="F2" t="s">
        <v>97</v>
      </c>
    </row>
    <row r="3" spans="1:6" ht="30">
      <c r="A3" s="10" t="s">
        <v>57</v>
      </c>
      <c r="B3" s="10" t="s">
        <v>103</v>
      </c>
      <c r="C3" s="10" t="s">
        <v>104</v>
      </c>
      <c r="D3" s="11" t="s">
        <v>66</v>
      </c>
      <c r="E3" s="11" t="s">
        <v>21</v>
      </c>
      <c r="F3" s="1"/>
    </row>
    <row r="4" spans="1:6" ht="14.25">
      <c r="A4" s="12" t="s">
        <v>22</v>
      </c>
      <c r="B4" s="13">
        <f t="shared" ref="B4:B12" si="0">+B22+B39+B56</f>
        <v>198</v>
      </c>
      <c r="C4" s="19">
        <f t="shared" ref="C4:C12" si="1">(+C22+C39+C56)/3</f>
        <v>4.9666666666666659</v>
      </c>
      <c r="D4" s="15">
        <v>41</v>
      </c>
      <c r="E4" s="14">
        <f>+E22+E39+E56</f>
        <v>39302.600000000006</v>
      </c>
      <c r="F4" s="3">
        <f>+E4/3</f>
        <v>13100.866666666669</v>
      </c>
    </row>
    <row r="5" spans="1:6" ht="14.25">
      <c r="A5" s="12" t="s">
        <v>23</v>
      </c>
      <c r="B5" s="13">
        <f t="shared" si="0"/>
        <v>198</v>
      </c>
      <c r="C5" s="19">
        <f t="shared" si="1"/>
        <v>8.9366666666666656</v>
      </c>
      <c r="D5" s="15">
        <v>41</v>
      </c>
      <c r="E5" s="14">
        <f t="shared" ref="E5:E12" si="2">+E23+E40+E57</f>
        <v>70173.14</v>
      </c>
      <c r="F5" s="3">
        <f t="shared" ref="F5:F14" si="3">+E5/3</f>
        <v>23391.046666666665</v>
      </c>
    </row>
    <row r="6" spans="1:6" ht="14.25">
      <c r="A6" s="12" t="s">
        <v>24</v>
      </c>
      <c r="B6" s="13">
        <f t="shared" si="0"/>
        <v>198</v>
      </c>
      <c r="C6" s="19">
        <f t="shared" si="1"/>
        <v>2</v>
      </c>
      <c r="D6" s="15">
        <v>41</v>
      </c>
      <c r="E6" s="14">
        <f t="shared" si="2"/>
        <v>16236</v>
      </c>
      <c r="F6" s="3">
        <f t="shared" si="3"/>
        <v>5412</v>
      </c>
    </row>
    <row r="7" spans="1:6" ht="14.25">
      <c r="A7" s="12" t="s">
        <v>141</v>
      </c>
      <c r="B7" s="13">
        <f t="shared" si="0"/>
        <v>21</v>
      </c>
      <c r="C7" s="19">
        <f t="shared" si="1"/>
        <v>16</v>
      </c>
      <c r="D7" s="15">
        <v>41</v>
      </c>
      <c r="E7" s="14">
        <f t="shared" si="2"/>
        <v>13776</v>
      </c>
      <c r="F7" s="3">
        <f t="shared" si="3"/>
        <v>4592</v>
      </c>
    </row>
    <row r="8" spans="1:6" ht="14.25">
      <c r="A8" s="12" t="s">
        <v>25</v>
      </c>
      <c r="B8" s="13">
        <f t="shared" si="0"/>
        <v>189</v>
      </c>
      <c r="C8" s="19">
        <f t="shared" si="1"/>
        <v>4.9666666666666659</v>
      </c>
      <c r="D8" s="15">
        <v>41</v>
      </c>
      <c r="E8" s="14">
        <f t="shared" si="2"/>
        <v>36723.699999999997</v>
      </c>
      <c r="F8" s="3">
        <f t="shared" si="3"/>
        <v>12241.233333333332</v>
      </c>
    </row>
    <row r="9" spans="1:6" ht="14.25">
      <c r="A9" s="12" t="s">
        <v>26</v>
      </c>
      <c r="B9" s="13">
        <f t="shared" si="0"/>
        <v>189</v>
      </c>
      <c r="C9" s="19">
        <f t="shared" si="1"/>
        <v>4</v>
      </c>
      <c r="D9" s="15">
        <v>41</v>
      </c>
      <c r="E9" s="14">
        <f t="shared" si="2"/>
        <v>30996</v>
      </c>
      <c r="F9" s="3">
        <f t="shared" si="3"/>
        <v>10332</v>
      </c>
    </row>
    <row r="10" spans="1:6" ht="14.25">
      <c r="A10" s="12" t="s">
        <v>101</v>
      </c>
      <c r="B10" s="13">
        <f t="shared" si="0"/>
        <v>756</v>
      </c>
      <c r="C10" s="19">
        <f t="shared" si="1"/>
        <v>4</v>
      </c>
      <c r="D10" s="15">
        <v>41</v>
      </c>
      <c r="E10" s="14">
        <f t="shared" si="2"/>
        <v>123984</v>
      </c>
      <c r="F10" s="3">
        <f t="shared" si="3"/>
        <v>41328</v>
      </c>
    </row>
    <row r="11" spans="1:6" ht="14.25">
      <c r="A11" s="12" t="s">
        <v>102</v>
      </c>
      <c r="B11" s="13">
        <f t="shared" si="0"/>
        <v>6</v>
      </c>
      <c r="C11" s="19">
        <f t="shared" si="1"/>
        <v>1</v>
      </c>
      <c r="D11" s="15">
        <v>41</v>
      </c>
      <c r="E11" s="14">
        <f t="shared" si="2"/>
        <v>246</v>
      </c>
      <c r="F11" s="3">
        <f t="shared" si="3"/>
        <v>82</v>
      </c>
    </row>
    <row r="12" spans="1:6" ht="14.25">
      <c r="A12" s="12" t="s">
        <v>105</v>
      </c>
      <c r="B12" s="13">
        <f t="shared" si="0"/>
        <v>189</v>
      </c>
      <c r="C12" s="19">
        <f t="shared" si="1"/>
        <v>1</v>
      </c>
      <c r="D12" s="15">
        <v>41</v>
      </c>
      <c r="E12" s="14">
        <f t="shared" si="2"/>
        <v>7749</v>
      </c>
      <c r="F12" s="3">
        <f t="shared" si="3"/>
        <v>2583</v>
      </c>
    </row>
    <row r="13" spans="1:6" ht="14.25">
      <c r="A13" s="12" t="s">
        <v>11</v>
      </c>
      <c r="B13" s="133" t="s">
        <v>111</v>
      </c>
      <c r="C13" s="134"/>
      <c r="D13" s="135"/>
      <c r="E13" s="14">
        <v>197355</v>
      </c>
      <c r="F13" s="3">
        <f t="shared" si="3"/>
        <v>65785</v>
      </c>
    </row>
    <row r="14" spans="1:6" ht="14.25">
      <c r="A14" s="12"/>
      <c r="B14" s="12"/>
      <c r="C14" s="12"/>
      <c r="D14" s="12"/>
      <c r="E14" s="14">
        <f>SUM(E4:E13)</f>
        <v>536541.43999999994</v>
      </c>
      <c r="F14" s="3">
        <f t="shared" si="3"/>
        <v>178847.14666666664</v>
      </c>
    </row>
    <row r="15" spans="1:6">
      <c r="A15" s="1"/>
      <c r="B15" s="1"/>
      <c r="C15" s="1"/>
      <c r="D15" s="1"/>
      <c r="E15" s="1"/>
      <c r="F15" s="3"/>
    </row>
    <row r="16" spans="1:6" ht="14.25">
      <c r="A16" s="16" t="s">
        <v>67</v>
      </c>
      <c r="B16" s="1"/>
      <c r="C16" s="1"/>
      <c r="D16" s="1"/>
      <c r="E16" s="1"/>
      <c r="F16" s="3"/>
    </row>
    <row r="17" spans="1:7" ht="64.5" customHeight="1">
      <c r="A17" s="20" t="s">
        <v>112</v>
      </c>
      <c r="B17" s="136" t="s">
        <v>113</v>
      </c>
      <c r="C17" s="137"/>
      <c r="D17" s="137"/>
      <c r="E17" s="137"/>
      <c r="F17" s="1"/>
    </row>
    <row r="18" spans="1:7" ht="18" customHeight="1">
      <c r="F18" s="1"/>
      <c r="G18" s="9"/>
    </row>
    <row r="19" spans="1:7">
      <c r="A19" s="131" t="s">
        <v>114</v>
      </c>
      <c r="B19" s="131"/>
      <c r="C19" s="131"/>
      <c r="D19" s="131"/>
      <c r="E19" s="131"/>
    </row>
    <row r="20" spans="1:7">
      <c r="A20" s="132" t="s">
        <v>56</v>
      </c>
      <c r="B20" s="132"/>
      <c r="C20" s="132"/>
      <c r="D20" s="132"/>
      <c r="E20" s="132"/>
    </row>
    <row r="21" spans="1:7" ht="30">
      <c r="A21" s="10" t="s">
        <v>57</v>
      </c>
      <c r="B21" s="10" t="s">
        <v>103</v>
      </c>
      <c r="C21" s="10" t="s">
        <v>104</v>
      </c>
      <c r="D21" s="11" t="s">
        <v>66</v>
      </c>
      <c r="E21" s="11" t="s">
        <v>21</v>
      </c>
      <c r="F21" s="1"/>
    </row>
    <row r="22" spans="1:7" ht="14.25">
      <c r="A22" s="12" t="s">
        <v>22</v>
      </c>
      <c r="B22" s="13">
        <f>'6022-total and 3 yr ave'!C$63</f>
        <v>60</v>
      </c>
      <c r="C22" s="13">
        <v>8</v>
      </c>
      <c r="D22" s="15">
        <v>41</v>
      </c>
      <c r="E22" s="14">
        <f t="shared" ref="E22:E28" si="4">+B22*C22*D22</f>
        <v>19680</v>
      </c>
      <c r="F22" s="1"/>
    </row>
    <row r="23" spans="1:7" ht="14.25">
      <c r="A23" s="12" t="s">
        <v>23</v>
      </c>
      <c r="B23" s="13">
        <f>'6022-total and 3 yr ave'!C$63</f>
        <v>60</v>
      </c>
      <c r="C23" s="13">
        <v>16</v>
      </c>
      <c r="D23" s="15">
        <v>41</v>
      </c>
      <c r="E23" s="14">
        <f t="shared" si="4"/>
        <v>39360</v>
      </c>
      <c r="F23" s="1"/>
    </row>
    <row r="24" spans="1:7" ht="14.25">
      <c r="A24" s="12" t="s">
        <v>24</v>
      </c>
      <c r="B24" s="13">
        <f>'6022-total and 3 yr ave'!C$63</f>
        <v>60</v>
      </c>
      <c r="C24" s="13">
        <v>2</v>
      </c>
      <c r="D24" s="15">
        <v>41</v>
      </c>
      <c r="E24" s="14">
        <f t="shared" si="4"/>
        <v>4920</v>
      </c>
      <c r="F24" s="3"/>
    </row>
    <row r="25" spans="1:7" ht="14.25">
      <c r="A25" s="12" t="s">
        <v>141</v>
      </c>
      <c r="B25" s="13">
        <v>7</v>
      </c>
      <c r="C25" s="13">
        <v>16</v>
      </c>
      <c r="D25" s="15">
        <v>41</v>
      </c>
      <c r="E25" s="14">
        <f t="shared" si="4"/>
        <v>4592</v>
      </c>
      <c r="F25" s="3"/>
    </row>
    <row r="26" spans="1:7" ht="14.25">
      <c r="A26" s="12" t="s">
        <v>25</v>
      </c>
      <c r="B26" s="13">
        <f>'6022-total and 3 yr ave'!D$63</f>
        <v>53</v>
      </c>
      <c r="C26" s="13">
        <v>8</v>
      </c>
      <c r="D26" s="15">
        <v>41</v>
      </c>
      <c r="E26" s="14">
        <f t="shared" si="4"/>
        <v>17384</v>
      </c>
      <c r="F26" s="3"/>
    </row>
    <row r="27" spans="1:7" ht="14.25">
      <c r="A27" s="12" t="s">
        <v>26</v>
      </c>
      <c r="B27" s="13">
        <f>'6022-total and 3 yr ave'!D$63</f>
        <v>53</v>
      </c>
      <c r="C27" s="13">
        <v>4</v>
      </c>
      <c r="D27" s="15">
        <v>41</v>
      </c>
      <c r="E27" s="14">
        <f t="shared" si="4"/>
        <v>8692</v>
      </c>
      <c r="F27" s="3"/>
    </row>
    <row r="28" spans="1:7" ht="14.25">
      <c r="A28" s="12" t="s">
        <v>101</v>
      </c>
      <c r="B28" s="13">
        <f>('6022-total and 3 yr ave'!D$63)*4</f>
        <v>212</v>
      </c>
      <c r="C28" s="13">
        <v>4</v>
      </c>
      <c r="D28" s="15">
        <v>41</v>
      </c>
      <c r="E28" s="14">
        <f t="shared" si="4"/>
        <v>34768</v>
      </c>
      <c r="F28" s="3"/>
    </row>
    <row r="29" spans="1:7" ht="14.25">
      <c r="A29" s="12" t="s">
        <v>102</v>
      </c>
      <c r="B29" s="13">
        <v>2</v>
      </c>
      <c r="C29" s="13">
        <v>1</v>
      </c>
      <c r="D29" s="15">
        <v>41</v>
      </c>
      <c r="E29" s="14">
        <f>+B29*C29*D29</f>
        <v>82</v>
      </c>
      <c r="F29" s="3"/>
    </row>
    <row r="30" spans="1:7" ht="14.25">
      <c r="A30" s="12" t="s">
        <v>105</v>
      </c>
      <c r="B30" s="13">
        <v>53</v>
      </c>
      <c r="C30" s="13">
        <v>1</v>
      </c>
      <c r="D30" s="15">
        <v>41</v>
      </c>
      <c r="E30" s="14">
        <f>+B30*C30*D30</f>
        <v>2173</v>
      </c>
      <c r="F30" s="3"/>
    </row>
    <row r="31" spans="1:7" ht="14.25">
      <c r="A31" s="12"/>
      <c r="B31" s="12"/>
      <c r="C31" s="12"/>
      <c r="D31" s="12"/>
      <c r="E31" s="14">
        <f>SUM(E22:E29)</f>
        <v>129478</v>
      </c>
      <c r="F31" s="3"/>
    </row>
    <row r="32" spans="1:7">
      <c r="A32" s="1"/>
      <c r="B32" s="1"/>
      <c r="C32" s="1"/>
      <c r="D32" s="1"/>
      <c r="E32" s="1"/>
      <c r="F32" s="3"/>
    </row>
    <row r="33" spans="1:6" ht="14.25">
      <c r="A33" s="16" t="s">
        <v>67</v>
      </c>
      <c r="B33" s="1"/>
      <c r="C33" s="1"/>
      <c r="D33" s="1"/>
      <c r="E33" s="1"/>
      <c r="F33" s="3"/>
    </row>
    <row r="36" spans="1:6">
      <c r="A36" s="131" t="s">
        <v>115</v>
      </c>
      <c r="B36" s="131"/>
      <c r="C36" s="131"/>
      <c r="D36" s="131"/>
      <c r="E36" s="131"/>
    </row>
    <row r="37" spans="1:6">
      <c r="A37" s="132" t="s">
        <v>56</v>
      </c>
      <c r="B37" s="132"/>
      <c r="C37" s="132"/>
      <c r="D37" s="132"/>
      <c r="E37" s="132"/>
    </row>
    <row r="38" spans="1:6" ht="30">
      <c r="A38" s="10" t="s">
        <v>57</v>
      </c>
      <c r="B38" s="10" t="s">
        <v>103</v>
      </c>
      <c r="C38" s="10" t="s">
        <v>104</v>
      </c>
      <c r="D38" s="11" t="s">
        <v>66</v>
      </c>
      <c r="E38" s="11" t="s">
        <v>21</v>
      </c>
      <c r="F38" s="1"/>
    </row>
    <row r="39" spans="1:6" ht="14.25">
      <c r="A39" s="12" t="s">
        <v>22</v>
      </c>
      <c r="B39" s="13">
        <f>'6022-total and 3 yr ave'!E$63</f>
        <v>64</v>
      </c>
      <c r="C39" s="13">
        <v>3.2</v>
      </c>
      <c r="D39" s="15">
        <v>41</v>
      </c>
      <c r="E39" s="14">
        <f t="shared" ref="E39:E47" si="5">+B39*C39*D39</f>
        <v>8396.8000000000011</v>
      </c>
      <c r="F39" s="1" t="s">
        <v>171</v>
      </c>
    </row>
    <row r="40" spans="1:6" ht="14.25">
      <c r="A40" s="12" t="s">
        <v>23</v>
      </c>
      <c r="B40" s="13">
        <f>'6022-total and 3 yr ave'!E$63</f>
        <v>64</v>
      </c>
      <c r="C40" s="13">
        <v>4.84</v>
      </c>
      <c r="D40" s="15">
        <v>41</v>
      </c>
      <c r="E40" s="14">
        <f t="shared" si="5"/>
        <v>12700.16</v>
      </c>
      <c r="F40" s="1" t="s">
        <v>172</v>
      </c>
    </row>
    <row r="41" spans="1:6" ht="14.25">
      <c r="A41" s="12" t="s">
        <v>24</v>
      </c>
      <c r="B41" s="13">
        <f>'6022-total and 3 yr ave'!E$63</f>
        <v>64</v>
      </c>
      <c r="C41" s="13">
        <v>2</v>
      </c>
      <c r="D41" s="15">
        <v>41</v>
      </c>
      <c r="E41" s="14">
        <f t="shared" si="5"/>
        <v>5248</v>
      </c>
      <c r="F41" s="3"/>
    </row>
    <row r="42" spans="1:6" ht="14.25">
      <c r="A42" s="12" t="s">
        <v>141</v>
      </c>
      <c r="B42" s="13">
        <v>7</v>
      </c>
      <c r="C42" s="13">
        <v>16</v>
      </c>
      <c r="D42" s="15">
        <v>41</v>
      </c>
      <c r="E42" s="14">
        <f t="shared" si="5"/>
        <v>4592</v>
      </c>
      <c r="F42" s="3"/>
    </row>
    <row r="43" spans="1:6" ht="14.25">
      <c r="A43" s="12" t="s">
        <v>25</v>
      </c>
      <c r="B43" s="13">
        <f>'6022-total and 3 yr ave'!F$63</f>
        <v>63</v>
      </c>
      <c r="C43" s="13">
        <v>3.2</v>
      </c>
      <c r="D43" s="15">
        <v>41</v>
      </c>
      <c r="E43" s="14">
        <f t="shared" si="5"/>
        <v>8265.6</v>
      </c>
      <c r="F43" s="1" t="s">
        <v>171</v>
      </c>
    </row>
    <row r="44" spans="1:6" ht="14.25">
      <c r="A44" s="12" t="s">
        <v>26</v>
      </c>
      <c r="B44" s="13">
        <f>'6022-total and 3 yr ave'!F$63</f>
        <v>63</v>
      </c>
      <c r="C44" s="13">
        <v>4</v>
      </c>
      <c r="D44" s="15">
        <v>41</v>
      </c>
      <c r="E44" s="14">
        <f t="shared" si="5"/>
        <v>10332</v>
      </c>
      <c r="F44" s="3"/>
    </row>
    <row r="45" spans="1:6" ht="14.25">
      <c r="A45" s="12" t="s">
        <v>101</v>
      </c>
      <c r="B45" s="13">
        <f>('6022-total and 3 yr ave'!F$63)*4</f>
        <v>252</v>
      </c>
      <c r="C45" s="13">
        <v>4</v>
      </c>
      <c r="D45" s="15">
        <v>41</v>
      </c>
      <c r="E45" s="14">
        <f t="shared" si="5"/>
        <v>41328</v>
      </c>
      <c r="F45" s="3"/>
    </row>
    <row r="46" spans="1:6" ht="14.25">
      <c r="A46" s="12" t="s">
        <v>102</v>
      </c>
      <c r="B46" s="13">
        <v>2</v>
      </c>
      <c r="C46" s="13">
        <v>1</v>
      </c>
      <c r="D46" s="15">
        <v>41</v>
      </c>
      <c r="E46" s="14">
        <f t="shared" si="5"/>
        <v>82</v>
      </c>
      <c r="F46" s="3"/>
    </row>
    <row r="47" spans="1:6" ht="14.25">
      <c r="A47" s="12" t="s">
        <v>105</v>
      </c>
      <c r="B47" s="13">
        <f>'6022-total and 3 yr ave'!F$63</f>
        <v>63</v>
      </c>
      <c r="C47" s="13">
        <v>1</v>
      </c>
      <c r="D47" s="15">
        <v>41</v>
      </c>
      <c r="E47" s="14">
        <f t="shared" si="5"/>
        <v>2583</v>
      </c>
      <c r="F47" s="3"/>
    </row>
    <row r="48" spans="1:6" ht="14.25">
      <c r="A48" s="12"/>
      <c r="B48" s="12"/>
      <c r="C48" s="12"/>
      <c r="D48" s="12"/>
      <c r="E48" s="14">
        <f>SUM(E39:E47)</f>
        <v>93527.56</v>
      </c>
      <c r="F48" s="3"/>
    </row>
    <row r="49" spans="1:6">
      <c r="A49" s="1"/>
      <c r="B49" s="1"/>
      <c r="C49" s="1"/>
      <c r="D49" s="1"/>
      <c r="E49" s="1"/>
      <c r="F49" s="3"/>
    </row>
    <row r="50" spans="1:6" ht="14.25">
      <c r="A50" s="16" t="s">
        <v>67</v>
      </c>
      <c r="B50" s="1"/>
      <c r="C50" s="1"/>
      <c r="D50" s="1"/>
      <c r="E50" s="1"/>
      <c r="F50" s="3"/>
    </row>
    <row r="51" spans="1:6">
      <c r="F51" s="1"/>
    </row>
    <row r="52" spans="1:6">
      <c r="F52" s="1"/>
    </row>
    <row r="53" spans="1:6">
      <c r="A53" s="131" t="s">
        <v>116</v>
      </c>
      <c r="B53" s="131"/>
      <c r="C53" s="131"/>
      <c r="D53" s="131"/>
      <c r="E53" s="131"/>
      <c r="F53" s="1"/>
    </row>
    <row r="54" spans="1:6">
      <c r="A54" s="132" t="s">
        <v>56</v>
      </c>
      <c r="B54" s="132"/>
      <c r="C54" s="132"/>
      <c r="D54" s="132"/>
      <c r="E54" s="132"/>
      <c r="F54" s="1"/>
    </row>
    <row r="55" spans="1:6" ht="30">
      <c r="A55" s="10" t="s">
        <v>57</v>
      </c>
      <c r="B55" s="10" t="s">
        <v>103</v>
      </c>
      <c r="C55" s="10" t="s">
        <v>104</v>
      </c>
      <c r="D55" s="11" t="s">
        <v>66</v>
      </c>
      <c r="E55" s="11" t="s">
        <v>21</v>
      </c>
      <c r="F55" s="1"/>
    </row>
    <row r="56" spans="1:6" ht="14.25">
      <c r="A56" s="12" t="s">
        <v>22</v>
      </c>
      <c r="B56" s="13">
        <f>'6022-total and 3 yr ave'!G$63</f>
        <v>74</v>
      </c>
      <c r="C56" s="13">
        <v>3.7</v>
      </c>
      <c r="D56" s="15">
        <v>41</v>
      </c>
      <c r="E56" s="14">
        <f t="shared" ref="E56:E62" si="6">+B56*C56*D56</f>
        <v>11225.800000000001</v>
      </c>
      <c r="F56" s="1" t="s">
        <v>173</v>
      </c>
    </row>
    <row r="57" spans="1:6" ht="14.25">
      <c r="A57" s="12" t="s">
        <v>23</v>
      </c>
      <c r="B57" s="13">
        <f>'6022-total and 3 yr ave'!G$63</f>
        <v>74</v>
      </c>
      <c r="C57" s="13">
        <v>5.97</v>
      </c>
      <c r="D57" s="15">
        <v>41</v>
      </c>
      <c r="E57" s="14">
        <f t="shared" si="6"/>
        <v>18112.98</v>
      </c>
      <c r="F57" s="1" t="s">
        <v>174</v>
      </c>
    </row>
    <row r="58" spans="1:6" ht="14.25">
      <c r="A58" s="12" t="s">
        <v>24</v>
      </c>
      <c r="B58" s="13">
        <f>'6022-total and 3 yr ave'!G$63</f>
        <v>74</v>
      </c>
      <c r="C58" s="13">
        <v>2</v>
      </c>
      <c r="D58" s="15">
        <v>41</v>
      </c>
      <c r="E58" s="14">
        <f t="shared" si="6"/>
        <v>6068</v>
      </c>
      <c r="F58" s="3"/>
    </row>
    <row r="59" spans="1:6" ht="14.25">
      <c r="A59" s="12" t="s">
        <v>141</v>
      </c>
      <c r="B59" s="13">
        <v>7</v>
      </c>
      <c r="C59" s="13">
        <v>16</v>
      </c>
      <c r="D59" s="15">
        <v>41</v>
      </c>
      <c r="E59" s="14">
        <f t="shared" si="6"/>
        <v>4592</v>
      </c>
      <c r="F59" s="3"/>
    </row>
    <row r="60" spans="1:6" ht="14.25">
      <c r="A60" s="12" t="s">
        <v>25</v>
      </c>
      <c r="B60" s="13">
        <f>'6022-total and 3 yr ave'!H$63</f>
        <v>73</v>
      </c>
      <c r="C60" s="13">
        <v>3.7</v>
      </c>
      <c r="D60" s="15">
        <v>41</v>
      </c>
      <c r="E60" s="14">
        <f t="shared" si="6"/>
        <v>11074.1</v>
      </c>
      <c r="F60" s="1" t="s">
        <v>173</v>
      </c>
    </row>
    <row r="61" spans="1:6" ht="14.25">
      <c r="A61" s="12" t="s">
        <v>26</v>
      </c>
      <c r="B61" s="13">
        <f>'6022-total and 3 yr ave'!H$63</f>
        <v>73</v>
      </c>
      <c r="C61" s="13">
        <v>4</v>
      </c>
      <c r="D61" s="15">
        <v>41</v>
      </c>
      <c r="E61" s="14">
        <f t="shared" si="6"/>
        <v>11972</v>
      </c>
      <c r="F61" s="3"/>
    </row>
    <row r="62" spans="1:6" ht="14.25">
      <c r="A62" s="12" t="s">
        <v>101</v>
      </c>
      <c r="B62" s="13">
        <f>('6022-total and 3 yr ave'!H$63)*4</f>
        <v>292</v>
      </c>
      <c r="C62" s="13">
        <v>4</v>
      </c>
      <c r="D62" s="15">
        <v>41</v>
      </c>
      <c r="E62" s="14">
        <f t="shared" si="6"/>
        <v>47888</v>
      </c>
      <c r="F62" s="3"/>
    </row>
    <row r="63" spans="1:6" ht="14.25">
      <c r="A63" s="12" t="s">
        <v>102</v>
      </c>
      <c r="B63" s="13">
        <v>2</v>
      </c>
      <c r="C63" s="13">
        <v>1</v>
      </c>
      <c r="D63" s="15">
        <v>41</v>
      </c>
      <c r="E63" s="14">
        <f>+B63*C63*D63</f>
        <v>82</v>
      </c>
      <c r="F63" s="3"/>
    </row>
    <row r="64" spans="1:6" ht="14.25">
      <c r="A64" s="12" t="s">
        <v>105</v>
      </c>
      <c r="B64" s="13">
        <f>'6022-total and 3 yr ave'!H$63</f>
        <v>73</v>
      </c>
      <c r="C64" s="13">
        <v>1</v>
      </c>
      <c r="D64" s="15">
        <v>41</v>
      </c>
      <c r="E64" s="14">
        <f>+B64*C64*D64</f>
        <v>2993</v>
      </c>
      <c r="F64" s="3"/>
    </row>
    <row r="65" spans="1:6" ht="14.25">
      <c r="A65" s="12"/>
      <c r="B65" s="12"/>
      <c r="C65" s="12"/>
      <c r="D65" s="12"/>
      <c r="E65" s="14">
        <f>SUM(E56:E64)</f>
        <v>114007.88</v>
      </c>
      <c r="F65" s="3"/>
    </row>
    <row r="66" spans="1:6">
      <c r="A66" s="1"/>
      <c r="B66" s="1"/>
      <c r="C66" s="1"/>
      <c r="D66" s="1"/>
      <c r="E66" s="1"/>
      <c r="F66" s="3"/>
    </row>
    <row r="67" spans="1:6" ht="14.25">
      <c r="A67" s="16" t="s">
        <v>67</v>
      </c>
      <c r="B67" s="1"/>
      <c r="C67" s="1"/>
      <c r="D67" s="1"/>
      <c r="E67" s="1"/>
      <c r="F67" s="3"/>
    </row>
    <row r="71" spans="1:6">
      <c r="A71" s="119"/>
    </row>
  </sheetData>
  <customSheetViews>
    <customSheetView guid="{855078B0-1E21-4B25-9C5A-4782BC11700B}" scale="90" showPageBreaks="1" fitToPage="1">
      <selection activeCell="H22" sqref="H22"/>
      <pageMargins left="0.75" right="0.75" top="1" bottom="1" header="0.5" footer="0.5"/>
      <printOptions gridLines="1"/>
      <pageSetup scale="45" orientation="landscape" horizontalDpi="300" verticalDpi="300" r:id="rId1"/>
      <headerFooter alignWithMargins="0"/>
    </customSheetView>
    <customSheetView guid="{C3053AD8-900F-4045-B60E-43CCFD9EF7DD}" scale="90" showPageBreaks="1" fitToPage="1">
      <selection activeCell="G17" sqref="G17"/>
      <pageMargins left="0.75" right="0.75" top="1" bottom="1" header="0.5" footer="0.5"/>
      <printOptions gridLines="1"/>
      <pageSetup scale="57" orientation="portrait" horizontalDpi="300" verticalDpi="300" r:id="rId2"/>
      <headerFooter alignWithMargins="0"/>
    </customSheetView>
  </customSheetViews>
  <mergeCells count="10">
    <mergeCell ref="A53:E53"/>
    <mergeCell ref="A54:E54"/>
    <mergeCell ref="A1:E1"/>
    <mergeCell ref="A2:E2"/>
    <mergeCell ref="A19:E19"/>
    <mergeCell ref="A20:E20"/>
    <mergeCell ref="A36:E36"/>
    <mergeCell ref="A37:E37"/>
    <mergeCell ref="B13:D13"/>
    <mergeCell ref="B17:E17"/>
  </mergeCells>
  <phoneticPr fontId="2" type="noConversion"/>
  <printOptions gridLines="1"/>
  <pageMargins left="0.75" right="0.75" top="1" bottom="1" header="0.5" footer="0.5"/>
  <pageSetup scale="57"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6022-total and 3 yr ave</vt:lpstr>
      <vt:lpstr>6022-yr1</vt:lpstr>
      <vt:lpstr>6022-yr2</vt:lpstr>
      <vt:lpstr>6022-yr3</vt:lpstr>
      <vt:lpstr>FedGov Cost</vt:lpstr>
      <vt:lpstr>'6022-total and 3 yr ave'!Print_Area</vt:lpstr>
      <vt:lpstr>'6022-yr1'!Print_Area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dc:creator>
  <cp:lastModifiedBy>krmeardon</cp:lastModifiedBy>
  <cp:lastPrinted>2009-10-08T13:46:46Z</cp:lastPrinted>
  <dcterms:created xsi:type="dcterms:W3CDTF">2006-10-02T11:05:56Z</dcterms:created>
  <dcterms:modified xsi:type="dcterms:W3CDTF">2009-10-08T13:56:13Z</dcterms:modified>
</cp:coreProperties>
</file>