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345" windowWidth="15480" windowHeight="10710"/>
  </bookViews>
  <sheets>
    <sheet name="3-year  average rollup" sheetId="1" r:id="rId1"/>
    <sheet name="Total Rollup " sheetId="2" r:id="rId2"/>
    <sheet name="Year 1" sheetId="3" r:id="rId3"/>
    <sheet name="Year 2" sheetId="4" r:id="rId4"/>
    <sheet name="Year 3 " sheetId="5" r:id="rId5"/>
    <sheet name="FedGov" sheetId="6" r:id="rId6"/>
    <sheet name="applicants and participants" sheetId="7" r:id="rId7"/>
  </sheets>
  <definedNames>
    <definedName name="_xlnm.Print_Area" localSheetId="0">'3-year  average rollup'!$A$1:$J$30</definedName>
    <definedName name="_xlnm.Print_Area" localSheetId="1">'Total Rollup '!$A$1:$J$30</definedName>
    <definedName name="_xlnm.Print_Area" localSheetId="2">'Year 1'!$A$1:$J$48</definedName>
    <definedName name="_xlnm.Print_Area" localSheetId="3">'Year 2'!$A$1:$J$49</definedName>
    <definedName name="_xlnm.Print_Area" localSheetId="4">'Year 3 '!$A$1:$J$44</definedName>
    <definedName name="Z_85A0FECD_0ABD_4BC8_8163_7A3FD1ADFA49_.wvu.PrintArea" localSheetId="0" hidden="1">'3-year  average rollup'!$A$1:$J$22</definedName>
    <definedName name="Z_85A0FECD_0ABD_4BC8_8163_7A3FD1ADFA49_.wvu.PrintArea" localSheetId="1" hidden="1">'Total Rollup '!$A$1:$J$22</definedName>
    <definedName name="Z_85A0FECD_0ABD_4BC8_8163_7A3FD1ADFA49_.wvu.PrintArea" localSheetId="2" hidden="1">'Year 1'!$A$1:$J$48</definedName>
    <definedName name="Z_85A0FECD_0ABD_4BC8_8163_7A3FD1ADFA49_.wvu.PrintArea" localSheetId="3" hidden="1">'Year 2'!$A$1:$J$49</definedName>
    <definedName name="Z_85A0FECD_0ABD_4BC8_8163_7A3FD1ADFA49_.wvu.PrintArea" localSheetId="4" hidden="1">'Year 3 '!$A$1:$J$44</definedName>
    <definedName name="Z_F801E3C7_0680_4D04_B7DA_D7562243E7FD_.wvu.PrintArea" localSheetId="0" hidden="1">'3-year  average rollup'!$A$1:$J$22</definedName>
    <definedName name="Z_F801E3C7_0680_4D04_B7DA_D7562243E7FD_.wvu.PrintArea" localSheetId="1" hidden="1">'Total Rollup '!$A$1:$J$22</definedName>
    <definedName name="Z_F801E3C7_0680_4D04_B7DA_D7562243E7FD_.wvu.PrintArea" localSheetId="2" hidden="1">'Year 1'!$A$1:$J$48</definedName>
    <definedName name="Z_F801E3C7_0680_4D04_B7DA_D7562243E7FD_.wvu.PrintArea" localSheetId="3" hidden="1">'Year 2'!$A$1:$J$49</definedName>
    <definedName name="Z_F801E3C7_0680_4D04_B7DA_D7562243E7FD_.wvu.PrintArea" localSheetId="4" hidden="1">'Year 3 '!$A$1:$J$44</definedName>
  </definedNames>
  <calcPr calcId="125725"/>
  <customWorkbookViews>
    <customWorkbookView name="cheryl.thompson - Personal View" guid="{F801E3C7-0680-4D04-B7DA-D7562243E7FD}" mergeInterval="0" personalView="1" maximized="1" windowWidth="1020" windowHeight="517" activeSheetId="1"/>
    <customWorkbookView name="krmeardon - Personal View" guid="{85A0FECD-0ABD-4BC8-8163-7A3FD1ADFA49}" mergeInterval="0" personalView="1" xWindow="5" yWindow="321" windowWidth="1140" windowHeight="437" activeSheetId="3"/>
  </customWorkbookViews>
</workbook>
</file>

<file path=xl/calcChain.xml><?xml version="1.0" encoding="utf-8"?>
<calcChain xmlns="http://schemas.openxmlformats.org/spreadsheetml/2006/main">
  <c r="B7" i="6"/>
  <c r="B27"/>
  <c r="D27"/>
  <c r="A27"/>
  <c r="E7"/>
  <c r="E11" i="7"/>
  <c r="E4"/>
  <c r="E5"/>
  <c r="E6"/>
  <c r="E7"/>
  <c r="B5" i="6"/>
  <c r="E5"/>
  <c r="L9" i="5"/>
  <c r="M9"/>
  <c r="L9" i="4"/>
  <c r="M9"/>
  <c r="D9" i="5"/>
  <c r="F9"/>
  <c r="D9" i="4"/>
  <c r="B25" i="6"/>
  <c r="D25"/>
  <c r="E25"/>
  <c r="F9" i="4"/>
  <c r="H9"/>
  <c r="H9" i="3"/>
  <c r="F9"/>
  <c r="J9"/>
  <c r="B30" i="6"/>
  <c r="B24"/>
  <c r="B6"/>
  <c r="B26"/>
  <c r="D21" i="5"/>
  <c r="D18"/>
  <c r="D17"/>
  <c r="D16"/>
  <c r="D14"/>
  <c r="D11"/>
  <c r="D21" i="4"/>
  <c r="D18"/>
  <c r="D17"/>
  <c r="D16"/>
  <c r="D15"/>
  <c r="D14"/>
  <c r="D11"/>
  <c r="D21" i="3"/>
  <c r="D18"/>
  <c r="D14"/>
  <c r="B13" i="6"/>
  <c r="B33"/>
  <c r="B4"/>
  <c r="C28" i="5"/>
  <c r="C27"/>
  <c r="F45" i="3"/>
  <c r="F45" i="4"/>
  <c r="F46"/>
  <c r="C28"/>
  <c r="C27"/>
  <c r="D17" i="3"/>
  <c r="D16"/>
  <c r="D15"/>
  <c r="D11"/>
  <c r="L10" i="7"/>
  <c r="L3"/>
  <c r="J10"/>
  <c r="J3"/>
  <c r="I10"/>
  <c r="I3"/>
  <c r="G10"/>
  <c r="G3"/>
  <c r="F14"/>
  <c r="G14"/>
  <c r="I14"/>
  <c r="F13"/>
  <c r="G13"/>
  <c r="I13"/>
  <c r="F12"/>
  <c r="G12"/>
  <c r="I12"/>
  <c r="F11"/>
  <c r="G11"/>
  <c r="I11"/>
  <c r="F10"/>
  <c r="F4"/>
  <c r="F5"/>
  <c r="F6"/>
  <c r="F7"/>
  <c r="F3"/>
  <c r="M7"/>
  <c r="M5"/>
  <c r="N5"/>
  <c r="N6"/>
  <c r="N7"/>
  <c r="N4"/>
  <c r="N8"/>
  <c r="C25"/>
  <c r="D15"/>
  <c r="E15"/>
  <c r="H15"/>
  <c r="K15"/>
  <c r="H8"/>
  <c r="K8"/>
  <c r="D8"/>
  <c r="C15"/>
  <c r="M14"/>
  <c r="M13"/>
  <c r="M12"/>
  <c r="M11"/>
  <c r="M10"/>
  <c r="D11"/>
  <c r="D12"/>
  <c r="D13"/>
  <c r="D14"/>
  <c r="D10"/>
  <c r="C8"/>
  <c r="M6"/>
  <c r="D4"/>
  <c r="D5"/>
  <c r="D6"/>
  <c r="D7"/>
  <c r="M3"/>
  <c r="C10"/>
  <c r="D3"/>
  <c r="F47" i="4"/>
  <c r="F48"/>
  <c r="F7" i="1"/>
  <c r="H7" s="1"/>
  <c r="J7" s="1"/>
  <c r="F6"/>
  <c r="H6" s="1"/>
  <c r="J7" i="3"/>
  <c r="J8"/>
  <c r="E4" i="6"/>
  <c r="E6"/>
  <c r="E10"/>
  <c r="B11"/>
  <c r="B31"/>
  <c r="B12"/>
  <c r="B32"/>
  <c r="E13"/>
  <c r="E14"/>
  <c r="D24"/>
  <c r="D26"/>
  <c r="D28"/>
  <c r="D29"/>
  <c r="D30"/>
  <c r="D31"/>
  <c r="D32"/>
  <c r="D33"/>
  <c r="E34"/>
  <c r="A6" i="5"/>
  <c r="F6"/>
  <c r="H6"/>
  <c r="J6"/>
  <c r="L6"/>
  <c r="M6"/>
  <c r="A7"/>
  <c r="F7"/>
  <c r="H7"/>
  <c r="J7"/>
  <c r="L7"/>
  <c r="M7"/>
  <c r="A8"/>
  <c r="C8"/>
  <c r="D8"/>
  <c r="F8"/>
  <c r="A14"/>
  <c r="C14"/>
  <c r="F14"/>
  <c r="A15"/>
  <c r="C15"/>
  <c r="F15"/>
  <c r="H15"/>
  <c r="J15"/>
  <c r="A16"/>
  <c r="C16"/>
  <c r="C17"/>
  <c r="C18"/>
  <c r="C21"/>
  <c r="E27"/>
  <c r="A6" i="4"/>
  <c r="F6"/>
  <c r="H6"/>
  <c r="J6"/>
  <c r="L6"/>
  <c r="M6"/>
  <c r="A7"/>
  <c r="F7"/>
  <c r="H7"/>
  <c r="J7"/>
  <c r="L7"/>
  <c r="M7"/>
  <c r="A8"/>
  <c r="C8"/>
  <c r="F8"/>
  <c r="F11"/>
  <c r="A14"/>
  <c r="C14"/>
  <c r="F14"/>
  <c r="A15"/>
  <c r="C15"/>
  <c r="F15"/>
  <c r="A16"/>
  <c r="C16"/>
  <c r="F16"/>
  <c r="C17"/>
  <c r="F17"/>
  <c r="C18"/>
  <c r="F18"/>
  <c r="C21"/>
  <c r="F21"/>
  <c r="D27"/>
  <c r="E27"/>
  <c r="F27"/>
  <c r="D28"/>
  <c r="E28"/>
  <c r="F28"/>
  <c r="A6" i="3"/>
  <c r="F6"/>
  <c r="H6"/>
  <c r="J6"/>
  <c r="L6"/>
  <c r="M6"/>
  <c r="A7"/>
  <c r="F7"/>
  <c r="H7"/>
  <c r="L7"/>
  <c r="M7"/>
  <c r="A8"/>
  <c r="C8"/>
  <c r="D8"/>
  <c r="F8"/>
  <c r="H8"/>
  <c r="L8"/>
  <c r="M8"/>
  <c r="F11"/>
  <c r="H11"/>
  <c r="J11"/>
  <c r="A14"/>
  <c r="C14"/>
  <c r="F14"/>
  <c r="A15"/>
  <c r="C15"/>
  <c r="F15"/>
  <c r="A16"/>
  <c r="C16"/>
  <c r="F16"/>
  <c r="H16"/>
  <c r="J16"/>
  <c r="C17"/>
  <c r="F17"/>
  <c r="H17"/>
  <c r="J17"/>
  <c r="C18"/>
  <c r="F18"/>
  <c r="H18"/>
  <c r="J18"/>
  <c r="C21"/>
  <c r="F21"/>
  <c r="H21"/>
  <c r="J21"/>
  <c r="D27"/>
  <c r="E27"/>
  <c r="F27"/>
  <c r="F28"/>
  <c r="D6" i="2"/>
  <c r="F6" s="1"/>
  <c r="D7"/>
  <c r="F7"/>
  <c r="H7" s="1"/>
  <c r="J7" s="1"/>
  <c r="D8"/>
  <c r="F8"/>
  <c r="H8" s="1"/>
  <c r="J8" s="1"/>
  <c r="D14"/>
  <c r="F14"/>
  <c r="H14" s="1"/>
  <c r="J14" s="1"/>
  <c r="D15"/>
  <c r="F15"/>
  <c r="H15" s="1"/>
  <c r="J15" s="1"/>
  <c r="C27"/>
  <c r="D27"/>
  <c r="D6" i="1"/>
  <c r="D7"/>
  <c r="D8"/>
  <c r="D14"/>
  <c r="D15"/>
  <c r="J21"/>
  <c r="L21"/>
  <c r="M21"/>
  <c r="C27"/>
  <c r="D27" s="1"/>
  <c r="F22" i="3"/>
  <c r="F27" i="2"/>
  <c r="H15" i="4"/>
  <c r="J15"/>
  <c r="L15"/>
  <c r="H14"/>
  <c r="J14"/>
  <c r="H8"/>
  <c r="J8"/>
  <c r="L8"/>
  <c r="M8"/>
  <c r="E8" i="7"/>
  <c r="M4"/>
  <c r="M8"/>
  <c r="F15" i="1"/>
  <c r="H15" s="1"/>
  <c r="J15" s="1"/>
  <c r="M15" i="4"/>
  <c r="M15" i="5"/>
  <c r="L15"/>
  <c r="H14"/>
  <c r="J14"/>
  <c r="F14" i="1"/>
  <c r="H14" s="1"/>
  <c r="J14" s="1"/>
  <c r="H8" i="5"/>
  <c r="F8" i="1"/>
  <c r="H8" s="1"/>
  <c r="J8" s="1"/>
  <c r="E27" i="2"/>
  <c r="F27" i="1"/>
  <c r="F27" i="5"/>
  <c r="D27"/>
  <c r="F45"/>
  <c r="F46"/>
  <c r="F47"/>
  <c r="F48"/>
  <c r="F46" i="3"/>
  <c r="F47"/>
  <c r="F48"/>
  <c r="G14"/>
  <c r="H14"/>
  <c r="H16" i="4"/>
  <c r="J16"/>
  <c r="H11"/>
  <c r="J11"/>
  <c r="H17"/>
  <c r="J17"/>
  <c r="M14"/>
  <c r="L14"/>
  <c r="H21"/>
  <c r="J21"/>
  <c r="H18"/>
  <c r="L21" i="3"/>
  <c r="M21"/>
  <c r="M18"/>
  <c r="L18"/>
  <c r="L17"/>
  <c r="M17"/>
  <c r="L16"/>
  <c r="M16"/>
  <c r="H15"/>
  <c r="J15"/>
  <c r="M11"/>
  <c r="L11"/>
  <c r="D28" i="5"/>
  <c r="F28"/>
  <c r="C28" i="2"/>
  <c r="F28" s="1"/>
  <c r="C28" i="1"/>
  <c r="E28" s="1"/>
  <c r="E28" i="5"/>
  <c r="F18"/>
  <c r="D18" i="2"/>
  <c r="F18" s="1"/>
  <c r="H18" s="1"/>
  <c r="J18" s="1"/>
  <c r="D18" i="1"/>
  <c r="J8" i="5"/>
  <c r="F21"/>
  <c r="D21" i="1"/>
  <c r="D21" i="2"/>
  <c r="F21" s="1"/>
  <c r="H21" s="1"/>
  <c r="J21" s="1"/>
  <c r="M14" i="5"/>
  <c r="L14"/>
  <c r="H22" i="3"/>
  <c r="J14"/>
  <c r="J22"/>
  <c r="M17" i="4"/>
  <c r="L17"/>
  <c r="M11"/>
  <c r="L11"/>
  <c r="M16"/>
  <c r="L16"/>
  <c r="J18"/>
  <c r="L21"/>
  <c r="M21"/>
  <c r="M15" i="3"/>
  <c r="L15"/>
  <c r="M14"/>
  <c r="M22"/>
  <c r="H21" i="5"/>
  <c r="J21"/>
  <c r="F21" i="1"/>
  <c r="H21" s="1"/>
  <c r="F16" i="5"/>
  <c r="D16" i="2"/>
  <c r="D16" i="1"/>
  <c r="L8" i="5"/>
  <c r="M8"/>
  <c r="H18"/>
  <c r="J18"/>
  <c r="F18" i="1"/>
  <c r="H18" s="1"/>
  <c r="J18" s="1"/>
  <c r="F17" i="5"/>
  <c r="D17" i="1"/>
  <c r="D17" i="2"/>
  <c r="F17" s="1"/>
  <c r="H17" s="1"/>
  <c r="J17" s="1"/>
  <c r="D28" i="1"/>
  <c r="D11"/>
  <c r="F11" i="5"/>
  <c r="D11" i="2"/>
  <c r="F11" s="1"/>
  <c r="H11" s="1"/>
  <c r="J11" s="1"/>
  <c r="L14" i="3"/>
  <c r="L22"/>
  <c r="L18" i="4"/>
  <c r="L22"/>
  <c r="M18"/>
  <c r="M22"/>
  <c r="H17" i="5"/>
  <c r="J17"/>
  <c r="F17" i="1"/>
  <c r="H17" s="1"/>
  <c r="J17" s="1"/>
  <c r="M18" i="5"/>
  <c r="L18"/>
  <c r="H11"/>
  <c r="F11" i="1"/>
  <c r="H11" s="1"/>
  <c r="J11" s="1"/>
  <c r="H16" i="5"/>
  <c r="J16"/>
  <c r="F16" i="2"/>
  <c r="B8" i="6"/>
  <c r="E8" s="1"/>
  <c r="F16" i="1"/>
  <c r="H16" s="1"/>
  <c r="J16" s="1"/>
  <c r="L21" i="5"/>
  <c r="M21"/>
  <c r="J11"/>
  <c r="H16" i="2"/>
  <c r="J16" s="1"/>
  <c r="L16" i="5"/>
  <c r="M16"/>
  <c r="M11"/>
  <c r="L11"/>
  <c r="M17"/>
  <c r="L17"/>
  <c r="L22"/>
  <c r="M22"/>
  <c r="E24" i="6"/>
  <c r="E12"/>
  <c r="E11"/>
  <c r="E26"/>
  <c r="E33"/>
  <c r="D9" i="2"/>
  <c r="F9" s="1"/>
  <c r="H9" s="1"/>
  <c r="J9" s="1"/>
  <c r="H9" i="5"/>
  <c r="F22"/>
  <c r="D9" i="1"/>
  <c r="F22" i="4"/>
  <c r="F9" i="1"/>
  <c r="H9" s="1"/>
  <c r="J9" s="1"/>
  <c r="E31" i="6"/>
  <c r="E32"/>
  <c r="J9" i="5"/>
  <c r="J22"/>
  <c r="H22"/>
  <c r="J9" i="4"/>
  <c r="J22"/>
  <c r="H22"/>
  <c r="F22" i="1"/>
  <c r="M15" i="7"/>
  <c r="F8"/>
  <c r="J11"/>
  <c r="L11"/>
  <c r="J4"/>
  <c r="L4"/>
  <c r="J13"/>
  <c r="L13"/>
  <c r="J6"/>
  <c r="L6"/>
  <c r="J12"/>
  <c r="L12"/>
  <c r="J5"/>
  <c r="L5"/>
  <c r="J14"/>
  <c r="L14"/>
  <c r="J7"/>
  <c r="L7"/>
  <c r="G7"/>
  <c r="I7"/>
  <c r="G5"/>
  <c r="I5"/>
  <c r="F15"/>
  <c r="G6"/>
  <c r="I6"/>
  <c r="G4"/>
  <c r="I4"/>
  <c r="G15"/>
  <c r="I15"/>
  <c r="G8"/>
  <c r="I8"/>
  <c r="J15"/>
  <c r="L15"/>
  <c r="J8"/>
  <c r="L8"/>
  <c r="B28" i="6"/>
  <c r="E28" s="1"/>
  <c r="E27"/>
  <c r="M17" i="1" l="1"/>
  <c r="L17"/>
  <c r="M18"/>
  <c r="L18"/>
  <c r="L7"/>
  <c r="M7"/>
  <c r="M16"/>
  <c r="L16"/>
  <c r="M14"/>
  <c r="L14"/>
  <c r="M15" i="2"/>
  <c r="L15"/>
  <c r="M8"/>
  <c r="L8"/>
  <c r="F22"/>
  <c r="H6"/>
  <c r="J6" i="1"/>
  <c r="H22"/>
  <c r="L9"/>
  <c r="M9"/>
  <c r="M11"/>
  <c r="L11"/>
  <c r="L16" i="2"/>
  <c r="M16"/>
  <c r="M18"/>
  <c r="L18"/>
  <c r="M11"/>
  <c r="L11"/>
  <c r="M17"/>
  <c r="L17"/>
  <c r="M21"/>
  <c r="L21"/>
  <c r="M8" i="1"/>
  <c r="L8"/>
  <c r="M15"/>
  <c r="L15"/>
  <c r="M14" i="2"/>
  <c r="L14"/>
  <c r="L7"/>
  <c r="M7"/>
  <c r="D28"/>
  <c r="B9" i="6"/>
  <c r="F28" i="1"/>
  <c r="E28" i="2"/>
  <c r="E27" i="1"/>
  <c r="L6" l="1"/>
  <c r="L22" s="1"/>
  <c r="J22"/>
  <c r="M6"/>
  <c r="M22" s="1"/>
  <c r="B29" i="6"/>
  <c r="E29" s="1"/>
  <c r="E35" s="1"/>
  <c r="E9"/>
  <c r="E15" s="1"/>
  <c r="H22" i="2"/>
  <c r="J6"/>
  <c r="L6" l="1"/>
  <c r="L22" s="1"/>
  <c r="J22"/>
  <c r="M6"/>
  <c r="M22" s="1"/>
</calcChain>
</file>

<file path=xl/comments1.xml><?xml version="1.0" encoding="utf-8"?>
<comments xmlns="http://schemas.openxmlformats.org/spreadsheetml/2006/main">
  <authors>
    <author>cheryl.thompson</author>
  </authors>
  <commentList>
    <comment ref="B14" authorId="0">
      <text>
        <r>
          <rPr>
            <b/>
            <sz val="8"/>
            <color indexed="81"/>
            <rFont val="Tahoma"/>
            <charset val="1"/>
          </rPr>
          <t>cheryl.thompson:</t>
        </r>
        <r>
          <rPr>
            <sz val="8"/>
            <color indexed="81"/>
            <rFont val="Tahoma"/>
            <charset val="1"/>
          </rPr>
          <t xml:space="preserve">
Recommend including (and all Required Certifications)
</t>
        </r>
      </text>
    </comment>
  </commentList>
</comments>
</file>

<file path=xl/comments2.xml><?xml version="1.0" encoding="utf-8"?>
<comments xmlns="http://schemas.openxmlformats.org/spreadsheetml/2006/main">
  <authors>
    <author>krmeardon</author>
  </authors>
  <commentList>
    <comment ref="F10" authorId="0">
      <text>
        <r>
          <rPr>
            <b/>
            <sz val="8"/>
            <color indexed="81"/>
            <rFont val="Tahoma"/>
            <family val="2"/>
          </rPr>
          <t>krmeardon:</t>
        </r>
        <r>
          <rPr>
            <sz val="8"/>
            <color indexed="81"/>
            <rFont val="Tahoma"/>
            <family val="2"/>
          </rPr>
          <t xml:space="preserve">
Assumes 95% of new applicants will be eligible and will participate</t>
        </r>
      </text>
    </comment>
    <comment ref="H10" authorId="0">
      <text>
        <r>
          <rPr>
            <b/>
            <sz val="8"/>
            <color indexed="81"/>
            <rFont val="Tahoma"/>
            <family val="2"/>
          </rPr>
          <t>krmeardon:</t>
        </r>
        <r>
          <rPr>
            <sz val="8"/>
            <color indexed="81"/>
            <rFont val="Tahoma"/>
            <family val="2"/>
          </rPr>
          <t xml:space="preserve">
Assumes 95% of new applicants will be eligible and will participate</t>
        </r>
      </text>
    </comment>
    <comment ref="K10" authorId="0">
      <text>
        <r>
          <rPr>
            <b/>
            <sz val="8"/>
            <color indexed="81"/>
            <rFont val="Tahoma"/>
            <family val="2"/>
          </rPr>
          <t>krmeardon:</t>
        </r>
        <r>
          <rPr>
            <sz val="8"/>
            <color indexed="81"/>
            <rFont val="Tahoma"/>
            <family val="2"/>
          </rPr>
          <t xml:space="preserve">
Assumes 95% of new applicants will be eligible and will participate</t>
        </r>
      </text>
    </comment>
    <comment ref="D18" authorId="0">
      <text>
        <r>
          <rPr>
            <b/>
            <sz val="8"/>
            <color indexed="81"/>
            <rFont val="Tahoma"/>
            <family val="2"/>
          </rPr>
          <t>krmeardon:</t>
        </r>
        <r>
          <rPr>
            <sz val="8"/>
            <color indexed="81"/>
            <rFont val="Tahoma"/>
            <family val="2"/>
          </rPr>
          <t xml:space="preserve">
assumes 75% of advanced biofuel producers apply for the program</t>
        </r>
      </text>
    </comment>
  </commentList>
</comments>
</file>

<file path=xl/sharedStrings.xml><?xml version="1.0" encoding="utf-8"?>
<sst xmlns="http://schemas.openxmlformats.org/spreadsheetml/2006/main" count="465" uniqueCount="157">
  <si>
    <t>No. of Respondents</t>
  </si>
  <si>
    <t>Estimated No. of Manhours per response</t>
  </si>
  <si>
    <t>Wage** Class</t>
  </si>
  <si>
    <t>(A)</t>
  </si>
  <si>
    <t>(B)</t>
  </si>
  <si>
    <t>(C)</t>
  </si>
  <si>
    <t>(D)</t>
  </si>
  <si>
    <t>(E)</t>
  </si>
  <si>
    <t>(F)</t>
  </si>
  <si>
    <t>(G)</t>
  </si>
  <si>
    <t>(H)</t>
  </si>
  <si>
    <t>(I)</t>
  </si>
  <si>
    <t xml:space="preserve">USDA Rural Business-Cooperative Service </t>
  </si>
  <si>
    <t>Title</t>
  </si>
  <si>
    <t>Form No. (if any)</t>
  </si>
  <si>
    <t>Assurance Agreement</t>
  </si>
  <si>
    <t>RD 400-4 (0575-0018)</t>
  </si>
  <si>
    <t>written</t>
  </si>
  <si>
    <t>Totals</t>
  </si>
  <si>
    <t>Disclosure of Lobbying Activities</t>
  </si>
  <si>
    <t>SF LLL (0348-0046)</t>
  </si>
  <si>
    <t>Recordkeeping</t>
  </si>
  <si>
    <t>Reporting - No Forms Approved Under this Docket</t>
  </si>
  <si>
    <t>Forms Approved Under Other OMB Numbers</t>
  </si>
  <si>
    <t>Reports Filed</t>
  </si>
  <si>
    <t>Reporting - Forms Approved Under this Docket</t>
  </si>
  <si>
    <t>Section of Rule</t>
  </si>
  <si>
    <t>Appeals</t>
  </si>
  <si>
    <t>Succession request</t>
  </si>
  <si>
    <t>Advanced Biofuel Payment Program Annual Application</t>
  </si>
  <si>
    <t>Advanced Biofuel Payment Program Contract</t>
  </si>
  <si>
    <t>Advanced Biofuel Payment Program - Payment Request</t>
  </si>
  <si>
    <t>Additional information (10% of the applicants)</t>
  </si>
  <si>
    <t>Number</t>
  </si>
  <si>
    <t>Percent</t>
  </si>
  <si>
    <t>Total Program Assumption on Number of Applicants, Participating Applicants, and Distribution among applicant type</t>
  </si>
  <si>
    <t>Private individuals</t>
  </si>
  <si>
    <t>Private not individuals</t>
  </si>
  <si>
    <t>S/L gov/Tribes</t>
  </si>
  <si>
    <t>Number of applicants</t>
  </si>
  <si>
    <t>Number of participating advanced biofuel producers</t>
  </si>
  <si>
    <t>FOOTNOTES:</t>
  </si>
  <si>
    <t>Appeals and Succession Requests</t>
  </si>
  <si>
    <t>Number of Contracts</t>
  </si>
  <si>
    <t>Payment Requests</t>
  </si>
  <si>
    <t>Item</t>
  </si>
  <si>
    <t>Hours per item</t>
  </si>
  <si>
    <t>Rate*</t>
  </si>
  <si>
    <t>Total Cost</t>
  </si>
  <si>
    <t>NOTES</t>
  </si>
  <si>
    <t>Determine producer eligibility</t>
  </si>
  <si>
    <t>Review contract forms</t>
  </si>
  <si>
    <t>Process payment applications</t>
  </si>
  <si>
    <t>Determine payment application eligibility (e.g., fuel eligibility)</t>
  </si>
  <si>
    <t>Determine annual payment amounts</t>
  </si>
  <si>
    <t>Review succession requests</t>
  </si>
  <si>
    <t>Conduct site visits</t>
  </si>
  <si>
    <t>Total</t>
  </si>
  <si>
    <t>*based on 2009 GS Grade 12, step 6 (DC location)</t>
  </si>
  <si>
    <t>Equal to the number of new applicants</t>
  </si>
  <si>
    <t>Equal to the number of payment requests</t>
  </si>
  <si>
    <t>Equal to the number of new contracts</t>
  </si>
  <si>
    <t>Equals the number of participating producers</t>
  </si>
  <si>
    <t>Assumes 6 appeals and 6 succession requests.</t>
  </si>
  <si>
    <t>Burden Estimate for 9005 - Advanced Biofuel Payment Program - Year 3</t>
  </si>
  <si>
    <t>Burden Estimate for 9005 - Advanced Biofuel Payment Program - Year 2</t>
  </si>
  <si>
    <t>4288.120(a)</t>
  </si>
  <si>
    <t>4288.121(a)</t>
  </si>
  <si>
    <t>4288.130(a)</t>
  </si>
  <si>
    <t>RD 4288-2</t>
  </si>
  <si>
    <t>RD 4288-3</t>
  </si>
  <si>
    <t>4288.137(a)</t>
  </si>
  <si>
    <t>RD 4288-1</t>
  </si>
  <si>
    <t>Burden Estimate for 9005 - Advanced Biofuel Payment Program - 3-Year Average Rollup</t>
  </si>
  <si>
    <t>Fed Gov Cost for 9005 - Advanced Biofuel Payment Program - Total Rollup</t>
  </si>
  <si>
    <t>Fed Gov Cost for 9005 - Advanced Biofuel Payment Program - 3-Year Average</t>
  </si>
  <si>
    <t>Burden Estimate for 9005 - Advanced Biofuel Payment Program - Total Rollup</t>
  </si>
  <si>
    <t>Burden Estimate for 9005 - Advanced Biofuel Payment Program - Year 1</t>
  </si>
  <si>
    <t>Number of Applications</t>
  </si>
  <si>
    <t>Administrative</t>
  </si>
  <si>
    <t>See footnote a</t>
  </si>
  <si>
    <t>Footnote a</t>
  </si>
  <si>
    <t>This line item addresses the estimated cost for developing, implementing, and administerting 9005.  The estimate includes cost incurred by USDA staff and other Federal agency groups (e.g., OMB) and contractors (rule development, regulatory impact analysis).</t>
  </si>
  <si>
    <t>Number of Items</t>
  </si>
  <si>
    <t>Cost</t>
  </si>
  <si>
    <t>(J)</t>
  </si>
  <si>
    <t>Total Responses  (D X E)</t>
  </si>
  <si>
    <t>Estimated Total Manhours (F) x (G)</t>
  </si>
  <si>
    <t>Total Cost  (H) x (I)</t>
  </si>
  <si>
    <t>Total Responses  (D) X (E)</t>
  </si>
  <si>
    <t xml:space="preserve">Estimated Total Manhours  (F) x (E) </t>
  </si>
  <si>
    <t>Total Responses  (D) x (E)</t>
  </si>
  <si>
    <t>Estimated Total Manhours  (F) x (G)</t>
  </si>
  <si>
    <t xml:space="preserve">No. of Respondents </t>
  </si>
  <si>
    <t>Total Responses (D) x (E)</t>
  </si>
  <si>
    <t xml:space="preserve">Total Responses  (D) x (E)   </t>
  </si>
  <si>
    <t xml:space="preserve">Estimated Total Manhours (F) x (G) </t>
  </si>
  <si>
    <t>Certification for Contracts, Grants and Loans</t>
  </si>
  <si>
    <t>RD 1940-Q, Exhibit A-1</t>
  </si>
  <si>
    <t>Certificationn for Contracts, Grants and Loans</t>
  </si>
  <si>
    <t>Contracts entered into with each of the new eligible producers.</t>
  </si>
  <si>
    <t>varies</t>
  </si>
  <si>
    <t>RD 4288-1 Hours:</t>
  </si>
  <si>
    <t>Assumes 3% of the respondents will submit documentation that woody feedstocks cannot be used</t>
  </si>
  <si>
    <t>for a higher value end use.  This documentation is estimated to take one hour.</t>
  </si>
  <si>
    <t>Respondents</t>
  </si>
  <si>
    <t>Respondents with doc on woody feedstocks</t>
  </si>
  <si>
    <t>Total hours</t>
  </si>
  <si>
    <t>Hours per respondent</t>
  </si>
  <si>
    <t>4288.110(b)</t>
  </si>
  <si>
    <t>Equal to the number of new applicants; includes 0.5 hours per application to review the 20 applications with documentation that woody feedstocks cannot be used in higher value product</t>
  </si>
  <si>
    <t>Type of Biofuel</t>
  </si>
  <si>
    <t>FY2009</t>
  </si>
  <si>
    <t>FY2010</t>
  </si>
  <si>
    <t>FY2011</t>
  </si>
  <si>
    <t>FY2012</t>
  </si>
  <si>
    <t>Applicants</t>
  </si>
  <si>
    <t>Participants</t>
  </si>
  <si>
    <t>All</t>
  </si>
  <si>
    <t>Biodiesel</t>
  </si>
  <si>
    <t>ethanol</t>
  </si>
  <si>
    <t>biogas</t>
  </si>
  <si>
    <t>other</t>
  </si>
  <si>
    <t>From previous FY</t>
  </si>
  <si>
    <t>New for current FY</t>
  </si>
  <si>
    <t>Total Applicants</t>
  </si>
  <si>
    <t>Total number of advanced biofuel producers</t>
  </si>
  <si>
    <t>rural</t>
  </si>
  <si>
    <t>nonrural</t>
  </si>
  <si>
    <t>unknown</t>
  </si>
  <si>
    <t>assume 95% of new applicants will be eligible and participate</t>
  </si>
  <si>
    <t>assume 100% of participants will carry over to the next FY</t>
  </si>
  <si>
    <t>FY2010 Total</t>
  </si>
  <si>
    <t>The 141 producers will each submit 1 payment request for FY 2009.</t>
  </si>
  <si>
    <t>3 percent of 180</t>
  </si>
  <si>
    <t>Assumes all 80 biodiesel producers, all 41 ethanol producers, all 16 biogas producers, and all 4 other producers from FY 2009 apply plus an additional 180 new applicants, of which all 171 are eligible participants.  These 180 new applicants are:  100 biodiesel, 24 biogas, 50 ethanol, and 6 other.</t>
  </si>
  <si>
    <t>3 percent of 321</t>
  </si>
  <si>
    <t>Assumes the 312 participants from FY 2010 apply plus an additional 93 new applicants, all of which 88 are eligible participants.    These 93 new applicants are:  52 biodiesel, 12 biogas, 26 ethanol, and 3 other.</t>
  </si>
  <si>
    <t>The 400 producers will each submit 4 payment requests for FY 2011.</t>
  </si>
  <si>
    <t>Applies to each of the 400 producers with whom the Agency has contracts.</t>
  </si>
  <si>
    <t>Contracts entered into with each of the 171 new eligible producers plus the 141 previous producers who only had one year contracts.</t>
  </si>
  <si>
    <t>The 312 producers will each submit 4 payment requests for FY 2010.</t>
  </si>
  <si>
    <t>Applies to each of the 312 producers with whom the Agency has contracts.</t>
  </si>
  <si>
    <t>Contracts entered into with each of the 88 new eligible producers; previous producers have multiyear contracts and thus would not incur this burden in this fiscal year.</t>
  </si>
  <si>
    <t>Applies to each of the 141 producers with whom the Agency has contracts.</t>
  </si>
  <si>
    <t>3 percent of 405</t>
  </si>
  <si>
    <t>Production information</t>
  </si>
  <si>
    <t>Review production documentation for production estimates</t>
  </si>
  <si>
    <t>Assumes 40% of the 312 year 2 participants and all 93 new applicants submit documentation</t>
  </si>
  <si>
    <t>Assumes 40% of the 141 year 1 participants and all 180 applicants submit documentation</t>
  </si>
  <si>
    <t>Based on NOFA applications of about 180 with 141eligible participants.  Based on the 141 eligible applications - 80 are biodiesel, 16 are biogas, 41 are ethanol, and 4 are others.</t>
  </si>
  <si>
    <t>This information was not requested under the NOFA.  Thus, no respondents.</t>
  </si>
  <si>
    <t>4280.120(a)(4)</t>
  </si>
  <si>
    <t>4288.120(a)(5)(ii)</t>
  </si>
  <si>
    <t>4288.120(a)(5)(i)</t>
  </si>
  <si>
    <t>4288.120(a)(5)(iii)</t>
  </si>
  <si>
    <t>Review contract validity</t>
  </si>
</sst>
</file>

<file path=xl/styles.xml><?xml version="1.0" encoding="utf-8"?>
<styleSheet xmlns="http://schemas.openxmlformats.org/spreadsheetml/2006/main">
  <numFmts count="3">
    <numFmt numFmtId="6" formatCode="&quot;$&quot;#,##0_);[Red]\(&quot;$&quot;#,##0\)"/>
    <numFmt numFmtId="43" formatCode="_(* #,##0.00_);_(* \(#,##0.00\);_(* &quot;-&quot;??_);_(@_)"/>
    <numFmt numFmtId="164" formatCode="&quot;$&quot;#,##0"/>
  </numFmts>
  <fonts count="16">
    <font>
      <sz val="10"/>
      <name val="Arial"/>
    </font>
    <font>
      <b/>
      <sz val="10"/>
      <name val="Arial"/>
    </font>
    <font>
      <sz val="8"/>
      <name val="Arial"/>
      <family val="2"/>
    </font>
    <font>
      <b/>
      <sz val="10"/>
      <name val="Arial"/>
      <family val="2"/>
    </font>
    <font>
      <sz val="10"/>
      <name val="Arial"/>
      <family val="2"/>
    </font>
    <font>
      <b/>
      <sz val="10"/>
      <name val="Arial Narrow"/>
      <family val="2"/>
    </font>
    <font>
      <sz val="10"/>
      <name val="Arial Narrow"/>
      <family val="2"/>
    </font>
    <font>
      <sz val="11"/>
      <name val="Arial"/>
      <family val="2"/>
    </font>
    <font>
      <sz val="10"/>
      <color indexed="10"/>
      <name val="Arial"/>
      <family val="2"/>
    </font>
    <font>
      <sz val="8"/>
      <name val="Arial"/>
    </font>
    <font>
      <sz val="8"/>
      <color indexed="81"/>
      <name val="Tahoma"/>
      <charset val="1"/>
    </font>
    <font>
      <b/>
      <sz val="8"/>
      <color indexed="81"/>
      <name val="Tahoma"/>
      <charset val="1"/>
    </font>
    <font>
      <sz val="8"/>
      <color indexed="81"/>
      <name val="Tahoma"/>
      <family val="2"/>
    </font>
    <font>
      <b/>
      <sz val="8"/>
      <color indexed="81"/>
      <name val="Tahoma"/>
      <family val="2"/>
    </font>
    <font>
      <sz val="10"/>
      <color rgb="FF00B050"/>
      <name val="Arial"/>
      <family val="2"/>
    </font>
    <font>
      <b/>
      <sz val="10"/>
      <color rgb="FF00B05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4" fillId="0" borderId="1" xfId="0" applyFont="1" applyFill="1" applyBorder="1" applyAlignment="1">
      <alignment horizontal="center" wrapText="1"/>
    </xf>
    <xf numFmtId="0" fontId="4" fillId="0" borderId="1" xfId="0" applyFont="1" applyFill="1" applyBorder="1" applyAlignment="1">
      <alignment horizontal="center"/>
    </xf>
    <xf numFmtId="1" fontId="4" fillId="0" borderId="1" xfId="1" applyNumberFormat="1" applyFont="1" applyFill="1" applyBorder="1" applyAlignment="1">
      <alignment horizontal="center"/>
    </xf>
    <xf numFmtId="3" fontId="4" fillId="0" borderId="1" xfId="1" applyNumberFormat="1" applyFont="1" applyFill="1" applyBorder="1" applyAlignment="1">
      <alignment horizontal="center"/>
    </xf>
    <xf numFmtId="1" fontId="4" fillId="0" borderId="1" xfId="0" applyNumberFormat="1" applyFont="1" applyFill="1" applyBorder="1" applyAlignment="1">
      <alignment horizontal="center"/>
    </xf>
    <xf numFmtId="3" fontId="4" fillId="0" borderId="1" xfId="0" applyNumberFormat="1" applyFont="1" applyFill="1" applyBorder="1" applyAlignment="1">
      <alignment horizontal="center"/>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3" fontId="4" fillId="0" borderId="1" xfId="0" applyNumberFormat="1" applyFont="1" applyFill="1" applyBorder="1" applyAlignment="1">
      <alignment horizontal="center" vertical="top"/>
    </xf>
    <xf numFmtId="1" fontId="4" fillId="0" borderId="1" xfId="0" applyNumberFormat="1" applyFont="1" applyFill="1" applyBorder="1" applyAlignment="1">
      <alignment horizontal="center" vertical="top"/>
    </xf>
    <xf numFmtId="0" fontId="3" fillId="0" borderId="1" xfId="0" applyFont="1" applyFill="1" applyBorder="1" applyAlignment="1">
      <alignment vertical="top" wrapText="1"/>
    </xf>
    <xf numFmtId="3" fontId="3" fillId="0" borderId="1" xfId="0" applyNumberFormat="1" applyFont="1" applyFill="1" applyBorder="1" applyAlignment="1">
      <alignment horizontal="center" vertical="top"/>
    </xf>
    <xf numFmtId="0" fontId="4" fillId="0" borderId="0" xfId="0" applyFont="1" applyFill="1" applyBorder="1"/>
    <xf numFmtId="3" fontId="4" fillId="0" borderId="0" xfId="0" applyNumberFormat="1" applyFont="1" applyFill="1" applyBorder="1"/>
    <xf numFmtId="0" fontId="4" fillId="0" borderId="0" xfId="0" applyFont="1" applyFill="1" applyBorder="1" applyAlignment="1">
      <alignment wrapText="1"/>
    </xf>
    <xf numFmtId="3" fontId="4" fillId="0" borderId="0" xfId="1" applyNumberFormat="1" applyFont="1" applyFill="1" applyBorder="1" applyAlignment="1">
      <alignment horizontal="center"/>
    </xf>
    <xf numFmtId="0" fontId="3" fillId="0" borderId="1" xfId="0" applyFont="1" applyFill="1" applyBorder="1" applyAlignment="1">
      <alignment horizontal="center" wrapText="1"/>
    </xf>
    <xf numFmtId="3" fontId="3" fillId="0" borderId="1" xfId="1" applyNumberFormat="1"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0" xfId="0" applyFont="1" applyFill="1" applyBorder="1" applyAlignment="1">
      <alignment vertical="top"/>
    </xf>
    <xf numFmtId="0" fontId="3" fillId="0" borderId="0" xfId="0" applyFont="1" applyFill="1" applyBorder="1" applyAlignment="1">
      <alignment vertical="top" wrapText="1"/>
    </xf>
    <xf numFmtId="0" fontId="4" fillId="0" borderId="0" xfId="0" applyFont="1" applyFill="1" applyBorder="1" applyAlignment="1">
      <alignment vertical="top" wrapText="1"/>
    </xf>
    <xf numFmtId="164" fontId="4" fillId="0" borderId="1" xfId="0" applyNumberFormat="1" applyFont="1" applyFill="1" applyBorder="1" applyAlignment="1">
      <alignment horizontal="right" vertical="top"/>
    </xf>
    <xf numFmtId="0" fontId="4" fillId="0" borderId="0" xfId="0" applyFont="1" applyFill="1" applyBorder="1" applyAlignment="1"/>
    <xf numFmtId="0" fontId="4" fillId="0" borderId="2" xfId="0" applyFont="1" applyFill="1" applyBorder="1" applyAlignment="1">
      <alignment horizontal="center" vertical="top"/>
    </xf>
    <xf numFmtId="3" fontId="4" fillId="0" borderId="0" xfId="0" applyNumberFormat="1" applyFont="1" applyFill="1" applyBorder="1" applyAlignment="1"/>
    <xf numFmtId="0" fontId="4" fillId="0" borderId="0" xfId="0" applyFont="1" applyFill="1"/>
    <xf numFmtId="1" fontId="3" fillId="0" borderId="1" xfId="0" applyNumberFormat="1" applyFont="1" applyFill="1" applyBorder="1" applyAlignment="1">
      <alignment horizontal="center" vertical="top"/>
    </xf>
    <xf numFmtId="164" fontId="4" fillId="0" borderId="1" xfId="0" applyNumberFormat="1" applyFont="1" applyFill="1" applyBorder="1" applyAlignment="1">
      <alignment horizontal="center"/>
    </xf>
    <xf numFmtId="164" fontId="4" fillId="0" borderId="1" xfId="0" applyNumberFormat="1" applyFont="1" applyFill="1" applyBorder="1" applyAlignment="1">
      <alignment horizontal="center" vertical="top"/>
    </xf>
    <xf numFmtId="0" fontId="4" fillId="0" borderId="0" xfId="0" applyNumberFormat="1" applyFont="1" applyFill="1" applyBorder="1" applyAlignment="1" applyProtection="1">
      <protection locked="0"/>
    </xf>
    <xf numFmtId="0" fontId="4" fillId="0" borderId="0" xfId="0" applyNumberFormat="1" applyFont="1" applyFill="1" applyBorder="1" applyAlignment="1" applyProtection="1">
      <alignment horizontal="center"/>
      <protection locked="0"/>
    </xf>
    <xf numFmtId="3" fontId="4" fillId="0" borderId="1" xfId="1" applyNumberFormat="1" applyFont="1" applyFill="1" applyBorder="1" applyAlignment="1">
      <alignment horizontal="center" vertical="top"/>
    </xf>
    <xf numFmtId="1" fontId="4" fillId="0" borderId="1" xfId="1" applyNumberFormat="1" applyFont="1" applyFill="1" applyBorder="1" applyAlignment="1">
      <alignment horizontal="center" vertical="top"/>
    </xf>
    <xf numFmtId="164" fontId="3" fillId="0" borderId="0" xfId="0" applyNumberFormat="1" applyFont="1" applyFill="1"/>
    <xf numFmtId="0" fontId="4" fillId="0" borderId="1" xfId="0" applyFont="1" applyFill="1" applyBorder="1" applyAlignment="1">
      <alignment vertical="center" wrapText="1"/>
    </xf>
    <xf numFmtId="3" fontId="4" fillId="0" borderId="0" xfId="0" applyNumberFormat="1" applyFont="1" applyFill="1" applyBorder="1" applyAlignment="1">
      <alignment vertical="top"/>
    </xf>
    <xf numFmtId="0" fontId="4" fillId="0" borderId="0" xfId="0" applyFont="1" applyFill="1" applyBorder="1" applyAlignment="1">
      <alignment horizontal="center" vertical="top" wrapText="1"/>
    </xf>
    <xf numFmtId="10" fontId="4" fillId="0" borderId="0" xfId="0" applyNumberFormat="1"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right" vertical="top" wrapText="1"/>
    </xf>
    <xf numFmtId="0" fontId="4" fillId="0" borderId="0" xfId="0" applyFont="1" applyAlignment="1">
      <alignment vertical="top" wrapText="1"/>
    </xf>
    <xf numFmtId="0" fontId="3" fillId="0" borderId="0" xfId="0" applyFont="1" applyFill="1" applyBorder="1" applyAlignment="1">
      <alignment horizontal="right" vertical="top"/>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vertical="top"/>
    </xf>
    <xf numFmtId="3" fontId="6" fillId="0" borderId="0" xfId="0" applyNumberFormat="1" applyFont="1" applyFill="1" applyBorder="1" applyAlignment="1">
      <alignment vertical="top"/>
    </xf>
    <xf numFmtId="0" fontId="6" fillId="0" borderId="3" xfId="0" applyFont="1" applyFill="1" applyBorder="1"/>
    <xf numFmtId="0" fontId="6" fillId="0" borderId="4" xfId="0" applyFont="1" applyFill="1" applyBorder="1" applyAlignment="1">
      <alignment horizontal="center" vertical="top" wrapText="1"/>
    </xf>
    <xf numFmtId="0" fontId="6" fillId="0" borderId="4" xfId="0" applyFont="1" applyFill="1" applyBorder="1"/>
    <xf numFmtId="164" fontId="6" fillId="0" borderId="4" xfId="0" applyNumberFormat="1" applyFont="1" applyFill="1" applyBorder="1"/>
    <xf numFmtId="164" fontId="5" fillId="0" borderId="4" xfId="0" applyNumberFormat="1" applyFont="1" applyFill="1" applyBorder="1"/>
    <xf numFmtId="0" fontId="5" fillId="0" borderId="0" xfId="0" applyFont="1" applyFill="1" applyBorder="1"/>
    <xf numFmtId="0" fontId="6" fillId="0" borderId="0" xfId="0" applyFont="1" applyFill="1" applyBorder="1"/>
    <xf numFmtId="164" fontId="5" fillId="0" borderId="1" xfId="0" applyNumberFormat="1" applyFont="1" applyFill="1" applyBorder="1"/>
    <xf numFmtId="0" fontId="0" fillId="0" borderId="0" xfId="0" applyAlignment="1">
      <alignment horizontal="center" vertical="center" wrapText="1"/>
    </xf>
    <xf numFmtId="0" fontId="4" fillId="0" borderId="0" xfId="0" applyFont="1"/>
    <xf numFmtId="0" fontId="7" fillId="0" borderId="0" xfId="0" applyFont="1" applyFill="1" applyBorder="1"/>
    <xf numFmtId="0" fontId="3" fillId="0" borderId="1" xfId="0" applyFont="1" applyFill="1" applyBorder="1" applyAlignment="1">
      <alignment horizontal="left" vertical="top"/>
    </xf>
    <xf numFmtId="3" fontId="3" fillId="0" borderId="1" xfId="0" applyNumberFormat="1" applyFont="1" applyFill="1" applyBorder="1"/>
    <xf numFmtId="164" fontId="3" fillId="0" borderId="1" xfId="0" applyNumberFormat="1" applyFont="1" applyFill="1" applyBorder="1" applyAlignment="1">
      <alignment horizontal="center"/>
    </xf>
    <xf numFmtId="0" fontId="4" fillId="0" borderId="1" xfId="0" applyFont="1" applyFill="1" applyBorder="1"/>
    <xf numFmtId="1" fontId="3" fillId="0" borderId="1" xfId="0" applyNumberFormat="1" applyFont="1" applyFill="1" applyBorder="1" applyAlignment="1">
      <alignment horizontal="center"/>
    </xf>
    <xf numFmtId="37" fontId="3" fillId="0" borderId="1" xfId="0" applyNumberFormat="1" applyFont="1" applyFill="1" applyBorder="1" applyAlignment="1" applyProtection="1">
      <alignment horizontal="left"/>
    </xf>
    <xf numFmtId="0" fontId="3" fillId="0" borderId="1" xfId="0" applyFont="1" applyFill="1" applyBorder="1" applyAlignment="1">
      <alignment wrapText="1"/>
    </xf>
    <xf numFmtId="3" fontId="3" fillId="0" borderId="1" xfId="0" applyNumberFormat="1" applyFont="1" applyFill="1" applyBorder="1" applyAlignment="1">
      <alignment horizontal="center"/>
    </xf>
    <xf numFmtId="3" fontId="3" fillId="0" borderId="1" xfId="0" applyNumberFormat="1" applyFont="1" applyFill="1" applyBorder="1" applyAlignment="1"/>
    <xf numFmtId="164" fontId="3" fillId="0" borderId="1" xfId="0" applyNumberFormat="1" applyFont="1" applyFill="1" applyBorder="1" applyAlignment="1"/>
    <xf numFmtId="0" fontId="4" fillId="0" borderId="1" xfId="0" applyFont="1" applyFill="1" applyBorder="1" applyAlignment="1">
      <alignment horizontal="left" vertical="top" wrapText="1"/>
    </xf>
    <xf numFmtId="0" fontId="4" fillId="0" borderId="1" xfId="0" applyFont="1" applyFill="1" applyBorder="1" applyAlignment="1">
      <alignment wrapText="1"/>
    </xf>
    <xf numFmtId="3" fontId="4" fillId="0" borderId="1" xfId="0" applyNumberFormat="1" applyFont="1" applyFill="1" applyBorder="1"/>
    <xf numFmtId="164" fontId="3" fillId="0" borderId="1" xfId="0" applyNumberFormat="1" applyFont="1" applyFill="1" applyBorder="1" applyAlignment="1">
      <alignment horizontal="center" vertical="top"/>
    </xf>
    <xf numFmtId="0" fontId="4" fillId="0" borderId="1" xfId="0" applyNumberFormat="1" applyFont="1" applyFill="1" applyBorder="1" applyAlignment="1" applyProtection="1">
      <alignment horizontal="center"/>
      <protection locked="0"/>
    </xf>
    <xf numFmtId="164" fontId="4" fillId="0" borderId="1" xfId="0" applyNumberFormat="1" applyFont="1" applyFill="1" applyBorder="1" applyAlignment="1"/>
    <xf numFmtId="0" fontId="4" fillId="0" borderId="1" xfId="0" applyFont="1" applyFill="1" applyBorder="1" applyAlignment="1"/>
    <xf numFmtId="0"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xf numFmtId="0" fontId="4" fillId="0" borderId="1" xfId="0" applyFont="1" applyBorder="1"/>
    <xf numFmtId="6" fontId="0" fillId="0" borderId="1" xfId="0" applyNumberFormat="1" applyBorder="1"/>
    <xf numFmtId="0" fontId="3" fillId="0" borderId="1" xfId="0" applyFont="1" applyBorder="1" applyAlignment="1">
      <alignment horizontal="center"/>
    </xf>
    <xf numFmtId="0" fontId="8" fillId="0" borderId="0" xfId="0" applyNumberFormat="1" applyFont="1" applyFill="1" applyBorder="1" applyAlignment="1" applyProtection="1">
      <protection locked="0"/>
    </xf>
    <xf numFmtId="164" fontId="7" fillId="0" borderId="1" xfId="0" applyNumberFormat="1" applyFont="1" applyFill="1" applyBorder="1"/>
    <xf numFmtId="0" fontId="7" fillId="0" borderId="0" xfId="0" applyFont="1" applyFill="1" applyBorder="1" applyAlignment="1">
      <alignment horizontal="right" vertical="top"/>
    </xf>
    <xf numFmtId="0" fontId="0" fillId="0" borderId="0" xfId="0" applyFill="1"/>
    <xf numFmtId="0" fontId="4" fillId="0" borderId="1" xfId="0" applyFont="1" applyBorder="1" applyAlignment="1">
      <alignment horizontal="center" vertical="center" wrapText="1"/>
    </xf>
    <xf numFmtId="164" fontId="6" fillId="0" borderId="0" xfId="0" applyNumberFormat="1" applyFont="1" applyFill="1" applyBorder="1"/>
    <xf numFmtId="164" fontId="5" fillId="0" borderId="0" xfId="0" applyNumberFormat="1" applyFont="1" applyFill="1" applyBorder="1"/>
    <xf numFmtId="1" fontId="4" fillId="0" borderId="0" xfId="0" applyNumberFormat="1" applyFont="1" applyFill="1" applyBorder="1" applyAlignment="1">
      <alignment vertical="top"/>
    </xf>
    <xf numFmtId="0" fontId="0" fillId="0" borderId="0" xfId="0" applyAlignment="1">
      <alignment horizontal="right"/>
    </xf>
    <xf numFmtId="0" fontId="0" fillId="0" borderId="0" xfId="0"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vertical="top"/>
    </xf>
    <xf numFmtId="0" fontId="14" fillId="0" borderId="0" xfId="0" applyFont="1" applyAlignment="1">
      <alignment horizontal="center"/>
    </xf>
    <xf numFmtId="0" fontId="3" fillId="0" borderId="0" xfId="0" applyFont="1"/>
    <xf numFmtId="0" fontId="3" fillId="0" borderId="0" xfId="0" applyFont="1" applyAlignment="1">
      <alignment horizontal="center"/>
    </xf>
    <xf numFmtId="0" fontId="15" fillId="0" borderId="0" xfId="0" applyFont="1" applyAlignment="1">
      <alignment horizontal="center"/>
    </xf>
    <xf numFmtId="0" fontId="14" fillId="0" borderId="0" xfId="0" applyFont="1"/>
    <xf numFmtId="1" fontId="0" fillId="0" borderId="0" xfId="0" applyNumberFormat="1" applyAlignment="1">
      <alignment horizontal="center"/>
    </xf>
    <xf numFmtId="0" fontId="4" fillId="0" borderId="0" xfId="0" applyFont="1" applyFill="1" applyBorder="1" applyAlignment="1">
      <alignment horizontal="center" vertical="top"/>
    </xf>
    <xf numFmtId="0" fontId="4" fillId="0" borderId="0" xfId="0" applyFont="1" applyFill="1" applyBorder="1" applyAlignment="1">
      <alignment vertical="top" wrapText="1"/>
    </xf>
    <xf numFmtId="0" fontId="0" fillId="0" borderId="0" xfId="0" applyAlignment="1">
      <alignment vertical="top" wrapText="1"/>
    </xf>
    <xf numFmtId="0" fontId="4" fillId="0" borderId="0" xfId="0" applyFont="1" applyAlignment="1">
      <alignment vertical="top" wrapText="1"/>
    </xf>
    <xf numFmtId="0" fontId="0" fillId="0" borderId="0" xfId="0" applyAlignment="1">
      <alignment vertical="top"/>
    </xf>
    <xf numFmtId="0" fontId="7" fillId="0" borderId="5" xfId="0" applyFon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sheetPr>
    <pageSetUpPr fitToPage="1"/>
  </sheetPr>
  <dimension ref="A1:N30"/>
  <sheetViews>
    <sheetView tabSelected="1" topLeftCell="A4" zoomScale="80" zoomScaleNormal="80" zoomScaleSheetLayoutView="75" workbookViewId="0">
      <selection activeCell="G25" sqref="G25:I25"/>
    </sheetView>
  </sheetViews>
  <sheetFormatPr defaultRowHeight="12.75"/>
  <cols>
    <col min="1" max="1" width="19.85546875" style="30" customWidth="1"/>
    <col min="2" max="2" width="44" style="30" customWidth="1"/>
    <col min="3" max="3" width="23.140625" style="30" customWidth="1"/>
    <col min="4" max="4" width="13.5703125" style="30" bestFit="1" customWidth="1"/>
    <col min="5" max="5" width="9.5703125" style="30" bestFit="1" customWidth="1"/>
    <col min="6" max="6" width="12.42578125" style="30" customWidth="1"/>
    <col min="7" max="7" width="11.7109375" style="30" customWidth="1"/>
    <col min="8" max="8" width="10.28515625" style="30" customWidth="1"/>
    <col min="9" max="9" width="9.5703125" style="30" bestFit="1" customWidth="1"/>
    <col min="10" max="10" width="12" style="30" bestFit="1" customWidth="1"/>
    <col min="11" max="16384" width="9.140625" style="30"/>
  </cols>
  <sheetData>
    <row r="1" spans="1:14" s="34" customFormat="1">
      <c r="A1" s="86" t="s">
        <v>73</v>
      </c>
      <c r="L1" s="51"/>
      <c r="M1" s="51"/>
      <c r="N1" s="51"/>
    </row>
    <row r="2" spans="1:14" s="34" customFormat="1" ht="25.5">
      <c r="A2" s="34" t="s">
        <v>12</v>
      </c>
      <c r="L2" s="52" t="s">
        <v>36</v>
      </c>
      <c r="M2" s="52" t="s">
        <v>37</v>
      </c>
      <c r="N2" s="52" t="s">
        <v>38</v>
      </c>
    </row>
    <row r="3" spans="1:14" s="34" customFormat="1" ht="51">
      <c r="A3" s="79" t="s">
        <v>26</v>
      </c>
      <c r="B3" s="79" t="s">
        <v>13</v>
      </c>
      <c r="C3" s="80" t="s">
        <v>14</v>
      </c>
      <c r="D3" s="80" t="s">
        <v>0</v>
      </c>
      <c r="E3" s="80" t="s">
        <v>24</v>
      </c>
      <c r="F3" s="80" t="s">
        <v>86</v>
      </c>
      <c r="G3" s="80" t="s">
        <v>1</v>
      </c>
      <c r="H3" s="80" t="s">
        <v>87</v>
      </c>
      <c r="I3" s="80" t="s">
        <v>2</v>
      </c>
      <c r="J3" s="80" t="s">
        <v>88</v>
      </c>
      <c r="L3" s="53"/>
      <c r="M3" s="53"/>
      <c r="N3" s="53"/>
    </row>
    <row r="4" spans="1:14" s="35" customFormat="1">
      <c r="A4" s="76" t="s">
        <v>3</v>
      </c>
      <c r="B4" s="76" t="s">
        <v>4</v>
      </c>
      <c r="C4" s="76" t="s">
        <v>5</v>
      </c>
      <c r="D4" s="76" t="s">
        <v>6</v>
      </c>
      <c r="E4" s="76" t="s">
        <v>7</v>
      </c>
      <c r="F4" s="76" t="s">
        <v>6</v>
      </c>
      <c r="G4" s="76" t="s">
        <v>9</v>
      </c>
      <c r="H4" s="76" t="s">
        <v>10</v>
      </c>
      <c r="I4" s="76" t="s">
        <v>11</v>
      </c>
      <c r="J4" s="76" t="s">
        <v>85</v>
      </c>
      <c r="L4" s="53"/>
      <c r="M4" s="53"/>
      <c r="N4" s="53"/>
    </row>
    <row r="5" spans="1:14">
      <c r="A5" s="20"/>
      <c r="B5" s="62" t="s">
        <v>22</v>
      </c>
      <c r="C5" s="17"/>
      <c r="D5" s="18"/>
      <c r="E5" s="19"/>
      <c r="F5" s="18"/>
      <c r="G5" s="19"/>
      <c r="H5" s="18"/>
      <c r="I5" s="20"/>
      <c r="J5" s="63"/>
      <c r="L5" s="53"/>
      <c r="M5" s="53"/>
      <c r="N5" s="53"/>
    </row>
    <row r="6" spans="1:14">
      <c r="A6" s="8">
        <v>4288.1030000000001</v>
      </c>
      <c r="B6" s="21" t="s">
        <v>27</v>
      </c>
      <c r="C6" s="1" t="s">
        <v>17</v>
      </c>
      <c r="D6" s="4">
        <f>SUM('Year 1'!D6+'Year 2'!D6+'Year 3 '!D6)/3</f>
        <v>6</v>
      </c>
      <c r="E6" s="2">
        <v>1</v>
      </c>
      <c r="F6" s="36">
        <f>SUM('Year 1'!F6+'Year 2'!F6+'Year 3 '!F6)/3</f>
        <v>6</v>
      </c>
      <c r="G6" s="2">
        <v>12</v>
      </c>
      <c r="H6" s="4">
        <f>(F6)*(G6)</f>
        <v>72</v>
      </c>
      <c r="I6" s="32">
        <v>60</v>
      </c>
      <c r="J6" s="32">
        <f>(H6)*(I6)</f>
        <v>4320</v>
      </c>
      <c r="L6" s="54">
        <f>+$J6*0.2</f>
        <v>864</v>
      </c>
      <c r="M6" s="54">
        <f>+J6*0.8</f>
        <v>3456</v>
      </c>
      <c r="N6" s="53">
        <v>0</v>
      </c>
    </row>
    <row r="7" spans="1:14">
      <c r="A7" s="8" t="s">
        <v>71</v>
      </c>
      <c r="B7" s="21" t="s">
        <v>28</v>
      </c>
      <c r="C7" s="1" t="s">
        <v>17</v>
      </c>
      <c r="D7" s="4">
        <f>SUM('Year 1'!D7+'Year 2'!D7+'Year 3 '!D7)/3</f>
        <v>6</v>
      </c>
      <c r="E7" s="2">
        <v>1</v>
      </c>
      <c r="F7" s="36">
        <f>SUM('Year 1'!F7+'Year 2'!F7+'Year 3 '!F7)/3</f>
        <v>6</v>
      </c>
      <c r="G7" s="2">
        <v>1</v>
      </c>
      <c r="H7" s="4">
        <f>(F7)*(G7)</f>
        <v>6</v>
      </c>
      <c r="I7" s="32">
        <v>60</v>
      </c>
      <c r="J7" s="32">
        <f>(H7)*(I7)</f>
        <v>360</v>
      </c>
      <c r="L7" s="54">
        <f>+$J7*0.2</f>
        <v>72</v>
      </c>
      <c r="M7" s="54">
        <f t="shared" ref="M7:M18" si="0">+J7*0.8</f>
        <v>288</v>
      </c>
      <c r="N7" s="53">
        <v>0</v>
      </c>
    </row>
    <row r="8" spans="1:14">
      <c r="A8" s="8" t="s">
        <v>109</v>
      </c>
      <c r="B8" s="72" t="s">
        <v>32</v>
      </c>
      <c r="C8" s="1" t="s">
        <v>17</v>
      </c>
      <c r="D8" s="36">
        <f>SUM('Year 1'!D8+'Year 2'!D8+'Year 3 '!D8)/3</f>
        <v>26.833333333333332</v>
      </c>
      <c r="E8" s="8">
        <v>1</v>
      </c>
      <c r="F8" s="36">
        <f>SUM('Year 1'!F8+'Year 2'!F8+'Year 3 '!F8)/3</f>
        <v>26.833333333333332</v>
      </c>
      <c r="G8" s="2">
        <v>1</v>
      </c>
      <c r="H8" s="36">
        <f>(F8)*(G8)</f>
        <v>26.833333333333332</v>
      </c>
      <c r="I8" s="33">
        <v>60</v>
      </c>
      <c r="J8" s="33">
        <f>(H8)*(I8)</f>
        <v>1610</v>
      </c>
      <c r="L8" s="54">
        <f>+$J8*0.2</f>
        <v>322</v>
      </c>
      <c r="M8" s="54">
        <f>+J8*0.8</f>
        <v>1288</v>
      </c>
      <c r="N8" s="57">
        <v>0</v>
      </c>
    </row>
    <row r="9" spans="1:14">
      <c r="A9" s="8" t="s">
        <v>152</v>
      </c>
      <c r="B9" s="21" t="s">
        <v>146</v>
      </c>
      <c r="C9" s="7" t="s">
        <v>17</v>
      </c>
      <c r="D9" s="36">
        <f>SUM('Year 1'!D9+'Year 2'!D9+'Year 3 '!D9)/3</f>
        <v>151.4</v>
      </c>
      <c r="E9" s="8">
        <v>1</v>
      </c>
      <c r="F9" s="36">
        <f>SUM('Year 1'!F9+'Year 2'!F9+'Year 3 '!F9)/3</f>
        <v>151.4</v>
      </c>
      <c r="G9" s="2">
        <v>1</v>
      </c>
      <c r="H9" s="36">
        <f>(F9)*(G9)</f>
        <v>151.4</v>
      </c>
      <c r="I9" s="33">
        <v>60</v>
      </c>
      <c r="J9" s="33">
        <f>(H9)*(I9)</f>
        <v>9084</v>
      </c>
      <c r="L9" s="54">
        <f>+$J9*0.2</f>
        <v>1816.8000000000002</v>
      </c>
      <c r="M9" s="54">
        <f>+J9*0.8</f>
        <v>7267.2000000000007</v>
      </c>
      <c r="N9" s="57">
        <v>0</v>
      </c>
    </row>
    <row r="10" spans="1:14">
      <c r="A10" s="8"/>
      <c r="B10" s="11" t="s">
        <v>21</v>
      </c>
      <c r="C10" s="1"/>
      <c r="D10" s="2"/>
      <c r="E10" s="2"/>
      <c r="F10" s="5"/>
      <c r="G10" s="2"/>
      <c r="H10" s="6"/>
      <c r="I10" s="32"/>
      <c r="J10" s="32"/>
      <c r="L10" s="55"/>
      <c r="M10" s="54"/>
      <c r="N10" s="53"/>
    </row>
    <row r="11" spans="1:14">
      <c r="A11" s="8"/>
      <c r="B11" s="21" t="s">
        <v>21</v>
      </c>
      <c r="C11" s="1"/>
      <c r="D11" s="4">
        <f>SUM('Year 1'!D11+'Year 2'!D11+'Year 3 '!D11)/3</f>
        <v>284.33333333333331</v>
      </c>
      <c r="E11" s="2">
        <v>1</v>
      </c>
      <c r="F11" s="36">
        <f>SUM('Year 1'!F11+'Year 2'!F11+'Year 3 '!F11)/3</f>
        <v>284.33333333333331</v>
      </c>
      <c r="G11" s="2">
        <v>1</v>
      </c>
      <c r="H11" s="4">
        <f>(F11)*(G11)</f>
        <v>284.33333333333331</v>
      </c>
      <c r="I11" s="32">
        <v>60</v>
      </c>
      <c r="J11" s="32">
        <f>(H11)*(I11)</f>
        <v>17060</v>
      </c>
      <c r="L11" s="54">
        <f>+$J11*0.2</f>
        <v>3412</v>
      </c>
      <c r="M11" s="54">
        <f t="shared" si="0"/>
        <v>13648</v>
      </c>
      <c r="N11" s="53">
        <v>0</v>
      </c>
    </row>
    <row r="12" spans="1:14">
      <c r="A12" s="2"/>
      <c r="B12" s="65"/>
      <c r="C12" s="17"/>
      <c r="D12" s="19"/>
      <c r="E12" s="65"/>
      <c r="F12" s="66"/>
      <c r="G12" s="65"/>
      <c r="H12" s="66"/>
      <c r="I12" s="32"/>
      <c r="J12" s="64"/>
      <c r="L12" s="54"/>
      <c r="M12" s="54"/>
      <c r="N12" s="53"/>
    </row>
    <row r="13" spans="1:14">
      <c r="A13" s="2"/>
      <c r="B13" s="67" t="s">
        <v>25</v>
      </c>
      <c r="C13" s="68"/>
      <c r="D13" s="69"/>
      <c r="E13" s="69"/>
      <c r="F13" s="69"/>
      <c r="G13" s="70"/>
      <c r="H13" s="69"/>
      <c r="I13" s="64"/>
      <c r="J13" s="71"/>
      <c r="L13" s="54"/>
      <c r="M13" s="54"/>
      <c r="N13" s="53"/>
    </row>
    <row r="14" spans="1:14" ht="25.5">
      <c r="A14" s="8" t="s">
        <v>66</v>
      </c>
      <c r="B14" s="72" t="s">
        <v>29</v>
      </c>
      <c r="C14" s="21" t="s">
        <v>72</v>
      </c>
      <c r="D14" s="36">
        <f>SUM('Year 1'!D14+'Year 2'!D14+'Year 3 '!D14)/3</f>
        <v>302</v>
      </c>
      <c r="E14" s="8">
        <v>1</v>
      </c>
      <c r="F14" s="36">
        <f>SUM('Year 1'!F14+'Year 2'!F14+'Year 3 '!F14)/3</f>
        <v>302</v>
      </c>
      <c r="G14" s="8">
        <v>1.03</v>
      </c>
      <c r="H14" s="9">
        <f>(F14)*(G14)</f>
        <v>311.06</v>
      </c>
      <c r="I14" s="33">
        <v>60</v>
      </c>
      <c r="J14" s="33">
        <f>(H14)*(I14)</f>
        <v>18663.599999999999</v>
      </c>
      <c r="L14" s="54">
        <f>+$J14*0.2</f>
        <v>3732.72</v>
      </c>
      <c r="M14" s="54">
        <f t="shared" si="0"/>
        <v>14930.88</v>
      </c>
      <c r="N14" s="53">
        <v>0</v>
      </c>
    </row>
    <row r="15" spans="1:14">
      <c r="A15" s="8" t="s">
        <v>67</v>
      </c>
      <c r="B15" s="72" t="s">
        <v>30</v>
      </c>
      <c r="C15" s="21" t="s">
        <v>69</v>
      </c>
      <c r="D15" s="36">
        <f>SUM('Year 1'!D15+'Year 2'!D15+'Year 3 '!D15)/3</f>
        <v>180.33333333333334</v>
      </c>
      <c r="E15" s="8">
        <v>1</v>
      </c>
      <c r="F15" s="36">
        <f>SUM('Year 1'!F15+'Year 2'!F15+'Year 3 '!F15)/3</f>
        <v>180.33333333333334</v>
      </c>
      <c r="G15" s="8">
        <v>1</v>
      </c>
      <c r="H15" s="9">
        <f>(F15)*(G15)</f>
        <v>180.33333333333334</v>
      </c>
      <c r="I15" s="33">
        <v>60</v>
      </c>
      <c r="J15" s="33">
        <f>(H15)*(I15)</f>
        <v>10820</v>
      </c>
      <c r="L15" s="54">
        <f>+$J15*0.2</f>
        <v>2164</v>
      </c>
      <c r="M15" s="54">
        <f t="shared" si="0"/>
        <v>8656</v>
      </c>
      <c r="N15" s="53">
        <v>0</v>
      </c>
    </row>
    <row r="16" spans="1:14" ht="25.5">
      <c r="A16" s="8" t="s">
        <v>68</v>
      </c>
      <c r="B16" s="72" t="s">
        <v>31</v>
      </c>
      <c r="C16" s="21" t="s">
        <v>70</v>
      </c>
      <c r="D16" s="36">
        <f>SUM('Year 1'!D16+'Year 2'!D16+'Year 3 '!D16)/3</f>
        <v>284.33333333333331</v>
      </c>
      <c r="E16" s="8" t="s">
        <v>101</v>
      </c>
      <c r="F16" s="36">
        <f>SUM('Year 1'!F16+'Year 2'!F16+'Year 3 '!F16)/3</f>
        <v>996.33333333333337</v>
      </c>
      <c r="G16" s="8">
        <v>1</v>
      </c>
      <c r="H16" s="9">
        <f>(F16)*(G16)</f>
        <v>996.33333333333337</v>
      </c>
      <c r="I16" s="33">
        <v>60</v>
      </c>
      <c r="J16" s="33">
        <f>(H16)*(I16)</f>
        <v>59780</v>
      </c>
      <c r="L16" s="54">
        <f>+$J16*0.2</f>
        <v>11956</v>
      </c>
      <c r="M16" s="54">
        <f t="shared" si="0"/>
        <v>47824</v>
      </c>
      <c r="N16" s="53">
        <v>0</v>
      </c>
    </row>
    <row r="17" spans="1:14">
      <c r="A17" s="8" t="s">
        <v>155</v>
      </c>
      <c r="B17" s="39" t="s">
        <v>15</v>
      </c>
      <c r="C17" s="21" t="s">
        <v>16</v>
      </c>
      <c r="D17" s="36">
        <f>SUM('Year 1'!D17+'Year 2'!D17+'Year 3 '!D17)/3</f>
        <v>284.33333333333331</v>
      </c>
      <c r="E17" s="8">
        <v>1</v>
      </c>
      <c r="F17" s="36">
        <f>SUM('Year 1'!F17+'Year 2'!F17+'Year 3 '!F17)/3</f>
        <v>284.33333333333331</v>
      </c>
      <c r="G17" s="8">
        <v>0.16</v>
      </c>
      <c r="H17" s="9">
        <f>(F17)*(G17)</f>
        <v>45.493333333333332</v>
      </c>
      <c r="I17" s="33">
        <v>60</v>
      </c>
      <c r="J17" s="33">
        <f>(H17)*(I17)</f>
        <v>2729.6</v>
      </c>
      <c r="L17" s="54">
        <f>+$J17*0.2</f>
        <v>545.91999999999996</v>
      </c>
      <c r="M17" s="54">
        <f t="shared" si="0"/>
        <v>2183.6799999999998</v>
      </c>
      <c r="N17" s="53">
        <v>0</v>
      </c>
    </row>
    <row r="18" spans="1:14">
      <c r="A18" s="8" t="s">
        <v>154</v>
      </c>
      <c r="B18" s="39" t="s">
        <v>97</v>
      </c>
      <c r="C18" s="21" t="s">
        <v>98</v>
      </c>
      <c r="D18" s="36">
        <f>SUM('Year 1'!D18+'Year 2'!D18+'Year 3 '!D18)/3</f>
        <v>302</v>
      </c>
      <c r="E18" s="8">
        <v>1</v>
      </c>
      <c r="F18" s="36">
        <f>SUM('Year 1'!F18+'Year 2'!F18+'Year 3 '!F18)/3</f>
        <v>302</v>
      </c>
      <c r="G18" s="8">
        <v>0.5</v>
      </c>
      <c r="H18" s="9">
        <f>(F18)*(G18)</f>
        <v>151</v>
      </c>
      <c r="I18" s="33">
        <v>60</v>
      </c>
      <c r="J18" s="33">
        <f>(H18)*(I18)</f>
        <v>9060</v>
      </c>
      <c r="L18" s="54">
        <f>+$J18*0.2</f>
        <v>1812</v>
      </c>
      <c r="M18" s="54">
        <f t="shared" si="0"/>
        <v>7248</v>
      </c>
      <c r="N18" s="56">
        <v>0</v>
      </c>
    </row>
    <row r="19" spans="1:14">
      <c r="A19" s="2"/>
      <c r="B19" s="73"/>
      <c r="C19" s="1"/>
      <c r="D19" s="4"/>
      <c r="E19" s="2"/>
      <c r="F19" s="4"/>
      <c r="G19" s="2"/>
      <c r="H19" s="4"/>
      <c r="I19" s="65"/>
      <c r="J19" s="74"/>
      <c r="L19" s="54"/>
      <c r="M19" s="54"/>
      <c r="N19" s="57"/>
    </row>
    <row r="20" spans="1:14">
      <c r="A20" s="2"/>
      <c r="B20" s="67" t="s">
        <v>23</v>
      </c>
      <c r="C20" s="17"/>
      <c r="D20" s="18"/>
      <c r="E20" s="19"/>
      <c r="F20" s="18"/>
      <c r="G20" s="19"/>
      <c r="H20" s="18"/>
      <c r="I20" s="20"/>
      <c r="J20" s="63"/>
      <c r="L20" s="57"/>
      <c r="M20" s="57"/>
      <c r="N20" s="57"/>
    </row>
    <row r="21" spans="1:14">
      <c r="A21" s="2" t="s">
        <v>153</v>
      </c>
      <c r="B21" s="21" t="s">
        <v>19</v>
      </c>
      <c r="C21" s="21" t="s">
        <v>20</v>
      </c>
      <c r="D21" s="4">
        <f>SUM('Year 1'!D21+'Year 2'!D21+'Year 3 '!D21)/3</f>
        <v>302</v>
      </c>
      <c r="E21" s="8">
        <v>1</v>
      </c>
      <c r="F21" s="36">
        <f>SUM('Year 1'!F21+'Year 2'!F21+'Year 3 '!F21)/3</f>
        <v>302</v>
      </c>
      <c r="G21" s="8">
        <v>0.16</v>
      </c>
      <c r="H21" s="9">
        <f>(F21)*(G21)</f>
        <v>48.32</v>
      </c>
      <c r="I21" s="33">
        <v>60</v>
      </c>
      <c r="J21" s="33">
        <f>2100</f>
        <v>2100</v>
      </c>
      <c r="L21" s="54">
        <f>+$J21*0.2</f>
        <v>420</v>
      </c>
      <c r="M21" s="54">
        <f>+J21*0.8</f>
        <v>1680</v>
      </c>
      <c r="N21" s="57">
        <v>0</v>
      </c>
    </row>
    <row r="22" spans="1:14">
      <c r="A22" s="8"/>
      <c r="B22" s="11" t="s">
        <v>18</v>
      </c>
      <c r="C22" s="21"/>
      <c r="D22" s="31"/>
      <c r="E22" s="22"/>
      <c r="F22" s="12">
        <f>SUM(F6:F21)</f>
        <v>2841.5666666666666</v>
      </c>
      <c r="G22" s="22"/>
      <c r="H22" s="12">
        <f>SUM(H6:H21)</f>
        <v>2273.1066666666666</v>
      </c>
      <c r="I22" s="22"/>
      <c r="J22" s="75">
        <f>SUM(J6:J21)</f>
        <v>135587.20000000001</v>
      </c>
      <c r="L22" s="38">
        <f>SUM(L6:L21)</f>
        <v>27117.439999999999</v>
      </c>
      <c r="M22" s="38">
        <f>SUM(M6:M21)</f>
        <v>108469.75999999999</v>
      </c>
      <c r="N22" s="58">
        <v>0</v>
      </c>
    </row>
    <row r="25" spans="1:14">
      <c r="B25" s="23"/>
      <c r="C25" s="25"/>
      <c r="D25" s="105" t="s">
        <v>33</v>
      </c>
      <c r="E25" s="105"/>
      <c r="F25" s="105"/>
      <c r="G25" s="105" t="s">
        <v>34</v>
      </c>
      <c r="H25" s="105"/>
      <c r="I25" s="105"/>
      <c r="J25" s="40"/>
    </row>
    <row r="26" spans="1:14" ht="38.25">
      <c r="B26" s="25" t="s">
        <v>35</v>
      </c>
      <c r="C26" s="25"/>
      <c r="D26" s="41" t="s">
        <v>36</v>
      </c>
      <c r="E26" s="41" t="s">
        <v>37</v>
      </c>
      <c r="F26" s="41" t="s">
        <v>38</v>
      </c>
      <c r="G26" s="41" t="s">
        <v>36</v>
      </c>
      <c r="H26" s="41" t="s">
        <v>37</v>
      </c>
      <c r="I26" s="41" t="s">
        <v>38</v>
      </c>
      <c r="J26" s="40"/>
    </row>
    <row r="27" spans="1:14">
      <c r="B27" s="23" t="s">
        <v>39</v>
      </c>
      <c r="C27" s="16">
        <f>SUM('Year 1'!C27+'Year 2'!C27+'Year 3 '!C27)/3</f>
        <v>302</v>
      </c>
      <c r="D27" s="93">
        <f t="shared" ref="D27:F28" si="1">+$C27*G27</f>
        <v>60.400000000000006</v>
      </c>
      <c r="E27" s="93">
        <f t="shared" si="1"/>
        <v>241.60000000000002</v>
      </c>
      <c r="F27" s="23">
        <f t="shared" si="1"/>
        <v>0</v>
      </c>
      <c r="G27" s="42">
        <v>0.2</v>
      </c>
      <c r="H27" s="42">
        <v>0.8</v>
      </c>
      <c r="I27" s="23">
        <v>0</v>
      </c>
      <c r="J27" s="40"/>
    </row>
    <row r="28" spans="1:14">
      <c r="B28" s="23" t="s">
        <v>40</v>
      </c>
      <c r="C28" s="16">
        <f>SUM('Year 1'!C28+'Year 2'!C28+'Year 3 '!C28)/3</f>
        <v>284.33333333333331</v>
      </c>
      <c r="D28" s="93">
        <f t="shared" si="1"/>
        <v>56.866666666666667</v>
      </c>
      <c r="E28" s="93">
        <f t="shared" si="1"/>
        <v>227.46666666666667</v>
      </c>
      <c r="F28" s="23">
        <f t="shared" si="1"/>
        <v>0</v>
      </c>
      <c r="G28" s="42">
        <v>0.2</v>
      </c>
      <c r="H28" s="42">
        <v>0.8</v>
      </c>
      <c r="I28" s="23">
        <v>0</v>
      </c>
      <c r="J28" s="40"/>
    </row>
    <row r="29" spans="1:14">
      <c r="B29" s="23"/>
      <c r="C29" s="25"/>
      <c r="D29" s="23"/>
      <c r="E29" s="23"/>
      <c r="F29" s="23"/>
      <c r="G29" s="23"/>
      <c r="H29" s="40"/>
      <c r="I29" s="23"/>
      <c r="J29" s="40"/>
    </row>
    <row r="30" spans="1:14">
      <c r="C30" s="13"/>
    </row>
  </sheetData>
  <customSheetViews>
    <customSheetView guid="{F801E3C7-0680-4D04-B7DA-D7562243E7FD}" showPageBreaks="1" fitToPage="1" printArea="1" showRuler="0" topLeftCell="A3">
      <selection activeCell="B18" sqref="B18"/>
      <pageMargins left="0.5" right="0.25" top="0.75" bottom="0" header="0.5" footer="0.5"/>
      <printOptions gridLines="1"/>
      <pageSetup scale="78" orientation="landscape" horizontalDpi="300" verticalDpi="300" r:id="rId1"/>
      <headerFooter alignWithMargins="0"/>
    </customSheetView>
    <customSheetView guid="{85A0FECD-0ABD-4BC8-8163-7A3FD1ADFA49}" scale="90" showPageBreaks="1" fitToPage="1" printArea="1">
      <selection activeCell="B18" sqref="B18"/>
      <pageMargins left="0.5" right="0.25" top="0.75" bottom="0" header="0.5" footer="0.5"/>
      <printOptions gridLines="1"/>
      <pageSetup scale="80" orientation="landscape" horizontalDpi="300" verticalDpi="300" r:id="rId2"/>
      <headerFooter alignWithMargins="0"/>
    </customSheetView>
  </customSheetViews>
  <mergeCells count="2">
    <mergeCell ref="D25:F25"/>
    <mergeCell ref="G25:I25"/>
  </mergeCells>
  <phoneticPr fontId="9" type="noConversion"/>
  <printOptions gridLines="1"/>
  <pageMargins left="0.5" right="0.25" top="0.75" bottom="0" header="0.5" footer="0.5"/>
  <pageSetup scale="80" orientation="landscape"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sheetPr>
    <pageSetUpPr fitToPage="1"/>
  </sheetPr>
  <dimension ref="A1:N30"/>
  <sheetViews>
    <sheetView zoomScale="80" zoomScaleNormal="80" zoomScaleSheetLayoutView="75" workbookViewId="0">
      <selection activeCell="C12" sqref="C12"/>
    </sheetView>
  </sheetViews>
  <sheetFormatPr defaultRowHeight="12.75"/>
  <cols>
    <col min="1" max="1" width="19.85546875" style="30" customWidth="1"/>
    <col min="2" max="2" width="44" style="30" customWidth="1"/>
    <col min="3" max="3" width="23.140625" style="30" customWidth="1"/>
    <col min="4" max="4" width="13.5703125" style="30" bestFit="1" customWidth="1"/>
    <col min="5" max="5" width="9.5703125" style="30" bestFit="1" customWidth="1"/>
    <col min="6" max="6" width="12.42578125" style="30" customWidth="1"/>
    <col min="7" max="7" width="11.7109375" style="30" customWidth="1"/>
    <col min="8" max="8" width="10.28515625" style="30" customWidth="1"/>
    <col min="9" max="9" width="9.5703125" style="30" bestFit="1" customWidth="1"/>
    <col min="10" max="10" width="12" style="30" bestFit="1" customWidth="1"/>
    <col min="11" max="16384" width="9.140625" style="30"/>
  </cols>
  <sheetData>
    <row r="1" spans="1:14" s="34" customFormat="1">
      <c r="A1" s="86" t="s">
        <v>76</v>
      </c>
      <c r="L1" s="51"/>
      <c r="M1" s="51"/>
      <c r="N1" s="51"/>
    </row>
    <row r="2" spans="1:14" s="34" customFormat="1" ht="25.5">
      <c r="A2" s="34" t="s">
        <v>12</v>
      </c>
      <c r="L2" s="52" t="s">
        <v>36</v>
      </c>
      <c r="M2" s="52" t="s">
        <v>37</v>
      </c>
      <c r="N2" s="52" t="s">
        <v>38</v>
      </c>
    </row>
    <row r="3" spans="1:14" s="34" customFormat="1" ht="51">
      <c r="A3" s="79" t="s">
        <v>26</v>
      </c>
      <c r="B3" s="79" t="s">
        <v>13</v>
      </c>
      <c r="C3" s="80" t="s">
        <v>14</v>
      </c>
      <c r="D3" s="80" t="s">
        <v>0</v>
      </c>
      <c r="E3" s="80" t="s">
        <v>24</v>
      </c>
      <c r="F3" s="80" t="s">
        <v>95</v>
      </c>
      <c r="G3" s="80" t="s">
        <v>1</v>
      </c>
      <c r="H3" s="80" t="s">
        <v>96</v>
      </c>
      <c r="I3" s="80" t="s">
        <v>2</v>
      </c>
      <c r="J3" s="80" t="s">
        <v>88</v>
      </c>
      <c r="L3" s="53"/>
      <c r="M3" s="53"/>
      <c r="N3" s="53"/>
    </row>
    <row r="4" spans="1:14" s="35" customFormat="1">
      <c r="A4" s="76" t="s">
        <v>3</v>
      </c>
      <c r="B4" s="76" t="s">
        <v>4</v>
      </c>
      <c r="C4" s="76" t="s">
        <v>5</v>
      </c>
      <c r="D4" s="76" t="s">
        <v>6</v>
      </c>
      <c r="E4" s="76" t="s">
        <v>7</v>
      </c>
      <c r="F4" s="76" t="s">
        <v>8</v>
      </c>
      <c r="G4" s="76" t="s">
        <v>9</v>
      </c>
      <c r="H4" s="76" t="s">
        <v>10</v>
      </c>
      <c r="I4" s="76" t="s">
        <v>11</v>
      </c>
      <c r="J4" s="35" t="s">
        <v>85</v>
      </c>
      <c r="L4" s="53"/>
      <c r="M4" s="53"/>
      <c r="N4" s="53"/>
    </row>
    <row r="5" spans="1:14">
      <c r="A5" s="20"/>
      <c r="B5" s="62" t="s">
        <v>22</v>
      </c>
      <c r="C5" s="17"/>
      <c r="D5" s="18"/>
      <c r="E5" s="19"/>
      <c r="F5" s="18"/>
      <c r="G5" s="19"/>
      <c r="H5" s="18"/>
      <c r="I5" s="20"/>
      <c r="J5" s="63"/>
      <c r="L5" s="53"/>
      <c r="M5" s="53"/>
      <c r="N5" s="53"/>
    </row>
    <row r="6" spans="1:14">
      <c r="A6" s="8">
        <v>4288.1030000000001</v>
      </c>
      <c r="B6" s="21" t="s">
        <v>27</v>
      </c>
      <c r="C6" s="1" t="s">
        <v>17</v>
      </c>
      <c r="D6" s="4">
        <f>SUM('Year 1'!D6+'Year 2'!D6+'Year 3 '!D6)</f>
        <v>18</v>
      </c>
      <c r="E6" s="2">
        <v>1</v>
      </c>
      <c r="F6" s="3">
        <f>(D6)*(E6)</f>
        <v>18</v>
      </c>
      <c r="G6" s="2">
        <v>12</v>
      </c>
      <c r="H6" s="4">
        <f>(F6)*(G6)</f>
        <v>216</v>
      </c>
      <c r="I6" s="32">
        <v>60</v>
      </c>
      <c r="J6" s="32">
        <f>(H6)*(I6)</f>
        <v>12960</v>
      </c>
      <c r="L6" s="54">
        <f>+$J6*0.2</f>
        <v>2592</v>
      </c>
      <c r="M6" s="54">
        <f>+J6*0.8</f>
        <v>10368</v>
      </c>
      <c r="N6" s="53">
        <v>0</v>
      </c>
    </row>
    <row r="7" spans="1:14">
      <c r="A7" s="8" t="s">
        <v>71</v>
      </c>
      <c r="B7" s="21" t="s">
        <v>28</v>
      </c>
      <c r="C7" s="1" t="s">
        <v>17</v>
      </c>
      <c r="D7" s="4">
        <f>SUM('Year 1'!D7+'Year 2'!D7+'Year 3 '!D7)</f>
        <v>18</v>
      </c>
      <c r="E7" s="2">
        <v>1</v>
      </c>
      <c r="F7" s="3">
        <f>(D7)*(E7)</f>
        <v>18</v>
      </c>
      <c r="G7" s="2">
        <v>1</v>
      </c>
      <c r="H7" s="4">
        <f>(F7)*(G7)</f>
        <v>18</v>
      </c>
      <c r="I7" s="32">
        <v>60</v>
      </c>
      <c r="J7" s="32">
        <f>(H7)*(I7)</f>
        <v>1080</v>
      </c>
      <c r="L7" s="54">
        <f>+$J7*0.2</f>
        <v>216</v>
      </c>
      <c r="M7" s="54">
        <f t="shared" ref="M7:M18" si="0">+J7*0.8</f>
        <v>864</v>
      </c>
      <c r="N7" s="53">
        <v>0</v>
      </c>
    </row>
    <row r="8" spans="1:14">
      <c r="A8" s="8" t="s">
        <v>109</v>
      </c>
      <c r="B8" s="72" t="s">
        <v>32</v>
      </c>
      <c r="C8" s="1" t="s">
        <v>17</v>
      </c>
      <c r="D8" s="36">
        <f>SUM('Year 1'!D8+'Year 2'!D8+'Year 3 '!D8)</f>
        <v>80.5</v>
      </c>
      <c r="E8" s="8">
        <v>1</v>
      </c>
      <c r="F8" s="37">
        <f>(D8)*(E8)</f>
        <v>80.5</v>
      </c>
      <c r="G8" s="2">
        <v>1</v>
      </c>
      <c r="H8" s="36">
        <f>(F8)*(G8)</f>
        <v>80.5</v>
      </c>
      <c r="I8" s="33">
        <v>60</v>
      </c>
      <c r="J8" s="33">
        <f>(H8)*(I8)</f>
        <v>4830</v>
      </c>
      <c r="L8" s="54">
        <f>+$J8*0.2</f>
        <v>966</v>
      </c>
      <c r="M8" s="54">
        <f>+J8*0.8</f>
        <v>3864</v>
      </c>
      <c r="N8" s="57">
        <v>0</v>
      </c>
    </row>
    <row r="9" spans="1:14">
      <c r="A9" s="8" t="s">
        <v>152</v>
      </c>
      <c r="B9" s="21" t="s">
        <v>146</v>
      </c>
      <c r="C9" s="7" t="s">
        <v>17</v>
      </c>
      <c r="D9" s="36">
        <f>SUM('Year 1'!D9+'Year 2'!D9+'Year 3 '!D9)</f>
        <v>454.20000000000005</v>
      </c>
      <c r="E9" s="8">
        <v>1</v>
      </c>
      <c r="F9" s="37">
        <f>(D9)*(E9)</f>
        <v>454.20000000000005</v>
      </c>
      <c r="G9" s="2">
        <v>1</v>
      </c>
      <c r="H9" s="36">
        <f>(F9)*(G9)</f>
        <v>454.20000000000005</v>
      </c>
      <c r="I9" s="33">
        <v>60</v>
      </c>
      <c r="J9" s="33">
        <f>(H9)*(I9)</f>
        <v>27252.000000000004</v>
      </c>
      <c r="L9" s="54"/>
      <c r="M9" s="54"/>
      <c r="N9" s="53"/>
    </row>
    <row r="10" spans="1:14">
      <c r="A10" s="8"/>
      <c r="B10" s="11" t="s">
        <v>21</v>
      </c>
      <c r="C10" s="1"/>
      <c r="D10" s="2"/>
      <c r="E10" s="2"/>
      <c r="F10" s="5"/>
      <c r="G10" s="2"/>
      <c r="H10" s="6"/>
      <c r="I10" s="32"/>
      <c r="J10" s="32"/>
      <c r="L10" s="55"/>
      <c r="M10" s="54"/>
      <c r="N10" s="53"/>
    </row>
    <row r="11" spans="1:14">
      <c r="A11" s="8"/>
      <c r="B11" s="21" t="s">
        <v>21</v>
      </c>
      <c r="C11" s="1"/>
      <c r="D11" s="4">
        <f>SUM('Year 1'!D11+'Year 2'!D11+'Year 3 '!D11)</f>
        <v>853</v>
      </c>
      <c r="E11" s="2">
        <v>1</v>
      </c>
      <c r="F11" s="3">
        <f>(D11)*(E11)</f>
        <v>853</v>
      </c>
      <c r="G11" s="2">
        <v>1</v>
      </c>
      <c r="H11" s="4">
        <f>(F11)*(G11)</f>
        <v>853</v>
      </c>
      <c r="I11" s="32">
        <v>60</v>
      </c>
      <c r="J11" s="32">
        <f>(H11)*(I11)</f>
        <v>51180</v>
      </c>
      <c r="L11" s="54">
        <f>+$J11*0.2</f>
        <v>10236</v>
      </c>
      <c r="M11" s="54">
        <f t="shared" si="0"/>
        <v>40944</v>
      </c>
      <c r="N11" s="53">
        <v>0</v>
      </c>
    </row>
    <row r="12" spans="1:14">
      <c r="A12" s="2"/>
      <c r="B12" s="65"/>
      <c r="C12" s="17"/>
      <c r="D12" s="19"/>
      <c r="E12" s="65"/>
      <c r="F12" s="66"/>
      <c r="G12" s="65"/>
      <c r="H12" s="66"/>
      <c r="I12" s="32"/>
      <c r="J12" s="64"/>
      <c r="L12" s="54"/>
      <c r="M12" s="54"/>
      <c r="N12" s="53"/>
    </row>
    <row r="13" spans="1:14">
      <c r="A13" s="2"/>
      <c r="B13" s="67" t="s">
        <v>25</v>
      </c>
      <c r="C13" s="68"/>
      <c r="D13" s="69"/>
      <c r="E13" s="69"/>
      <c r="F13" s="69"/>
      <c r="G13" s="70"/>
      <c r="H13" s="69"/>
      <c r="I13" s="64"/>
      <c r="J13" s="71"/>
      <c r="L13" s="54"/>
      <c r="M13" s="54"/>
      <c r="N13" s="53"/>
    </row>
    <row r="14" spans="1:14" ht="25.5">
      <c r="A14" s="8" t="s">
        <v>66</v>
      </c>
      <c r="B14" s="72" t="s">
        <v>29</v>
      </c>
      <c r="C14" s="21" t="s">
        <v>72</v>
      </c>
      <c r="D14" s="36">
        <f>SUM('Year 1'!D14+'Year 2'!D14+'Year 3 '!D14)</f>
        <v>906</v>
      </c>
      <c r="E14" s="8">
        <v>1</v>
      </c>
      <c r="F14" s="8">
        <f>(D14)*(E14)</f>
        <v>906</v>
      </c>
      <c r="G14" s="8">
        <v>1.03</v>
      </c>
      <c r="H14" s="9">
        <f>(F14)*(G14)</f>
        <v>933.18000000000006</v>
      </c>
      <c r="I14" s="33">
        <v>60</v>
      </c>
      <c r="J14" s="33">
        <f>(H14)*(I14)</f>
        <v>55990.8</v>
      </c>
      <c r="L14" s="54">
        <f>+$J14*0.2</f>
        <v>11198.160000000002</v>
      </c>
      <c r="M14" s="54">
        <f t="shared" si="0"/>
        <v>44792.640000000007</v>
      </c>
      <c r="N14" s="53">
        <v>0</v>
      </c>
    </row>
    <row r="15" spans="1:14">
      <c r="A15" s="8" t="s">
        <v>67</v>
      </c>
      <c r="B15" s="72" t="s">
        <v>30</v>
      </c>
      <c r="C15" s="21" t="s">
        <v>69</v>
      </c>
      <c r="D15" s="36">
        <f>SUM('Year 1'!D15+'Year 2'!D15+'Year 3 '!D15)</f>
        <v>541</v>
      </c>
      <c r="E15" s="8">
        <v>1</v>
      </c>
      <c r="F15" s="8">
        <f>(D15)*(E15)</f>
        <v>541</v>
      </c>
      <c r="G15" s="8">
        <v>1</v>
      </c>
      <c r="H15" s="9">
        <f>(F15)*(G15)</f>
        <v>541</v>
      </c>
      <c r="I15" s="33">
        <v>60</v>
      </c>
      <c r="J15" s="33">
        <f>(H15)*(I15)</f>
        <v>32460</v>
      </c>
      <c r="L15" s="54">
        <f>+$J15*0.2</f>
        <v>6492</v>
      </c>
      <c r="M15" s="54">
        <f t="shared" si="0"/>
        <v>25968</v>
      </c>
      <c r="N15" s="53">
        <v>0</v>
      </c>
    </row>
    <row r="16" spans="1:14" ht="25.5">
      <c r="A16" s="8" t="s">
        <v>68</v>
      </c>
      <c r="B16" s="72" t="s">
        <v>31</v>
      </c>
      <c r="C16" s="21" t="s">
        <v>70</v>
      </c>
      <c r="D16" s="36">
        <f>SUM('Year 1'!D16+'Year 2'!D16+'Year 3 '!D16)</f>
        <v>853</v>
      </c>
      <c r="E16" s="8" t="s">
        <v>101</v>
      </c>
      <c r="F16" s="36">
        <f>SUM('Year 1'!F16+'Year 2'!F16+'Year 3 '!F16)</f>
        <v>2989</v>
      </c>
      <c r="G16" s="8">
        <v>1</v>
      </c>
      <c r="H16" s="9">
        <f>(F16)*(G16)</f>
        <v>2989</v>
      </c>
      <c r="I16" s="33">
        <v>60</v>
      </c>
      <c r="J16" s="33">
        <f>(H16)*(I16)</f>
        <v>179340</v>
      </c>
      <c r="L16" s="54">
        <f>+$J16*0.2</f>
        <v>35868</v>
      </c>
      <c r="M16" s="54">
        <f t="shared" si="0"/>
        <v>143472</v>
      </c>
      <c r="N16" s="53">
        <v>0</v>
      </c>
    </row>
    <row r="17" spans="1:14">
      <c r="A17" s="8" t="s">
        <v>155</v>
      </c>
      <c r="B17" s="39" t="s">
        <v>15</v>
      </c>
      <c r="C17" s="21" t="s">
        <v>16</v>
      </c>
      <c r="D17" s="36">
        <f>SUM('Year 1'!D17+'Year 2'!D17+'Year 3 '!D17)</f>
        <v>853</v>
      </c>
      <c r="E17" s="8">
        <v>1</v>
      </c>
      <c r="F17" s="8">
        <f>(D17)*(E17)</f>
        <v>853</v>
      </c>
      <c r="G17" s="8">
        <v>0.16</v>
      </c>
      <c r="H17" s="9">
        <f>(F17)*(G17)</f>
        <v>136.47999999999999</v>
      </c>
      <c r="I17" s="33">
        <v>60</v>
      </c>
      <c r="J17" s="33">
        <f>(H17)*(I17)</f>
        <v>8188.7999999999993</v>
      </c>
      <c r="L17" s="54">
        <f>+$J17*0.2</f>
        <v>1637.76</v>
      </c>
      <c r="M17" s="54">
        <f t="shared" si="0"/>
        <v>6551.04</v>
      </c>
      <c r="N17" s="53">
        <v>0</v>
      </c>
    </row>
    <row r="18" spans="1:14">
      <c r="A18" s="8" t="s">
        <v>154</v>
      </c>
      <c r="B18" s="39" t="s">
        <v>99</v>
      </c>
      <c r="C18" s="21" t="s">
        <v>98</v>
      </c>
      <c r="D18" s="36">
        <f>SUM('Year 1'!D18+'Year 2'!D18+'Year 3 '!D18)</f>
        <v>906</v>
      </c>
      <c r="E18" s="8">
        <v>1</v>
      </c>
      <c r="F18" s="8">
        <f>(D18)*(E18)</f>
        <v>906</v>
      </c>
      <c r="G18" s="8">
        <v>0.5</v>
      </c>
      <c r="H18" s="9">
        <f>(F18)*(G18)</f>
        <v>453</v>
      </c>
      <c r="I18" s="33">
        <v>60</v>
      </c>
      <c r="J18" s="33">
        <f>(H18)*(I18)</f>
        <v>27180</v>
      </c>
      <c r="L18" s="54">
        <f>+$J18*0.2</f>
        <v>5436</v>
      </c>
      <c r="M18" s="54">
        <f t="shared" si="0"/>
        <v>21744</v>
      </c>
      <c r="N18" s="56">
        <v>0</v>
      </c>
    </row>
    <row r="19" spans="1:14">
      <c r="A19" s="2"/>
      <c r="B19" s="73"/>
      <c r="C19" s="1"/>
      <c r="D19" s="4"/>
      <c r="E19" s="2"/>
      <c r="F19" s="4"/>
      <c r="G19" s="2"/>
      <c r="H19" s="4"/>
      <c r="I19" s="65"/>
      <c r="J19" s="74"/>
      <c r="L19" s="54"/>
      <c r="M19" s="54"/>
      <c r="N19" s="57"/>
    </row>
    <row r="20" spans="1:14">
      <c r="A20" s="2"/>
      <c r="B20" s="67" t="s">
        <v>23</v>
      </c>
      <c r="C20" s="17"/>
      <c r="D20" s="18"/>
      <c r="E20" s="19"/>
      <c r="F20" s="18"/>
      <c r="G20" s="19"/>
      <c r="H20" s="18"/>
      <c r="I20" s="20"/>
      <c r="J20" s="63"/>
      <c r="L20" s="57"/>
      <c r="M20" s="57"/>
      <c r="N20" s="57"/>
    </row>
    <row r="21" spans="1:14">
      <c r="A21" s="2" t="s">
        <v>153</v>
      </c>
      <c r="B21" s="21" t="s">
        <v>19</v>
      </c>
      <c r="C21" s="21" t="s">
        <v>20</v>
      </c>
      <c r="D21" s="4">
        <f>SUM('Year 1'!D21+'Year 2'!D21+'Year 3 '!D21)</f>
        <v>906</v>
      </c>
      <c r="E21" s="8">
        <v>1</v>
      </c>
      <c r="F21" s="10">
        <f>(D21)*(E21)</f>
        <v>906</v>
      </c>
      <c r="G21" s="8">
        <v>0.16</v>
      </c>
      <c r="H21" s="9">
        <f>(F21)*(G21)</f>
        <v>144.96</v>
      </c>
      <c r="I21" s="33">
        <v>60</v>
      </c>
      <c r="J21" s="33">
        <f>(H21)*(I21)</f>
        <v>8697.6</v>
      </c>
      <c r="L21" s="54">
        <f>+$J21*0.2</f>
        <v>1739.5200000000002</v>
      </c>
      <c r="M21" s="54">
        <f>+J21*0.8</f>
        <v>6958.0800000000008</v>
      </c>
      <c r="N21" s="57">
        <v>0</v>
      </c>
    </row>
    <row r="22" spans="1:14">
      <c r="A22" s="8"/>
      <c r="B22" s="11" t="s">
        <v>18</v>
      </c>
      <c r="C22" s="21"/>
      <c r="D22" s="31"/>
      <c r="E22" s="22"/>
      <c r="F22" s="12">
        <f>SUM(F6:F21)</f>
        <v>8524.7000000000007</v>
      </c>
      <c r="G22" s="22"/>
      <c r="H22" s="12">
        <f>SUM(H6:H21)</f>
        <v>6819.32</v>
      </c>
      <c r="I22" s="22"/>
      <c r="J22" s="75">
        <f>SUM(J6:J21)</f>
        <v>409159.19999999995</v>
      </c>
      <c r="L22" s="38">
        <f>SUM(L6:L21)</f>
        <v>76381.440000000002</v>
      </c>
      <c r="M22" s="38">
        <f>SUM(M6:M21)</f>
        <v>305525.76000000001</v>
      </c>
      <c r="N22" s="58">
        <v>0</v>
      </c>
    </row>
    <row r="25" spans="1:14">
      <c r="B25" s="23"/>
      <c r="C25" s="25"/>
      <c r="D25" s="105" t="s">
        <v>33</v>
      </c>
      <c r="E25" s="105"/>
      <c r="F25" s="105"/>
      <c r="G25" s="105" t="s">
        <v>34</v>
      </c>
      <c r="H25" s="105"/>
      <c r="I25" s="105"/>
      <c r="J25" s="40"/>
    </row>
    <row r="26" spans="1:14" ht="38.25">
      <c r="B26" s="25" t="s">
        <v>35</v>
      </c>
      <c r="C26" s="25"/>
      <c r="D26" s="41" t="s">
        <v>36</v>
      </c>
      <c r="E26" s="41" t="s">
        <v>37</v>
      </c>
      <c r="F26" s="41" t="s">
        <v>38</v>
      </c>
      <c r="G26" s="41" t="s">
        <v>36</v>
      </c>
      <c r="H26" s="41" t="s">
        <v>37</v>
      </c>
      <c r="I26" s="41" t="s">
        <v>38</v>
      </c>
      <c r="J26" s="40"/>
    </row>
    <row r="27" spans="1:14">
      <c r="B27" s="23" t="s">
        <v>39</v>
      </c>
      <c r="C27" s="16">
        <f>SUM('Year 1'!C27+'Year 2'!C27+'Year 3 '!C27)</f>
        <v>906</v>
      </c>
      <c r="D27" s="23">
        <f t="shared" ref="D27:F28" si="1">+$C27*G27</f>
        <v>181.20000000000002</v>
      </c>
      <c r="E27" s="23">
        <f t="shared" si="1"/>
        <v>724.80000000000007</v>
      </c>
      <c r="F27" s="23">
        <f t="shared" si="1"/>
        <v>0</v>
      </c>
      <c r="G27" s="42">
        <v>0.2</v>
      </c>
      <c r="H27" s="42">
        <v>0.8</v>
      </c>
      <c r="I27" s="23">
        <v>0</v>
      </c>
      <c r="J27" s="40"/>
    </row>
    <row r="28" spans="1:14">
      <c r="B28" s="23" t="s">
        <v>40</v>
      </c>
      <c r="C28" s="16">
        <f>SUM('Year 1'!C28+'Year 2'!C28+'Year 3 '!C28)</f>
        <v>853</v>
      </c>
      <c r="D28" s="23">
        <f t="shared" si="1"/>
        <v>170.60000000000002</v>
      </c>
      <c r="E28" s="23">
        <f t="shared" si="1"/>
        <v>682.40000000000009</v>
      </c>
      <c r="F28" s="23">
        <f t="shared" si="1"/>
        <v>0</v>
      </c>
      <c r="G28" s="42">
        <v>0.2</v>
      </c>
      <c r="H28" s="42">
        <v>0.8</v>
      </c>
      <c r="I28" s="23">
        <v>0</v>
      </c>
      <c r="J28" s="40"/>
    </row>
    <row r="29" spans="1:14">
      <c r="B29" s="23"/>
      <c r="C29" s="25"/>
      <c r="D29" s="23"/>
      <c r="E29" s="23"/>
      <c r="F29" s="23"/>
      <c r="G29" s="23"/>
      <c r="H29" s="40"/>
      <c r="I29" s="23"/>
      <c r="J29" s="40"/>
    </row>
    <row r="30" spans="1:14">
      <c r="C30" s="13"/>
    </row>
  </sheetData>
  <customSheetViews>
    <customSheetView guid="{F801E3C7-0680-4D04-B7DA-D7562243E7FD}" showPageBreaks="1" fitToPage="1" printArea="1" showRuler="0" topLeftCell="C4">
      <selection activeCell="B18" sqref="B18"/>
      <pageMargins left="0.5" right="0.25" top="0.75" bottom="0" header="0.5" footer="0.5"/>
      <printOptions gridLines="1"/>
      <pageSetup scale="78" orientation="landscape" horizontalDpi="300" verticalDpi="300" r:id="rId1"/>
      <headerFooter alignWithMargins="0"/>
    </customSheetView>
    <customSheetView guid="{85A0FECD-0ABD-4BC8-8163-7A3FD1ADFA49}" scale="80" showPageBreaks="1" fitToPage="1" printArea="1">
      <selection activeCell="B38" sqref="B38"/>
      <pageMargins left="0.5" right="0.25" top="0.75" bottom="0" header="0.5" footer="0.5"/>
      <printOptions gridLines="1"/>
      <pageSetup scale="80" orientation="landscape" horizontalDpi="300" verticalDpi="300" r:id="rId2"/>
      <headerFooter alignWithMargins="0"/>
    </customSheetView>
  </customSheetViews>
  <mergeCells count="2">
    <mergeCell ref="D25:F25"/>
    <mergeCell ref="G25:I25"/>
  </mergeCells>
  <phoneticPr fontId="2" type="noConversion"/>
  <printOptions gridLines="1"/>
  <pageMargins left="0.5" right="0.25" top="0.75" bottom="0" header="0.5" footer="0.5"/>
  <pageSetup scale="80" orientation="landscape" horizontalDpi="300" verticalDpi="300" r:id="rId3"/>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N48"/>
  <sheetViews>
    <sheetView zoomScale="80" zoomScaleNormal="80" zoomScaleSheetLayoutView="80" workbookViewId="0">
      <pane ySplit="3" topLeftCell="A19" activePane="bottomLeft" state="frozen"/>
      <selection pane="bottomLeft" activeCell="C34" sqref="C34:I34"/>
    </sheetView>
  </sheetViews>
  <sheetFormatPr defaultRowHeight="12.75"/>
  <cols>
    <col min="1" max="1" width="17.42578125" style="30" customWidth="1"/>
    <col min="2" max="2" width="45.140625" style="30" customWidth="1"/>
    <col min="3" max="3" width="23.140625" style="30" customWidth="1"/>
    <col min="4" max="4" width="13.5703125" style="30" bestFit="1" customWidth="1"/>
    <col min="5" max="5" width="9.5703125" style="30" bestFit="1" customWidth="1"/>
    <col min="6" max="6" width="12.42578125" style="30" customWidth="1"/>
    <col min="7" max="7" width="11.7109375" style="30" customWidth="1"/>
    <col min="8" max="8" width="10.28515625" style="30" customWidth="1"/>
    <col min="9" max="9" width="9.5703125" style="30" bestFit="1" customWidth="1"/>
    <col min="10" max="10" width="12" style="30" bestFit="1" customWidth="1"/>
    <col min="11" max="11" width="9.140625" style="30"/>
    <col min="12" max="12" width="15" style="30" bestFit="1" customWidth="1"/>
    <col min="13" max="13" width="17.7109375" style="30" bestFit="1" customWidth="1"/>
    <col min="14" max="14" width="12.28515625" style="30" bestFit="1" customWidth="1"/>
    <col min="15" max="16384" width="9.140625" style="30"/>
  </cols>
  <sheetData>
    <row r="1" spans="1:14" s="34" customFormat="1">
      <c r="A1" s="34" t="s">
        <v>77</v>
      </c>
      <c r="L1" s="51"/>
      <c r="M1" s="51"/>
      <c r="N1" s="51"/>
    </row>
    <row r="2" spans="1:14" s="34" customFormat="1">
      <c r="A2" s="34" t="s">
        <v>12</v>
      </c>
      <c r="L2" s="52" t="s">
        <v>36</v>
      </c>
      <c r="M2" s="52" t="s">
        <v>37</v>
      </c>
      <c r="N2" s="52" t="s">
        <v>38</v>
      </c>
    </row>
    <row r="3" spans="1:14" s="34" customFormat="1" ht="67.5" customHeight="1">
      <c r="A3" s="79" t="s">
        <v>26</v>
      </c>
      <c r="B3" s="79" t="s">
        <v>13</v>
      </c>
      <c r="C3" s="80" t="s">
        <v>14</v>
      </c>
      <c r="D3" s="80" t="s">
        <v>0</v>
      </c>
      <c r="E3" s="80" t="s">
        <v>24</v>
      </c>
      <c r="F3" s="80" t="s">
        <v>89</v>
      </c>
      <c r="G3" s="80" t="s">
        <v>1</v>
      </c>
      <c r="H3" s="80" t="s">
        <v>90</v>
      </c>
      <c r="I3" s="80" t="s">
        <v>2</v>
      </c>
      <c r="J3" s="80" t="s">
        <v>88</v>
      </c>
      <c r="L3" s="53"/>
      <c r="M3" s="53"/>
      <c r="N3" s="53"/>
    </row>
    <row r="4" spans="1:14" s="35" customFormat="1">
      <c r="A4" s="76" t="s">
        <v>3</v>
      </c>
      <c r="B4" s="76" t="s">
        <v>4</v>
      </c>
      <c r="C4" s="76" t="s">
        <v>5</v>
      </c>
      <c r="D4" s="76" t="s">
        <v>6</v>
      </c>
      <c r="E4" s="76" t="s">
        <v>7</v>
      </c>
      <c r="F4" s="76" t="s">
        <v>8</v>
      </c>
      <c r="G4" s="76" t="s">
        <v>9</v>
      </c>
      <c r="H4" s="76" t="s">
        <v>10</v>
      </c>
      <c r="I4" s="76" t="s">
        <v>11</v>
      </c>
      <c r="J4" s="76" t="s">
        <v>85</v>
      </c>
      <c r="L4" s="53"/>
      <c r="M4" s="53"/>
      <c r="N4" s="53"/>
    </row>
    <row r="5" spans="1:14">
      <c r="A5" s="20"/>
      <c r="B5" s="62" t="s">
        <v>22</v>
      </c>
      <c r="C5" s="17"/>
      <c r="D5" s="18"/>
      <c r="E5" s="19"/>
      <c r="F5" s="18"/>
      <c r="G5" s="19"/>
      <c r="H5" s="18"/>
      <c r="I5" s="20"/>
      <c r="J5" s="63"/>
      <c r="L5" s="53"/>
      <c r="M5" s="53"/>
      <c r="N5" s="53"/>
    </row>
    <row r="6" spans="1:14">
      <c r="A6" s="8">
        <f>'Total Rollup '!A6</f>
        <v>4288.1030000000001</v>
      </c>
      <c r="B6" s="21" t="s">
        <v>27</v>
      </c>
      <c r="C6" s="1" t="s">
        <v>17</v>
      </c>
      <c r="D6" s="4">
        <v>6</v>
      </c>
      <c r="E6" s="2">
        <v>1</v>
      </c>
      <c r="F6" s="3">
        <f>(D6)*(E6)</f>
        <v>6</v>
      </c>
      <c r="G6" s="2">
        <v>12</v>
      </c>
      <c r="H6" s="4">
        <f>(F6)*(G6)</f>
        <v>72</v>
      </c>
      <c r="I6" s="32">
        <v>60</v>
      </c>
      <c r="J6" s="77">
        <f>(H6)*(I6)</f>
        <v>4320</v>
      </c>
      <c r="L6" s="54">
        <f>+$J6*0.2</f>
        <v>864</v>
      </c>
      <c r="M6" s="54">
        <f>+J6*0.8</f>
        <v>3456</v>
      </c>
      <c r="N6" s="53">
        <v>0</v>
      </c>
    </row>
    <row r="7" spans="1:14">
      <c r="A7" s="8" t="str">
        <f>'Total Rollup '!A7</f>
        <v>4288.137(a)</v>
      </c>
      <c r="B7" s="21" t="s">
        <v>28</v>
      </c>
      <c r="C7" s="1" t="s">
        <v>17</v>
      </c>
      <c r="D7" s="4">
        <v>6</v>
      </c>
      <c r="E7" s="2">
        <v>1</v>
      </c>
      <c r="F7" s="3">
        <f>(D7)*(E7)</f>
        <v>6</v>
      </c>
      <c r="G7" s="2">
        <v>1</v>
      </c>
      <c r="H7" s="4">
        <f>(F7)*(G7)</f>
        <v>6</v>
      </c>
      <c r="I7" s="32">
        <v>60</v>
      </c>
      <c r="J7" s="77">
        <f>(H7)*(I7)</f>
        <v>360</v>
      </c>
      <c r="L7" s="54">
        <f>+$J7*0.2</f>
        <v>72</v>
      </c>
      <c r="M7" s="54">
        <f t="shared" ref="M7:M18" si="0">+J7*0.8</f>
        <v>288</v>
      </c>
      <c r="N7" s="53">
        <v>0</v>
      </c>
    </row>
    <row r="8" spans="1:14">
      <c r="A8" s="8" t="str">
        <f>'Total Rollup '!A8</f>
        <v>4288.110(b)</v>
      </c>
      <c r="B8" s="72" t="s">
        <v>32</v>
      </c>
      <c r="C8" s="7" t="str">
        <f>'Total Rollup '!C8</f>
        <v>written</v>
      </c>
      <c r="D8" s="10">
        <f>+C$27*0.1</f>
        <v>18</v>
      </c>
      <c r="E8" s="2">
        <v>1</v>
      </c>
      <c r="F8" s="3">
        <f>(D8)*(E8)</f>
        <v>18</v>
      </c>
      <c r="G8" s="2">
        <v>1</v>
      </c>
      <c r="H8" s="4">
        <f>(F8)*(G8)</f>
        <v>18</v>
      </c>
      <c r="I8" s="32">
        <v>60</v>
      </c>
      <c r="J8" s="77">
        <f>(H8)*(I8)</f>
        <v>1080</v>
      </c>
      <c r="L8" s="54">
        <f>+$J8*0.2</f>
        <v>216</v>
      </c>
      <c r="M8" s="54">
        <f>+J8*0.8</f>
        <v>864</v>
      </c>
      <c r="N8" s="57">
        <v>0</v>
      </c>
    </row>
    <row r="9" spans="1:14">
      <c r="A9" s="8" t="s">
        <v>152</v>
      </c>
      <c r="B9" s="21" t="s">
        <v>146</v>
      </c>
      <c r="C9" s="7" t="s">
        <v>17</v>
      </c>
      <c r="D9" s="10">
        <v>0</v>
      </c>
      <c r="E9" s="8">
        <v>1</v>
      </c>
      <c r="F9" s="3">
        <f>(D9)*(E9)</f>
        <v>0</v>
      </c>
      <c r="G9" s="9">
        <v>1</v>
      </c>
      <c r="H9" s="4">
        <f>(F9)*(G9)</f>
        <v>0</v>
      </c>
      <c r="I9" s="32">
        <v>60</v>
      </c>
      <c r="J9" s="77">
        <f>(H9)*(I9)</f>
        <v>0</v>
      </c>
      <c r="L9" s="54"/>
      <c r="M9" s="54"/>
      <c r="N9" s="53"/>
    </row>
    <row r="10" spans="1:14">
      <c r="A10" s="8"/>
      <c r="B10" s="11" t="s">
        <v>21</v>
      </c>
      <c r="C10" s="1"/>
      <c r="D10" s="2"/>
      <c r="E10" s="2"/>
      <c r="F10" s="5"/>
      <c r="G10" s="2"/>
      <c r="H10" s="6"/>
      <c r="I10" s="32"/>
      <c r="J10" s="77"/>
      <c r="L10" s="55"/>
      <c r="M10" s="54"/>
      <c r="N10" s="53"/>
    </row>
    <row r="11" spans="1:14">
      <c r="A11" s="8"/>
      <c r="B11" s="21" t="s">
        <v>21</v>
      </c>
      <c r="C11" s="1"/>
      <c r="D11" s="10">
        <f>+C28</f>
        <v>141</v>
      </c>
      <c r="E11" s="2">
        <v>1</v>
      </c>
      <c r="F11" s="3">
        <f>(D11)*(E11)</f>
        <v>141</v>
      </c>
      <c r="G11" s="2">
        <v>1</v>
      </c>
      <c r="H11" s="4">
        <f>(F11)*(G11)</f>
        <v>141</v>
      </c>
      <c r="I11" s="32">
        <v>60</v>
      </c>
      <c r="J11" s="77">
        <f>(H11)*(I11)</f>
        <v>8460</v>
      </c>
      <c r="L11" s="54">
        <f>+$J11*0.2</f>
        <v>1692</v>
      </c>
      <c r="M11" s="54">
        <f t="shared" si="0"/>
        <v>6768</v>
      </c>
      <c r="N11" s="53">
        <v>0</v>
      </c>
    </row>
    <row r="12" spans="1:14">
      <c r="A12" s="8"/>
      <c r="B12" s="65"/>
      <c r="C12" s="65"/>
      <c r="D12" s="65"/>
      <c r="E12" s="65"/>
      <c r="F12" s="2"/>
      <c r="G12" s="65"/>
      <c r="H12" s="65"/>
      <c r="I12" s="32"/>
      <c r="J12" s="65"/>
      <c r="L12" s="54"/>
      <c r="M12" s="54"/>
      <c r="N12" s="53"/>
    </row>
    <row r="13" spans="1:14">
      <c r="A13" s="8"/>
      <c r="B13" s="67" t="s">
        <v>25</v>
      </c>
      <c r="C13" s="68"/>
      <c r="D13" s="69"/>
      <c r="E13" s="69"/>
      <c r="F13" s="69"/>
      <c r="G13" s="70"/>
      <c r="H13" s="69"/>
      <c r="I13" s="64"/>
      <c r="J13" s="71"/>
      <c r="L13" s="54"/>
      <c r="M13" s="54"/>
      <c r="N13" s="53"/>
    </row>
    <row r="14" spans="1:14" ht="25.5">
      <c r="A14" s="8" t="str">
        <f>'Total Rollup '!A14</f>
        <v>4288.120(a)</v>
      </c>
      <c r="B14" s="72" t="s">
        <v>29</v>
      </c>
      <c r="C14" s="21" t="str">
        <f>'Total Rollup '!C14</f>
        <v>RD 4288-1</v>
      </c>
      <c r="D14" s="10">
        <f>+C$27</f>
        <v>180</v>
      </c>
      <c r="E14" s="8">
        <v>1</v>
      </c>
      <c r="F14" s="8">
        <f>(D14)*(E14)</f>
        <v>180</v>
      </c>
      <c r="G14" s="8">
        <f>F48</f>
        <v>1.03</v>
      </c>
      <c r="H14" s="9">
        <f>(F14)*(G14)</f>
        <v>185.4</v>
      </c>
      <c r="I14" s="33">
        <v>60</v>
      </c>
      <c r="J14" s="26">
        <f>(H14)*(I14)</f>
        <v>11124</v>
      </c>
      <c r="L14" s="54">
        <f>+$J14*0.2</f>
        <v>2224.8000000000002</v>
      </c>
      <c r="M14" s="54">
        <f t="shared" si="0"/>
        <v>8899.2000000000007</v>
      </c>
      <c r="N14" s="53">
        <v>0</v>
      </c>
    </row>
    <row r="15" spans="1:14">
      <c r="A15" s="8" t="str">
        <f>'Total Rollup '!A15</f>
        <v>4288.121(a)</v>
      </c>
      <c r="B15" s="72" t="s">
        <v>30</v>
      </c>
      <c r="C15" s="21" t="str">
        <f>'Total Rollup '!C15</f>
        <v>RD 4288-2</v>
      </c>
      <c r="D15" s="10">
        <f>+C$28</f>
        <v>141</v>
      </c>
      <c r="E15" s="8">
        <v>1</v>
      </c>
      <c r="F15" s="8">
        <f>(D15)*(E15)</f>
        <v>141</v>
      </c>
      <c r="G15" s="8">
        <v>1</v>
      </c>
      <c r="H15" s="9">
        <f>(F15)*(G15)</f>
        <v>141</v>
      </c>
      <c r="I15" s="33">
        <v>60</v>
      </c>
      <c r="J15" s="26">
        <f>(H15)*(I15)</f>
        <v>8460</v>
      </c>
      <c r="L15" s="54">
        <f>+$J15*0.2</f>
        <v>1692</v>
      </c>
      <c r="M15" s="54">
        <f t="shared" si="0"/>
        <v>6768</v>
      </c>
      <c r="N15" s="53">
        <v>0</v>
      </c>
    </row>
    <row r="16" spans="1:14" ht="25.5">
      <c r="A16" s="8" t="str">
        <f>'Total Rollup '!A16</f>
        <v>4288.130(a)</v>
      </c>
      <c r="B16" s="72" t="s">
        <v>31</v>
      </c>
      <c r="C16" s="21" t="str">
        <f>'Total Rollup '!C16</f>
        <v>RD 4288-3</v>
      </c>
      <c r="D16" s="10">
        <f>+C$28</f>
        <v>141</v>
      </c>
      <c r="E16" s="8">
        <v>1</v>
      </c>
      <c r="F16" s="8">
        <f>(D16)*(E16)</f>
        <v>141</v>
      </c>
      <c r="G16" s="8">
        <v>1</v>
      </c>
      <c r="H16" s="9">
        <f>(F16)*(G16)</f>
        <v>141</v>
      </c>
      <c r="I16" s="33">
        <v>60</v>
      </c>
      <c r="J16" s="26">
        <f>(H16)*(I16)</f>
        <v>8460</v>
      </c>
      <c r="L16" s="54">
        <f>+$J16*0.2</f>
        <v>1692</v>
      </c>
      <c r="M16" s="54">
        <f t="shared" si="0"/>
        <v>6768</v>
      </c>
      <c r="N16" s="53">
        <v>0</v>
      </c>
    </row>
    <row r="17" spans="1:14">
      <c r="A17" s="8" t="s">
        <v>155</v>
      </c>
      <c r="B17" s="39" t="s">
        <v>15</v>
      </c>
      <c r="C17" s="21" t="str">
        <f>'Total Rollup '!C17</f>
        <v>RD 400-4 (0575-0018)</v>
      </c>
      <c r="D17" s="10">
        <f>+C$28</f>
        <v>141</v>
      </c>
      <c r="E17" s="8">
        <v>1</v>
      </c>
      <c r="F17" s="8">
        <f>(D17)*(E17)</f>
        <v>141</v>
      </c>
      <c r="G17" s="8">
        <v>0.16</v>
      </c>
      <c r="H17" s="9">
        <f>(F17)*(G17)</f>
        <v>22.56</v>
      </c>
      <c r="I17" s="33">
        <v>60</v>
      </c>
      <c r="J17" s="26">
        <f>(H17)*(I17)</f>
        <v>1353.6</v>
      </c>
      <c r="L17" s="54">
        <f>+$J17*0.2</f>
        <v>270.71999999999997</v>
      </c>
      <c r="M17" s="54">
        <f t="shared" si="0"/>
        <v>1082.8799999999999</v>
      </c>
      <c r="N17" s="53">
        <v>0</v>
      </c>
    </row>
    <row r="18" spans="1:14">
      <c r="A18" s="8" t="s">
        <v>154</v>
      </c>
      <c r="B18" s="39" t="s">
        <v>97</v>
      </c>
      <c r="C18" s="21" t="str">
        <f>'Total Rollup '!C18</f>
        <v>RD 1940-Q, Exhibit A-1</v>
      </c>
      <c r="D18" s="10">
        <f>+C$27</f>
        <v>180</v>
      </c>
      <c r="E18" s="8">
        <v>1</v>
      </c>
      <c r="F18" s="8">
        <f>(D18)*(E18)</f>
        <v>180</v>
      </c>
      <c r="G18" s="8">
        <v>0.5</v>
      </c>
      <c r="H18" s="9">
        <f>(F18)*(G18)</f>
        <v>90</v>
      </c>
      <c r="I18" s="33">
        <v>60</v>
      </c>
      <c r="J18" s="26">
        <f>(H18)*(I18)</f>
        <v>5400</v>
      </c>
      <c r="L18" s="54">
        <f>+$J18*0.2</f>
        <v>1080</v>
      </c>
      <c r="M18" s="54">
        <f t="shared" si="0"/>
        <v>4320</v>
      </c>
      <c r="N18" s="56">
        <v>0</v>
      </c>
    </row>
    <row r="19" spans="1:14">
      <c r="A19" s="2"/>
      <c r="B19" s="73"/>
      <c r="C19" s="17"/>
      <c r="D19" s="18"/>
      <c r="E19" s="19"/>
      <c r="F19" s="18"/>
      <c r="G19" s="19"/>
      <c r="H19" s="18"/>
      <c r="I19" s="20"/>
      <c r="J19" s="63"/>
      <c r="L19" s="54"/>
      <c r="M19" s="54"/>
      <c r="N19" s="57"/>
    </row>
    <row r="20" spans="1:14">
      <c r="A20" s="2"/>
      <c r="B20" s="67" t="s">
        <v>23</v>
      </c>
      <c r="C20" s="21"/>
      <c r="D20" s="10"/>
      <c r="E20" s="8"/>
      <c r="F20" s="10"/>
      <c r="G20" s="8"/>
      <c r="H20" s="9"/>
      <c r="I20" s="22"/>
      <c r="J20" s="26"/>
      <c r="L20" s="57"/>
      <c r="M20" s="57"/>
      <c r="N20" s="57"/>
    </row>
    <row r="21" spans="1:14" ht="12.75" customHeight="1">
      <c r="A21" s="2" t="s">
        <v>153</v>
      </c>
      <c r="B21" s="21" t="s">
        <v>19</v>
      </c>
      <c r="C21" s="21" t="str">
        <f>'Total Rollup '!C21</f>
        <v>SF LLL (0348-0046)</v>
      </c>
      <c r="D21" s="10">
        <f>+C$27</f>
        <v>180</v>
      </c>
      <c r="E21" s="8">
        <v>1</v>
      </c>
      <c r="F21" s="10">
        <f>(D21)*(E21)</f>
        <v>180</v>
      </c>
      <c r="G21" s="8">
        <v>0.16</v>
      </c>
      <c r="H21" s="9">
        <f>(F21)*(G21)</f>
        <v>28.8</v>
      </c>
      <c r="I21" s="32">
        <v>60</v>
      </c>
      <c r="J21" s="26">
        <f>(H21)*(I21)</f>
        <v>1728</v>
      </c>
      <c r="L21" s="54">
        <f>+$J21*0.2</f>
        <v>345.6</v>
      </c>
      <c r="M21" s="54">
        <f>+J21*0.8</f>
        <v>1382.4</v>
      </c>
      <c r="N21" s="57">
        <v>0</v>
      </c>
    </row>
    <row r="22" spans="1:14">
      <c r="A22" s="8"/>
      <c r="B22" s="78"/>
      <c r="C22" s="73"/>
      <c r="D22" s="65"/>
      <c r="E22" s="65"/>
      <c r="F22" s="6">
        <f>SUM(F6:F21)</f>
        <v>1134</v>
      </c>
      <c r="G22" s="65"/>
      <c r="H22" s="6">
        <f>SUM(H6:H21)</f>
        <v>845.75999999999988</v>
      </c>
      <c r="I22" s="2"/>
      <c r="J22" s="32">
        <f>SUM(J6:J21)</f>
        <v>50745.599999999999</v>
      </c>
      <c r="L22" s="38">
        <f>SUM(L6:L21)</f>
        <v>10149.119999999999</v>
      </c>
      <c r="M22" s="38">
        <f>SUM(M6:M21)</f>
        <v>40596.479999999996</v>
      </c>
      <c r="N22" s="58">
        <v>0</v>
      </c>
    </row>
    <row r="23" spans="1:14">
      <c r="A23" s="28"/>
      <c r="B23" s="13"/>
      <c r="C23" s="15"/>
      <c r="D23" s="13"/>
      <c r="E23" s="13"/>
      <c r="F23" s="13"/>
      <c r="G23" s="27"/>
      <c r="H23" s="29"/>
      <c r="I23" s="13"/>
      <c r="J23" s="14"/>
    </row>
    <row r="24" spans="1:14">
      <c r="A24" s="28"/>
      <c r="B24" s="13"/>
      <c r="C24" s="15"/>
      <c r="D24" s="13"/>
      <c r="E24" s="13"/>
      <c r="F24" s="13"/>
      <c r="G24" s="27"/>
      <c r="H24" s="29"/>
      <c r="I24" s="13"/>
      <c r="J24" s="14"/>
    </row>
    <row r="25" spans="1:14">
      <c r="A25" s="28"/>
      <c r="B25" s="23"/>
      <c r="C25" s="25"/>
      <c r="D25" s="105" t="s">
        <v>33</v>
      </c>
      <c r="E25" s="105"/>
      <c r="F25" s="105"/>
      <c r="G25" s="105" t="s">
        <v>34</v>
      </c>
      <c r="H25" s="105"/>
      <c r="I25" s="105"/>
      <c r="J25" s="40"/>
    </row>
    <row r="26" spans="1:14" ht="38.25">
      <c r="A26" s="28"/>
      <c r="B26" s="25" t="s">
        <v>35</v>
      </c>
      <c r="C26" s="25"/>
      <c r="D26" s="41" t="s">
        <v>36</v>
      </c>
      <c r="E26" s="41" t="s">
        <v>37</v>
      </c>
      <c r="F26" s="41" t="s">
        <v>38</v>
      </c>
      <c r="G26" s="41" t="s">
        <v>36</v>
      </c>
      <c r="H26" s="41" t="s">
        <v>37</v>
      </c>
      <c r="I26" s="41" t="s">
        <v>38</v>
      </c>
      <c r="J26" s="40"/>
    </row>
    <row r="27" spans="1:14">
      <c r="A27" s="28"/>
      <c r="B27" s="23" t="s">
        <v>39</v>
      </c>
      <c r="C27" s="25">
        <v>180</v>
      </c>
      <c r="D27" s="23">
        <f t="shared" ref="D27:F28" si="1">+$C27*G27</f>
        <v>36</v>
      </c>
      <c r="E27" s="23">
        <f t="shared" si="1"/>
        <v>144</v>
      </c>
      <c r="F27" s="23">
        <f t="shared" si="1"/>
        <v>0</v>
      </c>
      <c r="G27" s="42">
        <v>0.2</v>
      </c>
      <c r="H27" s="42">
        <v>0.8</v>
      </c>
      <c r="I27" s="23">
        <v>0</v>
      </c>
      <c r="J27" s="40"/>
    </row>
    <row r="28" spans="1:14">
      <c r="A28" s="28"/>
      <c r="B28" s="23" t="s">
        <v>40</v>
      </c>
      <c r="C28" s="23">
        <v>141</v>
      </c>
      <c r="D28" s="23">
        <v>28</v>
      </c>
      <c r="E28" s="23">
        <v>113</v>
      </c>
      <c r="F28" s="23">
        <f t="shared" si="1"/>
        <v>0</v>
      </c>
      <c r="G28" s="42">
        <v>0.2</v>
      </c>
      <c r="H28" s="42">
        <v>0.8</v>
      </c>
      <c r="I28" s="23">
        <v>0</v>
      </c>
      <c r="J28" s="40"/>
    </row>
    <row r="29" spans="1:14">
      <c r="B29" s="23"/>
      <c r="C29" s="25"/>
      <c r="D29" s="23"/>
      <c r="E29" s="23"/>
      <c r="F29" s="23"/>
      <c r="G29" s="23"/>
      <c r="H29" s="40"/>
      <c r="I29" s="23"/>
      <c r="J29" s="40"/>
    </row>
    <row r="30" spans="1:14">
      <c r="B30" s="23"/>
      <c r="C30" s="25"/>
      <c r="D30" s="23"/>
      <c r="E30" s="23"/>
      <c r="F30" s="23"/>
      <c r="G30" s="23"/>
      <c r="H30" s="40"/>
      <c r="I30" s="23"/>
      <c r="J30" s="40"/>
    </row>
    <row r="31" spans="1:14">
      <c r="B31" s="43" t="s">
        <v>41</v>
      </c>
      <c r="C31" s="25"/>
      <c r="D31" s="23"/>
      <c r="E31" s="23"/>
      <c r="F31" s="23"/>
      <c r="G31" s="23"/>
      <c r="H31" s="40"/>
      <c r="I31" s="23"/>
      <c r="J31" s="40"/>
    </row>
    <row r="32" spans="1:14" ht="12.75" customHeight="1">
      <c r="B32" s="44" t="s">
        <v>42</v>
      </c>
      <c r="C32" s="106" t="s">
        <v>63</v>
      </c>
      <c r="D32" s="107"/>
      <c r="E32" s="107"/>
      <c r="F32" s="107"/>
      <c r="G32" s="107"/>
      <c r="H32" s="107"/>
      <c r="I32" s="107"/>
      <c r="J32" s="45"/>
    </row>
    <row r="33" spans="2:10">
      <c r="B33" s="44"/>
      <c r="C33" s="25"/>
      <c r="D33" s="45"/>
      <c r="E33" s="45"/>
      <c r="F33" s="45"/>
      <c r="G33" s="45"/>
      <c r="H33" s="45"/>
      <c r="I33" s="45"/>
      <c r="J33" s="45"/>
    </row>
    <row r="34" spans="2:10" ht="30" customHeight="1">
      <c r="B34" s="46" t="s">
        <v>78</v>
      </c>
      <c r="C34" s="106" t="s">
        <v>150</v>
      </c>
      <c r="D34" s="107"/>
      <c r="E34" s="107"/>
      <c r="F34" s="107"/>
      <c r="G34" s="107"/>
      <c r="H34" s="107"/>
      <c r="I34" s="107"/>
      <c r="J34" s="45"/>
    </row>
    <row r="35" spans="2:10">
      <c r="B35" s="44" t="s">
        <v>146</v>
      </c>
      <c r="C35" s="106" t="s">
        <v>151</v>
      </c>
      <c r="D35" s="107"/>
      <c r="E35" s="107"/>
      <c r="F35" s="107"/>
      <c r="G35" s="107"/>
      <c r="H35" s="107"/>
      <c r="I35" s="107"/>
      <c r="J35" s="107"/>
    </row>
    <row r="36" spans="2:10" ht="18" customHeight="1">
      <c r="B36" s="44" t="s">
        <v>43</v>
      </c>
      <c r="C36" s="106" t="s">
        <v>100</v>
      </c>
      <c r="D36" s="107"/>
      <c r="E36" s="107"/>
      <c r="F36" s="107"/>
      <c r="G36" s="107"/>
      <c r="H36" s="107"/>
      <c r="I36" s="45"/>
      <c r="J36" s="40"/>
    </row>
    <row r="37" spans="2:10">
      <c r="B37" s="24"/>
      <c r="C37" s="25"/>
      <c r="D37" s="23"/>
      <c r="E37" s="23"/>
      <c r="F37" s="23"/>
      <c r="G37" s="23"/>
      <c r="H37" s="40"/>
      <c r="I37" s="23"/>
      <c r="J37" s="40"/>
    </row>
    <row r="38" spans="2:10" ht="12.75" customHeight="1">
      <c r="B38" s="44" t="s">
        <v>44</v>
      </c>
      <c r="C38" s="106" t="s">
        <v>133</v>
      </c>
      <c r="D38" s="107"/>
      <c r="E38" s="107"/>
      <c r="F38" s="107"/>
      <c r="G38" s="107"/>
      <c r="H38" s="107"/>
      <c r="I38" s="45"/>
      <c r="J38" s="40"/>
    </row>
    <row r="39" spans="2:10">
      <c r="B39" s="47"/>
      <c r="C39" s="48"/>
      <c r="D39" s="49"/>
      <c r="E39" s="49"/>
      <c r="F39" s="49"/>
      <c r="G39" s="49"/>
      <c r="H39" s="50"/>
      <c r="I39" s="49"/>
      <c r="J39" s="50"/>
    </row>
    <row r="40" spans="2:10" ht="12.75" customHeight="1">
      <c r="B40" s="44" t="s">
        <v>21</v>
      </c>
      <c r="C40" s="106" t="s">
        <v>144</v>
      </c>
      <c r="D40" s="107"/>
      <c r="E40" s="107"/>
      <c r="F40" s="107"/>
      <c r="G40" s="107"/>
      <c r="H40" s="107"/>
      <c r="I40" s="45"/>
      <c r="J40" s="45"/>
    </row>
    <row r="43" spans="2:10">
      <c r="B43" s="30" t="s">
        <v>102</v>
      </c>
      <c r="C43" s="30" t="s">
        <v>103</v>
      </c>
    </row>
    <row r="44" spans="2:10">
      <c r="C44" s="30" t="s">
        <v>104</v>
      </c>
    </row>
    <row r="45" spans="2:10">
      <c r="C45" s="30" t="s">
        <v>105</v>
      </c>
      <c r="F45" s="30">
        <f>+C27</f>
        <v>180</v>
      </c>
    </row>
    <row r="46" spans="2:10">
      <c r="C46" s="30" t="s">
        <v>106</v>
      </c>
      <c r="F46" s="30">
        <f>+F45*0.03</f>
        <v>5.3999999999999995</v>
      </c>
      <c r="G46" s="30" t="s">
        <v>134</v>
      </c>
    </row>
    <row r="47" spans="2:10">
      <c r="D47" s="30" t="s">
        <v>107</v>
      </c>
      <c r="F47" s="30">
        <f>+F45+F46</f>
        <v>185.4</v>
      </c>
    </row>
    <row r="48" spans="2:10">
      <c r="D48" s="30" t="s">
        <v>108</v>
      </c>
      <c r="F48" s="30">
        <f>+F47/F45</f>
        <v>1.03</v>
      </c>
    </row>
  </sheetData>
  <customSheetViews>
    <customSheetView guid="{F801E3C7-0680-4D04-B7DA-D7562243E7FD}" showPageBreaks="1" fitToPage="1" printArea="1" showRuler="0" topLeftCell="D1">
      <pane ySplit="3" topLeftCell="A6" activePane="bottomLeft" state="frozen"/>
      <selection pane="bottomLeft" activeCell="J23" sqref="J23"/>
      <pageMargins left="0.5" right="0.25" top="0.75" bottom="0" header="0.5" footer="0.5"/>
      <printOptions gridLines="1"/>
      <pageSetup scale="72" orientation="landscape" horizontalDpi="300" verticalDpi="300" r:id="rId1"/>
      <headerFooter alignWithMargins="0"/>
    </customSheetView>
    <customSheetView guid="{85A0FECD-0ABD-4BC8-8163-7A3FD1ADFA49}" scale="80" showPageBreaks="1" fitToPage="1" printArea="1">
      <pane ySplit="3" topLeftCell="A4" activePane="bottomLeft" state="frozen"/>
      <selection pane="bottomLeft" activeCell="J6" sqref="J6:J8"/>
      <pageMargins left="0.5" right="0.25" top="0.75" bottom="0" header="0.5" footer="0.5"/>
      <printOptions gridLines="1"/>
      <pageSetup scale="73" orientation="landscape" horizontalDpi="300" verticalDpi="300" r:id="rId2"/>
      <headerFooter alignWithMargins="0"/>
    </customSheetView>
  </customSheetViews>
  <mergeCells count="8">
    <mergeCell ref="C40:H40"/>
    <mergeCell ref="C38:H38"/>
    <mergeCell ref="D25:F25"/>
    <mergeCell ref="G25:I25"/>
    <mergeCell ref="C32:I32"/>
    <mergeCell ref="C34:I34"/>
    <mergeCell ref="C36:H36"/>
    <mergeCell ref="C35:J35"/>
  </mergeCells>
  <phoneticPr fontId="2" type="noConversion"/>
  <printOptions gridLines="1"/>
  <pageMargins left="0.5" right="0.25" top="0.75" bottom="0" header="0.5" footer="0.5"/>
  <pageSetup scale="75"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N48"/>
  <sheetViews>
    <sheetView zoomScale="80" zoomScaleNormal="80" zoomScaleSheetLayoutView="80" workbookViewId="0">
      <pane ySplit="3" topLeftCell="A10" activePane="bottomLeft" state="frozen"/>
      <selection pane="bottomLeft" activeCell="A26" sqref="A26"/>
    </sheetView>
  </sheetViews>
  <sheetFormatPr defaultRowHeight="12.75"/>
  <cols>
    <col min="1" max="1" width="17.85546875" style="30" customWidth="1"/>
    <col min="2" max="2" width="44.85546875" style="30" customWidth="1"/>
    <col min="3" max="3" width="23.140625" style="30" customWidth="1"/>
    <col min="4" max="4" width="13.5703125" style="30" bestFit="1" customWidth="1"/>
    <col min="5" max="5" width="9.5703125" style="30" bestFit="1" customWidth="1"/>
    <col min="6" max="6" width="12.42578125" style="30" customWidth="1"/>
    <col min="7" max="7" width="11.7109375" style="30" customWidth="1"/>
    <col min="8" max="8" width="10.28515625" style="30" customWidth="1"/>
    <col min="9" max="9" width="9.5703125" style="30" bestFit="1" customWidth="1"/>
    <col min="10" max="10" width="12" style="30" bestFit="1" customWidth="1"/>
    <col min="11" max="16384" width="9.140625" style="30"/>
  </cols>
  <sheetData>
    <row r="1" spans="1:14" s="34" customFormat="1">
      <c r="A1" s="34" t="s">
        <v>65</v>
      </c>
      <c r="L1" s="51"/>
      <c r="M1" s="51"/>
      <c r="N1" s="51"/>
    </row>
    <row r="2" spans="1:14" s="34" customFormat="1" ht="25.5">
      <c r="A2" s="34" t="s">
        <v>12</v>
      </c>
      <c r="L2" s="52" t="s">
        <v>36</v>
      </c>
      <c r="M2" s="52" t="s">
        <v>37</v>
      </c>
      <c r="N2" s="52" t="s">
        <v>38</v>
      </c>
    </row>
    <row r="3" spans="1:14" s="34" customFormat="1" ht="66.75" customHeight="1">
      <c r="A3" s="79" t="s">
        <v>26</v>
      </c>
      <c r="B3" s="79" t="s">
        <v>13</v>
      </c>
      <c r="C3" s="80" t="s">
        <v>14</v>
      </c>
      <c r="D3" s="80" t="s">
        <v>0</v>
      </c>
      <c r="E3" s="80" t="s">
        <v>24</v>
      </c>
      <c r="F3" s="80" t="s">
        <v>91</v>
      </c>
      <c r="G3" s="80" t="s">
        <v>1</v>
      </c>
      <c r="H3" s="80" t="s">
        <v>92</v>
      </c>
      <c r="I3" s="80" t="s">
        <v>2</v>
      </c>
      <c r="J3" s="80" t="s">
        <v>88</v>
      </c>
      <c r="L3" s="53"/>
      <c r="M3" s="53"/>
      <c r="N3" s="53"/>
    </row>
    <row r="4" spans="1:14" s="35" customFormat="1">
      <c r="A4" s="76" t="s">
        <v>3</v>
      </c>
      <c r="B4" s="76" t="s">
        <v>4</v>
      </c>
      <c r="C4" s="76" t="s">
        <v>5</v>
      </c>
      <c r="D4" s="76" t="s">
        <v>6</v>
      </c>
      <c r="E4" s="76" t="s">
        <v>7</v>
      </c>
      <c r="F4" s="76" t="s">
        <v>8</v>
      </c>
      <c r="G4" s="76" t="s">
        <v>9</v>
      </c>
      <c r="H4" s="76" t="s">
        <v>10</v>
      </c>
      <c r="I4" s="76" t="s">
        <v>11</v>
      </c>
      <c r="J4" s="35" t="s">
        <v>85</v>
      </c>
      <c r="L4" s="53"/>
      <c r="M4" s="53"/>
      <c r="N4" s="53"/>
    </row>
    <row r="5" spans="1:14">
      <c r="A5" s="20"/>
      <c r="B5" s="62" t="s">
        <v>22</v>
      </c>
      <c r="C5" s="17"/>
      <c r="D5" s="18"/>
      <c r="E5" s="19"/>
      <c r="F5" s="18"/>
      <c r="G5" s="19"/>
      <c r="H5" s="18"/>
      <c r="I5" s="20"/>
      <c r="J5" s="63"/>
      <c r="L5" s="53"/>
      <c r="M5" s="53"/>
      <c r="N5" s="53"/>
    </row>
    <row r="6" spans="1:14">
      <c r="A6" s="8">
        <f>'Total Rollup '!A6</f>
        <v>4288.1030000000001</v>
      </c>
      <c r="B6" s="21" t="s">
        <v>27</v>
      </c>
      <c r="C6" s="1" t="s">
        <v>17</v>
      </c>
      <c r="D6" s="4">
        <v>6</v>
      </c>
      <c r="E6" s="2">
        <v>1</v>
      </c>
      <c r="F6" s="3">
        <f>(D6)*(E6)</f>
        <v>6</v>
      </c>
      <c r="G6" s="2">
        <v>12</v>
      </c>
      <c r="H6" s="4">
        <f>(F6)*(G6)</f>
        <v>72</v>
      </c>
      <c r="I6" s="32">
        <v>60</v>
      </c>
      <c r="J6" s="77">
        <f>(H6)*(I6)</f>
        <v>4320</v>
      </c>
      <c r="L6" s="54">
        <f>+$J6*0.2</f>
        <v>864</v>
      </c>
      <c r="M6" s="54">
        <f>+J6*0.8</f>
        <v>3456</v>
      </c>
      <c r="N6" s="53">
        <v>0</v>
      </c>
    </row>
    <row r="7" spans="1:14">
      <c r="A7" s="8" t="str">
        <f>'Total Rollup '!A7</f>
        <v>4288.137(a)</v>
      </c>
      <c r="B7" s="21" t="s">
        <v>28</v>
      </c>
      <c r="C7" s="1" t="s">
        <v>17</v>
      </c>
      <c r="D7" s="4">
        <v>6</v>
      </c>
      <c r="E7" s="2">
        <v>1</v>
      </c>
      <c r="F7" s="3">
        <f>(D7)*(E7)</f>
        <v>6</v>
      </c>
      <c r="G7" s="2">
        <v>1</v>
      </c>
      <c r="H7" s="4">
        <f>(F7)*(G7)</f>
        <v>6</v>
      </c>
      <c r="I7" s="32">
        <v>60</v>
      </c>
      <c r="J7" s="77">
        <f>(H7)*(I7)</f>
        <v>360</v>
      </c>
      <c r="L7" s="54">
        <f>+$J7*0.2</f>
        <v>72</v>
      </c>
      <c r="M7" s="54">
        <f t="shared" ref="M7:M18" si="0">+J7*0.8</f>
        <v>288</v>
      </c>
      <c r="N7" s="53">
        <v>0</v>
      </c>
    </row>
    <row r="8" spans="1:14">
      <c r="A8" s="8" t="str">
        <f>'Total Rollup '!A8</f>
        <v>4288.110(b)</v>
      </c>
      <c r="B8" s="72" t="s">
        <v>32</v>
      </c>
      <c r="C8" s="7" t="str">
        <f>'Total Rollup '!C8</f>
        <v>written</v>
      </c>
      <c r="D8" s="10">
        <v>22</v>
      </c>
      <c r="E8" s="2">
        <v>1</v>
      </c>
      <c r="F8" s="3">
        <f>(D8)*(E8)</f>
        <v>22</v>
      </c>
      <c r="G8" s="2">
        <v>1</v>
      </c>
      <c r="H8" s="4">
        <f>(F8)*(G8)</f>
        <v>22</v>
      </c>
      <c r="I8" s="32">
        <v>60</v>
      </c>
      <c r="J8" s="77">
        <f>(H8)*(I8)</f>
        <v>1320</v>
      </c>
      <c r="L8" s="54">
        <f>+$J8*0.2</f>
        <v>264</v>
      </c>
      <c r="M8" s="54">
        <f>+J8*0.8</f>
        <v>1056</v>
      </c>
      <c r="N8" s="57">
        <v>0</v>
      </c>
    </row>
    <row r="9" spans="1:14">
      <c r="A9" s="8" t="s">
        <v>152</v>
      </c>
      <c r="B9" s="21" t="s">
        <v>146</v>
      </c>
      <c r="C9" s="7" t="s">
        <v>17</v>
      </c>
      <c r="D9" s="10">
        <f>141*0.4+180</f>
        <v>236.4</v>
      </c>
      <c r="E9" s="8">
        <v>1</v>
      </c>
      <c r="F9" s="3">
        <f>(D9)*(E9)</f>
        <v>236.4</v>
      </c>
      <c r="G9" s="9">
        <v>1</v>
      </c>
      <c r="H9" s="4">
        <f>(F9)*(G9)</f>
        <v>236.4</v>
      </c>
      <c r="I9" s="32">
        <v>60</v>
      </c>
      <c r="J9" s="77">
        <f>(H9)*(I9)</f>
        <v>14184</v>
      </c>
      <c r="L9" s="54">
        <f>+$J9*0.2</f>
        <v>2836.8</v>
      </c>
      <c r="M9" s="54">
        <f>+J9*0.8</f>
        <v>11347.2</v>
      </c>
      <c r="N9" s="53"/>
    </row>
    <row r="10" spans="1:14">
      <c r="A10" s="8"/>
      <c r="B10" s="11" t="s">
        <v>21</v>
      </c>
      <c r="C10" s="1"/>
      <c r="D10" s="2"/>
      <c r="E10" s="2"/>
      <c r="F10" s="5"/>
      <c r="G10" s="2"/>
      <c r="H10" s="6"/>
      <c r="I10" s="32"/>
      <c r="J10" s="77"/>
      <c r="L10" s="55"/>
      <c r="M10" s="54"/>
      <c r="N10" s="53"/>
    </row>
    <row r="11" spans="1:14">
      <c r="A11" s="8"/>
      <c r="B11" s="21" t="s">
        <v>21</v>
      </c>
      <c r="C11" s="1"/>
      <c r="D11" s="10">
        <f>+C28</f>
        <v>312</v>
      </c>
      <c r="E11" s="2">
        <v>1</v>
      </c>
      <c r="F11" s="3">
        <f>(D11)*(E11)</f>
        <v>312</v>
      </c>
      <c r="G11" s="2">
        <v>1</v>
      </c>
      <c r="H11" s="4">
        <f>(F11)*(G11)</f>
        <v>312</v>
      </c>
      <c r="I11" s="32">
        <v>60</v>
      </c>
      <c r="J11" s="77">
        <f>(H11)*(I11)</f>
        <v>18720</v>
      </c>
      <c r="L11" s="54">
        <f>+$J11*0.2</f>
        <v>3744</v>
      </c>
      <c r="M11" s="54">
        <f t="shared" si="0"/>
        <v>14976</v>
      </c>
      <c r="N11" s="53">
        <v>0</v>
      </c>
    </row>
    <row r="12" spans="1:14">
      <c r="A12" s="8"/>
      <c r="B12" s="65"/>
      <c r="C12" s="65"/>
      <c r="D12" s="65"/>
      <c r="E12" s="65"/>
      <c r="F12" s="2"/>
      <c r="G12" s="65"/>
      <c r="H12" s="65"/>
      <c r="I12" s="32"/>
      <c r="J12" s="65"/>
      <c r="L12" s="54"/>
      <c r="M12" s="54"/>
      <c r="N12" s="53"/>
    </row>
    <row r="13" spans="1:14">
      <c r="A13" s="8"/>
      <c r="B13" s="67" t="s">
        <v>25</v>
      </c>
      <c r="C13" s="68"/>
      <c r="D13" s="69"/>
      <c r="E13" s="69"/>
      <c r="F13" s="69"/>
      <c r="G13" s="70"/>
      <c r="H13" s="69"/>
      <c r="I13" s="64"/>
      <c r="J13" s="71"/>
      <c r="L13" s="54"/>
      <c r="M13" s="54"/>
      <c r="N13" s="53"/>
    </row>
    <row r="14" spans="1:14" ht="25.5">
      <c r="A14" s="8" t="str">
        <f>'Total Rollup '!A14</f>
        <v>4288.120(a)</v>
      </c>
      <c r="B14" s="72" t="s">
        <v>29</v>
      </c>
      <c r="C14" s="21" t="str">
        <f>'Total Rollup '!C14</f>
        <v>RD 4288-1</v>
      </c>
      <c r="D14" s="10">
        <f>+C$27</f>
        <v>321</v>
      </c>
      <c r="E14" s="8">
        <v>1</v>
      </c>
      <c r="F14" s="8">
        <f>(D14)*(E14)</f>
        <v>321</v>
      </c>
      <c r="G14" s="8">
        <v>1.03</v>
      </c>
      <c r="H14" s="9">
        <f>(F14)*(G14)</f>
        <v>330.63</v>
      </c>
      <c r="I14" s="33">
        <v>60</v>
      </c>
      <c r="J14" s="26">
        <f>(H14)*(I14)</f>
        <v>19837.8</v>
      </c>
      <c r="L14" s="54">
        <f>+$J14*0.2</f>
        <v>3967.56</v>
      </c>
      <c r="M14" s="54">
        <f t="shared" si="0"/>
        <v>15870.24</v>
      </c>
      <c r="N14" s="53">
        <v>0</v>
      </c>
    </row>
    <row r="15" spans="1:14">
      <c r="A15" s="8" t="str">
        <f>'Total Rollup '!A15</f>
        <v>4288.121(a)</v>
      </c>
      <c r="B15" s="72" t="s">
        <v>30</v>
      </c>
      <c r="C15" s="21" t="str">
        <f>'Total Rollup '!C15</f>
        <v>RD 4288-2</v>
      </c>
      <c r="D15" s="10">
        <f>+C$28</f>
        <v>312</v>
      </c>
      <c r="E15" s="8">
        <v>1</v>
      </c>
      <c r="F15" s="8">
        <f>(D15)*(E15)</f>
        <v>312</v>
      </c>
      <c r="G15" s="8">
        <v>1</v>
      </c>
      <c r="H15" s="9">
        <f>(F15)*(G15)</f>
        <v>312</v>
      </c>
      <c r="I15" s="33">
        <v>60</v>
      </c>
      <c r="J15" s="26">
        <f>(H15)*(I15)</f>
        <v>18720</v>
      </c>
      <c r="L15" s="54">
        <f>+$J15*0.2</f>
        <v>3744</v>
      </c>
      <c r="M15" s="54">
        <f t="shared" si="0"/>
        <v>14976</v>
      </c>
      <c r="N15" s="53">
        <v>0</v>
      </c>
    </row>
    <row r="16" spans="1:14" ht="25.5">
      <c r="A16" s="8" t="str">
        <f>'Total Rollup '!A16</f>
        <v>4288.130(a)</v>
      </c>
      <c r="B16" s="72" t="s">
        <v>31</v>
      </c>
      <c r="C16" s="21" t="str">
        <f>'Total Rollup '!C16</f>
        <v>RD 4288-3</v>
      </c>
      <c r="D16" s="10">
        <f>+C$28</f>
        <v>312</v>
      </c>
      <c r="E16" s="8">
        <v>4</v>
      </c>
      <c r="F16" s="8">
        <f>(D16)*(E16)</f>
        <v>1248</v>
      </c>
      <c r="G16" s="8">
        <v>1</v>
      </c>
      <c r="H16" s="9">
        <f>(F16)*(G16)</f>
        <v>1248</v>
      </c>
      <c r="I16" s="33">
        <v>60</v>
      </c>
      <c r="J16" s="26">
        <f>(H16)*(I16)</f>
        <v>74880</v>
      </c>
      <c r="L16" s="54">
        <f>+$J16*0.2</f>
        <v>14976</v>
      </c>
      <c r="M16" s="54">
        <f t="shared" si="0"/>
        <v>59904</v>
      </c>
      <c r="N16" s="53">
        <v>0</v>
      </c>
    </row>
    <row r="17" spans="1:14">
      <c r="A17" s="8" t="s">
        <v>155</v>
      </c>
      <c r="B17" s="39" t="s">
        <v>15</v>
      </c>
      <c r="C17" s="21" t="str">
        <f>'Total Rollup '!C17</f>
        <v>RD 400-4 (0575-0018)</v>
      </c>
      <c r="D17" s="10">
        <f>+C$28</f>
        <v>312</v>
      </c>
      <c r="E17" s="8">
        <v>1</v>
      </c>
      <c r="F17" s="8">
        <f>(D17)*(E17)</f>
        <v>312</v>
      </c>
      <c r="G17" s="8">
        <v>0.16</v>
      </c>
      <c r="H17" s="9">
        <f>(F17)*(G17)</f>
        <v>49.92</v>
      </c>
      <c r="I17" s="33">
        <v>60</v>
      </c>
      <c r="J17" s="26">
        <f>(H17)*(I17)</f>
        <v>2995.2000000000003</v>
      </c>
      <c r="L17" s="54">
        <f>+$J17*0.2</f>
        <v>599.04000000000008</v>
      </c>
      <c r="M17" s="54">
        <f t="shared" si="0"/>
        <v>2396.1600000000003</v>
      </c>
      <c r="N17" s="53">
        <v>0</v>
      </c>
    </row>
    <row r="18" spans="1:14">
      <c r="A18" s="8" t="s">
        <v>154</v>
      </c>
      <c r="B18" s="39" t="s">
        <v>97</v>
      </c>
      <c r="C18" s="21" t="str">
        <f>'Total Rollup '!C18</f>
        <v>RD 1940-Q, Exhibit A-1</v>
      </c>
      <c r="D18" s="10">
        <f>+C$27</f>
        <v>321</v>
      </c>
      <c r="E18" s="8">
        <v>1</v>
      </c>
      <c r="F18" s="8">
        <f>(D18)*(E18)</f>
        <v>321</v>
      </c>
      <c r="G18" s="8">
        <v>0.5</v>
      </c>
      <c r="H18" s="9">
        <f>(F18)*(G18)</f>
        <v>160.5</v>
      </c>
      <c r="I18" s="33">
        <v>60</v>
      </c>
      <c r="J18" s="26">
        <f>(H18)*(I18)</f>
        <v>9630</v>
      </c>
      <c r="L18" s="54">
        <f>+$J18*0.2</f>
        <v>1926</v>
      </c>
      <c r="M18" s="54">
        <f t="shared" si="0"/>
        <v>7704</v>
      </c>
      <c r="N18" s="56">
        <v>0</v>
      </c>
    </row>
    <row r="19" spans="1:14">
      <c r="A19" s="2"/>
      <c r="B19" s="73"/>
      <c r="C19" s="17"/>
      <c r="D19" s="18"/>
      <c r="E19" s="19"/>
      <c r="F19" s="18"/>
      <c r="G19" s="19"/>
      <c r="H19" s="18"/>
      <c r="I19" s="20"/>
      <c r="J19" s="63"/>
      <c r="L19" s="54"/>
      <c r="M19" s="54"/>
      <c r="N19" s="57"/>
    </row>
    <row r="20" spans="1:14">
      <c r="A20" s="2"/>
      <c r="B20" s="67" t="s">
        <v>23</v>
      </c>
      <c r="C20" s="21"/>
      <c r="D20" s="10"/>
      <c r="E20" s="8"/>
      <c r="F20" s="10"/>
      <c r="G20" s="8"/>
      <c r="H20" s="9"/>
      <c r="I20" s="22"/>
      <c r="J20" s="26"/>
      <c r="L20" s="57"/>
      <c r="M20" s="57"/>
      <c r="N20" s="57"/>
    </row>
    <row r="21" spans="1:14" ht="13.5" customHeight="1">
      <c r="A21" s="2" t="s">
        <v>153</v>
      </c>
      <c r="B21" s="21" t="s">
        <v>19</v>
      </c>
      <c r="C21" s="21" t="str">
        <f>'Total Rollup '!C21</f>
        <v>SF LLL (0348-0046)</v>
      </c>
      <c r="D21" s="10">
        <f>+C$27</f>
        <v>321</v>
      </c>
      <c r="E21" s="8">
        <v>1</v>
      </c>
      <c r="F21" s="10">
        <f>(D21)*(E21)</f>
        <v>321</v>
      </c>
      <c r="G21" s="8">
        <v>0.16</v>
      </c>
      <c r="H21" s="9">
        <f>(F21)*(G21)</f>
        <v>51.36</v>
      </c>
      <c r="I21" s="32">
        <v>60</v>
      </c>
      <c r="J21" s="26">
        <f>(H21)*(I21)</f>
        <v>3081.6</v>
      </c>
      <c r="L21" s="54">
        <f>+$J21*0.2</f>
        <v>616.32000000000005</v>
      </c>
      <c r="M21" s="54">
        <f>+J21*0.8</f>
        <v>2465.2800000000002</v>
      </c>
      <c r="N21" s="57">
        <v>0</v>
      </c>
    </row>
    <row r="22" spans="1:14">
      <c r="A22" s="65"/>
      <c r="B22" s="65"/>
      <c r="C22" s="65"/>
      <c r="D22" s="65"/>
      <c r="E22" s="65"/>
      <c r="F22" s="6">
        <f>SUM(F6:F21)</f>
        <v>3417.4</v>
      </c>
      <c r="G22" s="65"/>
      <c r="H22" s="6">
        <f>SUM(H6:H21)</f>
        <v>2800.81</v>
      </c>
      <c r="I22" s="2"/>
      <c r="J22" s="32">
        <f>SUM(J6:J21)</f>
        <v>168048.6</v>
      </c>
      <c r="L22" s="38">
        <f>SUM(L6:L21)</f>
        <v>33609.72</v>
      </c>
      <c r="M22" s="38">
        <f>SUM(M6:M21)</f>
        <v>134438.88</v>
      </c>
      <c r="N22" s="58">
        <v>0</v>
      </c>
    </row>
    <row r="23" spans="1:14">
      <c r="A23" s="28"/>
      <c r="B23" s="27"/>
      <c r="C23" s="15"/>
      <c r="D23" s="13"/>
      <c r="E23" s="13"/>
      <c r="F23" s="13"/>
      <c r="G23" s="27"/>
      <c r="H23" s="29"/>
      <c r="I23" s="13"/>
      <c r="J23" s="14"/>
    </row>
    <row r="24" spans="1:14">
      <c r="A24" s="28"/>
      <c r="B24" s="13"/>
      <c r="C24" s="15"/>
      <c r="D24" s="13"/>
      <c r="E24" s="13"/>
      <c r="F24" s="13"/>
      <c r="G24" s="27"/>
      <c r="H24" s="29"/>
      <c r="I24" s="13"/>
      <c r="J24" s="14"/>
    </row>
    <row r="25" spans="1:14">
      <c r="A25" s="28"/>
      <c r="B25" s="23"/>
      <c r="C25" s="25"/>
      <c r="D25" s="105" t="s">
        <v>33</v>
      </c>
      <c r="E25" s="105"/>
      <c r="F25" s="105"/>
      <c r="G25" s="105" t="s">
        <v>34</v>
      </c>
      <c r="H25" s="105"/>
      <c r="I25" s="105"/>
      <c r="J25" s="40"/>
    </row>
    <row r="26" spans="1:14" ht="38.25">
      <c r="A26" s="28"/>
      <c r="B26" s="25" t="s">
        <v>35</v>
      </c>
      <c r="C26" s="25"/>
      <c r="D26" s="41" t="s">
        <v>36</v>
      </c>
      <c r="E26" s="41" t="s">
        <v>37</v>
      </c>
      <c r="F26" s="41" t="s">
        <v>38</v>
      </c>
      <c r="G26" s="41" t="s">
        <v>36</v>
      </c>
      <c r="H26" s="41" t="s">
        <v>37</v>
      </c>
      <c r="I26" s="41" t="s">
        <v>38</v>
      </c>
      <c r="J26" s="40"/>
    </row>
    <row r="27" spans="1:14">
      <c r="A27" s="28"/>
      <c r="B27" s="23" t="s">
        <v>39</v>
      </c>
      <c r="C27" s="25">
        <f>141+180</f>
        <v>321</v>
      </c>
      <c r="D27" s="23">
        <f t="shared" ref="D27:F28" si="1">+$C27*G27</f>
        <v>64.2</v>
      </c>
      <c r="E27" s="23">
        <f t="shared" si="1"/>
        <v>256.8</v>
      </c>
      <c r="F27" s="23">
        <f t="shared" si="1"/>
        <v>0</v>
      </c>
      <c r="G27" s="42">
        <v>0.2</v>
      </c>
      <c r="H27" s="42">
        <v>0.8</v>
      </c>
      <c r="I27" s="23">
        <v>0</v>
      </c>
      <c r="J27" s="40"/>
    </row>
    <row r="28" spans="1:14">
      <c r="A28" s="28"/>
      <c r="B28" s="23" t="s">
        <v>40</v>
      </c>
      <c r="C28" s="23">
        <f>141+171</f>
        <v>312</v>
      </c>
      <c r="D28" s="23">
        <f t="shared" si="1"/>
        <v>62.400000000000006</v>
      </c>
      <c r="E28" s="23">
        <f t="shared" si="1"/>
        <v>249.60000000000002</v>
      </c>
      <c r="F28" s="23">
        <f t="shared" si="1"/>
        <v>0</v>
      </c>
      <c r="G28" s="42">
        <v>0.2</v>
      </c>
      <c r="H28" s="42">
        <v>0.8</v>
      </c>
      <c r="I28" s="23">
        <v>0</v>
      </c>
      <c r="J28" s="40"/>
    </row>
    <row r="29" spans="1:14">
      <c r="A29" s="28"/>
      <c r="B29" s="23"/>
      <c r="C29" s="25"/>
      <c r="D29" s="23"/>
      <c r="E29" s="23"/>
      <c r="F29" s="23"/>
      <c r="G29" s="23"/>
      <c r="H29" s="40"/>
      <c r="I29" s="23"/>
      <c r="J29" s="40"/>
    </row>
    <row r="30" spans="1:14">
      <c r="B30" s="23"/>
      <c r="C30" s="25"/>
      <c r="D30" s="23"/>
      <c r="E30" s="23"/>
      <c r="F30" s="23"/>
      <c r="G30" s="23"/>
      <c r="H30" s="40"/>
      <c r="I30" s="23"/>
      <c r="J30" s="40"/>
    </row>
    <row r="31" spans="1:14">
      <c r="B31" s="43" t="s">
        <v>41</v>
      </c>
      <c r="C31" s="25"/>
      <c r="D31" s="23"/>
      <c r="E31" s="23"/>
      <c r="F31" s="23"/>
      <c r="G31" s="23"/>
      <c r="H31" s="40"/>
      <c r="I31" s="23"/>
      <c r="J31" s="40"/>
    </row>
    <row r="32" spans="1:14" ht="12.75" customHeight="1">
      <c r="B32" s="44" t="s">
        <v>42</v>
      </c>
      <c r="C32" s="106" t="s">
        <v>63</v>
      </c>
      <c r="D32" s="108"/>
      <c r="E32" s="108"/>
      <c r="F32" s="108"/>
      <c r="G32" s="108"/>
      <c r="H32" s="108"/>
      <c r="I32" s="108"/>
      <c r="J32" s="108"/>
    </row>
    <row r="33" spans="2:10">
      <c r="B33" s="44"/>
      <c r="C33" s="25"/>
      <c r="D33" s="45"/>
      <c r="E33" s="45"/>
      <c r="F33" s="45"/>
      <c r="G33" s="45"/>
      <c r="H33" s="45"/>
      <c r="I33" s="45"/>
      <c r="J33" s="45"/>
    </row>
    <row r="34" spans="2:10" ht="39.75" customHeight="1">
      <c r="B34" s="46" t="s">
        <v>78</v>
      </c>
      <c r="C34" s="106" t="s">
        <v>135</v>
      </c>
      <c r="D34" s="108"/>
      <c r="E34" s="108"/>
      <c r="F34" s="108"/>
      <c r="G34" s="108"/>
      <c r="H34" s="108"/>
      <c r="I34" s="108"/>
      <c r="J34" s="108"/>
    </row>
    <row r="35" spans="2:10">
      <c r="B35" s="44" t="s">
        <v>146</v>
      </c>
      <c r="C35" s="106" t="s">
        <v>149</v>
      </c>
      <c r="D35" s="109"/>
      <c r="E35" s="109"/>
      <c r="F35" s="109"/>
      <c r="G35" s="109"/>
      <c r="H35" s="109"/>
      <c r="I35" s="109"/>
      <c r="J35" s="109"/>
    </row>
    <row r="36" spans="2:10" ht="27" customHeight="1">
      <c r="B36" s="44" t="s">
        <v>43</v>
      </c>
      <c r="C36" s="106" t="s">
        <v>140</v>
      </c>
      <c r="D36" s="108"/>
      <c r="E36" s="108"/>
      <c r="F36" s="108"/>
      <c r="G36" s="108"/>
      <c r="H36" s="108"/>
      <c r="I36" s="108"/>
      <c r="J36" s="40"/>
    </row>
    <row r="37" spans="2:10">
      <c r="B37" s="24"/>
      <c r="C37" s="25"/>
      <c r="D37" s="23"/>
      <c r="E37" s="23"/>
      <c r="F37" s="23"/>
      <c r="G37" s="23"/>
      <c r="H37" s="40"/>
      <c r="I37" s="23"/>
      <c r="J37" s="40"/>
    </row>
    <row r="38" spans="2:10" ht="12.75" customHeight="1">
      <c r="B38" s="44" t="s">
        <v>44</v>
      </c>
      <c r="C38" s="106" t="s">
        <v>141</v>
      </c>
      <c r="D38" s="108"/>
      <c r="E38" s="108"/>
      <c r="F38" s="108"/>
      <c r="G38" s="108"/>
      <c r="H38" s="108"/>
      <c r="I38" s="108"/>
      <c r="J38" s="40"/>
    </row>
    <row r="39" spans="2:10">
      <c r="B39" s="47"/>
      <c r="C39" s="48"/>
      <c r="D39" s="49"/>
      <c r="E39" s="49"/>
      <c r="F39" s="49"/>
      <c r="G39" s="49"/>
      <c r="H39" s="50"/>
      <c r="I39" s="49"/>
      <c r="J39" s="50"/>
    </row>
    <row r="40" spans="2:10" ht="12.75" customHeight="1">
      <c r="B40" s="44" t="s">
        <v>21</v>
      </c>
      <c r="C40" s="106" t="s">
        <v>142</v>
      </c>
      <c r="D40" s="108"/>
      <c r="E40" s="108"/>
      <c r="F40" s="108"/>
      <c r="G40" s="108"/>
      <c r="H40" s="108"/>
      <c r="I40" s="108"/>
      <c r="J40" s="108"/>
    </row>
    <row r="43" spans="2:10">
      <c r="B43" s="30" t="s">
        <v>102</v>
      </c>
      <c r="C43" s="30" t="s">
        <v>103</v>
      </c>
    </row>
    <row r="44" spans="2:10">
      <c r="C44" s="30" t="s">
        <v>104</v>
      </c>
    </row>
    <row r="45" spans="2:10">
      <c r="C45" s="30" t="s">
        <v>105</v>
      </c>
      <c r="F45" s="30">
        <f>+C27</f>
        <v>321</v>
      </c>
    </row>
    <row r="46" spans="2:10">
      <c r="C46" s="30" t="s">
        <v>106</v>
      </c>
      <c r="F46" s="30">
        <f>+F45*0.03</f>
        <v>9.629999999999999</v>
      </c>
      <c r="G46" s="30" t="s">
        <v>136</v>
      </c>
    </row>
    <row r="47" spans="2:10">
      <c r="D47" s="30" t="s">
        <v>107</v>
      </c>
      <c r="F47" s="30">
        <f>+F45+F46</f>
        <v>330.63</v>
      </c>
    </row>
    <row r="48" spans="2:10">
      <c r="D48" s="30" t="s">
        <v>108</v>
      </c>
      <c r="F48" s="30">
        <f>+F47/F45</f>
        <v>1.03</v>
      </c>
    </row>
  </sheetData>
  <customSheetViews>
    <customSheetView guid="{F801E3C7-0680-4D04-B7DA-D7562243E7FD}" scale="80" showPageBreaks="1" fitToPage="1" printArea="1" showRuler="0" topLeftCell="C1">
      <pane ySplit="3" topLeftCell="A6" activePane="bottomLeft" state="frozen"/>
      <selection pane="bottomLeft" activeCell="I6" sqref="I6"/>
      <pageMargins left="0.5" right="0.25" top="0.75" bottom="0" header="0.5" footer="0.5"/>
      <printOptions gridLines="1"/>
      <pageSetup scale="72" orientation="landscape" horizontalDpi="300" verticalDpi="300" r:id="rId1"/>
      <headerFooter alignWithMargins="0"/>
    </customSheetView>
    <customSheetView guid="{85A0FECD-0ABD-4BC8-8163-7A3FD1ADFA49}" scale="80" showPageBreaks="1" fitToPage="1" printArea="1">
      <pane ySplit="3" topLeftCell="A6" activePane="bottomLeft" state="frozen"/>
      <selection pane="bottomLeft" activeCell="I6" sqref="I6"/>
      <pageMargins left="0.5" right="0.25" top="0.75" bottom="0" header="0.5" footer="0.5"/>
      <printOptions gridLines="1"/>
      <pageSetup scale="72" orientation="landscape" horizontalDpi="300" verticalDpi="300" r:id="rId2"/>
      <headerFooter alignWithMargins="0"/>
    </customSheetView>
  </customSheetViews>
  <mergeCells count="8">
    <mergeCell ref="C36:I36"/>
    <mergeCell ref="C38:I38"/>
    <mergeCell ref="C40:J40"/>
    <mergeCell ref="D25:F25"/>
    <mergeCell ref="G25:I25"/>
    <mergeCell ref="C32:J32"/>
    <mergeCell ref="C34:J34"/>
    <mergeCell ref="C35:J35"/>
  </mergeCells>
  <phoneticPr fontId="2" type="noConversion"/>
  <printOptions gridLines="1"/>
  <pageMargins left="0.5" right="0.25" top="0.75" bottom="0" header="0.5" footer="0.5"/>
  <pageSetup scale="70" orientation="landscape" horizontalDpi="300" verticalDpi="300" r:id="rId3"/>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N48"/>
  <sheetViews>
    <sheetView zoomScale="80" zoomScaleNormal="80" zoomScaleSheetLayoutView="90" workbookViewId="0">
      <pane ySplit="3" topLeftCell="A4" activePane="bottomLeft" state="frozen"/>
      <selection pane="bottomLeft" activeCell="A17" sqref="A17:A21"/>
    </sheetView>
  </sheetViews>
  <sheetFormatPr defaultRowHeight="12.75"/>
  <cols>
    <col min="1" max="1" width="17.7109375" style="30" customWidth="1"/>
    <col min="2" max="2" width="45" style="30" customWidth="1"/>
    <col min="3" max="3" width="23.140625" style="30" customWidth="1"/>
    <col min="4" max="4" width="13.5703125" style="30" bestFit="1" customWidth="1"/>
    <col min="5" max="5" width="9.5703125" style="30" bestFit="1" customWidth="1"/>
    <col min="6" max="6" width="12.42578125" style="30" customWidth="1"/>
    <col min="7" max="7" width="11.7109375" style="30" customWidth="1"/>
    <col min="8" max="8" width="10.28515625" style="30" customWidth="1"/>
    <col min="9" max="9" width="9.5703125" style="30" bestFit="1" customWidth="1"/>
    <col min="10" max="10" width="12" style="30" bestFit="1" customWidth="1"/>
    <col min="11" max="16384" width="9.140625" style="30"/>
  </cols>
  <sheetData>
    <row r="1" spans="1:14" s="34" customFormat="1">
      <c r="A1" s="34" t="s">
        <v>64</v>
      </c>
      <c r="L1" s="51"/>
      <c r="M1" s="51"/>
      <c r="N1" s="51"/>
    </row>
    <row r="2" spans="1:14" s="34" customFormat="1" ht="25.5">
      <c r="A2" s="34" t="s">
        <v>12</v>
      </c>
      <c r="L2" s="52" t="s">
        <v>36</v>
      </c>
      <c r="M2" s="52" t="s">
        <v>37</v>
      </c>
      <c r="N2" s="52" t="s">
        <v>38</v>
      </c>
    </row>
    <row r="3" spans="1:14" s="34" customFormat="1" ht="68.25" customHeight="1">
      <c r="A3" s="79" t="s">
        <v>26</v>
      </c>
      <c r="B3" s="79" t="s">
        <v>13</v>
      </c>
      <c r="C3" s="80" t="s">
        <v>14</v>
      </c>
      <c r="D3" s="80" t="s">
        <v>93</v>
      </c>
      <c r="E3" s="80" t="s">
        <v>24</v>
      </c>
      <c r="F3" s="80" t="s">
        <v>94</v>
      </c>
      <c r="G3" s="80" t="s">
        <v>1</v>
      </c>
      <c r="H3" s="80" t="s">
        <v>87</v>
      </c>
      <c r="I3" s="80" t="s">
        <v>2</v>
      </c>
      <c r="J3" s="80" t="s">
        <v>88</v>
      </c>
      <c r="L3" s="53"/>
      <c r="M3" s="53"/>
      <c r="N3" s="53"/>
    </row>
    <row r="4" spans="1:14" s="35" customFormat="1">
      <c r="A4" s="76" t="s">
        <v>3</v>
      </c>
      <c r="B4" s="76" t="s">
        <v>4</v>
      </c>
      <c r="C4" s="76" t="s">
        <v>5</v>
      </c>
      <c r="D4" s="76" t="s">
        <v>6</v>
      </c>
      <c r="E4" s="76" t="s">
        <v>7</v>
      </c>
      <c r="F4" s="76" t="s">
        <v>8</v>
      </c>
      <c r="G4" s="76" t="s">
        <v>9</v>
      </c>
      <c r="H4" s="76" t="s">
        <v>10</v>
      </c>
      <c r="I4" s="76" t="s">
        <v>11</v>
      </c>
      <c r="J4" s="76" t="s">
        <v>85</v>
      </c>
      <c r="L4" s="53"/>
      <c r="M4" s="53"/>
      <c r="N4" s="53"/>
    </row>
    <row r="5" spans="1:14">
      <c r="A5" s="20"/>
      <c r="B5" s="62" t="s">
        <v>22</v>
      </c>
      <c r="C5" s="17"/>
      <c r="D5" s="18"/>
      <c r="E5" s="19"/>
      <c r="F5" s="18"/>
      <c r="G5" s="19"/>
      <c r="H5" s="18"/>
      <c r="I5" s="20"/>
      <c r="J5" s="63"/>
      <c r="L5" s="53"/>
      <c r="M5" s="53"/>
      <c r="N5" s="53"/>
    </row>
    <row r="6" spans="1:14">
      <c r="A6" s="8">
        <f>'Total Rollup '!A6</f>
        <v>4288.1030000000001</v>
      </c>
      <c r="B6" s="21" t="s">
        <v>27</v>
      </c>
      <c r="C6" s="1" t="s">
        <v>17</v>
      </c>
      <c r="D6" s="4">
        <v>6</v>
      </c>
      <c r="E6" s="2">
        <v>1</v>
      </c>
      <c r="F6" s="3">
        <f>(D6)*(E6)</f>
        <v>6</v>
      </c>
      <c r="G6" s="2">
        <v>12</v>
      </c>
      <c r="H6" s="4">
        <f>(F6)*(G6)</f>
        <v>72</v>
      </c>
      <c r="I6" s="32">
        <v>60</v>
      </c>
      <c r="J6" s="77">
        <f>(H6)*(I6)</f>
        <v>4320</v>
      </c>
      <c r="L6" s="54">
        <f>+$J6*0.2</f>
        <v>864</v>
      </c>
      <c r="M6" s="54">
        <f>+J6*0.8</f>
        <v>3456</v>
      </c>
      <c r="N6" s="53">
        <v>0</v>
      </c>
    </row>
    <row r="7" spans="1:14">
      <c r="A7" s="8" t="str">
        <f>'Total Rollup '!A7</f>
        <v>4288.137(a)</v>
      </c>
      <c r="B7" s="21" t="s">
        <v>28</v>
      </c>
      <c r="C7" s="1" t="s">
        <v>17</v>
      </c>
      <c r="D7" s="4">
        <v>6</v>
      </c>
      <c r="E7" s="2">
        <v>1</v>
      </c>
      <c r="F7" s="3">
        <f>(D7)*(E7)</f>
        <v>6</v>
      </c>
      <c r="G7" s="2">
        <v>1</v>
      </c>
      <c r="H7" s="4">
        <f>(F7)*(G7)</f>
        <v>6</v>
      </c>
      <c r="I7" s="32">
        <v>60</v>
      </c>
      <c r="J7" s="77">
        <f>(H7)*(I7)</f>
        <v>360</v>
      </c>
      <c r="L7" s="54">
        <f>+$J7*0.2</f>
        <v>72</v>
      </c>
      <c r="M7" s="54">
        <f t="shared" ref="M7:M18" si="0">+J7*0.8</f>
        <v>288</v>
      </c>
      <c r="N7" s="53">
        <v>0</v>
      </c>
    </row>
    <row r="8" spans="1:14">
      <c r="A8" s="8" t="str">
        <f>'Total Rollup '!A8</f>
        <v>4288.110(b)</v>
      </c>
      <c r="B8" s="72" t="s">
        <v>32</v>
      </c>
      <c r="C8" s="7" t="str">
        <f>'Total Rollup '!C8</f>
        <v>written</v>
      </c>
      <c r="D8" s="10">
        <f>+C$27*0.1</f>
        <v>40.5</v>
      </c>
      <c r="E8" s="2">
        <v>1</v>
      </c>
      <c r="F8" s="3">
        <f>(D8)*(E8)</f>
        <v>40.5</v>
      </c>
      <c r="G8" s="2">
        <v>1</v>
      </c>
      <c r="H8" s="4">
        <f>(F8)*(G8)</f>
        <v>40.5</v>
      </c>
      <c r="I8" s="32">
        <v>60</v>
      </c>
      <c r="J8" s="77">
        <f>(H8)*(I8)</f>
        <v>2430</v>
      </c>
      <c r="L8" s="54">
        <f>+$J8*0.2</f>
        <v>486</v>
      </c>
      <c r="M8" s="54">
        <f>+J8*0.8</f>
        <v>1944</v>
      </c>
      <c r="N8" s="53">
        <v>0</v>
      </c>
    </row>
    <row r="9" spans="1:14">
      <c r="A9" s="8" t="s">
        <v>152</v>
      </c>
      <c r="B9" s="21" t="s">
        <v>146</v>
      </c>
      <c r="C9" s="7" t="s">
        <v>17</v>
      </c>
      <c r="D9" s="10">
        <f>312*0.4+93</f>
        <v>217.8</v>
      </c>
      <c r="E9" s="8">
        <v>1</v>
      </c>
      <c r="F9" s="3">
        <f>(D9)*(E9)</f>
        <v>217.8</v>
      </c>
      <c r="G9" s="9">
        <v>1</v>
      </c>
      <c r="H9" s="4">
        <f>(F9)*(G9)</f>
        <v>217.8</v>
      </c>
      <c r="I9" s="32">
        <v>60</v>
      </c>
      <c r="J9" s="77">
        <f>(H9)*(I9)</f>
        <v>13068</v>
      </c>
      <c r="L9" s="54">
        <f>+$J9*0.2</f>
        <v>2613.6000000000004</v>
      </c>
      <c r="M9" s="54">
        <f>+J9*0.8</f>
        <v>10454.400000000001</v>
      </c>
      <c r="N9" s="53"/>
    </row>
    <row r="10" spans="1:14">
      <c r="A10" s="8"/>
      <c r="B10" s="11" t="s">
        <v>21</v>
      </c>
      <c r="C10" s="1"/>
      <c r="D10" s="2"/>
      <c r="E10" s="2"/>
      <c r="F10" s="5"/>
      <c r="G10" s="2"/>
      <c r="H10" s="6"/>
      <c r="I10" s="32"/>
      <c r="J10" s="77"/>
      <c r="L10" s="55"/>
      <c r="M10" s="54"/>
      <c r="N10" s="53"/>
    </row>
    <row r="11" spans="1:14">
      <c r="A11" s="8"/>
      <c r="B11" s="21" t="s">
        <v>21</v>
      </c>
      <c r="C11" s="1"/>
      <c r="D11" s="10">
        <f>+C28</f>
        <v>400</v>
      </c>
      <c r="E11" s="2">
        <v>1</v>
      </c>
      <c r="F11" s="3">
        <f>(D11)*(E11)</f>
        <v>400</v>
      </c>
      <c r="G11" s="2">
        <v>1</v>
      </c>
      <c r="H11" s="4">
        <f>(F11)*(G11)</f>
        <v>400</v>
      </c>
      <c r="I11" s="32">
        <v>60</v>
      </c>
      <c r="J11" s="77">
        <f>(H11)*(I11)</f>
        <v>24000</v>
      </c>
      <c r="L11" s="54">
        <f>+$J11*0.2</f>
        <v>4800</v>
      </c>
      <c r="M11" s="54">
        <f t="shared" si="0"/>
        <v>19200</v>
      </c>
      <c r="N11" s="53">
        <v>0</v>
      </c>
    </row>
    <row r="12" spans="1:14">
      <c r="A12" s="8"/>
      <c r="B12" s="65"/>
      <c r="C12" s="65"/>
      <c r="D12" s="65"/>
      <c r="E12" s="65"/>
      <c r="F12" s="2"/>
      <c r="G12" s="65"/>
      <c r="H12" s="65"/>
      <c r="I12" s="32"/>
      <c r="J12" s="65"/>
      <c r="L12" s="54"/>
      <c r="M12" s="54"/>
      <c r="N12" s="53"/>
    </row>
    <row r="13" spans="1:14">
      <c r="A13" s="8"/>
      <c r="B13" s="67" t="s">
        <v>25</v>
      </c>
      <c r="C13" s="68"/>
      <c r="D13" s="69"/>
      <c r="E13" s="69"/>
      <c r="F13" s="69"/>
      <c r="G13" s="70"/>
      <c r="H13" s="69"/>
      <c r="I13" s="64"/>
      <c r="J13" s="71"/>
      <c r="L13" s="54"/>
      <c r="M13" s="54"/>
      <c r="N13" s="53"/>
    </row>
    <row r="14" spans="1:14" ht="25.5">
      <c r="A14" s="8" t="str">
        <f>'Total Rollup '!A14</f>
        <v>4288.120(a)</v>
      </c>
      <c r="B14" s="72" t="s">
        <v>29</v>
      </c>
      <c r="C14" s="21" t="str">
        <f>'Total Rollup '!C14</f>
        <v>RD 4288-1</v>
      </c>
      <c r="D14" s="10">
        <f>+C$27</f>
        <v>405</v>
      </c>
      <c r="E14" s="8">
        <v>1</v>
      </c>
      <c r="F14" s="8">
        <f>(D14)*(E14)</f>
        <v>405</v>
      </c>
      <c r="G14" s="8">
        <v>1.03</v>
      </c>
      <c r="H14" s="9">
        <f>(F14)*(G14)</f>
        <v>417.15000000000003</v>
      </c>
      <c r="I14" s="33">
        <v>60</v>
      </c>
      <c r="J14" s="26">
        <f>(H14)*(I14)</f>
        <v>25029.000000000004</v>
      </c>
      <c r="L14" s="54">
        <f>+$J14*0.2</f>
        <v>5005.8000000000011</v>
      </c>
      <c r="M14" s="54">
        <f t="shared" si="0"/>
        <v>20023.200000000004</v>
      </c>
      <c r="N14" s="53">
        <v>0</v>
      </c>
    </row>
    <row r="15" spans="1:14">
      <c r="A15" s="8" t="str">
        <f>'Total Rollup '!A15</f>
        <v>4288.121(a)</v>
      </c>
      <c r="B15" s="72" t="s">
        <v>30</v>
      </c>
      <c r="C15" s="21" t="str">
        <f>'Total Rollup '!C15</f>
        <v>RD 4288-2</v>
      </c>
      <c r="D15" s="10">
        <v>88</v>
      </c>
      <c r="E15" s="8">
        <v>1</v>
      </c>
      <c r="F15" s="8">
        <f>(D15)*(E15)</f>
        <v>88</v>
      </c>
      <c r="G15" s="8">
        <v>1</v>
      </c>
      <c r="H15" s="9">
        <f>(F15)*(G15)</f>
        <v>88</v>
      </c>
      <c r="I15" s="33">
        <v>60</v>
      </c>
      <c r="J15" s="26">
        <f>(H15)*(I15)</f>
        <v>5280</v>
      </c>
      <c r="L15" s="54">
        <f>+$J15*0.2</f>
        <v>1056</v>
      </c>
      <c r="M15" s="54">
        <f t="shared" si="0"/>
        <v>4224</v>
      </c>
      <c r="N15" s="53">
        <v>0</v>
      </c>
    </row>
    <row r="16" spans="1:14" ht="25.5">
      <c r="A16" s="8" t="str">
        <f>'Total Rollup '!A16</f>
        <v>4288.130(a)</v>
      </c>
      <c r="B16" s="72" t="s">
        <v>31</v>
      </c>
      <c r="C16" s="21" t="str">
        <f>'Total Rollup '!C16</f>
        <v>RD 4288-3</v>
      </c>
      <c r="D16" s="10">
        <f>+C$28</f>
        <v>400</v>
      </c>
      <c r="E16" s="8">
        <v>4</v>
      </c>
      <c r="F16" s="8">
        <f>(D16)*(E16)</f>
        <v>1600</v>
      </c>
      <c r="G16" s="8">
        <v>1</v>
      </c>
      <c r="H16" s="9">
        <f>(F16)*(G16)</f>
        <v>1600</v>
      </c>
      <c r="I16" s="33">
        <v>60</v>
      </c>
      <c r="J16" s="26">
        <f>(H16)*(I16)</f>
        <v>96000</v>
      </c>
      <c r="L16" s="54">
        <f>+$J16*0.2</f>
        <v>19200</v>
      </c>
      <c r="M16" s="54">
        <f t="shared" si="0"/>
        <v>76800</v>
      </c>
      <c r="N16" s="53">
        <v>0</v>
      </c>
    </row>
    <row r="17" spans="1:14">
      <c r="A17" s="8" t="s">
        <v>155</v>
      </c>
      <c r="B17" s="39" t="s">
        <v>15</v>
      </c>
      <c r="C17" s="21" t="str">
        <f>'Total Rollup '!C17</f>
        <v>RD 400-4 (0575-0018)</v>
      </c>
      <c r="D17" s="10">
        <f>+C$28</f>
        <v>400</v>
      </c>
      <c r="E17" s="8">
        <v>1</v>
      </c>
      <c r="F17" s="8">
        <f>(D17)*(E17)</f>
        <v>400</v>
      </c>
      <c r="G17" s="8">
        <v>0.16</v>
      </c>
      <c r="H17" s="9">
        <f>(F17)*(G17)</f>
        <v>64</v>
      </c>
      <c r="I17" s="33">
        <v>60</v>
      </c>
      <c r="J17" s="26">
        <f>(H17)*(I17)</f>
        <v>3840</v>
      </c>
      <c r="L17" s="54">
        <f>+$J17*0.2</f>
        <v>768</v>
      </c>
      <c r="M17" s="54">
        <f t="shared" si="0"/>
        <v>3072</v>
      </c>
      <c r="N17" s="53">
        <v>0</v>
      </c>
    </row>
    <row r="18" spans="1:14">
      <c r="A18" s="8" t="s">
        <v>154</v>
      </c>
      <c r="B18" s="39" t="s">
        <v>97</v>
      </c>
      <c r="C18" s="21" t="str">
        <f>'Total Rollup '!C18</f>
        <v>RD 1940-Q, Exhibit A-1</v>
      </c>
      <c r="D18" s="10">
        <f>+C$27</f>
        <v>405</v>
      </c>
      <c r="E18" s="8">
        <v>1</v>
      </c>
      <c r="F18" s="8">
        <f>(D18)*(E18)</f>
        <v>405</v>
      </c>
      <c r="G18" s="8">
        <v>0.5</v>
      </c>
      <c r="H18" s="9">
        <f>(F18)*(G18)</f>
        <v>202.5</v>
      </c>
      <c r="I18" s="33">
        <v>60</v>
      </c>
      <c r="J18" s="26">
        <f>(H18)*(I18)</f>
        <v>12150</v>
      </c>
      <c r="L18" s="54">
        <f>+$J18*0.2</f>
        <v>2430</v>
      </c>
      <c r="M18" s="54">
        <f t="shared" si="0"/>
        <v>9720</v>
      </c>
      <c r="N18" s="53">
        <v>0</v>
      </c>
    </row>
    <row r="19" spans="1:14">
      <c r="A19" s="2"/>
      <c r="B19" s="73"/>
      <c r="C19" s="17"/>
      <c r="D19" s="18"/>
      <c r="E19" s="19"/>
      <c r="F19" s="18"/>
      <c r="G19" s="19"/>
      <c r="H19" s="18"/>
      <c r="I19" s="20"/>
      <c r="J19" s="63"/>
      <c r="L19" s="54"/>
      <c r="M19" s="54"/>
      <c r="N19" s="53"/>
    </row>
    <row r="20" spans="1:14">
      <c r="A20" s="2"/>
      <c r="B20" s="67" t="s">
        <v>23</v>
      </c>
      <c r="C20" s="21"/>
      <c r="D20" s="10"/>
      <c r="E20" s="8"/>
      <c r="F20" s="10"/>
      <c r="G20" s="8"/>
      <c r="H20" s="9"/>
      <c r="I20" s="22"/>
      <c r="J20" s="26"/>
      <c r="L20" s="57"/>
      <c r="M20" s="57"/>
      <c r="N20" s="57"/>
    </row>
    <row r="21" spans="1:14" ht="13.5" customHeight="1">
      <c r="A21" s="2" t="s">
        <v>153</v>
      </c>
      <c r="B21" s="21" t="s">
        <v>19</v>
      </c>
      <c r="C21" s="21" t="str">
        <f>'Total Rollup '!C21</f>
        <v>SF LLL (0348-0046)</v>
      </c>
      <c r="D21" s="10">
        <f>+C$27</f>
        <v>405</v>
      </c>
      <c r="E21" s="8">
        <v>1</v>
      </c>
      <c r="F21" s="10">
        <f>(D21)*(E21)</f>
        <v>405</v>
      </c>
      <c r="G21" s="8">
        <v>0.16</v>
      </c>
      <c r="H21" s="9">
        <f>(F21)*(G21)</f>
        <v>64.8</v>
      </c>
      <c r="I21" s="32">
        <v>60</v>
      </c>
      <c r="J21" s="26">
        <f>(H21)*(I21)</f>
        <v>3888</v>
      </c>
      <c r="L21" s="91">
        <f>+$J21*0.2</f>
        <v>777.6</v>
      </c>
      <c r="M21" s="91">
        <f>+J21*0.8</f>
        <v>3110.4</v>
      </c>
      <c r="N21" s="57">
        <v>0</v>
      </c>
    </row>
    <row r="22" spans="1:14">
      <c r="A22" s="8"/>
      <c r="B22" s="65"/>
      <c r="C22" s="73"/>
      <c r="D22" s="65"/>
      <c r="E22" s="65"/>
      <c r="F22" s="6">
        <f>SUM(F6:F21)</f>
        <v>3973.3</v>
      </c>
      <c r="G22" s="65"/>
      <c r="H22" s="6">
        <f>SUM(H6:H21)</f>
        <v>3172.75</v>
      </c>
      <c r="I22" s="2"/>
      <c r="J22" s="32">
        <f>SUM(J6:J21)</f>
        <v>190365</v>
      </c>
      <c r="L22" s="38">
        <f>SUM(L6:L21)</f>
        <v>38073</v>
      </c>
      <c r="M22" s="38">
        <f>SUM(M6:M21)</f>
        <v>152292</v>
      </c>
      <c r="N22" s="92">
        <v>0</v>
      </c>
    </row>
    <row r="23" spans="1:14">
      <c r="A23" s="28"/>
      <c r="B23" s="15"/>
      <c r="C23" s="15"/>
      <c r="D23" s="13"/>
      <c r="E23" s="13"/>
      <c r="F23" s="13"/>
      <c r="G23" s="27"/>
      <c r="H23" s="29"/>
      <c r="I23" s="13"/>
      <c r="J23" s="14"/>
    </row>
    <row r="24" spans="1:14">
      <c r="A24" s="28"/>
      <c r="B24" s="15"/>
      <c r="C24" s="15"/>
      <c r="D24" s="13"/>
      <c r="E24" s="13"/>
      <c r="F24" s="13"/>
      <c r="G24" s="27"/>
      <c r="H24" s="29"/>
      <c r="I24" s="13"/>
      <c r="J24" s="14"/>
    </row>
    <row r="25" spans="1:14">
      <c r="B25" s="23"/>
      <c r="C25" s="25"/>
      <c r="D25" s="105" t="s">
        <v>33</v>
      </c>
      <c r="E25" s="105"/>
      <c r="F25" s="105"/>
      <c r="G25" s="105" t="s">
        <v>34</v>
      </c>
      <c r="H25" s="105"/>
      <c r="I25" s="105"/>
      <c r="J25" s="40"/>
    </row>
    <row r="26" spans="1:14" ht="38.25">
      <c r="B26" s="25" t="s">
        <v>35</v>
      </c>
      <c r="C26" s="25"/>
      <c r="D26" s="41" t="s">
        <v>36</v>
      </c>
      <c r="E26" s="41" t="s">
        <v>37</v>
      </c>
      <c r="F26" s="41" t="s">
        <v>38</v>
      </c>
      <c r="G26" s="41" t="s">
        <v>36</v>
      </c>
      <c r="H26" s="41" t="s">
        <v>37</v>
      </c>
      <c r="I26" s="41" t="s">
        <v>38</v>
      </c>
      <c r="J26" s="40"/>
    </row>
    <row r="27" spans="1:14">
      <c r="B27" s="23" t="s">
        <v>39</v>
      </c>
      <c r="C27" s="30">
        <f>312+93</f>
        <v>405</v>
      </c>
      <c r="D27" s="23">
        <f t="shared" ref="D27:F28" si="1">+$C27*G27</f>
        <v>81</v>
      </c>
      <c r="E27" s="23">
        <f t="shared" si="1"/>
        <v>324</v>
      </c>
      <c r="F27" s="23">
        <f t="shared" si="1"/>
        <v>0</v>
      </c>
      <c r="G27" s="42">
        <v>0.2</v>
      </c>
      <c r="H27" s="42">
        <v>0.8</v>
      </c>
      <c r="I27" s="23">
        <v>0</v>
      </c>
      <c r="J27" s="40"/>
    </row>
    <row r="28" spans="1:14">
      <c r="B28" s="23" t="s">
        <v>40</v>
      </c>
      <c r="C28" s="30">
        <f>312+88</f>
        <v>400</v>
      </c>
      <c r="D28" s="23">
        <f t="shared" si="1"/>
        <v>80</v>
      </c>
      <c r="E28" s="23">
        <f t="shared" si="1"/>
        <v>320</v>
      </c>
      <c r="F28" s="23">
        <f t="shared" si="1"/>
        <v>0</v>
      </c>
      <c r="G28" s="42">
        <v>0.2</v>
      </c>
      <c r="H28" s="42">
        <v>0.8</v>
      </c>
      <c r="I28" s="23">
        <v>0</v>
      </c>
      <c r="J28" s="40"/>
    </row>
    <row r="29" spans="1:14">
      <c r="B29" s="23"/>
      <c r="D29" s="23"/>
      <c r="E29" s="23"/>
      <c r="F29" s="23"/>
      <c r="G29" s="23"/>
      <c r="H29" s="40"/>
      <c r="I29" s="23"/>
      <c r="J29" s="40"/>
    </row>
    <row r="30" spans="1:14">
      <c r="B30" s="23"/>
      <c r="D30" s="23"/>
      <c r="E30" s="23"/>
      <c r="F30" s="23"/>
      <c r="G30" s="23"/>
      <c r="H30" s="40"/>
      <c r="I30" s="23"/>
      <c r="J30" s="40"/>
    </row>
    <row r="31" spans="1:14">
      <c r="B31" s="43" t="s">
        <v>41</v>
      </c>
      <c r="C31" s="25"/>
      <c r="D31" s="23"/>
      <c r="E31" s="23"/>
      <c r="F31" s="23"/>
      <c r="G31" s="23"/>
      <c r="H31" s="40"/>
      <c r="I31" s="23"/>
      <c r="J31" s="40"/>
    </row>
    <row r="32" spans="1:14" ht="12.75" customHeight="1">
      <c r="B32" s="44" t="s">
        <v>42</v>
      </c>
      <c r="C32" s="106" t="s">
        <v>63</v>
      </c>
      <c r="D32" s="108"/>
      <c r="E32" s="108"/>
      <c r="F32" s="108"/>
      <c r="G32" s="108"/>
      <c r="H32" s="108"/>
      <c r="I32" s="108"/>
      <c r="J32" s="108"/>
    </row>
    <row r="33" spans="2:10">
      <c r="B33" s="44"/>
      <c r="C33" s="25"/>
      <c r="D33" s="45"/>
      <c r="E33" s="45"/>
      <c r="F33" s="45"/>
      <c r="G33" s="45"/>
      <c r="H33" s="45"/>
      <c r="I33" s="45"/>
      <c r="J33" s="45"/>
    </row>
    <row r="34" spans="2:10" ht="28.5" customHeight="1">
      <c r="B34" s="46" t="s">
        <v>78</v>
      </c>
      <c r="C34" s="106" t="s">
        <v>137</v>
      </c>
      <c r="D34" s="108"/>
      <c r="E34" s="108"/>
      <c r="F34" s="108"/>
      <c r="G34" s="108"/>
      <c r="H34" s="108"/>
      <c r="I34" s="108"/>
      <c r="J34" s="108"/>
    </row>
    <row r="35" spans="2:10">
      <c r="B35" s="44" t="s">
        <v>146</v>
      </c>
      <c r="C35" s="106" t="s">
        <v>148</v>
      </c>
      <c r="D35" s="109"/>
      <c r="E35" s="109"/>
      <c r="F35" s="109"/>
      <c r="G35" s="109"/>
      <c r="H35" s="109"/>
      <c r="I35" s="109"/>
      <c r="J35" s="109"/>
    </row>
    <row r="36" spans="2:10" ht="27" customHeight="1">
      <c r="B36" s="44" t="s">
        <v>43</v>
      </c>
      <c r="C36" s="106" t="s">
        <v>143</v>
      </c>
      <c r="D36" s="108"/>
      <c r="E36" s="108"/>
      <c r="F36" s="108"/>
      <c r="G36" s="108"/>
      <c r="H36" s="108"/>
      <c r="I36" s="108"/>
      <c r="J36" s="40"/>
    </row>
    <row r="37" spans="2:10">
      <c r="B37" s="24"/>
      <c r="C37" s="25"/>
      <c r="D37" s="23"/>
      <c r="E37" s="23"/>
      <c r="F37" s="23"/>
      <c r="G37" s="23"/>
      <c r="H37" s="40"/>
      <c r="I37" s="23"/>
      <c r="J37" s="40"/>
    </row>
    <row r="38" spans="2:10" ht="12.75" customHeight="1">
      <c r="B38" s="44" t="s">
        <v>44</v>
      </c>
      <c r="C38" s="106" t="s">
        <v>138</v>
      </c>
      <c r="D38" s="108"/>
      <c r="E38" s="108"/>
      <c r="F38" s="108"/>
      <c r="G38" s="108"/>
      <c r="H38" s="108"/>
      <c r="I38" s="108"/>
      <c r="J38" s="40"/>
    </row>
    <row r="39" spans="2:10">
      <c r="B39" s="47"/>
      <c r="C39" s="48"/>
      <c r="D39" s="49"/>
      <c r="E39" s="49"/>
      <c r="F39" s="49"/>
      <c r="G39" s="49"/>
      <c r="H39" s="50"/>
      <c r="I39" s="49"/>
      <c r="J39" s="50"/>
    </row>
    <row r="40" spans="2:10" ht="12.75" customHeight="1">
      <c r="B40" s="44" t="s">
        <v>21</v>
      </c>
      <c r="C40" s="106" t="s">
        <v>139</v>
      </c>
      <c r="D40" s="108"/>
      <c r="E40" s="108"/>
      <c r="F40" s="108"/>
      <c r="G40" s="108"/>
      <c r="H40" s="108"/>
      <c r="I40" s="108"/>
      <c r="J40" s="108"/>
    </row>
    <row r="43" spans="2:10">
      <c r="B43" s="30" t="s">
        <v>102</v>
      </c>
      <c r="C43" s="30" t="s">
        <v>103</v>
      </c>
    </row>
    <row r="44" spans="2:10">
      <c r="C44" s="30" t="s">
        <v>104</v>
      </c>
    </row>
    <row r="45" spans="2:10">
      <c r="C45" s="30" t="s">
        <v>105</v>
      </c>
      <c r="F45" s="30">
        <f>+C27</f>
        <v>405</v>
      </c>
    </row>
    <row r="46" spans="2:10">
      <c r="C46" s="30" t="s">
        <v>106</v>
      </c>
      <c r="F46" s="30">
        <f>+F45*0.03</f>
        <v>12.15</v>
      </c>
      <c r="G46" s="30" t="s">
        <v>145</v>
      </c>
    </row>
    <row r="47" spans="2:10">
      <c r="D47" s="30" t="s">
        <v>107</v>
      </c>
      <c r="F47" s="30">
        <f>+F45+F46</f>
        <v>417.15</v>
      </c>
    </row>
    <row r="48" spans="2:10">
      <c r="D48" s="30" t="s">
        <v>108</v>
      </c>
      <c r="F48" s="30">
        <f>+F47/F45</f>
        <v>1.03</v>
      </c>
    </row>
  </sheetData>
  <customSheetViews>
    <customSheetView guid="{F801E3C7-0680-4D04-B7DA-D7562243E7FD}" showPageBreaks="1" fitToPage="1" printArea="1" showRuler="0" topLeftCell="C1">
      <pane ySplit="3" topLeftCell="A4" activePane="bottomLeft" state="frozen"/>
      <selection pane="bottomLeft" activeCell="M25" sqref="M25"/>
      <pageMargins left="0.5" right="0.25" top="0.75" bottom="0" header="0.5" footer="0.5"/>
      <printOptions gridLines="1"/>
      <pageSetup scale="78" orientation="landscape" horizontalDpi="300" verticalDpi="300" r:id="rId1"/>
      <headerFooter alignWithMargins="0"/>
    </customSheetView>
    <customSheetView guid="{85A0FECD-0ABD-4BC8-8163-7A3FD1ADFA49}" scale="80" showPageBreaks="1" fitToPage="1" printArea="1">
      <pane ySplit="3" topLeftCell="A4" activePane="bottomLeft" state="frozen"/>
      <selection pane="bottomLeft" activeCell="K26" sqref="K26"/>
      <pageMargins left="0.5" right="0.25" top="0.75" bottom="0" header="0.5" footer="0.5"/>
      <printOptions gridLines="1"/>
      <pageSetup scale="78" orientation="landscape" horizontalDpi="300" verticalDpi="300" r:id="rId2"/>
      <headerFooter alignWithMargins="0"/>
    </customSheetView>
  </customSheetViews>
  <mergeCells count="8">
    <mergeCell ref="C36:I36"/>
    <mergeCell ref="C38:I38"/>
    <mergeCell ref="C40:J40"/>
    <mergeCell ref="D25:F25"/>
    <mergeCell ref="G25:I25"/>
    <mergeCell ref="C32:J32"/>
    <mergeCell ref="C34:J34"/>
    <mergeCell ref="C35:J35"/>
  </mergeCells>
  <phoneticPr fontId="9" type="noConversion"/>
  <printOptions gridLines="1"/>
  <pageMargins left="0.5" right="0.25" top="0.75" bottom="0" header="0.5" footer="0.5"/>
  <pageSetup scale="77" orientation="landscape" horizontalDpi="300" verticalDpi="300" r:id="rId3"/>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F38"/>
  <sheetViews>
    <sheetView zoomScale="90" zoomScaleNormal="90" workbookViewId="0">
      <selection activeCell="A24" sqref="A24:XFD24"/>
    </sheetView>
  </sheetViews>
  <sheetFormatPr defaultRowHeight="12.75"/>
  <cols>
    <col min="1" max="1" width="54.5703125" bestFit="1" customWidth="1"/>
    <col min="3" max="3" width="12.28515625" customWidth="1"/>
    <col min="4" max="4" width="12.140625" customWidth="1"/>
    <col min="5" max="5" width="16.42578125" customWidth="1"/>
    <col min="9" max="9" width="10.85546875" bestFit="1" customWidth="1"/>
  </cols>
  <sheetData>
    <row r="1" spans="1:6">
      <c r="A1" s="86" t="s">
        <v>74</v>
      </c>
    </row>
    <row r="2" spans="1:6" ht="25.5">
      <c r="A2" s="81" t="s">
        <v>45</v>
      </c>
      <c r="B2" s="81" t="s">
        <v>33</v>
      </c>
      <c r="C2" s="81" t="s">
        <v>46</v>
      </c>
      <c r="D2" s="81" t="s">
        <v>47</v>
      </c>
      <c r="E2" s="81" t="s">
        <v>48</v>
      </c>
      <c r="F2" s="59" t="s">
        <v>49</v>
      </c>
    </row>
    <row r="3" spans="1:6">
      <c r="A3" s="82"/>
      <c r="B3" s="82"/>
      <c r="C3" s="82"/>
      <c r="D3" s="82"/>
      <c r="E3" s="82"/>
    </row>
    <row r="4" spans="1:6">
      <c r="A4" s="82" t="s">
        <v>50</v>
      </c>
      <c r="B4" s="83">
        <f>180+180+93</f>
        <v>453</v>
      </c>
      <c r="C4" s="82">
        <v>3.04</v>
      </c>
      <c r="D4" s="82">
        <v>41</v>
      </c>
      <c r="E4" s="84">
        <f t="shared" ref="E4:E13" si="0">+B4*C4*D4</f>
        <v>56461.920000000006</v>
      </c>
      <c r="F4" s="60" t="s">
        <v>110</v>
      </c>
    </row>
    <row r="5" spans="1:6">
      <c r="A5" s="83" t="s">
        <v>147</v>
      </c>
      <c r="B5" s="83">
        <f>236+218</f>
        <v>454</v>
      </c>
      <c r="C5" s="82">
        <v>0.5</v>
      </c>
      <c r="D5" s="82">
        <v>41</v>
      </c>
      <c r="E5" s="84">
        <f t="shared" si="0"/>
        <v>9307</v>
      </c>
      <c r="F5" s="60"/>
    </row>
    <row r="6" spans="1:6">
      <c r="A6" s="82" t="s">
        <v>51</v>
      </c>
      <c r="B6" s="83">
        <f>141+312+88</f>
        <v>541</v>
      </c>
      <c r="C6" s="82">
        <v>0.5</v>
      </c>
      <c r="D6" s="82">
        <v>41</v>
      </c>
      <c r="E6" s="84">
        <f>+B6*C6*D6</f>
        <v>11090.5</v>
      </c>
      <c r="F6" s="60" t="s">
        <v>61</v>
      </c>
    </row>
    <row r="7" spans="1:6">
      <c r="A7" s="82" t="s">
        <v>156</v>
      </c>
      <c r="B7" s="83">
        <f>+B6</f>
        <v>541</v>
      </c>
      <c r="C7" s="82">
        <v>2</v>
      </c>
      <c r="D7" s="82">
        <v>41</v>
      </c>
      <c r="E7" s="84">
        <f>+B7*C7*D7</f>
        <v>44362</v>
      </c>
      <c r="F7" s="60"/>
    </row>
    <row r="8" spans="1:6">
      <c r="A8" s="83" t="s">
        <v>52</v>
      </c>
      <c r="B8" s="82">
        <f>'Total Rollup '!F16</f>
        <v>2989</v>
      </c>
      <c r="C8" s="82">
        <v>2</v>
      </c>
      <c r="D8" s="82">
        <v>41</v>
      </c>
      <c r="E8" s="84">
        <f t="shared" si="0"/>
        <v>245098</v>
      </c>
      <c r="F8" s="60" t="s">
        <v>60</v>
      </c>
    </row>
    <row r="9" spans="1:6">
      <c r="A9" s="82" t="s">
        <v>53</v>
      </c>
      <c r="B9" s="82">
        <f>+B8</f>
        <v>2989</v>
      </c>
      <c r="C9" s="82">
        <v>6</v>
      </c>
      <c r="D9" s="82">
        <v>41</v>
      </c>
      <c r="E9" s="84">
        <f t="shared" si="0"/>
        <v>735294</v>
      </c>
    </row>
    <row r="10" spans="1:6">
      <c r="A10" s="82" t="s">
        <v>54</v>
      </c>
      <c r="B10" s="82">
        <v>4</v>
      </c>
      <c r="C10" s="82">
        <v>12</v>
      </c>
      <c r="D10" s="82">
        <v>41</v>
      </c>
      <c r="E10" s="84">
        <f t="shared" si="0"/>
        <v>1968</v>
      </c>
    </row>
    <row r="11" spans="1:6">
      <c r="A11" s="82" t="s">
        <v>55</v>
      </c>
      <c r="B11" s="82">
        <f>6+6+6</f>
        <v>18</v>
      </c>
      <c r="C11" s="82">
        <v>8</v>
      </c>
      <c r="D11" s="82">
        <v>41</v>
      </c>
      <c r="E11" s="84">
        <f t="shared" si="0"/>
        <v>5904</v>
      </c>
    </row>
    <row r="12" spans="1:6">
      <c r="A12" s="82" t="s">
        <v>27</v>
      </c>
      <c r="B12" s="82">
        <f>6+6+6</f>
        <v>18</v>
      </c>
      <c r="C12" s="82">
        <v>16</v>
      </c>
      <c r="D12" s="82">
        <v>41</v>
      </c>
      <c r="E12" s="84">
        <f t="shared" si="0"/>
        <v>11808</v>
      </c>
    </row>
    <row r="13" spans="1:6">
      <c r="A13" s="83" t="s">
        <v>56</v>
      </c>
      <c r="B13" s="82">
        <f>141+312+400</f>
        <v>853</v>
      </c>
      <c r="C13" s="82">
        <v>8</v>
      </c>
      <c r="D13" s="82">
        <v>41</v>
      </c>
      <c r="E13" s="84">
        <f t="shared" si="0"/>
        <v>279784</v>
      </c>
      <c r="F13" s="60" t="s">
        <v>62</v>
      </c>
    </row>
    <row r="14" spans="1:6" ht="14.25">
      <c r="A14" s="83" t="s">
        <v>79</v>
      </c>
      <c r="B14" s="110" t="s">
        <v>80</v>
      </c>
      <c r="C14" s="111"/>
      <c r="D14" s="112"/>
      <c r="E14" s="87">
        <f>197355</f>
        <v>197355</v>
      </c>
      <c r="F14" s="60"/>
    </row>
    <row r="15" spans="1:6">
      <c r="A15" s="85" t="s">
        <v>57</v>
      </c>
      <c r="B15" s="82"/>
      <c r="C15" s="82"/>
      <c r="D15" s="82"/>
      <c r="E15" s="84">
        <f>SUM(E4:E14)</f>
        <v>1598432.42</v>
      </c>
    </row>
    <row r="17" spans="1:6" ht="14.25">
      <c r="A17" s="61" t="s">
        <v>58</v>
      </c>
    </row>
    <row r="18" spans="1:6" ht="64.5" customHeight="1">
      <c r="A18" s="88" t="s">
        <v>81</v>
      </c>
      <c r="B18" s="108" t="s">
        <v>82</v>
      </c>
      <c r="C18" s="107"/>
      <c r="D18" s="107"/>
      <c r="E18" s="107"/>
      <c r="F18" s="89"/>
    </row>
    <row r="21" spans="1:6">
      <c r="A21" s="86" t="s">
        <v>75</v>
      </c>
    </row>
    <row r="22" spans="1:6" ht="25.5">
      <c r="A22" s="81" t="s">
        <v>45</v>
      </c>
      <c r="B22" s="90" t="s">
        <v>83</v>
      </c>
      <c r="C22" s="81" t="s">
        <v>46</v>
      </c>
      <c r="D22" s="81" t="s">
        <v>47</v>
      </c>
      <c r="E22" s="90" t="s">
        <v>84</v>
      </c>
      <c r="F22" s="59" t="s">
        <v>49</v>
      </c>
    </row>
    <row r="23" spans="1:6">
      <c r="A23" s="82"/>
      <c r="B23" s="82"/>
      <c r="C23" s="82"/>
      <c r="D23" s="82"/>
      <c r="E23" s="82"/>
    </row>
    <row r="24" spans="1:6">
      <c r="A24" s="82" t="s">
        <v>50</v>
      </c>
      <c r="B24" s="83">
        <f>+B4/3</f>
        <v>151</v>
      </c>
      <c r="C24" s="82">
        <v>3.04</v>
      </c>
      <c r="D24" s="82">
        <f>+D4</f>
        <v>41</v>
      </c>
      <c r="E24" s="84">
        <f>+B24*C24*D24</f>
        <v>18820.64</v>
      </c>
      <c r="F24" s="60" t="s">
        <v>59</v>
      </c>
    </row>
    <row r="25" spans="1:6">
      <c r="A25" s="83" t="s">
        <v>147</v>
      </c>
      <c r="B25" s="83">
        <f>+B5/3</f>
        <v>151.33333333333334</v>
      </c>
      <c r="C25" s="82">
        <v>0.5</v>
      </c>
      <c r="D25" s="82">
        <f>+D5</f>
        <v>41</v>
      </c>
      <c r="E25" s="84">
        <f>+B25*C25*D25</f>
        <v>3102.3333333333335</v>
      </c>
      <c r="F25" s="60"/>
    </row>
    <row r="26" spans="1:6">
      <c r="A26" s="82" t="s">
        <v>51</v>
      </c>
      <c r="B26" s="83">
        <f>+B6/3</f>
        <v>180.33333333333334</v>
      </c>
      <c r="C26" s="82">
        <v>0.5</v>
      </c>
      <c r="D26" s="82">
        <f>+D6</f>
        <v>41</v>
      </c>
      <c r="E26" s="84">
        <f>+B26*C26*D26</f>
        <v>3696.8333333333335</v>
      </c>
      <c r="F26" s="60" t="s">
        <v>61</v>
      </c>
    </row>
    <row r="27" spans="1:6">
      <c r="A27" s="82" t="str">
        <f>A7</f>
        <v>Review contract validity</v>
      </c>
      <c r="B27" s="83">
        <f>+B7/3</f>
        <v>180.33333333333334</v>
      </c>
      <c r="C27" s="82">
        <v>1.5</v>
      </c>
      <c r="D27" s="82">
        <f>+D7</f>
        <v>41</v>
      </c>
      <c r="E27" s="84">
        <f>+B27*C27*D27</f>
        <v>11090.5</v>
      </c>
      <c r="F27" s="60"/>
    </row>
    <row r="28" spans="1:6">
      <c r="A28" s="83" t="s">
        <v>52</v>
      </c>
      <c r="B28" s="83">
        <f t="shared" ref="B28:B33" si="1">+B8/3</f>
        <v>996.33333333333337</v>
      </c>
      <c r="C28" s="82">
        <v>2</v>
      </c>
      <c r="D28" s="82">
        <f t="shared" ref="D28:D33" si="2">+D8</f>
        <v>41</v>
      </c>
      <c r="E28" s="84">
        <f t="shared" ref="E28:E33" si="3">+B28*C28*D28</f>
        <v>81699.333333333343</v>
      </c>
      <c r="F28" s="60" t="s">
        <v>60</v>
      </c>
    </row>
    <row r="29" spans="1:6">
      <c r="A29" s="82" t="s">
        <v>53</v>
      </c>
      <c r="B29" s="83">
        <f t="shared" si="1"/>
        <v>996.33333333333337</v>
      </c>
      <c r="C29" s="82">
        <v>6</v>
      </c>
      <c r="D29" s="82">
        <f t="shared" si="2"/>
        <v>41</v>
      </c>
      <c r="E29" s="84">
        <f t="shared" si="3"/>
        <v>245098</v>
      </c>
    </row>
    <row r="30" spans="1:6">
      <c r="A30" s="82" t="s">
        <v>54</v>
      </c>
      <c r="B30" s="83">
        <f t="shared" si="1"/>
        <v>1.3333333333333333</v>
      </c>
      <c r="C30" s="82">
        <v>12</v>
      </c>
      <c r="D30" s="82">
        <f t="shared" si="2"/>
        <v>41</v>
      </c>
      <c r="E30" s="84">
        <v>640</v>
      </c>
    </row>
    <row r="31" spans="1:6">
      <c r="A31" s="82" t="s">
        <v>55</v>
      </c>
      <c r="B31" s="83">
        <f t="shared" si="1"/>
        <v>6</v>
      </c>
      <c r="C31" s="82">
        <v>8</v>
      </c>
      <c r="D31" s="82">
        <f t="shared" si="2"/>
        <v>41</v>
      </c>
      <c r="E31" s="84">
        <f t="shared" si="3"/>
        <v>1968</v>
      </c>
    </row>
    <row r="32" spans="1:6">
      <c r="A32" s="82" t="s">
        <v>27</v>
      </c>
      <c r="B32" s="83">
        <f t="shared" si="1"/>
        <v>6</v>
      </c>
      <c r="C32" s="82">
        <v>16</v>
      </c>
      <c r="D32" s="82">
        <f t="shared" si="2"/>
        <v>41</v>
      </c>
      <c r="E32" s="84">
        <f t="shared" si="3"/>
        <v>3936</v>
      </c>
    </row>
    <row r="33" spans="1:6">
      <c r="A33" s="83" t="s">
        <v>56</v>
      </c>
      <c r="B33" s="83">
        <f t="shared" si="1"/>
        <v>284.33333333333331</v>
      </c>
      <c r="C33" s="82">
        <v>8</v>
      </c>
      <c r="D33" s="82">
        <f t="shared" si="2"/>
        <v>41</v>
      </c>
      <c r="E33" s="84">
        <f t="shared" si="3"/>
        <v>93261.333333333328</v>
      </c>
      <c r="F33" s="60" t="s">
        <v>62</v>
      </c>
    </row>
    <row r="34" spans="1:6" ht="14.25">
      <c r="A34" s="83" t="s">
        <v>79</v>
      </c>
      <c r="B34" s="110" t="s">
        <v>80</v>
      </c>
      <c r="C34" s="111"/>
      <c r="D34" s="112"/>
      <c r="E34" s="87">
        <f>197355/3</f>
        <v>65785</v>
      </c>
      <c r="F34" s="60"/>
    </row>
    <row r="35" spans="1:6">
      <c r="A35" s="85" t="s">
        <v>57</v>
      </c>
      <c r="B35" s="82"/>
      <c r="C35" s="82"/>
      <c r="D35" s="82"/>
      <c r="E35" s="84">
        <f>SUM(E24:E34)</f>
        <v>529097.97333333339</v>
      </c>
    </row>
    <row r="37" spans="1:6" ht="14.25">
      <c r="A37" s="61" t="s">
        <v>58</v>
      </c>
    </row>
    <row r="38" spans="1:6" ht="64.5" customHeight="1">
      <c r="A38" s="88" t="s">
        <v>81</v>
      </c>
      <c r="B38" s="108" t="s">
        <v>82</v>
      </c>
      <c r="C38" s="107"/>
      <c r="D38" s="107"/>
      <c r="E38" s="107"/>
      <c r="F38" s="89"/>
    </row>
  </sheetData>
  <customSheetViews>
    <customSheetView guid="{F801E3C7-0680-4D04-B7DA-D7562243E7FD}" scale="90" fitToPage="1" showRuler="0" topLeftCell="A10">
      <selection activeCell="E31" sqref="E31"/>
      <pageMargins left="0.75" right="0.75" top="1" bottom="1" header="0.5" footer="0.5"/>
      <printOptions gridLines="1"/>
      <pageSetup scale="83" orientation="landscape" horizontalDpi="300" verticalDpi="300" r:id="rId1"/>
      <headerFooter alignWithMargins="0"/>
    </customSheetView>
    <customSheetView guid="{85A0FECD-0ABD-4BC8-8163-7A3FD1ADFA49}" scale="90" fitToPage="1">
      <selection activeCell="E26" sqref="E26"/>
      <pageMargins left="0.75" right="0.75" top="1" bottom="1" header="0.5" footer="0.5"/>
      <printOptions gridLines="1"/>
      <pageSetup scale="83" orientation="landscape" horizontalDpi="300" verticalDpi="300" r:id="rId2"/>
      <headerFooter alignWithMargins="0"/>
    </customSheetView>
  </customSheetViews>
  <mergeCells count="4">
    <mergeCell ref="B34:D34"/>
    <mergeCell ref="B38:E38"/>
    <mergeCell ref="B18:E18"/>
    <mergeCell ref="B14:D14"/>
  </mergeCells>
  <phoneticPr fontId="2" type="noConversion"/>
  <printOptions gridLines="1"/>
  <pageMargins left="0.75" right="0.75" top="1" bottom="1" header="0.5" footer="0.5"/>
  <pageSetup scale="47" orientation="landscape" horizontalDpi="300" verticalDpi="300" r:id="rId3"/>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N25"/>
  <sheetViews>
    <sheetView zoomScale="90" zoomScaleNormal="90" workbookViewId="0">
      <selection sqref="A1:N16"/>
    </sheetView>
  </sheetViews>
  <sheetFormatPr defaultRowHeight="12.75"/>
  <cols>
    <col min="1" max="1" width="11.85546875" customWidth="1"/>
    <col min="2" max="2" width="15.28515625" bestFit="1" customWidth="1"/>
    <col min="13" max="13" width="9.85546875" customWidth="1"/>
  </cols>
  <sheetData>
    <row r="1" spans="1:14">
      <c r="B1" t="s">
        <v>111</v>
      </c>
      <c r="C1" t="s">
        <v>112</v>
      </c>
      <c r="D1" s="113" t="s">
        <v>113</v>
      </c>
      <c r="E1" s="113"/>
      <c r="F1" s="113"/>
      <c r="G1" s="113" t="s">
        <v>114</v>
      </c>
      <c r="H1" s="113"/>
      <c r="I1" s="95"/>
      <c r="J1" s="113" t="s">
        <v>115</v>
      </c>
      <c r="K1" s="113"/>
      <c r="L1" s="95"/>
    </row>
    <row r="2" spans="1:14" ht="38.25">
      <c r="D2" s="96" t="s">
        <v>123</v>
      </c>
      <c r="E2" s="96" t="s">
        <v>124</v>
      </c>
      <c r="F2" s="96" t="s">
        <v>132</v>
      </c>
      <c r="G2" s="96" t="s">
        <v>123</v>
      </c>
      <c r="H2" s="96" t="s">
        <v>124</v>
      </c>
      <c r="I2" s="96"/>
      <c r="J2" s="96" t="s">
        <v>123</v>
      </c>
      <c r="K2" s="96" t="s">
        <v>124</v>
      </c>
      <c r="L2" s="96"/>
      <c r="M2" s="96" t="s">
        <v>125</v>
      </c>
    </row>
    <row r="3" spans="1:14">
      <c r="A3" s="100" t="s">
        <v>116</v>
      </c>
      <c r="B3" s="101" t="s">
        <v>118</v>
      </c>
      <c r="C3" s="102">
        <v>180</v>
      </c>
      <c r="D3" s="102">
        <f>+C10</f>
        <v>141</v>
      </c>
      <c r="E3" s="102">
        <v>180</v>
      </c>
      <c r="F3" s="102">
        <f>+D3+E3</f>
        <v>321</v>
      </c>
      <c r="G3" s="101">
        <f t="shared" ref="G3:G8" si="0">+F10</f>
        <v>312</v>
      </c>
      <c r="H3" s="102">
        <v>93</v>
      </c>
      <c r="I3" s="102">
        <f t="shared" ref="I3:I8" si="1">+G3+H3</f>
        <v>405</v>
      </c>
      <c r="J3" s="101">
        <f t="shared" ref="J3:J8" si="2">+I10</f>
        <v>400</v>
      </c>
      <c r="K3" s="102">
        <v>20</v>
      </c>
      <c r="L3" s="102">
        <f t="shared" ref="L3:L8" si="3">+J3+K3</f>
        <v>420</v>
      </c>
      <c r="M3" s="102">
        <f>+C3+E3+H3+K3</f>
        <v>473</v>
      </c>
      <c r="N3" s="103">
        <v>473</v>
      </c>
    </row>
    <row r="4" spans="1:14">
      <c r="B4" s="94" t="s">
        <v>119</v>
      </c>
      <c r="C4" s="99">
        <v>100</v>
      </c>
      <c r="D4" s="99">
        <f>+C11</f>
        <v>80</v>
      </c>
      <c r="E4" s="95">
        <f>+E$3*$N4</f>
        <v>100</v>
      </c>
      <c r="F4" s="102">
        <f>+D4+E4</f>
        <v>180</v>
      </c>
      <c r="G4" s="101">
        <f t="shared" si="0"/>
        <v>175</v>
      </c>
      <c r="H4" s="95">
        <v>52</v>
      </c>
      <c r="I4" s="102">
        <f t="shared" si="1"/>
        <v>227</v>
      </c>
      <c r="J4" s="101">
        <f t="shared" si="2"/>
        <v>224</v>
      </c>
      <c r="K4" s="95">
        <v>10</v>
      </c>
      <c r="L4" s="102">
        <f t="shared" si="3"/>
        <v>234</v>
      </c>
      <c r="M4" s="104">
        <f>+C4+E4+H4+K4</f>
        <v>262</v>
      </c>
      <c r="N4">
        <f>+C4/C$8</f>
        <v>0.55555555555555558</v>
      </c>
    </row>
    <row r="5" spans="1:14">
      <c r="B5" s="94" t="s">
        <v>120</v>
      </c>
      <c r="C5" s="99">
        <v>50</v>
      </c>
      <c r="D5" s="99">
        <f>+C12</f>
        <v>41</v>
      </c>
      <c r="E5" s="95">
        <f>+E$3*$N5</f>
        <v>50</v>
      </c>
      <c r="F5" s="102">
        <f>+D5+E5</f>
        <v>91</v>
      </c>
      <c r="G5" s="101">
        <f t="shared" si="0"/>
        <v>88</v>
      </c>
      <c r="H5" s="95">
        <v>26</v>
      </c>
      <c r="I5" s="102">
        <f t="shared" si="1"/>
        <v>114</v>
      </c>
      <c r="J5" s="101">
        <f t="shared" si="2"/>
        <v>112</v>
      </c>
      <c r="K5" s="95">
        <v>6</v>
      </c>
      <c r="L5" s="102">
        <f t="shared" si="3"/>
        <v>118</v>
      </c>
      <c r="M5" s="104">
        <f>+C5+E5+H5+K5</f>
        <v>132</v>
      </c>
      <c r="N5">
        <f>+C5/C$8</f>
        <v>0.27777777777777779</v>
      </c>
    </row>
    <row r="6" spans="1:14">
      <c r="B6" s="94" t="s">
        <v>121</v>
      </c>
      <c r="C6" s="99">
        <v>24</v>
      </c>
      <c r="D6" s="99">
        <f>+C13</f>
        <v>16</v>
      </c>
      <c r="E6" s="95">
        <f>+E$3*$N6</f>
        <v>24</v>
      </c>
      <c r="F6" s="102">
        <f>+D6+E6</f>
        <v>40</v>
      </c>
      <c r="G6" s="101">
        <f t="shared" si="0"/>
        <v>39</v>
      </c>
      <c r="H6" s="95">
        <v>12</v>
      </c>
      <c r="I6" s="102">
        <f t="shared" si="1"/>
        <v>51</v>
      </c>
      <c r="J6" s="101">
        <f t="shared" si="2"/>
        <v>51</v>
      </c>
      <c r="K6" s="95">
        <v>3</v>
      </c>
      <c r="L6" s="102">
        <f t="shared" si="3"/>
        <v>54</v>
      </c>
      <c r="M6" s="104">
        <f>+C6+E6+H6+K6</f>
        <v>63</v>
      </c>
      <c r="N6">
        <f>+C6/C$8</f>
        <v>0.13333333333333333</v>
      </c>
    </row>
    <row r="7" spans="1:14">
      <c r="B7" s="94" t="s">
        <v>122</v>
      </c>
      <c r="C7" s="99">
        <v>6</v>
      </c>
      <c r="D7" s="99">
        <f>+C14</f>
        <v>4</v>
      </c>
      <c r="E7" s="95">
        <f>+E$3*$N7</f>
        <v>6</v>
      </c>
      <c r="F7" s="102">
        <f>+D7+E7</f>
        <v>10</v>
      </c>
      <c r="G7" s="101">
        <f t="shared" si="0"/>
        <v>10</v>
      </c>
      <c r="H7" s="95">
        <v>3</v>
      </c>
      <c r="I7" s="102">
        <f t="shared" si="1"/>
        <v>13</v>
      </c>
      <c r="J7" s="101">
        <f t="shared" si="2"/>
        <v>13</v>
      </c>
      <c r="K7" s="95">
        <v>1</v>
      </c>
      <c r="L7" s="102">
        <f t="shared" si="3"/>
        <v>14</v>
      </c>
      <c r="M7" s="104">
        <f>+C7+E7+H7+K7</f>
        <v>16</v>
      </c>
      <c r="N7">
        <f>+C7/C$8</f>
        <v>3.3333333333333333E-2</v>
      </c>
    </row>
    <row r="8" spans="1:14">
      <c r="C8" s="99">
        <f>SUM(C4:C7)</f>
        <v>180</v>
      </c>
      <c r="D8" s="95">
        <f>SUM(D4:D7)</f>
        <v>141</v>
      </c>
      <c r="E8" s="95">
        <f>SUM(E4:E7)</f>
        <v>180</v>
      </c>
      <c r="F8" s="95">
        <f>SUM(F4:F7)</f>
        <v>321</v>
      </c>
      <c r="G8" s="101">
        <f t="shared" si="0"/>
        <v>312</v>
      </c>
      <c r="H8" s="95">
        <f>SUM(H4:H7)</f>
        <v>93</v>
      </c>
      <c r="I8" s="102">
        <f t="shared" si="1"/>
        <v>405</v>
      </c>
      <c r="J8" s="101">
        <f t="shared" si="2"/>
        <v>400</v>
      </c>
      <c r="K8" s="95">
        <f>SUM(K4:K7)</f>
        <v>20</v>
      </c>
      <c r="L8" s="102">
        <f t="shared" si="3"/>
        <v>420</v>
      </c>
      <c r="M8" s="95">
        <f>SUM(M4:M7)</f>
        <v>473</v>
      </c>
      <c r="N8" s="95">
        <f>SUM(N4:N7)</f>
        <v>1</v>
      </c>
    </row>
    <row r="9" spans="1:14">
      <c r="C9" s="99"/>
      <c r="D9" s="95"/>
      <c r="E9" s="95"/>
      <c r="F9" s="95"/>
      <c r="G9" s="95"/>
      <c r="H9" s="95"/>
      <c r="I9" s="95"/>
      <c r="J9" s="95"/>
      <c r="K9" s="95"/>
      <c r="L9" s="95"/>
      <c r="M9" s="95"/>
    </row>
    <row r="10" spans="1:14">
      <c r="A10" s="100" t="s">
        <v>117</v>
      </c>
      <c r="B10" s="101" t="s">
        <v>118</v>
      </c>
      <c r="C10" s="102">
        <f>SUM(C11:C14)</f>
        <v>141</v>
      </c>
      <c r="D10" s="102">
        <f>+C10</f>
        <v>141</v>
      </c>
      <c r="E10" s="102">
        <v>171</v>
      </c>
      <c r="F10" s="102">
        <f>+D10+E10</f>
        <v>312</v>
      </c>
      <c r="G10" s="101">
        <f t="shared" ref="G10:G15" si="4">+F10</f>
        <v>312</v>
      </c>
      <c r="H10" s="102">
        <v>88</v>
      </c>
      <c r="I10" s="102">
        <f t="shared" ref="I10:I15" si="5">+G10+H10</f>
        <v>400</v>
      </c>
      <c r="J10" s="101">
        <f t="shared" ref="J10:J15" si="6">+I10</f>
        <v>400</v>
      </c>
      <c r="K10" s="102">
        <v>19</v>
      </c>
      <c r="L10" s="102">
        <f t="shared" ref="L10:L15" si="7">+J10+K10</f>
        <v>419</v>
      </c>
      <c r="M10" s="102">
        <f>+C10+E10+H10+K10</f>
        <v>419</v>
      </c>
    </row>
    <row r="11" spans="1:14">
      <c r="B11" s="94" t="s">
        <v>119</v>
      </c>
      <c r="C11" s="99">
        <v>80</v>
      </c>
      <c r="D11" s="99">
        <f>+C11</f>
        <v>80</v>
      </c>
      <c r="E11" s="95">
        <f>+E$10*$N4</f>
        <v>95</v>
      </c>
      <c r="F11" s="102">
        <f>+D11+E11</f>
        <v>175</v>
      </c>
      <c r="G11" s="101">
        <f t="shared" si="4"/>
        <v>175</v>
      </c>
      <c r="H11" s="95">
        <v>49</v>
      </c>
      <c r="I11" s="102">
        <f t="shared" si="5"/>
        <v>224</v>
      </c>
      <c r="J11" s="101">
        <f t="shared" si="6"/>
        <v>224</v>
      </c>
      <c r="K11" s="95">
        <v>11</v>
      </c>
      <c r="L11" s="102">
        <f t="shared" si="7"/>
        <v>235</v>
      </c>
      <c r="M11" s="95">
        <f>+C11+E11+H11+K11</f>
        <v>235</v>
      </c>
    </row>
    <row r="12" spans="1:14">
      <c r="B12" s="94" t="s">
        <v>120</v>
      </c>
      <c r="C12" s="99">
        <v>41</v>
      </c>
      <c r="D12" s="99">
        <f>+C12</f>
        <v>41</v>
      </c>
      <c r="E12" s="95">
        <v>47</v>
      </c>
      <c r="F12" s="102">
        <f>+D12+E12</f>
        <v>88</v>
      </c>
      <c r="G12" s="101">
        <f t="shared" si="4"/>
        <v>88</v>
      </c>
      <c r="H12" s="95">
        <v>24</v>
      </c>
      <c r="I12" s="102">
        <f t="shared" si="5"/>
        <v>112</v>
      </c>
      <c r="J12" s="101">
        <f t="shared" si="6"/>
        <v>112</v>
      </c>
      <c r="K12" s="95">
        <v>4</v>
      </c>
      <c r="L12" s="102">
        <f t="shared" si="7"/>
        <v>116</v>
      </c>
      <c r="M12" s="95">
        <f>+C12+E12+H12+K12</f>
        <v>116</v>
      </c>
    </row>
    <row r="13" spans="1:14">
      <c r="B13" s="94" t="s">
        <v>121</v>
      </c>
      <c r="C13" s="99">
        <v>16</v>
      </c>
      <c r="D13" s="99">
        <f>+C13</f>
        <v>16</v>
      </c>
      <c r="E13" s="95">
        <v>23</v>
      </c>
      <c r="F13" s="102">
        <f>+D13+E13</f>
        <v>39</v>
      </c>
      <c r="G13" s="101">
        <f t="shared" si="4"/>
        <v>39</v>
      </c>
      <c r="H13" s="95">
        <v>12</v>
      </c>
      <c r="I13" s="102">
        <f t="shared" si="5"/>
        <v>51</v>
      </c>
      <c r="J13" s="101">
        <f t="shared" si="6"/>
        <v>51</v>
      </c>
      <c r="K13" s="95">
        <v>3</v>
      </c>
      <c r="L13" s="102">
        <f t="shared" si="7"/>
        <v>54</v>
      </c>
      <c r="M13" s="95">
        <f>+C13+E13+H13+K13</f>
        <v>54</v>
      </c>
    </row>
    <row r="14" spans="1:14">
      <c r="B14" s="94" t="s">
        <v>122</v>
      </c>
      <c r="C14" s="99">
        <v>4</v>
      </c>
      <c r="D14" s="99">
        <f>+C14</f>
        <v>4</v>
      </c>
      <c r="E14" s="95">
        <v>6</v>
      </c>
      <c r="F14" s="102">
        <f>+D14+E14</f>
        <v>10</v>
      </c>
      <c r="G14" s="101">
        <f t="shared" si="4"/>
        <v>10</v>
      </c>
      <c r="H14" s="95">
        <v>3</v>
      </c>
      <c r="I14" s="102">
        <f t="shared" si="5"/>
        <v>13</v>
      </c>
      <c r="J14" s="101">
        <f t="shared" si="6"/>
        <v>13</v>
      </c>
      <c r="K14" s="95">
        <v>1</v>
      </c>
      <c r="L14" s="102">
        <f t="shared" si="7"/>
        <v>14</v>
      </c>
      <c r="M14" s="95">
        <f>+C14+E14+H14+K14</f>
        <v>14</v>
      </c>
    </row>
    <row r="15" spans="1:14">
      <c r="C15" s="99">
        <f>SUM(C11:C14)</f>
        <v>141</v>
      </c>
      <c r="D15" s="95">
        <f t="shared" ref="D15:K15" si="8">SUM(D11:D14)</f>
        <v>141</v>
      </c>
      <c r="E15" s="95">
        <f t="shared" si="8"/>
        <v>171</v>
      </c>
      <c r="F15" s="95">
        <f>SUM(F11:F14)</f>
        <v>312</v>
      </c>
      <c r="G15" s="101">
        <f t="shared" si="4"/>
        <v>312</v>
      </c>
      <c r="H15" s="95">
        <f t="shared" si="8"/>
        <v>88</v>
      </c>
      <c r="I15" s="102">
        <f t="shared" si="5"/>
        <v>400</v>
      </c>
      <c r="J15" s="101">
        <f t="shared" si="6"/>
        <v>400</v>
      </c>
      <c r="K15" s="95">
        <f t="shared" si="8"/>
        <v>19</v>
      </c>
      <c r="L15" s="102">
        <f t="shared" si="7"/>
        <v>419</v>
      </c>
      <c r="M15" s="95">
        <f>SUM(M11:M14)</f>
        <v>419</v>
      </c>
    </row>
    <row r="18" spans="2:12" ht="38.25">
      <c r="B18" s="97" t="s">
        <v>126</v>
      </c>
      <c r="C18" s="98">
        <v>630</v>
      </c>
      <c r="D18" s="98">
        <v>0.75</v>
      </c>
      <c r="E18" s="98">
        <v>473</v>
      </c>
      <c r="K18" s="60" t="s">
        <v>130</v>
      </c>
      <c r="L18" s="60"/>
    </row>
    <row r="19" spans="2:12" ht="25.5" customHeight="1">
      <c r="B19" s="97"/>
      <c r="C19" s="98"/>
      <c r="K19" s="60" t="s">
        <v>131</v>
      </c>
      <c r="L19" s="60"/>
    </row>
    <row r="20" spans="2:12">
      <c r="B20" s="97"/>
      <c r="C20" s="98"/>
    </row>
    <row r="22" spans="2:12">
      <c r="B22" s="97" t="s">
        <v>127</v>
      </c>
      <c r="C22" s="98">
        <v>388</v>
      </c>
    </row>
    <row r="23" spans="2:12">
      <c r="B23" s="97" t="s">
        <v>128</v>
      </c>
      <c r="C23" s="98">
        <v>175</v>
      </c>
    </row>
    <row r="24" spans="2:12">
      <c r="B24" s="97" t="s">
        <v>129</v>
      </c>
      <c r="C24" s="98">
        <v>67</v>
      </c>
    </row>
    <row r="25" spans="2:12">
      <c r="C25" s="95">
        <f>SUM(C22:C24)</f>
        <v>630</v>
      </c>
    </row>
  </sheetData>
  <mergeCells count="3">
    <mergeCell ref="G1:H1"/>
    <mergeCell ref="J1:K1"/>
    <mergeCell ref="D1:F1"/>
  </mergeCells>
  <printOptions gridLines="1"/>
  <pageMargins left="0.7" right="0.7" top="0.75" bottom="0.75" header="0.3" footer="0.3"/>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3-year  average rollup</vt:lpstr>
      <vt:lpstr>Total Rollup </vt:lpstr>
      <vt:lpstr>Year 1</vt:lpstr>
      <vt:lpstr>Year 2</vt:lpstr>
      <vt:lpstr>Year 3 </vt:lpstr>
      <vt:lpstr>FedGov</vt:lpstr>
      <vt:lpstr>applicants and participants</vt:lpstr>
      <vt:lpstr>'3-year  average rollup'!Print_Area</vt:lpstr>
      <vt:lpstr>'Total Rollup '!Print_Area</vt:lpstr>
      <vt:lpstr>'Year 1'!Print_Area</vt:lpstr>
      <vt:lpstr>'Year 2'!Print_Area</vt:lpstr>
      <vt:lpstr>'Year 3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dc:creator>
  <cp:lastModifiedBy>cparker</cp:lastModifiedBy>
  <cp:lastPrinted>2010-04-09T13:53:37Z</cp:lastPrinted>
  <dcterms:created xsi:type="dcterms:W3CDTF">2006-10-02T11:05:56Z</dcterms:created>
  <dcterms:modified xsi:type="dcterms:W3CDTF">2010-04-09T13:54:46Z</dcterms:modified>
</cp:coreProperties>
</file>