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35" yWindow="15" windowWidth="15480" windowHeight="5700"/>
  </bookViews>
  <sheets>
    <sheet name="6022-total and 3 yr ave" sheetId="1" r:id="rId1"/>
    <sheet name="6022-yr1" sheetId="2" r:id="rId2"/>
    <sheet name="6022-yr2" sheetId="3" r:id="rId3"/>
    <sheet name="6022-yr3" sheetId="4" r:id="rId4"/>
    <sheet name="FedGov Cost" sheetId="5" r:id="rId5"/>
  </sheets>
  <definedNames>
    <definedName name="_xlnm.Print_Area" localSheetId="0">'6022-total and 3 yr ave'!$A$1:$J$50,'6022-total and 3 yr ave'!$L$1:$AD$39</definedName>
    <definedName name="_xlnm.Print_Area" localSheetId="1">'6022-yr1'!$A$1:$J$50,'6022-yr1'!$L$1:$Y$39</definedName>
    <definedName name="_xlnm.Print_Area" localSheetId="2">'6022-yr2'!$A$1:$Y$52</definedName>
    <definedName name="_xlnm.Print_Area" localSheetId="3">'6022-yr3'!$A$1:$Y$50</definedName>
    <definedName name="Z_855078B0_1E21_4B25_9C5A_4782BC11700B_.wvu.PrintArea" localSheetId="0" hidden="1">'6022-total and 3 yr ave'!$A$1:$J$50,'6022-total and 3 yr ave'!$L$1:$AD$39</definedName>
    <definedName name="Z_855078B0_1E21_4B25_9C5A_4782BC11700B_.wvu.PrintArea" localSheetId="1" hidden="1">'6022-yr1'!$A$1:$J$50,'6022-yr1'!$L$1:$Y$39</definedName>
    <definedName name="Z_C3053AD8_900F_4045_B60E_43CCFD9EF7DD_.wvu.PrintArea" localSheetId="0" hidden="1">'6022-total and 3 yr ave'!$A$1:$J$50,'6022-total and 3 yr ave'!$L$1:$AD$39</definedName>
    <definedName name="Z_C3053AD8_900F_4045_B60E_43CCFD9EF7DD_.wvu.PrintArea" localSheetId="1" hidden="1">'6022-yr1'!$A$1:$J$50,'6022-yr1'!$L$1:$Y$39</definedName>
  </definedNames>
  <calcPr calcId="125725"/>
  <customWorkbookViews>
    <customWorkbookView name="cihester - Personal View" guid="{C3053AD8-900F-4045-B60E-43CCFD9EF7DD}" mergeInterval="0" personalView="1" maximized="1" xWindow="1" yWindow="1" windowWidth="1232" windowHeight="735" activeSheetId="5"/>
    <customWorkbookView name="krmeardon - Personal View" guid="{855078B0-1E21-4B25-9C5A-4782BC11700B}" mergeInterval="0" personalView="1" maximized="1" xWindow="1" yWindow="1" windowWidth="1216" windowHeight="563" activeSheetId="5"/>
  </customWorkbookViews>
</workbook>
</file>

<file path=xl/calcChain.xml><?xml version="1.0" encoding="utf-8"?>
<calcChain xmlns="http://schemas.openxmlformats.org/spreadsheetml/2006/main">
  <c r="C10" i="5"/>
  <c r="H29" i="1" l="1"/>
  <c r="G28" l="1"/>
  <c r="G27"/>
  <c r="C26" i="4"/>
  <c r="C27"/>
  <c r="C28"/>
  <c r="B27"/>
  <c r="B28"/>
  <c r="A27"/>
  <c r="A28"/>
  <c r="C26" i="3"/>
  <c r="C27"/>
  <c r="C28"/>
  <c r="B27"/>
  <c r="B28"/>
  <c r="A27"/>
  <c r="A28"/>
  <c r="C28" i="2"/>
  <c r="C27"/>
  <c r="B27"/>
  <c r="B28"/>
  <c r="A27"/>
  <c r="A28"/>
  <c r="H57" i="4"/>
  <c r="D45" s="1"/>
  <c r="F57"/>
  <c r="D57"/>
  <c r="C57"/>
  <c r="E56"/>
  <c r="G55"/>
  <c r="G57" s="1"/>
  <c r="D37" s="1"/>
  <c r="E55"/>
  <c r="E57" s="1"/>
  <c r="H59" i="3"/>
  <c r="F59"/>
  <c r="D47" s="1"/>
  <c r="D59"/>
  <c r="C59"/>
  <c r="E58"/>
  <c r="G57"/>
  <c r="G59" s="1"/>
  <c r="E57"/>
  <c r="E59" s="1"/>
  <c r="D27" s="1"/>
  <c r="G17" i="1"/>
  <c r="D17" i="4"/>
  <c r="F17" s="1"/>
  <c r="H17" s="1"/>
  <c r="J17" s="1"/>
  <c r="D17" i="3"/>
  <c r="F17" s="1"/>
  <c r="H17" s="1"/>
  <c r="J17" s="1"/>
  <c r="D17" i="2"/>
  <c r="A17"/>
  <c r="B17"/>
  <c r="A17" i="3"/>
  <c r="B17"/>
  <c r="A17" i="4"/>
  <c r="B17"/>
  <c r="B46"/>
  <c r="B45"/>
  <c r="B44"/>
  <c r="B37"/>
  <c r="B36"/>
  <c r="B43"/>
  <c r="B42"/>
  <c r="B41"/>
  <c r="B35"/>
  <c r="B34"/>
  <c r="B33"/>
  <c r="B32"/>
  <c r="B31"/>
  <c r="B30"/>
  <c r="B29"/>
  <c r="B26"/>
  <c r="B22"/>
  <c r="B21"/>
  <c r="B20"/>
  <c r="B19"/>
  <c r="B18"/>
  <c r="B16"/>
  <c r="B15"/>
  <c r="B14"/>
  <c r="B13"/>
  <c r="B12"/>
  <c r="B11"/>
  <c r="B10"/>
  <c r="B9"/>
  <c r="B8"/>
  <c r="B7"/>
  <c r="B48" i="3"/>
  <c r="B47"/>
  <c r="B46"/>
  <c r="B37"/>
  <c r="B36"/>
  <c r="B45"/>
  <c r="B44"/>
  <c r="B43"/>
  <c r="B35"/>
  <c r="B34"/>
  <c r="B33"/>
  <c r="B32"/>
  <c r="B31"/>
  <c r="B30"/>
  <c r="B29"/>
  <c r="B26"/>
  <c r="B22"/>
  <c r="B21"/>
  <c r="B20"/>
  <c r="B19"/>
  <c r="B18"/>
  <c r="B16"/>
  <c r="B15"/>
  <c r="B14"/>
  <c r="B13"/>
  <c r="B12"/>
  <c r="B11"/>
  <c r="B10"/>
  <c r="B9"/>
  <c r="B8"/>
  <c r="B7"/>
  <c r="B46" i="2"/>
  <c r="B45"/>
  <c r="B44"/>
  <c r="B37"/>
  <c r="B36"/>
  <c r="B43"/>
  <c r="B42"/>
  <c r="B41"/>
  <c r="B35"/>
  <c r="B34"/>
  <c r="B33"/>
  <c r="B32"/>
  <c r="B31"/>
  <c r="B30"/>
  <c r="B29"/>
  <c r="B26"/>
  <c r="B8"/>
  <c r="B9"/>
  <c r="B10"/>
  <c r="B11"/>
  <c r="B12"/>
  <c r="B13"/>
  <c r="B14"/>
  <c r="B15"/>
  <c r="B16"/>
  <c r="B18"/>
  <c r="B19"/>
  <c r="B20"/>
  <c r="B21"/>
  <c r="B22"/>
  <c r="B7"/>
  <c r="A46" i="4"/>
  <c r="A45"/>
  <c r="A44"/>
  <c r="A37"/>
  <c r="A36"/>
  <c r="A43"/>
  <c r="A42"/>
  <c r="A41"/>
  <c r="A35"/>
  <c r="A34"/>
  <c r="A33"/>
  <c r="A32"/>
  <c r="A31"/>
  <c r="A30"/>
  <c r="A29"/>
  <c r="A26"/>
  <c r="A22"/>
  <c r="A20"/>
  <c r="A19"/>
  <c r="A18"/>
  <c r="A16"/>
  <c r="A15"/>
  <c r="A14"/>
  <c r="A13"/>
  <c r="A12"/>
  <c r="A11"/>
  <c r="A9"/>
  <c r="A8"/>
  <c r="A7"/>
  <c r="A48" i="3"/>
  <c r="A47"/>
  <c r="A46"/>
  <c r="A37"/>
  <c r="A36"/>
  <c r="A45"/>
  <c r="A44"/>
  <c r="A43"/>
  <c r="A35"/>
  <c r="A34"/>
  <c r="A33"/>
  <c r="A32"/>
  <c r="A31"/>
  <c r="A30"/>
  <c r="A29"/>
  <c r="A26"/>
  <c r="A22"/>
  <c r="A20"/>
  <c r="A19"/>
  <c r="A18"/>
  <c r="A16"/>
  <c r="A15"/>
  <c r="A14"/>
  <c r="A13"/>
  <c r="A12"/>
  <c r="A11"/>
  <c r="A9"/>
  <c r="A8"/>
  <c r="A7"/>
  <c r="A46" i="2"/>
  <c r="A45"/>
  <c r="A44"/>
  <c r="A37"/>
  <c r="A36"/>
  <c r="A43"/>
  <c r="A42"/>
  <c r="A41"/>
  <c r="A35"/>
  <c r="A34"/>
  <c r="A33"/>
  <c r="A32"/>
  <c r="A31"/>
  <c r="A30"/>
  <c r="A29"/>
  <c r="A26"/>
  <c r="A22"/>
  <c r="A20"/>
  <c r="A19"/>
  <c r="A18"/>
  <c r="A16"/>
  <c r="A15"/>
  <c r="A14"/>
  <c r="A13"/>
  <c r="A12"/>
  <c r="A11"/>
  <c r="A8"/>
  <c r="A9"/>
  <c r="A7"/>
  <c r="G46" i="1"/>
  <c r="G45"/>
  <c r="G44"/>
  <c r="G30"/>
  <c r="G34"/>
  <c r="G16"/>
  <c r="G14"/>
  <c r="D16"/>
  <c r="AD16" s="1"/>
  <c r="D14"/>
  <c r="AD14" s="1"/>
  <c r="Y16" i="4"/>
  <c r="X16"/>
  <c r="W16"/>
  <c r="V16"/>
  <c r="Y14"/>
  <c r="X14"/>
  <c r="W14"/>
  <c r="V14"/>
  <c r="F16"/>
  <c r="H16" s="1"/>
  <c r="J16" s="1"/>
  <c r="S16" s="1"/>
  <c r="F14"/>
  <c r="H14" s="1"/>
  <c r="J14" s="1"/>
  <c r="S14" s="1"/>
  <c r="Y16" i="3"/>
  <c r="X16"/>
  <c r="W16"/>
  <c r="V16"/>
  <c r="Y14"/>
  <c r="X14"/>
  <c r="W14"/>
  <c r="V14"/>
  <c r="F16"/>
  <c r="H16" s="1"/>
  <c r="J16" s="1"/>
  <c r="S16" s="1"/>
  <c r="F14"/>
  <c r="H14" s="1"/>
  <c r="J14" s="1"/>
  <c r="S14" s="1"/>
  <c r="Y16" i="2"/>
  <c r="X16"/>
  <c r="W16"/>
  <c r="V16"/>
  <c r="Y14"/>
  <c r="X14"/>
  <c r="W14"/>
  <c r="V14"/>
  <c r="F16"/>
  <c r="H16" s="1"/>
  <c r="J16" s="1"/>
  <c r="S16" s="1"/>
  <c r="F14"/>
  <c r="H14" s="1"/>
  <c r="J14" s="1"/>
  <c r="S14" s="1"/>
  <c r="F70"/>
  <c r="F71"/>
  <c r="F72"/>
  <c r="F74"/>
  <c r="F75"/>
  <c r="F76"/>
  <c r="F77"/>
  <c r="F78"/>
  <c r="F79"/>
  <c r="F80"/>
  <c r="F81"/>
  <c r="F83"/>
  <c r="F84"/>
  <c r="F85"/>
  <c r="F86"/>
  <c r="F87"/>
  <c r="F88"/>
  <c r="F89"/>
  <c r="F90"/>
  <c r="F69"/>
  <c r="W15" i="3"/>
  <c r="D15" i="2"/>
  <c r="F15" s="1"/>
  <c r="H15" s="1"/>
  <c r="J15" s="1"/>
  <c r="H57"/>
  <c r="F57"/>
  <c r="D57"/>
  <c r="D45" s="1"/>
  <c r="C57"/>
  <c r="D37" s="1"/>
  <c r="E56"/>
  <c r="G55"/>
  <c r="G57" s="1"/>
  <c r="E55"/>
  <c r="E57" s="1"/>
  <c r="G55" i="1"/>
  <c r="E56"/>
  <c r="E55"/>
  <c r="E57" s="1"/>
  <c r="B38" i="5" s="1"/>
  <c r="W13" i="3"/>
  <c r="D13" i="2"/>
  <c r="V13" s="1"/>
  <c r="G33" i="1"/>
  <c r="G32"/>
  <c r="G31"/>
  <c r="G29"/>
  <c r="H57"/>
  <c r="F57"/>
  <c r="B41" i="5" s="1"/>
  <c r="E41" s="1"/>
  <c r="B10"/>
  <c r="E27"/>
  <c r="E59"/>
  <c r="E43"/>
  <c r="G8" i="1"/>
  <c r="G9"/>
  <c r="D8"/>
  <c r="F8" s="1"/>
  <c r="V8" i="2"/>
  <c r="W8"/>
  <c r="X8"/>
  <c r="Y8"/>
  <c r="V22"/>
  <c r="W22"/>
  <c r="X22"/>
  <c r="Y22"/>
  <c r="V8" i="3"/>
  <c r="W8"/>
  <c r="X8"/>
  <c r="Y8"/>
  <c r="V8" i="4"/>
  <c r="W8"/>
  <c r="X8"/>
  <c r="Y8"/>
  <c r="F8"/>
  <c r="H8" s="1"/>
  <c r="J8" s="1"/>
  <c r="F8" i="3"/>
  <c r="H8" s="1"/>
  <c r="J8" s="1"/>
  <c r="F8" i="2"/>
  <c r="H8" s="1"/>
  <c r="J8" s="1"/>
  <c r="G20" i="1"/>
  <c r="G19"/>
  <c r="G18"/>
  <c r="G15"/>
  <c r="G13"/>
  <c r="G12"/>
  <c r="G11"/>
  <c r="G7"/>
  <c r="G26"/>
  <c r="G41"/>
  <c r="G43"/>
  <c r="G36"/>
  <c r="G37"/>
  <c r="G42"/>
  <c r="F12" i="5"/>
  <c r="V48" i="1"/>
  <c r="D22"/>
  <c r="AD22" s="1"/>
  <c r="G57"/>
  <c r="B54" i="5" s="1"/>
  <c r="D57" i="1"/>
  <c r="C57"/>
  <c r="B22" i="5" s="1"/>
  <c r="W18" i="4"/>
  <c r="W13"/>
  <c r="W18" i="3"/>
  <c r="W18" i="2"/>
  <c r="V15"/>
  <c r="F13" i="4"/>
  <c r="H13" s="1"/>
  <c r="J13" s="1"/>
  <c r="F13" i="3"/>
  <c r="H13" s="1"/>
  <c r="J13" s="1"/>
  <c r="F22" i="2"/>
  <c r="H22" s="1"/>
  <c r="J22" s="1"/>
  <c r="F13"/>
  <c r="H13" s="1"/>
  <c r="D13" i="1"/>
  <c r="AB13" s="1"/>
  <c r="D18"/>
  <c r="AB18" s="1"/>
  <c r="F18" i="3"/>
  <c r="H18" s="1"/>
  <c r="J18" s="1"/>
  <c r="X15"/>
  <c r="Y15"/>
  <c r="F18" i="4"/>
  <c r="H18" s="1"/>
  <c r="J18" s="1"/>
  <c r="X18"/>
  <c r="V18"/>
  <c r="Y18"/>
  <c r="X18" i="3"/>
  <c r="Y18"/>
  <c r="X18" i="2"/>
  <c r="V18"/>
  <c r="Y18"/>
  <c r="X13" i="4"/>
  <c r="V13"/>
  <c r="Y13"/>
  <c r="X13" i="3"/>
  <c r="W13" i="2"/>
  <c r="AC22" i="1" l="1"/>
  <c r="F22"/>
  <c r="X13" i="2"/>
  <c r="Y13"/>
  <c r="E10" i="5"/>
  <c r="C5"/>
  <c r="C65" i="3"/>
  <c r="D65" s="1"/>
  <c r="G73" i="2"/>
  <c r="C63" i="4"/>
  <c r="D63" s="1"/>
  <c r="D27"/>
  <c r="D28"/>
  <c r="F27" i="3"/>
  <c r="V27"/>
  <c r="X27"/>
  <c r="W27"/>
  <c r="Y27"/>
  <c r="D28"/>
  <c r="D28" i="2"/>
  <c r="D27"/>
  <c r="D9" i="4"/>
  <c r="D20"/>
  <c r="D30"/>
  <c r="D32"/>
  <c r="D35"/>
  <c r="D44"/>
  <c r="F44" s="1"/>
  <c r="D46"/>
  <c r="D26"/>
  <c r="D41"/>
  <c r="D43"/>
  <c r="D12"/>
  <c r="D7"/>
  <c r="D19"/>
  <c r="D29"/>
  <c r="D31"/>
  <c r="D33"/>
  <c r="D36"/>
  <c r="D11"/>
  <c r="D42"/>
  <c r="D45" i="3"/>
  <c r="D43"/>
  <c r="D26"/>
  <c r="D11"/>
  <c r="D37"/>
  <c r="D44"/>
  <c r="D12"/>
  <c r="D9"/>
  <c r="D20"/>
  <c r="D30"/>
  <c r="F30" s="1"/>
  <c r="H30" s="1"/>
  <c r="J30" s="1"/>
  <c r="D32"/>
  <c r="D35"/>
  <c r="D46"/>
  <c r="D48"/>
  <c r="D17" i="1"/>
  <c r="F17" s="1"/>
  <c r="D7" i="3"/>
  <c r="D19"/>
  <c r="D29"/>
  <c r="D31"/>
  <c r="D33"/>
  <c r="D36"/>
  <c r="F17" i="2"/>
  <c r="H17" s="1"/>
  <c r="D11"/>
  <c r="D26"/>
  <c r="D41"/>
  <c r="D43"/>
  <c r="D34"/>
  <c r="X34" s="1"/>
  <c r="D9"/>
  <c r="D20"/>
  <c r="D30"/>
  <c r="D32"/>
  <c r="D35"/>
  <c r="D44"/>
  <c r="F44" s="1"/>
  <c r="D46"/>
  <c r="AA18" i="1"/>
  <c r="C63" i="2"/>
  <c r="D63" s="1"/>
  <c r="C62"/>
  <c r="D62" s="1"/>
  <c r="D12"/>
  <c r="D42"/>
  <c r="D7"/>
  <c r="D19"/>
  <c r="D29"/>
  <c r="D31"/>
  <c r="D33"/>
  <c r="D36"/>
  <c r="D36" i="1" s="1"/>
  <c r="B21" i="5"/>
  <c r="B25"/>
  <c r="B28"/>
  <c r="B39"/>
  <c r="E39" s="1"/>
  <c r="B40"/>
  <c r="B44"/>
  <c r="B53"/>
  <c r="B55"/>
  <c r="E55" s="1"/>
  <c r="B57"/>
  <c r="E57" s="1"/>
  <c r="E22"/>
  <c r="B23"/>
  <c r="B24"/>
  <c r="B37"/>
  <c r="B56"/>
  <c r="E56" s="1"/>
  <c r="B60"/>
  <c r="E60" s="1"/>
  <c r="C62" i="4"/>
  <c r="D62" s="1"/>
  <c r="C64" i="3"/>
  <c r="D64" s="1"/>
  <c r="AD18" i="1"/>
  <c r="E21" i="5"/>
  <c r="F4" s="1"/>
  <c r="J17" i="2"/>
  <c r="J17" i="1" s="1"/>
  <c r="H17"/>
  <c r="G82" i="2"/>
  <c r="F45"/>
  <c r="H45" s="1"/>
  <c r="J45" s="1"/>
  <c r="F48" i="3"/>
  <c r="F45" i="4"/>
  <c r="H45" s="1"/>
  <c r="J45" s="1"/>
  <c r="F46" i="2"/>
  <c r="J46" s="1"/>
  <c r="F46" i="3"/>
  <c r="F47"/>
  <c r="J47" s="1"/>
  <c r="F46" i="4"/>
  <c r="J46" s="1"/>
  <c r="C63" i="1"/>
  <c r="D63" s="1"/>
  <c r="C62"/>
  <c r="D62" s="1"/>
  <c r="J44" i="4"/>
  <c r="AB22" i="1"/>
  <c r="AA22"/>
  <c r="Y19" i="4"/>
  <c r="W19"/>
  <c r="X19"/>
  <c r="F19"/>
  <c r="H19" s="1"/>
  <c r="J19" s="1"/>
  <c r="V19"/>
  <c r="D23" i="2"/>
  <c r="D47"/>
  <c r="D40" i="3"/>
  <c r="D49"/>
  <c r="D51" s="1"/>
  <c r="D38" i="4"/>
  <c r="H22" i="1"/>
  <c r="D34" i="4"/>
  <c r="F30" i="2"/>
  <c r="H30" s="1"/>
  <c r="J30" s="1"/>
  <c r="F30" i="4"/>
  <c r="H30" s="1"/>
  <c r="J30" s="1"/>
  <c r="D38" i="2"/>
  <c r="X31" i="3"/>
  <c r="D47" i="4"/>
  <c r="D43" i="1"/>
  <c r="H8"/>
  <c r="D34" i="3"/>
  <c r="X34" s="1"/>
  <c r="E44" i="5"/>
  <c r="W34" i="2"/>
  <c r="W49" i="3"/>
  <c r="D49" i="4"/>
  <c r="F14" i="1"/>
  <c r="F16"/>
  <c r="AA14"/>
  <c r="AC14"/>
  <c r="AA16"/>
  <c r="AC16"/>
  <c r="F10" i="5"/>
  <c r="AB14" i="1"/>
  <c r="AB16"/>
  <c r="R16" i="2"/>
  <c r="T16"/>
  <c r="J16" i="1"/>
  <c r="K16" s="1"/>
  <c r="Q16" i="2"/>
  <c r="H16" i="1"/>
  <c r="R14" i="2"/>
  <c r="T14"/>
  <c r="J14" i="1"/>
  <c r="K14" s="1"/>
  <c r="Q14" i="2"/>
  <c r="H14" i="1"/>
  <c r="R16" i="4"/>
  <c r="T16"/>
  <c r="Q16"/>
  <c r="R14"/>
  <c r="T14"/>
  <c r="Q14"/>
  <c r="R16" i="3"/>
  <c r="T16"/>
  <c r="Q16"/>
  <c r="R14"/>
  <c r="T14"/>
  <c r="Q14"/>
  <c r="G91" i="2"/>
  <c r="F91"/>
  <c r="H13" i="1"/>
  <c r="F13"/>
  <c r="V11" i="4"/>
  <c r="X33" i="3"/>
  <c r="X32"/>
  <c r="F32"/>
  <c r="H32" s="1"/>
  <c r="F31"/>
  <c r="H31" s="1"/>
  <c r="B7" i="5"/>
  <c r="F29" i="4"/>
  <c r="J29" s="1"/>
  <c r="F33"/>
  <c r="H33" s="1"/>
  <c r="J33" s="1"/>
  <c r="Y31" i="3"/>
  <c r="W32"/>
  <c r="Y32"/>
  <c r="W33"/>
  <c r="Y33"/>
  <c r="F29"/>
  <c r="F33"/>
  <c r="H33" s="1"/>
  <c r="F31" i="4"/>
  <c r="H31" s="1"/>
  <c r="J31" s="1"/>
  <c r="D29" i="1"/>
  <c r="D33"/>
  <c r="V31" i="3"/>
  <c r="V32"/>
  <c r="V33"/>
  <c r="X45"/>
  <c r="Y43" i="2"/>
  <c r="AD13" i="1"/>
  <c r="AA13"/>
  <c r="Y13" i="3"/>
  <c r="V13"/>
  <c r="Y19"/>
  <c r="X19"/>
  <c r="Y36"/>
  <c r="W26"/>
  <c r="F36"/>
  <c r="H36" s="1"/>
  <c r="Y26"/>
  <c r="F19" i="2"/>
  <c r="H19" s="1"/>
  <c r="J19" s="1"/>
  <c r="Q19" s="1"/>
  <c r="V7"/>
  <c r="F7"/>
  <c r="H7" s="1"/>
  <c r="J7" s="1"/>
  <c r="T7" s="1"/>
  <c r="W7"/>
  <c r="X36"/>
  <c r="W36"/>
  <c r="F36"/>
  <c r="X7"/>
  <c r="V41"/>
  <c r="D11" i="1"/>
  <c r="T13" i="4"/>
  <c r="S13"/>
  <c r="R13"/>
  <c r="Q13"/>
  <c r="R8"/>
  <c r="T8"/>
  <c r="Q8"/>
  <c r="S8"/>
  <c r="S8" i="3"/>
  <c r="Q8"/>
  <c r="T8"/>
  <c r="R8"/>
  <c r="D35" i="1"/>
  <c r="V11" i="3"/>
  <c r="AC13" i="1"/>
  <c r="AC18"/>
  <c r="Y35" i="3"/>
  <c r="V35"/>
  <c r="V45"/>
  <c r="V36"/>
  <c r="V18"/>
  <c r="V15"/>
  <c r="Y11"/>
  <c r="D15" i="1"/>
  <c r="X7" i="3"/>
  <c r="F7"/>
  <c r="V7"/>
  <c r="Y7"/>
  <c r="W7"/>
  <c r="D7" i="1"/>
  <c r="X7" i="4"/>
  <c r="F7"/>
  <c r="W7"/>
  <c r="Y7"/>
  <c r="V7"/>
  <c r="Y37"/>
  <c r="V37"/>
  <c r="W37"/>
  <c r="F37"/>
  <c r="J37" s="1"/>
  <c r="R37" s="1"/>
  <c r="X37"/>
  <c r="F44" i="3"/>
  <c r="H44" s="1"/>
  <c r="J44" s="1"/>
  <c r="F19"/>
  <c r="H19" s="1"/>
  <c r="F18" i="1"/>
  <c r="F42" i="2"/>
  <c r="H42" s="1"/>
  <c r="J42" s="1"/>
  <c r="Y7"/>
  <c r="Y41"/>
  <c r="F18"/>
  <c r="H18" s="1"/>
  <c r="J18" s="1"/>
  <c r="R18" s="1"/>
  <c r="F15" i="3"/>
  <c r="H15" s="1"/>
  <c r="R19" i="2"/>
  <c r="V9"/>
  <c r="D9" i="1"/>
  <c r="F9" s="1"/>
  <c r="Y9" i="2"/>
  <c r="X9"/>
  <c r="W9"/>
  <c r="F9"/>
  <c r="J13"/>
  <c r="I13" i="1" s="1"/>
  <c r="Q18" i="2"/>
  <c r="W36" i="4"/>
  <c r="X36"/>
  <c r="V36"/>
  <c r="T15" i="2"/>
  <c r="R15"/>
  <c r="Q15"/>
  <c r="S15"/>
  <c r="Q22"/>
  <c r="S22"/>
  <c r="R22"/>
  <c r="T22"/>
  <c r="J22" i="1"/>
  <c r="X37" i="2"/>
  <c r="W37"/>
  <c r="D37" i="1"/>
  <c r="V37" i="2"/>
  <c r="F37"/>
  <c r="J37" s="1"/>
  <c r="Y37"/>
  <c r="Y37" i="3"/>
  <c r="V37"/>
  <c r="W37"/>
  <c r="F37"/>
  <c r="X37"/>
  <c r="J8" i="1"/>
  <c r="Q8" i="2"/>
  <c r="S8"/>
  <c r="R8"/>
  <c r="T8"/>
  <c r="Y15"/>
  <c r="W15"/>
  <c r="X15"/>
  <c r="B5" i="5"/>
  <c r="Q19" i="4"/>
  <c r="S19"/>
  <c r="R19"/>
  <c r="T19"/>
  <c r="R18"/>
  <c r="T18"/>
  <c r="Q18"/>
  <c r="S18"/>
  <c r="S18" i="3"/>
  <c r="Q18"/>
  <c r="T18"/>
  <c r="R18"/>
  <c r="J18" i="1"/>
  <c r="R13" i="3"/>
  <c r="S13"/>
  <c r="Q13"/>
  <c r="T13"/>
  <c r="B6" i="5" l="1"/>
  <c r="T37" i="4"/>
  <c r="H27" i="3"/>
  <c r="J27" s="1"/>
  <c r="R27" s="1"/>
  <c r="Q7" i="2"/>
  <c r="B8" i="5"/>
  <c r="B11"/>
  <c r="B4"/>
  <c r="AB17" i="1"/>
  <c r="AA17"/>
  <c r="H36" i="2"/>
  <c r="E25" i="5"/>
  <c r="E8" s="1"/>
  <c r="F8" s="1"/>
  <c r="C8"/>
  <c r="C7"/>
  <c r="E23"/>
  <c r="E6" s="1"/>
  <c r="F6" s="1"/>
  <c r="C6"/>
  <c r="E28"/>
  <c r="E11" s="1"/>
  <c r="F11" s="1"/>
  <c r="C11"/>
  <c r="AD17" i="1"/>
  <c r="AC17"/>
  <c r="V31" i="4"/>
  <c r="X31"/>
  <c r="W31"/>
  <c r="Y31"/>
  <c r="V35"/>
  <c r="X35"/>
  <c r="W35"/>
  <c r="Y35"/>
  <c r="V30"/>
  <c r="X30"/>
  <c r="W30"/>
  <c r="Y30"/>
  <c r="F27"/>
  <c r="V27"/>
  <c r="X27"/>
  <c r="W27"/>
  <c r="Y27"/>
  <c r="V33"/>
  <c r="X33"/>
  <c r="W33"/>
  <c r="Y33"/>
  <c r="V29"/>
  <c r="X29"/>
  <c r="W29"/>
  <c r="Y29"/>
  <c r="V32"/>
  <c r="X32"/>
  <c r="W32"/>
  <c r="Y32"/>
  <c r="F28"/>
  <c r="V28"/>
  <c r="X28"/>
  <c r="W28"/>
  <c r="Y28"/>
  <c r="I22" i="1"/>
  <c r="Y49" i="3"/>
  <c r="V49"/>
  <c r="V30"/>
  <c r="X30"/>
  <c r="W30"/>
  <c r="Y30"/>
  <c r="V29"/>
  <c r="X29"/>
  <c r="W29"/>
  <c r="Y29"/>
  <c r="Q30"/>
  <c r="S30"/>
  <c r="R30"/>
  <c r="T30"/>
  <c r="F28"/>
  <c r="J28" s="1"/>
  <c r="V28"/>
  <c r="X28"/>
  <c r="W28"/>
  <c r="Y28"/>
  <c r="Q30" i="2"/>
  <c r="S30"/>
  <c r="R30"/>
  <c r="T30"/>
  <c r="F27"/>
  <c r="V27"/>
  <c r="X27"/>
  <c r="W27"/>
  <c r="Y27"/>
  <c r="D27" i="1"/>
  <c r="F27" s="1"/>
  <c r="V34" i="4"/>
  <c r="X34"/>
  <c r="W34"/>
  <c r="Y34"/>
  <c r="V29" i="2"/>
  <c r="X29"/>
  <c r="W29"/>
  <c r="Y29"/>
  <c r="V30"/>
  <c r="X30"/>
  <c r="W30"/>
  <c r="Y30"/>
  <c r="F28"/>
  <c r="J28" s="1"/>
  <c r="V28"/>
  <c r="X28"/>
  <c r="D28" i="1"/>
  <c r="F28" s="1"/>
  <c r="W28" i="2"/>
  <c r="Y28"/>
  <c r="S37" i="4"/>
  <c r="R29"/>
  <c r="T29"/>
  <c r="Q29"/>
  <c r="S29"/>
  <c r="R31"/>
  <c r="T31"/>
  <c r="Q31"/>
  <c r="S31"/>
  <c r="R33"/>
  <c r="T33"/>
  <c r="Q33"/>
  <c r="S33"/>
  <c r="R30"/>
  <c r="T30"/>
  <c r="Q30"/>
  <c r="S30"/>
  <c r="H44" i="1"/>
  <c r="J45"/>
  <c r="I17"/>
  <c r="S18" i="2"/>
  <c r="D47" i="1"/>
  <c r="B58" i="5"/>
  <c r="E58" s="1"/>
  <c r="E61" s="1"/>
  <c r="B26"/>
  <c r="E24"/>
  <c r="B42"/>
  <c r="E42" s="1"/>
  <c r="E40"/>
  <c r="R17" i="1"/>
  <c r="W17" s="1"/>
  <c r="T17"/>
  <c r="Y17" s="1"/>
  <c r="Q17"/>
  <c r="V17" s="1"/>
  <c r="S17"/>
  <c r="X17" s="1"/>
  <c r="K17"/>
  <c r="I8"/>
  <c r="K8"/>
  <c r="X49" i="3"/>
  <c r="S19" i="2"/>
  <c r="T19"/>
  <c r="S7"/>
  <c r="Y47" i="4"/>
  <c r="D44" i="1"/>
  <c r="F44" s="1"/>
  <c r="X47" i="4"/>
  <c r="J48" i="3"/>
  <c r="J46" i="1" s="1"/>
  <c r="H46"/>
  <c r="W47" i="4"/>
  <c r="V47"/>
  <c r="H45" i="1"/>
  <c r="D45"/>
  <c r="F45" s="1"/>
  <c r="J44" i="2"/>
  <c r="D46" i="1"/>
  <c r="F46" s="1"/>
  <c r="V34" i="2"/>
  <c r="J46" i="3"/>
  <c r="Q37" i="4"/>
  <c r="F36"/>
  <c r="Y36"/>
  <c r="D32" i="1"/>
  <c r="AC32" s="1"/>
  <c r="D31"/>
  <c r="AC31" s="1"/>
  <c r="F32" i="4"/>
  <c r="H32" s="1"/>
  <c r="J32" s="1"/>
  <c r="W31" i="3"/>
  <c r="V34"/>
  <c r="D34" i="1"/>
  <c r="AC34" s="1"/>
  <c r="W34" i="3"/>
  <c r="F34" i="4"/>
  <c r="H30" i="1"/>
  <c r="D23" i="3"/>
  <c r="X11"/>
  <c r="F11"/>
  <c r="H11" s="1"/>
  <c r="J11" s="1"/>
  <c r="W11"/>
  <c r="W47" i="2"/>
  <c r="Y47"/>
  <c r="D49"/>
  <c r="D49" i="1" s="1"/>
  <c r="D50" s="1"/>
  <c r="V47" i="2"/>
  <c r="X47"/>
  <c r="Y19"/>
  <c r="V19"/>
  <c r="D19" i="1"/>
  <c r="W19" i="2"/>
  <c r="X19"/>
  <c r="T18"/>
  <c r="R7"/>
  <c r="Y34"/>
  <c r="F34"/>
  <c r="H34" s="1"/>
  <c r="J34" s="1"/>
  <c r="Q34" s="1"/>
  <c r="Y34" i="3"/>
  <c r="F34"/>
  <c r="D30" i="1"/>
  <c r="AB30" s="1"/>
  <c r="D23" i="4"/>
  <c r="X11"/>
  <c r="Y11"/>
  <c r="F11"/>
  <c r="H11" s="1"/>
  <c r="J11" s="1"/>
  <c r="W11"/>
  <c r="W19" i="3"/>
  <c r="V19"/>
  <c r="H18" i="1"/>
  <c r="J30"/>
  <c r="K30" s="1"/>
  <c r="F5" i="5"/>
  <c r="I16" i="1"/>
  <c r="S16"/>
  <c r="X16" s="1"/>
  <c r="Q16"/>
  <c r="V16" s="1"/>
  <c r="T16"/>
  <c r="Y16" s="1"/>
  <c r="R16"/>
  <c r="W16" s="1"/>
  <c r="I14"/>
  <c r="S14"/>
  <c r="X14" s="1"/>
  <c r="Q14"/>
  <c r="V14" s="1"/>
  <c r="T14"/>
  <c r="Y14" s="1"/>
  <c r="R14"/>
  <c r="W14" s="1"/>
  <c r="J37" i="3"/>
  <c r="R37" s="1"/>
  <c r="H37" i="1"/>
  <c r="J15" i="3"/>
  <c r="J19"/>
  <c r="H19" i="1"/>
  <c r="J33" i="3"/>
  <c r="Q33" s="1"/>
  <c r="J31"/>
  <c r="T31" s="1"/>
  <c r="J36"/>
  <c r="J32"/>
  <c r="S32" s="1"/>
  <c r="W15" i="4"/>
  <c r="V15"/>
  <c r="Y15"/>
  <c r="F15"/>
  <c r="H15" s="1"/>
  <c r="J15" s="1"/>
  <c r="X15"/>
  <c r="V12" i="2"/>
  <c r="F12"/>
  <c r="H12" s="1"/>
  <c r="J12" s="1"/>
  <c r="W12"/>
  <c r="Y12"/>
  <c r="X12"/>
  <c r="V9" i="4"/>
  <c r="X9"/>
  <c r="W9"/>
  <c r="Y9"/>
  <c r="F9"/>
  <c r="H9" s="1"/>
  <c r="J9" s="1"/>
  <c r="V36" i="2"/>
  <c r="Y36"/>
  <c r="W9" i="3"/>
  <c r="F9"/>
  <c r="H9" s="1"/>
  <c r="X9"/>
  <c r="Y9"/>
  <c r="V9"/>
  <c r="W36"/>
  <c r="X36"/>
  <c r="W42" i="4"/>
  <c r="F42"/>
  <c r="H42" s="1"/>
  <c r="J42" s="1"/>
  <c r="V42"/>
  <c r="Y42"/>
  <c r="X42"/>
  <c r="Y32" i="2"/>
  <c r="W32"/>
  <c r="F32"/>
  <c r="H32" s="1"/>
  <c r="J32" s="1"/>
  <c r="J32" i="1" s="1"/>
  <c r="X32" i="2"/>
  <c r="V32"/>
  <c r="V41" i="4"/>
  <c r="F41"/>
  <c r="H41" s="1"/>
  <c r="J41" s="1"/>
  <c r="X41"/>
  <c r="W41"/>
  <c r="Y41"/>
  <c r="F41" i="2"/>
  <c r="H41" s="1"/>
  <c r="J41" s="1"/>
  <c r="X41"/>
  <c r="W41"/>
  <c r="X26" i="4"/>
  <c r="F26"/>
  <c r="J26" s="1"/>
  <c r="R26" s="1"/>
  <c r="V26"/>
  <c r="Y26"/>
  <c r="W26"/>
  <c r="V26" i="3"/>
  <c r="X26"/>
  <c r="F26"/>
  <c r="X26" i="2"/>
  <c r="Y26"/>
  <c r="F26"/>
  <c r="V26"/>
  <c r="W26"/>
  <c r="D26" i="1"/>
  <c r="W44" i="3"/>
  <c r="V44"/>
  <c r="Y44"/>
  <c r="X44"/>
  <c r="F35" i="4"/>
  <c r="H35" s="1"/>
  <c r="J35" s="1"/>
  <c r="F35" i="3"/>
  <c r="W35"/>
  <c r="X35"/>
  <c r="F35" i="2"/>
  <c r="H35" s="1"/>
  <c r="J35" s="1"/>
  <c r="W35"/>
  <c r="V35"/>
  <c r="Y35"/>
  <c r="X35"/>
  <c r="Y31"/>
  <c r="W31"/>
  <c r="F31"/>
  <c r="H31" s="1"/>
  <c r="J31" s="1"/>
  <c r="X31"/>
  <c r="V31"/>
  <c r="V43" i="4"/>
  <c r="W43"/>
  <c r="F43"/>
  <c r="J43" s="1"/>
  <c r="X43"/>
  <c r="Y43"/>
  <c r="W45" i="3"/>
  <c r="Y45"/>
  <c r="F45"/>
  <c r="V43" i="2"/>
  <c r="F43"/>
  <c r="J43" s="1"/>
  <c r="W43"/>
  <c r="X43"/>
  <c r="Y33"/>
  <c r="W33"/>
  <c r="X33"/>
  <c r="V33"/>
  <c r="F33"/>
  <c r="H33" s="1"/>
  <c r="J33" s="1"/>
  <c r="F29"/>
  <c r="J29" s="1"/>
  <c r="AA32" i="1"/>
  <c r="T33" i="3"/>
  <c r="F33" i="1"/>
  <c r="AD33"/>
  <c r="AB33"/>
  <c r="AC33"/>
  <c r="AA33"/>
  <c r="F29"/>
  <c r="AD29"/>
  <c r="AB29"/>
  <c r="AC29"/>
  <c r="AA29"/>
  <c r="J37"/>
  <c r="R37" s="1"/>
  <c r="W37" s="1"/>
  <c r="W12" i="4"/>
  <c r="X12"/>
  <c r="F12"/>
  <c r="H12" s="1"/>
  <c r="J12" s="1"/>
  <c r="V12"/>
  <c r="Y12"/>
  <c r="W43" i="3"/>
  <c r="V43"/>
  <c r="Y43"/>
  <c r="F43"/>
  <c r="H43" s="1"/>
  <c r="D41" i="1"/>
  <c r="X43" i="3"/>
  <c r="W12"/>
  <c r="D12" i="1"/>
  <c r="V12" i="3"/>
  <c r="Y12"/>
  <c r="F12"/>
  <c r="H12" s="1"/>
  <c r="X12"/>
  <c r="AC11" i="1"/>
  <c r="AB11"/>
  <c r="AD11"/>
  <c r="F11"/>
  <c r="AA11"/>
  <c r="V42" i="2"/>
  <c r="W42"/>
  <c r="D42" i="1"/>
  <c r="Y42" i="2"/>
  <c r="X42"/>
  <c r="V11"/>
  <c r="W11"/>
  <c r="X11"/>
  <c r="F11"/>
  <c r="H11" s="1"/>
  <c r="Y11"/>
  <c r="AB15" i="1"/>
  <c r="AA15"/>
  <c r="AC15"/>
  <c r="F15"/>
  <c r="AD15"/>
  <c r="AB43"/>
  <c r="AA43"/>
  <c r="F43"/>
  <c r="AD43"/>
  <c r="AC43"/>
  <c r="AD35"/>
  <c r="AB35"/>
  <c r="AA35"/>
  <c r="F35"/>
  <c r="AC35"/>
  <c r="Y20" i="4"/>
  <c r="X20"/>
  <c r="W20"/>
  <c r="V20"/>
  <c r="F20"/>
  <c r="H20" s="1"/>
  <c r="J20" s="1"/>
  <c r="V20" i="2"/>
  <c r="F20"/>
  <c r="H20" s="1"/>
  <c r="J20" s="1"/>
  <c r="Y20"/>
  <c r="X20"/>
  <c r="W20"/>
  <c r="D20" i="1"/>
  <c r="R42" i="2"/>
  <c r="Q42"/>
  <c r="S42"/>
  <c r="T42"/>
  <c r="W20" i="3"/>
  <c r="F20"/>
  <c r="H20" s="1"/>
  <c r="X20"/>
  <c r="Y20"/>
  <c r="V20"/>
  <c r="H7" i="4"/>
  <c r="AC7" i="1"/>
  <c r="AD7"/>
  <c r="AA7"/>
  <c r="AB7"/>
  <c r="F7"/>
  <c r="H7" i="3"/>
  <c r="H7" i="1" s="1"/>
  <c r="Q8"/>
  <c r="R8"/>
  <c r="T8"/>
  <c r="S8"/>
  <c r="S22"/>
  <c r="X22" s="1"/>
  <c r="K22"/>
  <c r="T22"/>
  <c r="Y22" s="1"/>
  <c r="R22"/>
  <c r="W22" s="1"/>
  <c r="Q22"/>
  <c r="V22" s="1"/>
  <c r="S13" i="2"/>
  <c r="T13"/>
  <c r="R13"/>
  <c r="Q13"/>
  <c r="R37"/>
  <c r="Q37"/>
  <c r="T37"/>
  <c r="S37"/>
  <c r="AB37" i="1"/>
  <c r="AC37"/>
  <c r="AA37"/>
  <c r="F37"/>
  <c r="AD37"/>
  <c r="H36" i="4"/>
  <c r="H36" i="1" s="1"/>
  <c r="F36"/>
  <c r="AC36"/>
  <c r="AD36"/>
  <c r="AA36"/>
  <c r="AB36"/>
  <c r="H9" i="2"/>
  <c r="S13" i="1"/>
  <c r="X13" s="1"/>
  <c r="Q13"/>
  <c r="V13" s="1"/>
  <c r="R13"/>
  <c r="W13" s="1"/>
  <c r="T13"/>
  <c r="Y13" s="1"/>
  <c r="K13"/>
  <c r="S44" i="3"/>
  <c r="R44"/>
  <c r="T44"/>
  <c r="Q44"/>
  <c r="S26" i="4"/>
  <c r="Q26"/>
  <c r="Q18" i="1"/>
  <c r="V18" s="1"/>
  <c r="S18"/>
  <c r="X18" s="1"/>
  <c r="T18"/>
  <c r="Y18" s="1"/>
  <c r="R18"/>
  <c r="W18" s="1"/>
  <c r="K18"/>
  <c r="AB32" l="1"/>
  <c r="F32"/>
  <c r="I45"/>
  <c r="S33" i="3"/>
  <c r="H27" i="4"/>
  <c r="J27" s="1"/>
  <c r="AA31" i="1"/>
  <c r="Q27" i="3"/>
  <c r="T27"/>
  <c r="S27"/>
  <c r="AB31" i="1"/>
  <c r="F31"/>
  <c r="H27" i="2"/>
  <c r="H27" i="1" s="1"/>
  <c r="H34" i="4"/>
  <c r="J36" i="2"/>
  <c r="C9" i="5"/>
  <c r="H34" i="3"/>
  <c r="J28" i="4"/>
  <c r="H28" i="1"/>
  <c r="R28" i="3"/>
  <c r="S28"/>
  <c r="T28"/>
  <c r="Q28"/>
  <c r="R28" i="2"/>
  <c r="Q28"/>
  <c r="S28"/>
  <c r="T28"/>
  <c r="F23"/>
  <c r="S34"/>
  <c r="Q29"/>
  <c r="S29"/>
  <c r="R29"/>
  <c r="T29"/>
  <c r="R35" i="4"/>
  <c r="T35"/>
  <c r="Q35"/>
  <c r="S35"/>
  <c r="R32"/>
  <c r="T32"/>
  <c r="Q32"/>
  <c r="S32"/>
  <c r="E45" i="5"/>
  <c r="B9"/>
  <c r="E26"/>
  <c r="E9" s="1"/>
  <c r="F9" s="1"/>
  <c r="E7"/>
  <c r="R33" i="3"/>
  <c r="AD32" i="1"/>
  <c r="AB34"/>
  <c r="AA34"/>
  <c r="I46"/>
  <c r="T34" i="2"/>
  <c r="AD31" i="1"/>
  <c r="J44"/>
  <c r="I44" s="1"/>
  <c r="AC30"/>
  <c r="Q37"/>
  <c r="V37" s="1"/>
  <c r="F30"/>
  <c r="F34"/>
  <c r="AD30"/>
  <c r="AD34"/>
  <c r="T32" i="3"/>
  <c r="AA30" i="1"/>
  <c r="S11" i="3"/>
  <c r="T11"/>
  <c r="Q11"/>
  <c r="R11"/>
  <c r="H31" i="1"/>
  <c r="H33"/>
  <c r="R34" i="2"/>
  <c r="J11"/>
  <c r="H11" i="1"/>
  <c r="S11" i="4"/>
  <c r="Q11"/>
  <c r="T11"/>
  <c r="R11"/>
  <c r="F19" i="1"/>
  <c r="AC19"/>
  <c r="AB19"/>
  <c r="AD19"/>
  <c r="AA19"/>
  <c r="H32"/>
  <c r="I32" s="1"/>
  <c r="S30"/>
  <c r="X30" s="1"/>
  <c r="T30"/>
  <c r="Y30" s="1"/>
  <c r="I30"/>
  <c r="Q30"/>
  <c r="V30" s="1"/>
  <c r="R30"/>
  <c r="W30" s="1"/>
  <c r="F23" i="4"/>
  <c r="Q32" i="3"/>
  <c r="R32"/>
  <c r="R31"/>
  <c r="J20"/>
  <c r="R20" s="1"/>
  <c r="H20" i="1"/>
  <c r="J12" i="3"/>
  <c r="T12" s="1"/>
  <c r="J26"/>
  <c r="S26" s="1"/>
  <c r="H26" i="1"/>
  <c r="J9" i="3"/>
  <c r="T9" s="1"/>
  <c r="H9" i="1"/>
  <c r="Q36" i="3"/>
  <c r="R36"/>
  <c r="S36"/>
  <c r="T36"/>
  <c r="Q31"/>
  <c r="S31"/>
  <c r="S19"/>
  <c r="J19" i="1"/>
  <c r="R19" i="3"/>
  <c r="Q19"/>
  <c r="T19"/>
  <c r="T15"/>
  <c r="Q15"/>
  <c r="R15"/>
  <c r="S15"/>
  <c r="Q37"/>
  <c r="S37"/>
  <c r="T37"/>
  <c r="H42" i="1"/>
  <c r="J43" i="3"/>
  <c r="T43" s="1"/>
  <c r="H41" i="1"/>
  <c r="J45" i="3"/>
  <c r="H43" i="1"/>
  <c r="J35" i="3"/>
  <c r="J35" i="1" s="1"/>
  <c r="H35"/>
  <c r="H15"/>
  <c r="T26" i="4"/>
  <c r="R15"/>
  <c r="Q15"/>
  <c r="T15"/>
  <c r="S15"/>
  <c r="K37" i="1"/>
  <c r="S12" i="2"/>
  <c r="T12"/>
  <c r="R12"/>
  <c r="Q12"/>
  <c r="T9" i="4"/>
  <c r="S9"/>
  <c r="R9"/>
  <c r="Q9"/>
  <c r="S43" i="2"/>
  <c r="Q43"/>
  <c r="T43"/>
  <c r="R43"/>
  <c r="T31"/>
  <c r="R31"/>
  <c r="S31"/>
  <c r="Q31"/>
  <c r="J26"/>
  <c r="T26" i="3"/>
  <c r="S41" i="2"/>
  <c r="Q41"/>
  <c r="R41"/>
  <c r="T41"/>
  <c r="R41" i="4"/>
  <c r="Q41"/>
  <c r="T41"/>
  <c r="S41"/>
  <c r="T32" i="2"/>
  <c r="R32"/>
  <c r="S32"/>
  <c r="Q32"/>
  <c r="J31" i="1"/>
  <c r="T33" i="2"/>
  <c r="R33"/>
  <c r="S33"/>
  <c r="Q33"/>
  <c r="J33" i="1"/>
  <c r="Q43" i="4"/>
  <c r="T43"/>
  <c r="S43"/>
  <c r="R43"/>
  <c r="Q35" i="2"/>
  <c r="S35"/>
  <c r="R35"/>
  <c r="T35"/>
  <c r="AB26" i="1"/>
  <c r="AD26"/>
  <c r="AA26"/>
  <c r="F26"/>
  <c r="AC26"/>
  <c r="S42" i="4"/>
  <c r="T42"/>
  <c r="Q42"/>
  <c r="R42"/>
  <c r="F23" i="3"/>
  <c r="S37" i="1"/>
  <c r="X37" s="1"/>
  <c r="S32"/>
  <c r="X32" s="1"/>
  <c r="Q32"/>
  <c r="V32" s="1"/>
  <c r="T32"/>
  <c r="Y32" s="1"/>
  <c r="R32"/>
  <c r="W32" s="1"/>
  <c r="K32"/>
  <c r="J29" i="3"/>
  <c r="I37" i="1"/>
  <c r="T37"/>
  <c r="Y37" s="1"/>
  <c r="S12" i="4"/>
  <c r="T12"/>
  <c r="Q12"/>
  <c r="R12"/>
  <c r="AD41" i="1"/>
  <c r="AB41"/>
  <c r="AC41"/>
  <c r="AA41"/>
  <c r="F41"/>
  <c r="AB12"/>
  <c r="AA12"/>
  <c r="AD12"/>
  <c r="AC12"/>
  <c r="F12"/>
  <c r="S43" i="3"/>
  <c r="R43"/>
  <c r="Q11" i="2"/>
  <c r="S11"/>
  <c r="T11"/>
  <c r="R11"/>
  <c r="AB42" i="1"/>
  <c r="AA42"/>
  <c r="AD42"/>
  <c r="AC42"/>
  <c r="F42"/>
  <c r="J7" i="4"/>
  <c r="H23"/>
  <c r="Q20" i="3"/>
  <c r="S20"/>
  <c r="F20" i="1"/>
  <c r="AA20"/>
  <c r="AB20"/>
  <c r="AC20"/>
  <c r="AD20"/>
  <c r="Q20" i="2"/>
  <c r="S20"/>
  <c r="R20"/>
  <c r="T20"/>
  <c r="J20" i="1"/>
  <c r="R20" i="4"/>
  <c r="Q20"/>
  <c r="T20"/>
  <c r="S20"/>
  <c r="J7" i="3"/>
  <c r="H23"/>
  <c r="J36" i="4"/>
  <c r="J9" i="2"/>
  <c r="H23"/>
  <c r="Q42" i="1"/>
  <c r="V42" s="1"/>
  <c r="K42"/>
  <c r="T42"/>
  <c r="Y42" s="1"/>
  <c r="R42"/>
  <c r="W42" s="1"/>
  <c r="S42"/>
  <c r="X42" s="1"/>
  <c r="I20" l="1"/>
  <c r="S27" i="4"/>
  <c r="T27"/>
  <c r="R27"/>
  <c r="Q27"/>
  <c r="J27" i="2"/>
  <c r="Q43" i="3"/>
  <c r="J41" i="1"/>
  <c r="I41" s="1"/>
  <c r="H34"/>
  <c r="R36" i="2"/>
  <c r="Q36"/>
  <c r="S36"/>
  <c r="T36"/>
  <c r="J34" i="4"/>
  <c r="J34" i="3"/>
  <c r="R28" i="4"/>
  <c r="S28"/>
  <c r="T28"/>
  <c r="Q28"/>
  <c r="Q28" i="1"/>
  <c r="V28" s="1"/>
  <c r="K28"/>
  <c r="T28"/>
  <c r="Y28" s="1"/>
  <c r="R28"/>
  <c r="W28" s="1"/>
  <c r="S28"/>
  <c r="X28" s="1"/>
  <c r="I28"/>
  <c r="Q29" i="3"/>
  <c r="S29"/>
  <c r="R29"/>
  <c r="T29"/>
  <c r="E29" i="5"/>
  <c r="F7"/>
  <c r="E13"/>
  <c r="F13" s="1"/>
  <c r="I15" i="1"/>
  <c r="I11"/>
  <c r="I42"/>
  <c r="I31"/>
  <c r="S12" i="3"/>
  <c r="R12"/>
  <c r="S45"/>
  <c r="Q26"/>
  <c r="T20"/>
  <c r="R26"/>
  <c r="R9"/>
  <c r="Q45"/>
  <c r="S9"/>
  <c r="R45"/>
  <c r="T45"/>
  <c r="Q9"/>
  <c r="R35"/>
  <c r="S35"/>
  <c r="Q35"/>
  <c r="T35"/>
  <c r="I19" i="1"/>
  <c r="S19"/>
  <c r="X19" s="1"/>
  <c r="Q19"/>
  <c r="V19" s="1"/>
  <c r="R19"/>
  <c r="W19" s="1"/>
  <c r="T19"/>
  <c r="Y19" s="1"/>
  <c r="K19"/>
  <c r="Q12" i="3"/>
  <c r="S15" i="1"/>
  <c r="X15" s="1"/>
  <c r="T15"/>
  <c r="Y15" s="1"/>
  <c r="Q15"/>
  <c r="V15" s="1"/>
  <c r="K15"/>
  <c r="R15"/>
  <c r="W15" s="1"/>
  <c r="T35"/>
  <c r="Y35" s="1"/>
  <c r="S35"/>
  <c r="X35" s="1"/>
  <c r="K35"/>
  <c r="Q35"/>
  <c r="V35" s="1"/>
  <c r="R35"/>
  <c r="W35" s="1"/>
  <c r="Q31"/>
  <c r="V31" s="1"/>
  <c r="R31"/>
  <c r="W31" s="1"/>
  <c r="S31"/>
  <c r="X31" s="1"/>
  <c r="T31"/>
  <c r="Y31" s="1"/>
  <c r="K31"/>
  <c r="R43"/>
  <c r="W43" s="1"/>
  <c r="S43"/>
  <c r="X43" s="1"/>
  <c r="T43"/>
  <c r="Y43" s="1"/>
  <c r="I43"/>
  <c r="K43"/>
  <c r="Q43"/>
  <c r="V43" s="1"/>
  <c r="T33"/>
  <c r="Y33" s="1"/>
  <c r="K33"/>
  <c r="Q33"/>
  <c r="V33" s="1"/>
  <c r="R33"/>
  <c r="W33" s="1"/>
  <c r="S33"/>
  <c r="X33" s="1"/>
  <c r="S26" i="2"/>
  <c r="Q26"/>
  <c r="T26"/>
  <c r="R26"/>
  <c r="I33" i="1"/>
  <c r="I29"/>
  <c r="Q41"/>
  <c r="V41" s="1"/>
  <c r="T41"/>
  <c r="Y41" s="1"/>
  <c r="R11"/>
  <c r="W11" s="1"/>
  <c r="S11"/>
  <c r="X11" s="1"/>
  <c r="K11"/>
  <c r="Q11"/>
  <c r="V11" s="1"/>
  <c r="T11"/>
  <c r="Y11" s="1"/>
  <c r="I35"/>
  <c r="R7" i="3"/>
  <c r="Q7"/>
  <c r="T7"/>
  <c r="S7"/>
  <c r="H23" i="1"/>
  <c r="F23"/>
  <c r="R7" i="4"/>
  <c r="T7"/>
  <c r="S7"/>
  <c r="Q7"/>
  <c r="J23"/>
  <c r="Q20" i="1"/>
  <c r="V20" s="1"/>
  <c r="R20"/>
  <c r="W20" s="1"/>
  <c r="T20"/>
  <c r="Y20" s="1"/>
  <c r="S20"/>
  <c r="X20" s="1"/>
  <c r="K20"/>
  <c r="R9" i="2"/>
  <c r="Q9"/>
  <c r="T9"/>
  <c r="S9"/>
  <c r="J9" i="1"/>
  <c r="J23" i="2"/>
  <c r="Q36" i="4"/>
  <c r="S36"/>
  <c r="R36"/>
  <c r="T36"/>
  <c r="J36" i="1"/>
  <c r="R41" l="1"/>
  <c r="W41" s="1"/>
  <c r="S41"/>
  <c r="X41" s="1"/>
  <c r="K41"/>
  <c r="S27" i="2"/>
  <c r="R27"/>
  <c r="Q27"/>
  <c r="T27"/>
  <c r="J34" i="1"/>
  <c r="Q34" i="3"/>
  <c r="S34"/>
  <c r="S50" s="1"/>
  <c r="T34"/>
  <c r="T50" s="1"/>
  <c r="R34"/>
  <c r="R50" s="1"/>
  <c r="T34" i="4"/>
  <c r="S34"/>
  <c r="R34"/>
  <c r="Q34"/>
  <c r="I9" i="1"/>
  <c r="K9"/>
  <c r="I12"/>
  <c r="K12"/>
  <c r="T12"/>
  <c r="Y12" s="1"/>
  <c r="R12"/>
  <c r="W12" s="1"/>
  <c r="S12"/>
  <c r="X12" s="1"/>
  <c r="Q12"/>
  <c r="V12" s="1"/>
  <c r="S26"/>
  <c r="X26" s="1"/>
  <c r="R26"/>
  <c r="W26" s="1"/>
  <c r="T26"/>
  <c r="Y26" s="1"/>
  <c r="K26"/>
  <c r="I26"/>
  <c r="Q26"/>
  <c r="V26" s="1"/>
  <c r="T29"/>
  <c r="Y29" s="1"/>
  <c r="R29"/>
  <c r="W29" s="1"/>
  <c r="K29"/>
  <c r="S29"/>
  <c r="X29" s="1"/>
  <c r="Q29"/>
  <c r="V29" s="1"/>
  <c r="T48" i="4"/>
  <c r="K7" i="1"/>
  <c r="T7"/>
  <c r="Y7" s="1"/>
  <c r="Q7"/>
  <c r="V7" s="1"/>
  <c r="S7"/>
  <c r="X7" s="1"/>
  <c r="R7"/>
  <c r="W7" s="1"/>
  <c r="I7"/>
  <c r="I36"/>
  <c r="K36"/>
  <c r="S36"/>
  <c r="X36" s="1"/>
  <c r="T36"/>
  <c r="Y36" s="1"/>
  <c r="R36"/>
  <c r="W36" s="1"/>
  <c r="Q36"/>
  <c r="V36" s="1"/>
  <c r="R9"/>
  <c r="Q9"/>
  <c r="T9"/>
  <c r="S9"/>
  <c r="T48" i="2"/>
  <c r="R48"/>
  <c r="S48"/>
  <c r="K27" i="1" l="1"/>
  <c r="Q27"/>
  <c r="V27" s="1"/>
  <c r="R27"/>
  <c r="W27" s="1"/>
  <c r="S27"/>
  <c r="X27" s="1"/>
  <c r="T27"/>
  <c r="Y27" s="1"/>
  <c r="I27"/>
  <c r="R48" i="4"/>
  <c r="S34" i="1"/>
  <c r="X34" s="1"/>
  <c r="T34"/>
  <c r="Y34" s="1"/>
  <c r="I34"/>
  <c r="R34"/>
  <c r="W34" s="1"/>
  <c r="K34"/>
  <c r="Q34"/>
  <c r="V34" s="1"/>
  <c r="S48" i="4"/>
  <c r="R48" i="1" l="1"/>
  <c r="W48" s="1"/>
  <c r="T48"/>
  <c r="Y48" s="1"/>
  <c r="S48"/>
  <c r="X48" s="1"/>
  <c r="F49"/>
  <c r="F50" s="1"/>
  <c r="H49"/>
  <c r="H50" s="1"/>
  <c r="J50"/>
  <c r="K49"/>
</calcChain>
</file>

<file path=xl/comments1.xml><?xml version="1.0" encoding="utf-8"?>
<comments xmlns="http://schemas.openxmlformats.org/spreadsheetml/2006/main">
  <authors>
    <author>krmeardon</author>
  </authors>
  <commentList>
    <comment ref="F37" authorId="0">
      <text>
        <r>
          <rPr>
            <b/>
            <sz val="8"/>
            <color indexed="81"/>
            <rFont val="Tahoma"/>
            <family val="2"/>
          </rPr>
          <t>krmeardon:</t>
        </r>
        <r>
          <rPr>
            <sz val="8"/>
            <color indexed="81"/>
            <rFont val="Tahoma"/>
            <family val="2"/>
          </rPr>
          <t xml:space="preserve">
Added 17 new applications for enhancement grants and TA-only grants here and elsewhere in similar notes.</t>
        </r>
      </text>
    </comment>
  </commentList>
</comments>
</file>

<file path=xl/sharedStrings.xml><?xml version="1.0" encoding="utf-8"?>
<sst xmlns="http://schemas.openxmlformats.org/spreadsheetml/2006/main" count="553" uniqueCount="195">
  <si>
    <t>Section of Notice</t>
  </si>
  <si>
    <t>Estimated No. of Manhours per response</t>
  </si>
  <si>
    <t>(A)</t>
  </si>
  <si>
    <t>(B)</t>
  </si>
  <si>
    <t>(C)</t>
  </si>
  <si>
    <t>(D)</t>
  </si>
  <si>
    <t>(E)</t>
  </si>
  <si>
    <t>(F)</t>
  </si>
  <si>
    <t>(G)</t>
  </si>
  <si>
    <t>(H)</t>
  </si>
  <si>
    <t>(I)</t>
  </si>
  <si>
    <t>Administrative</t>
  </si>
  <si>
    <t xml:space="preserve">USDA Rural Business-Cooperative Service </t>
  </si>
  <si>
    <t>Title</t>
  </si>
  <si>
    <t>Form No. (if any)</t>
  </si>
  <si>
    <t>Application for Federal Assistance</t>
  </si>
  <si>
    <t>written</t>
  </si>
  <si>
    <t>Disclosure of Lobbying Activities</t>
  </si>
  <si>
    <t>SF LLL (0348-0046)</t>
  </si>
  <si>
    <t>Certification Regarding Debarment, Suspension &amp; Other Resp. Matters-Primary Covered Trans.</t>
  </si>
  <si>
    <t>AD-1047 or in writing</t>
  </si>
  <si>
    <t>Cost</t>
  </si>
  <si>
    <t>Acknowledge and review application</t>
  </si>
  <si>
    <t>Evaluate and score</t>
  </si>
  <si>
    <t>Inform applicants of selection results</t>
  </si>
  <si>
    <t>Legal document preparation</t>
  </si>
  <si>
    <t>Release and advance of funds</t>
  </si>
  <si>
    <t>Private Individual</t>
  </si>
  <si>
    <t>Private - Not Individual</t>
  </si>
  <si>
    <t>State gov, local gov, Indian Tribe</t>
  </si>
  <si>
    <t>Small Business that are Private not individuals</t>
  </si>
  <si>
    <t>Breakout Costs</t>
  </si>
  <si>
    <t>Breakout Percentages</t>
  </si>
  <si>
    <t>SF 424A (4040-0006)</t>
  </si>
  <si>
    <t>SF 424 (4040-0004)</t>
  </si>
  <si>
    <t>Budget Information - Non-Construction Programs</t>
  </si>
  <si>
    <t>Assurances - Non-Construction Program</t>
  </si>
  <si>
    <t>SF 424B (4040-0007)</t>
  </si>
  <si>
    <t>Subtotal</t>
  </si>
  <si>
    <t>Number of Entities</t>
  </si>
  <si>
    <t>Reports Filed</t>
  </si>
  <si>
    <t>(J)</t>
  </si>
  <si>
    <t>Total Responses (D) x (E)</t>
  </si>
  <si>
    <t>Estimated Total Manhours (F) x (G)</t>
  </si>
  <si>
    <t>Total Cost (H) x (I)</t>
  </si>
  <si>
    <t>REPORTING REQUIREMENTS -  NON FORMS</t>
  </si>
  <si>
    <t>Request for Appeal</t>
  </si>
  <si>
    <t>Applications</t>
  </si>
  <si>
    <t>Oversight and Monitoring</t>
  </si>
  <si>
    <t>Appeals</t>
  </si>
  <si>
    <t>FORMS APPROVED UNDER OTHER OMB NUMBERS</t>
  </si>
  <si>
    <t>Application Narrative - initial criteria, all applicants</t>
  </si>
  <si>
    <t>Application Narrative - documentation of eligibility, all applicants</t>
  </si>
  <si>
    <t>REPORTING - FORMS APPROVED UNDER THIS DOCKET</t>
  </si>
  <si>
    <t>Estimated Cost to Federal Government</t>
  </si>
  <si>
    <t>Activity</t>
  </si>
  <si>
    <t>Applicants</t>
  </si>
  <si>
    <t>Total Year 1 Burden</t>
  </si>
  <si>
    <t>Quarterly reports</t>
  </si>
  <si>
    <t>Wage Class (note "b")</t>
  </si>
  <si>
    <t>Wage Class</t>
  </si>
  <si>
    <t>Rate*</t>
  </si>
  <si>
    <t>*based on 2009 GS Grade 12, step 6 (DC location)</t>
  </si>
  <si>
    <t>RD 1910-11</t>
  </si>
  <si>
    <t>Certification of No Federal Debt</t>
  </si>
  <si>
    <t>Section of Rule (4280.XXX)</t>
  </si>
  <si>
    <t>316(a)</t>
  </si>
  <si>
    <t>316(b)</t>
  </si>
  <si>
    <t>316(d)</t>
  </si>
  <si>
    <t>316(e)</t>
  </si>
  <si>
    <t>Request for Advance or Reimbursement</t>
  </si>
  <si>
    <t>SF-270 (0348-0004)</t>
  </si>
  <si>
    <t>Documentation prior to loan closing</t>
  </si>
  <si>
    <t>Lender certification at loan closing</t>
  </si>
  <si>
    <t>Type of Entity</t>
  </si>
  <si>
    <t>Awardees</t>
  </si>
  <si>
    <t>Year 1</t>
  </si>
  <si>
    <t>Year 2</t>
  </si>
  <si>
    <t>Year 3</t>
  </si>
  <si>
    <t>Total</t>
  </si>
  <si>
    <t>Assumptions on Number of Applicants and Awardees for the First Three Years</t>
  </si>
  <si>
    <t>3 Year Total</t>
  </si>
  <si>
    <t>3 Year Average</t>
  </si>
  <si>
    <t>3-Year Average</t>
  </si>
  <si>
    <t>Breakout Costs - Totals</t>
  </si>
  <si>
    <t>Breakout Costs - 3-Year Average</t>
  </si>
  <si>
    <t>3-year Average</t>
  </si>
  <si>
    <t>Poor performance reports</t>
  </si>
  <si>
    <t>Annual budget report</t>
  </si>
  <si>
    <t>No. of Respondents</t>
  </si>
  <si>
    <t>Review of Quarterly Reports</t>
  </si>
  <si>
    <t>Review Poor Performance Reports</t>
  </si>
  <si>
    <t>Number of Items</t>
  </si>
  <si>
    <t>Hours per Item</t>
  </si>
  <si>
    <t>Review Annual Budgets</t>
  </si>
  <si>
    <t>Burden Estimate for Section 6022 - Rural Microentreprenuer Assistance Program - 3 Year Totals</t>
  </si>
  <si>
    <t>Burden Estimate for Section 6022  - Rural Microentrepreneur Assistance Program - Total and 3-Year Average</t>
  </si>
  <si>
    <t>Burden Estimate for Section 6022  - Rural Microentrepreneur Assistance Program - Year 1</t>
  </si>
  <si>
    <t>Burden Estimate for Section 6022  - Rural Microentrepreneur Assistance Program - Year 2</t>
  </si>
  <si>
    <t>Burden Estimate for Section 6022 - Rural Microentrepreneur Assistance Program - Year 3</t>
  </si>
  <si>
    <t>See footnote a</t>
  </si>
  <si>
    <t>Footnote a</t>
  </si>
  <si>
    <t>This line item addresses the estimated cost for developing, implementing, and administerting RMAP.  The estimate includes cost incurred by USDA staff and other Federal agency groups (e.g., OMB) and contractors (rule development, regulatory impact analysis).</t>
  </si>
  <si>
    <t>Burden Estimate for Section 6022 - Rural Microentreprenuer  Assistance Program - Year 1</t>
  </si>
  <si>
    <t>Burden Estimate for Section 6022 - Rural Microentreprenuer  Assistance Program - Year 2</t>
  </si>
  <si>
    <t>Burden Estimate for Section 6022 - Rural Microentreprenuer  Assistance Program - Year 3</t>
  </si>
  <si>
    <t>Additional Documentaton - Microlenders with &gt; 3 yrs exp</t>
  </si>
  <si>
    <t>Additional Documentation - Microlenders with &lt; 3 yrs exp</t>
  </si>
  <si>
    <t>Microlender with &lt; 3 yrs exp</t>
  </si>
  <si>
    <t>Microlender with &gt; 3 yrs exp</t>
  </si>
  <si>
    <t>Application from microlenders with &gt; 5 yrs exp in program</t>
  </si>
  <si>
    <t>Deposit Agreement</t>
  </si>
  <si>
    <t>RD 402-1</t>
  </si>
  <si>
    <t>Promissory Note</t>
  </si>
  <si>
    <t>Loan Agreement</t>
  </si>
  <si>
    <t>RD 4274-4</t>
  </si>
  <si>
    <t>RD 1942-46</t>
  </si>
  <si>
    <t>Letter of Intent to Meet Conditions</t>
  </si>
  <si>
    <t>RD 4274-3</t>
  </si>
  <si>
    <t>3-yr ave</t>
  </si>
  <si>
    <t>Number of applicants</t>
  </si>
  <si>
    <t>Number of awardees</t>
  </si>
  <si>
    <t>Calculation of application burden</t>
  </si>
  <si>
    <t>Year</t>
  </si>
  <si>
    <t>Hours</t>
  </si>
  <si>
    <t>Comment</t>
  </si>
  <si>
    <t>Number of</t>
  </si>
  <si>
    <t>Respondents</t>
  </si>
  <si>
    <t>Application Narrative - initial criteria, all applicants REPEAT</t>
  </si>
  <si>
    <t>Application Narrative - initial criteria, all applicants NEW</t>
  </si>
  <si>
    <t>Application Narrative - documentation of eligibility, all applicants REPEAT</t>
  </si>
  <si>
    <t>Application Narrative - documentation of eligibility, all applicants NEW</t>
  </si>
  <si>
    <t>Additional Documentaton - Microlenders with &gt; 3 yrs exp REPEAT</t>
  </si>
  <si>
    <t>Additional Documentaton - Microlenders with &gt; 3 yrs exp NEW</t>
  </si>
  <si>
    <t>Additional Documentation - Microlenders with &lt; 3 yrs exp REPEAT</t>
  </si>
  <si>
    <t>Additional Documentation - Microlenders with &lt; 3 yrs exp NEW</t>
  </si>
  <si>
    <t>704 from the Year 2 spreadsheet</t>
  </si>
  <si>
    <t>814 from Year 3 spreadsheet</t>
  </si>
  <si>
    <t>1680 from Year 1 spreadsheet</t>
  </si>
  <si>
    <t>Enhancement Grants</t>
  </si>
  <si>
    <t>This would be 6 hours effort regardless of the year.</t>
  </si>
  <si>
    <t>The current hour structure for enhancement grants assumes repeats from the same MDO in years 2 and 3.  Is that what we want to assume?</t>
  </si>
  <si>
    <t>A different assumption is that each new applicant (less than 3 years exp) is also going to ask for an enhancement grant.</t>
  </si>
  <si>
    <t>Would also assume to each appilcant (less than 3 years exp) only seeks an enhancement grant once.</t>
  </si>
  <si>
    <t>Additional Documentaton - Microlenders with &gt; 3 yrs exp (new applicants)</t>
  </si>
  <si>
    <t>Additional Documentaton - Microlenders with &gt; 3 yrs exp (repeat applicants)</t>
  </si>
  <si>
    <t>RD 4280-3</t>
  </si>
  <si>
    <t>316(c)</t>
  </si>
  <si>
    <t>315(c)(5)</t>
  </si>
  <si>
    <t>315(c)(6)</t>
  </si>
  <si>
    <t>315(c)(3)</t>
  </si>
  <si>
    <t>315(c)(4)</t>
  </si>
  <si>
    <t>RD 1940-1</t>
  </si>
  <si>
    <t>Request for Obligation of Funds</t>
  </si>
  <si>
    <t>Project Performance Report cover sheet</t>
  </si>
  <si>
    <t>Performance Measures</t>
  </si>
  <si>
    <t>Activity Based Expenditures</t>
  </si>
  <si>
    <t>SF-PPR (0970-0334)</t>
  </si>
  <si>
    <t>SF-PPR-A (0970-0334)</t>
  </si>
  <si>
    <t>SF-PPR-E (0970-0334)</t>
  </si>
  <si>
    <t>Rural Economic Development Grant/Rural Microentrepreneur Assistance Program Agreement</t>
  </si>
  <si>
    <t>320(a)(3)</t>
  </si>
  <si>
    <t>315(c)(10)</t>
  </si>
  <si>
    <t>320(a)(1)(i)</t>
  </si>
  <si>
    <t>Additional Documentation - Microlenders with 3 or less yrs exp (new applicants)</t>
  </si>
  <si>
    <t>Additional Documentation - Microlenders with 3 or less yrs exp (repeat applicants)</t>
  </si>
  <si>
    <t>Additional Documentation - Technical assistance only grants</t>
  </si>
  <si>
    <t>Technical assistance only grants</t>
  </si>
  <si>
    <t>Total Year 3 Burden</t>
  </si>
  <si>
    <t>Total Year 2 Burden</t>
  </si>
  <si>
    <t>311(g)(1); 320(a)(1)</t>
  </si>
  <si>
    <t>313(a)(4)</t>
  </si>
  <si>
    <t>312(c)(1)</t>
  </si>
  <si>
    <t>312(c)(2)</t>
  </si>
  <si>
    <t>312(c)(1)(ii)</t>
  </si>
  <si>
    <t>312(a)</t>
  </si>
  <si>
    <t>312(b)</t>
  </si>
  <si>
    <t>313(e)</t>
  </si>
  <si>
    <t>320(a)(1)(ii)</t>
  </si>
  <si>
    <t>RD 400-4</t>
  </si>
  <si>
    <t>Assurance Agreement</t>
  </si>
  <si>
    <t>312(c)(iv)</t>
  </si>
  <si>
    <t>315(c)(1)</t>
  </si>
  <si>
    <t>315(c)(2)</t>
  </si>
  <si>
    <t>315(c)(8), (c)(9)</t>
  </si>
  <si>
    <t>Application Narrative - documentation of eligibility, all applicants including certification of credit not available elsewhere</t>
  </si>
  <si>
    <t>2 hours for 51 repeat MDO; 8 hours for 20 new applications</t>
  </si>
  <si>
    <t>2 hours for 51 repeat MDO; 16 hours for 20 new applications</t>
  </si>
  <si>
    <t>2 hours for 51 repeat MDO; 8 hours for 19 new applications</t>
  </si>
  <si>
    <t>2 hours for 53 repeat MDO; 8 hours for 28 new applications</t>
  </si>
  <si>
    <t>2 hours for 53 repeat MDO; 16 hours for 28 new applications</t>
  </si>
  <si>
    <t>2 hours for 53 repeat MDO; 8 hours for 27 new applications</t>
  </si>
  <si>
    <t>315(c)(9)</t>
  </si>
  <si>
    <t>Compliance Review</t>
  </si>
  <si>
    <t>RD 400-8</t>
  </si>
</sst>
</file>

<file path=xl/styles.xml><?xml version="1.0" encoding="utf-8"?>
<styleSheet xmlns="http://schemas.openxmlformats.org/spreadsheetml/2006/main">
  <numFmts count="5">
    <numFmt numFmtId="43" formatCode="_(* #,##0.00_);_(* \(#,##0.00\);_(* &quot;-&quot;??_);_(@_)"/>
    <numFmt numFmtId="164" formatCode="&quot;$&quot;#,##0"/>
    <numFmt numFmtId="165" formatCode="0.0"/>
    <numFmt numFmtId="166" formatCode="#,##0.0"/>
    <numFmt numFmtId="167" formatCode="&quot;$&quot;#,##0.00"/>
  </numFmts>
  <fonts count="10">
    <font>
      <sz val="10"/>
      <name val="Arial"/>
    </font>
    <font>
      <b/>
      <sz val="10"/>
      <name val="Arial"/>
      <family val="2"/>
    </font>
    <font>
      <sz val="8"/>
      <name val="Arial"/>
      <family val="2"/>
    </font>
    <font>
      <b/>
      <sz val="10"/>
      <name val="Arial"/>
      <family val="2"/>
    </font>
    <font>
      <sz val="10"/>
      <name val="Arial"/>
      <family val="2"/>
    </font>
    <font>
      <sz val="12"/>
      <name val="Arial"/>
      <family val="2"/>
    </font>
    <font>
      <b/>
      <sz val="11"/>
      <name val="Arial"/>
      <family val="2"/>
    </font>
    <font>
      <sz val="11"/>
      <name val="Arial"/>
      <family val="2"/>
    </font>
    <font>
      <sz val="8"/>
      <color indexed="81"/>
      <name val="Tahoma"/>
      <family val="2"/>
    </font>
    <font>
      <b/>
      <sz val="8"/>
      <color indexed="81"/>
      <name val="Tahoma"/>
      <family val="2"/>
    </font>
  </fonts>
  <fills count="3">
    <fill>
      <patternFill patternType="none"/>
    </fill>
    <fill>
      <patternFill patternType="gray125"/>
    </fill>
    <fill>
      <patternFill patternType="solid">
        <fgColor rgb="FFFFFF00"/>
        <bgColor indexed="64"/>
      </patternFill>
    </fill>
  </fills>
  <borders count="14">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54">
    <xf numFmtId="0" fontId="0" fillId="0" borderId="0" xfId="0"/>
    <xf numFmtId="0" fontId="0" fillId="0" borderId="0" xfId="0" applyFill="1"/>
    <xf numFmtId="0" fontId="3" fillId="0" borderId="1" xfId="0" applyFont="1" applyFill="1" applyBorder="1" applyAlignment="1">
      <alignment horizontal="center" vertical="center" wrapText="1"/>
    </xf>
    <xf numFmtId="164" fontId="0" fillId="0" borderId="0" xfId="0" applyNumberFormat="1" applyFill="1"/>
    <xf numFmtId="0" fontId="4" fillId="0" borderId="3" xfId="0" applyNumberFormat="1" applyFont="1" applyFill="1" applyBorder="1" applyAlignment="1" applyProtection="1">
      <alignment horizontal="center" vertical="center"/>
      <protection locked="0"/>
    </xf>
    <xf numFmtId="0" fontId="4" fillId="0" borderId="4" xfId="0" applyNumberFormat="1" applyFont="1" applyFill="1" applyBorder="1" applyAlignment="1" applyProtection="1">
      <alignment horizontal="center" vertical="center"/>
      <protection locked="0"/>
    </xf>
    <xf numFmtId="0" fontId="4" fillId="0" borderId="4" xfId="0" applyNumberFormat="1" applyFont="1" applyFill="1" applyBorder="1" applyAlignment="1" applyProtection="1">
      <alignment horizontal="center" vertical="center" wrapText="1"/>
      <protection locked="0"/>
    </xf>
    <xf numFmtId="0" fontId="4" fillId="0" borderId="5" xfId="0" applyNumberFormat="1" applyFont="1" applyFill="1" applyBorder="1" applyAlignment="1" applyProtection="1">
      <alignment horizontal="center" vertical="center" wrapText="1"/>
      <protection locked="0"/>
    </xf>
    <xf numFmtId="165" fontId="4" fillId="0" borderId="4" xfId="0" applyNumberFormat="1" applyFont="1" applyFill="1" applyBorder="1" applyAlignment="1" applyProtection="1">
      <alignment horizontal="center" vertical="center" wrapText="1"/>
      <protection locked="0"/>
    </xf>
    <xf numFmtId="0" fontId="5" fillId="0" borderId="0" xfId="0" applyFont="1"/>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7" fillId="0" borderId="2" xfId="0" applyFont="1" applyFill="1" applyBorder="1"/>
    <xf numFmtId="0" fontId="7" fillId="0" borderId="2" xfId="0" applyFont="1" applyFill="1" applyBorder="1" applyAlignment="1">
      <alignment horizontal="center"/>
    </xf>
    <xf numFmtId="164" fontId="7" fillId="0" borderId="2" xfId="0" applyNumberFormat="1" applyFont="1" applyFill="1" applyBorder="1"/>
    <xf numFmtId="167" fontId="7" fillId="0" borderId="2" xfId="0" applyNumberFormat="1" applyFont="1" applyFill="1" applyBorder="1" applyAlignment="1">
      <alignment horizontal="center"/>
    </xf>
    <xf numFmtId="0" fontId="7" fillId="0" borderId="0" xfId="0" applyFont="1" applyFill="1" applyBorder="1"/>
    <xf numFmtId="0" fontId="4" fillId="0" borderId="3" xfId="0" applyNumberFormat="1" applyFont="1" applyFill="1" applyBorder="1" applyAlignment="1" applyProtection="1">
      <alignment horizontal="center" vertical="center" wrapText="1"/>
      <protection locked="0"/>
    </xf>
    <xf numFmtId="0" fontId="3" fillId="0" borderId="0" xfId="0" applyFont="1" applyFill="1" applyBorder="1" applyAlignment="1">
      <alignment horizontal="center" vertical="center" wrapText="1"/>
    </xf>
    <xf numFmtId="1" fontId="7" fillId="0" borderId="2" xfId="0" applyNumberFormat="1" applyFont="1" applyFill="1" applyBorder="1" applyAlignment="1">
      <alignment horizontal="center"/>
    </xf>
    <xf numFmtId="0" fontId="7" fillId="0" borderId="0" xfId="0" applyFont="1" applyFill="1" applyBorder="1" applyAlignment="1">
      <alignment horizontal="right" vertical="top"/>
    </xf>
    <xf numFmtId="0" fontId="4" fillId="0" borderId="0" xfId="0" applyNumberFormat="1" applyFont="1" applyFill="1" applyBorder="1" applyAlignment="1" applyProtection="1">
      <alignment vertical="center"/>
      <protection locked="0"/>
    </xf>
    <xf numFmtId="165" fontId="4" fillId="0" borderId="0" xfId="0" applyNumberFormat="1" applyFont="1" applyFill="1" applyBorder="1" applyAlignment="1" applyProtection="1">
      <alignment horizontal="center" vertical="center"/>
      <protection locked="0"/>
    </xf>
    <xf numFmtId="0" fontId="0" fillId="0" borderId="0" xfId="0" applyAlignment="1">
      <alignment vertical="center"/>
    </xf>
    <xf numFmtId="0" fontId="3" fillId="0" borderId="0" xfId="0" applyFont="1" applyAlignment="1">
      <alignment horizontal="center" vertical="center"/>
    </xf>
    <xf numFmtId="0" fontId="4" fillId="0" borderId="6" xfId="0" applyNumberFormat="1" applyFont="1" applyFill="1" applyBorder="1" applyAlignment="1" applyProtection="1">
      <alignment horizontal="center" vertical="center"/>
      <protection locked="0"/>
    </xf>
    <xf numFmtId="0" fontId="4" fillId="0" borderId="7" xfId="0" applyNumberFormat="1" applyFont="1" applyFill="1" applyBorder="1" applyAlignment="1" applyProtection="1">
      <alignment horizontal="center" vertical="center"/>
      <protection locked="0"/>
    </xf>
    <xf numFmtId="165" fontId="4" fillId="0" borderId="7" xfId="0" applyNumberFormat="1" applyFont="1" applyFill="1" applyBorder="1" applyAlignment="1" applyProtection="1">
      <alignment horizontal="center" vertical="center"/>
      <protection locked="0"/>
    </xf>
    <xf numFmtId="0" fontId="4" fillId="0" borderId="8" xfId="0" applyNumberFormat="1" applyFont="1" applyFill="1" applyBorder="1" applyAlignment="1" applyProtection="1">
      <alignment horizontal="center" vertical="center"/>
      <protection locked="0"/>
    </xf>
    <xf numFmtId="0" fontId="4" fillId="0" borderId="0" xfId="0" applyNumberFormat="1" applyFont="1" applyFill="1" applyBorder="1" applyAlignment="1" applyProtection="1">
      <alignment horizontal="center" vertical="center"/>
      <protection locked="0"/>
    </xf>
    <xf numFmtId="0" fontId="3" fillId="0" borderId="2" xfId="0" applyFont="1" applyFill="1" applyBorder="1" applyAlignment="1">
      <alignment vertical="center"/>
    </xf>
    <xf numFmtId="3" fontId="3" fillId="0" borderId="2" xfId="1" applyNumberFormat="1" applyFont="1" applyFill="1" applyBorder="1" applyAlignment="1">
      <alignment horizontal="center" vertical="center"/>
    </xf>
    <xf numFmtId="0" fontId="3" fillId="0" borderId="2" xfId="0" applyFont="1" applyFill="1" applyBorder="1" applyAlignment="1">
      <alignment horizontal="center" vertical="center"/>
    </xf>
    <xf numFmtId="165" fontId="3" fillId="0" borderId="2" xfId="0" applyNumberFormat="1" applyFont="1" applyFill="1" applyBorder="1" applyAlignment="1">
      <alignment horizontal="center" vertical="center"/>
    </xf>
    <xf numFmtId="3" fontId="3" fillId="0" borderId="10" xfId="0" applyNumberFormat="1"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37" fontId="3" fillId="0" borderId="2" xfId="0" applyNumberFormat="1" applyFont="1" applyFill="1" applyBorder="1" applyAlignment="1" applyProtection="1">
      <alignment horizontal="left" vertical="center"/>
    </xf>
    <xf numFmtId="0" fontId="4" fillId="0" borderId="2" xfId="0" applyFont="1" applyFill="1" applyBorder="1" applyAlignment="1">
      <alignment horizontal="center" vertical="center" wrapText="1"/>
    </xf>
    <xf numFmtId="3" fontId="4" fillId="0" borderId="2" xfId="1" applyNumberFormat="1" applyFont="1" applyFill="1" applyBorder="1" applyAlignment="1">
      <alignment horizontal="center" vertical="center"/>
    </xf>
    <xf numFmtId="0" fontId="4" fillId="0" borderId="2" xfId="0" applyFont="1" applyFill="1" applyBorder="1" applyAlignment="1">
      <alignment horizontal="center" vertical="center"/>
    </xf>
    <xf numFmtId="1" fontId="4" fillId="0" borderId="2" xfId="1" applyNumberFormat="1" applyFont="1" applyFill="1" applyBorder="1" applyAlignment="1">
      <alignment horizontal="center" vertical="center"/>
    </xf>
    <xf numFmtId="165" fontId="4" fillId="0" borderId="2" xfId="0" applyNumberFormat="1" applyFont="1" applyFill="1" applyBorder="1" applyAlignment="1">
      <alignment horizontal="center" vertical="center"/>
    </xf>
    <xf numFmtId="3" fontId="4" fillId="0" borderId="10" xfId="0" applyNumberFormat="1" applyFont="1" applyFill="1" applyBorder="1" applyAlignment="1">
      <alignment horizontal="center" vertical="center"/>
    </xf>
    <xf numFmtId="0" fontId="4" fillId="0" borderId="1" xfId="0" applyFont="1" applyFill="1" applyBorder="1" applyAlignment="1">
      <alignment horizontal="center" vertical="center"/>
    </xf>
    <xf numFmtId="37" fontId="4" fillId="0" borderId="2" xfId="0" applyNumberFormat="1" applyFont="1" applyFill="1" applyBorder="1" applyAlignment="1" applyProtection="1">
      <alignment horizontal="left" vertical="center"/>
    </xf>
    <xf numFmtId="4" fontId="4" fillId="0" borderId="2" xfId="1" applyNumberFormat="1" applyFont="1" applyFill="1" applyBorder="1" applyAlignment="1">
      <alignment horizontal="center" vertical="center"/>
    </xf>
    <xf numFmtId="166" fontId="4" fillId="0" borderId="2" xfId="1" applyNumberFormat="1" applyFont="1" applyFill="1" applyBorder="1" applyAlignment="1">
      <alignment horizontal="center" vertical="center"/>
    </xf>
    <xf numFmtId="167" fontId="4" fillId="0" borderId="2" xfId="0" applyNumberFormat="1" applyFont="1" applyFill="1" applyBorder="1" applyAlignment="1">
      <alignment horizontal="center" vertical="center"/>
    </xf>
    <xf numFmtId="164" fontId="4" fillId="0" borderId="2" xfId="1" applyNumberFormat="1" applyFont="1" applyFill="1" applyBorder="1" applyAlignment="1">
      <alignment horizontal="center" vertical="center"/>
    </xf>
    <xf numFmtId="164" fontId="4" fillId="0" borderId="1" xfId="0" applyNumberFormat="1" applyFont="1" applyFill="1" applyBorder="1" applyAlignment="1">
      <alignment horizontal="center" vertical="center"/>
    </xf>
    <xf numFmtId="10" fontId="0" fillId="0" borderId="0" xfId="0" applyNumberFormat="1" applyAlignment="1">
      <alignment vertical="center"/>
    </xf>
    <xf numFmtId="164" fontId="0" fillId="0" borderId="0" xfId="0" applyNumberFormat="1" applyAlignment="1">
      <alignment vertical="center"/>
    </xf>
    <xf numFmtId="3" fontId="0" fillId="0" borderId="0" xfId="0" applyNumberFormat="1" applyFont="1" applyFill="1" applyAlignment="1">
      <alignment vertical="center"/>
    </xf>
    <xf numFmtId="166" fontId="0" fillId="0" borderId="0" xfId="0" applyNumberFormat="1" applyFont="1" applyFill="1" applyAlignment="1">
      <alignment vertical="center"/>
    </xf>
    <xf numFmtId="0" fontId="4" fillId="0" borderId="2" xfId="0" applyFont="1" applyFill="1" applyBorder="1" applyAlignment="1">
      <alignment vertical="center" wrapText="1"/>
    </xf>
    <xf numFmtId="0" fontId="4" fillId="0" borderId="0" xfId="0" applyFont="1" applyFill="1" applyAlignment="1">
      <alignment horizontal="center" vertical="center" wrapText="1"/>
    </xf>
    <xf numFmtId="0" fontId="3" fillId="0" borderId="2" xfId="0" applyFont="1" applyFill="1" applyBorder="1" applyAlignment="1">
      <alignment vertical="center" wrapText="1"/>
    </xf>
    <xf numFmtId="164" fontId="4" fillId="0" borderId="2" xfId="0" applyNumberFormat="1" applyFont="1" applyFill="1" applyBorder="1" applyAlignment="1">
      <alignment horizontal="center" vertical="center"/>
    </xf>
    <xf numFmtId="164" fontId="4" fillId="0" borderId="10" xfId="0" applyNumberFormat="1" applyFont="1" applyFill="1" applyBorder="1" applyAlignment="1">
      <alignment horizontal="center" vertical="center"/>
    </xf>
    <xf numFmtId="1" fontId="4" fillId="0" borderId="2" xfId="0" applyNumberFormat="1" applyFont="1" applyFill="1" applyBorder="1" applyAlignment="1">
      <alignment horizontal="center" vertical="center"/>
    </xf>
    <xf numFmtId="0" fontId="3"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3" fontId="3" fillId="0" borderId="0" xfId="1" applyNumberFormat="1" applyFont="1" applyFill="1" applyBorder="1" applyAlignment="1">
      <alignment horizontal="center" vertical="center"/>
    </xf>
    <xf numFmtId="165" fontId="3" fillId="0" borderId="0" xfId="0" applyNumberFormat="1" applyFont="1" applyFill="1" applyBorder="1" applyAlignment="1">
      <alignment horizontal="center" vertical="center"/>
    </xf>
    <xf numFmtId="166" fontId="3" fillId="0" borderId="0" xfId="1" applyNumberFormat="1" applyFont="1" applyFill="1" applyBorder="1" applyAlignment="1">
      <alignment horizontal="center" vertical="center"/>
    </xf>
    <xf numFmtId="164" fontId="4" fillId="0" borderId="0" xfId="0" applyNumberFormat="1" applyFont="1" applyFill="1" applyBorder="1" applyAlignment="1">
      <alignment horizontal="center" vertical="center"/>
    </xf>
    <xf numFmtId="164" fontId="3" fillId="0" borderId="0" xfId="0" applyNumberFormat="1" applyFont="1" applyFill="1" applyBorder="1" applyAlignment="1">
      <alignment horizontal="center" vertical="center"/>
    </xf>
    <xf numFmtId="165" fontId="4" fillId="0" borderId="0" xfId="0" applyNumberFormat="1" applyFont="1" applyFill="1" applyAlignment="1">
      <alignment horizontal="center" vertical="center"/>
    </xf>
    <xf numFmtId="166" fontId="4" fillId="0" borderId="0" xfId="0" applyNumberFormat="1" applyFont="1" applyFill="1" applyAlignment="1">
      <alignment horizontal="center" vertical="center"/>
    </xf>
    <xf numFmtId="164" fontId="4" fillId="0" borderId="0" xfId="0" applyNumberFormat="1" applyFont="1" applyFill="1" applyAlignment="1">
      <alignment horizontal="center" vertical="center"/>
    </xf>
    <xf numFmtId="0" fontId="3" fillId="0" borderId="1" xfId="0" applyFont="1" applyFill="1" applyBorder="1" applyAlignment="1">
      <alignment horizontal="center" vertical="center"/>
    </xf>
    <xf numFmtId="37" fontId="3" fillId="0" borderId="0" xfId="0" applyNumberFormat="1" applyFont="1" applyFill="1" applyBorder="1" applyAlignment="1" applyProtection="1">
      <alignment horizontal="left" vertical="center"/>
    </xf>
    <xf numFmtId="3" fontId="3" fillId="0" borderId="0" xfId="0" applyNumberFormat="1" applyFont="1" applyFill="1" applyBorder="1" applyAlignment="1">
      <alignment horizontal="center" vertical="center"/>
    </xf>
    <xf numFmtId="166" fontId="3"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4" fillId="0" borderId="2" xfId="0" applyFont="1" applyFill="1" applyBorder="1" applyAlignment="1">
      <alignment vertical="center"/>
    </xf>
    <xf numFmtId="0" fontId="4" fillId="0" borderId="9" xfId="0" applyFont="1" applyFill="1" applyBorder="1" applyAlignment="1">
      <alignment vertical="center" wrapText="1"/>
    </xf>
    <xf numFmtId="0" fontId="4" fillId="0" borderId="9" xfId="0" applyFont="1" applyFill="1" applyBorder="1" applyAlignment="1">
      <alignment horizontal="center" vertical="center"/>
    </xf>
    <xf numFmtId="165" fontId="4" fillId="0" borderId="0" xfId="0" applyNumberFormat="1" applyFont="1" applyFill="1" applyBorder="1" applyAlignment="1">
      <alignment horizontal="center" vertical="center"/>
    </xf>
    <xf numFmtId="164" fontId="4" fillId="0" borderId="0" xfId="0" applyNumberFormat="1" applyFont="1" applyFill="1" applyAlignment="1">
      <alignment vertical="center"/>
    </xf>
    <xf numFmtId="166" fontId="4" fillId="0" borderId="0" xfId="0" applyNumberFormat="1" applyFont="1" applyFill="1" applyAlignment="1">
      <alignment vertical="center"/>
    </xf>
    <xf numFmtId="3" fontId="4" fillId="0" borderId="0" xfId="0" applyNumberFormat="1" applyFont="1" applyFill="1" applyAlignment="1">
      <alignment vertical="center"/>
    </xf>
    <xf numFmtId="1" fontId="4" fillId="0" borderId="0" xfId="0" applyNumberFormat="1" applyFont="1" applyFill="1" applyAlignment="1">
      <alignment horizontal="center" vertical="center"/>
    </xf>
    <xf numFmtId="1" fontId="4" fillId="0" borderId="0" xfId="0" applyNumberFormat="1" applyFont="1" applyFill="1" applyAlignment="1">
      <alignment vertical="center"/>
    </xf>
    <xf numFmtId="0" fontId="4" fillId="0" borderId="0" xfId="0" applyFont="1" applyFill="1" applyBorder="1" applyAlignment="1">
      <alignment vertical="center" wrapText="1"/>
    </xf>
    <xf numFmtId="0" fontId="4" fillId="0" borderId="1" xfId="0" applyFont="1" applyFill="1" applyBorder="1" applyAlignment="1">
      <alignment horizontal="center" vertical="center" wrapText="1"/>
    </xf>
    <xf numFmtId="0" fontId="3" fillId="0" borderId="0" xfId="0" applyFont="1" applyFill="1" applyBorder="1" applyAlignment="1">
      <alignment vertical="center"/>
    </xf>
    <xf numFmtId="3" fontId="4" fillId="0" borderId="0" xfId="0" applyNumberFormat="1" applyFont="1" applyFill="1" applyBorder="1" applyAlignment="1">
      <alignment vertical="center"/>
    </xf>
    <xf numFmtId="3" fontId="4" fillId="0" borderId="0" xfId="0" applyNumberFormat="1" applyFont="1" applyFill="1" applyBorder="1" applyAlignment="1">
      <alignment horizontal="center" vertical="center"/>
    </xf>
    <xf numFmtId="0" fontId="4" fillId="0" borderId="0" xfId="0" applyFont="1" applyFill="1" applyBorder="1" applyAlignment="1">
      <alignment horizontal="right" vertical="center"/>
    </xf>
    <xf numFmtId="2" fontId="4" fillId="0" borderId="2" xfId="0" applyNumberFormat="1" applyFont="1" applyFill="1" applyBorder="1" applyAlignment="1">
      <alignment horizontal="center" vertical="center"/>
    </xf>
    <xf numFmtId="2" fontId="4" fillId="0" borderId="9" xfId="0" applyNumberFormat="1" applyFont="1" applyFill="1" applyBorder="1" applyAlignment="1">
      <alignment horizontal="center" vertical="center"/>
    </xf>
    <xf numFmtId="166" fontId="3" fillId="0" borderId="0" xfId="0" applyNumberFormat="1" applyFont="1" applyFill="1" applyAlignment="1">
      <alignment vertical="center"/>
    </xf>
    <xf numFmtId="0" fontId="4" fillId="0" borderId="0" xfId="0" applyFont="1" applyFill="1" applyAlignment="1">
      <alignment vertical="center" wrapText="1"/>
    </xf>
    <xf numFmtId="167" fontId="4" fillId="0" borderId="0" xfId="0" applyNumberFormat="1" applyFont="1" applyFill="1" applyBorder="1" applyAlignment="1">
      <alignment vertical="center"/>
    </xf>
    <xf numFmtId="1" fontId="4" fillId="0" borderId="0" xfId="0" applyNumberFormat="1" applyFont="1" applyFill="1" applyBorder="1" applyAlignment="1">
      <alignment horizontal="center" vertical="center"/>
    </xf>
    <xf numFmtId="3" fontId="3" fillId="0" borderId="2" xfId="0" applyNumberFormat="1" applyFont="1" applyFill="1" applyBorder="1" applyAlignment="1">
      <alignment horizontal="center" vertical="center"/>
    </xf>
    <xf numFmtId="2" fontId="4" fillId="0" borderId="0" xfId="0" applyNumberFormat="1" applyFont="1" applyFill="1" applyBorder="1" applyAlignment="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0" xfId="0" applyFont="1" applyFill="1" applyAlignment="1">
      <alignment horizontal="right" vertical="center"/>
    </xf>
    <xf numFmtId="0" fontId="1" fillId="0" borderId="0" xfId="0" applyFont="1" applyFill="1" applyAlignment="1">
      <alignment horizontal="center" vertical="center"/>
    </xf>
    <xf numFmtId="0" fontId="0" fillId="0" borderId="0" xfId="0" applyAlignment="1">
      <alignment horizontal="center"/>
    </xf>
    <xf numFmtId="0" fontId="4" fillId="2" borderId="2" xfId="0" applyFont="1" applyFill="1" applyBorder="1" applyAlignment="1">
      <alignment vertical="center" wrapText="1"/>
    </xf>
    <xf numFmtId="0" fontId="4" fillId="2" borderId="0" xfId="0" applyFont="1" applyFill="1" applyAlignment="1">
      <alignment horizontal="center" vertical="center"/>
    </xf>
    <xf numFmtId="0" fontId="4" fillId="2" borderId="0" xfId="0" applyFont="1" applyFill="1" applyAlignment="1">
      <alignment vertical="center"/>
    </xf>
    <xf numFmtId="0" fontId="1" fillId="0" borderId="0" xfId="0" applyFont="1" applyFill="1" applyAlignment="1">
      <alignment vertical="center"/>
    </xf>
    <xf numFmtId="0" fontId="4" fillId="0" borderId="0" xfId="0" applyFont="1" applyFill="1"/>
    <xf numFmtId="0" fontId="4" fillId="0" borderId="2" xfId="0" applyFont="1" applyFill="1" applyBorder="1" applyAlignment="1">
      <alignment horizontal="center" vertical="top"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37" fontId="4" fillId="0" borderId="2" xfId="0" applyNumberFormat="1" applyFont="1" applyFill="1" applyBorder="1" applyAlignment="1" applyProtection="1">
      <alignment horizontal="left" vertical="center" wrapText="1"/>
    </xf>
    <xf numFmtId="3" fontId="4" fillId="0" borderId="0" xfId="0" applyNumberFormat="1" applyFont="1" applyFill="1" applyAlignment="1">
      <alignment horizontal="center" vertical="center"/>
    </xf>
    <xf numFmtId="0" fontId="1" fillId="0" borderId="0" xfId="0" applyFont="1" applyFill="1" applyBorder="1" applyAlignment="1">
      <alignment vertical="center" wrapText="1"/>
    </xf>
    <xf numFmtId="37" fontId="1" fillId="0" borderId="2" xfId="0" applyNumberFormat="1" applyFont="1" applyFill="1" applyBorder="1" applyAlignment="1" applyProtection="1">
      <alignment horizontal="left" vertical="center" wrapText="1"/>
    </xf>
    <xf numFmtId="37" fontId="4" fillId="0" borderId="2" xfId="0" applyNumberFormat="1" applyFont="1" applyFill="1" applyBorder="1" applyAlignment="1" applyProtection="1">
      <alignment horizontal="center" vertical="center" wrapText="1"/>
    </xf>
    <xf numFmtId="165" fontId="1" fillId="0" borderId="0" xfId="0" applyNumberFormat="1" applyFont="1" applyFill="1" applyBorder="1" applyAlignment="1">
      <alignment horizontal="center" vertical="center"/>
    </xf>
    <xf numFmtId="164" fontId="3" fillId="0" borderId="0" xfId="1" applyNumberFormat="1" applyFont="1" applyFill="1" applyBorder="1" applyAlignment="1">
      <alignment horizontal="center" vertical="center"/>
    </xf>
    <xf numFmtId="165" fontId="7" fillId="0" borderId="2" xfId="0" applyNumberFormat="1" applyFont="1" applyFill="1" applyBorder="1" applyAlignment="1">
      <alignment horizontal="center"/>
    </xf>
    <xf numFmtId="2" fontId="7" fillId="0" borderId="2" xfId="0" applyNumberFormat="1" applyFont="1" applyFill="1" applyBorder="1" applyAlignment="1">
      <alignment horizontal="center"/>
    </xf>
    <xf numFmtId="0" fontId="4" fillId="0" borderId="0" xfId="0" applyFont="1" applyFill="1" applyBorder="1" applyAlignment="1">
      <alignment horizontal="center" vertical="center"/>
    </xf>
    <xf numFmtId="3" fontId="3" fillId="0" borderId="4" xfId="0" applyNumberFormat="1" applyFont="1" applyFill="1" applyBorder="1" applyAlignment="1">
      <alignment horizontal="center" vertical="center"/>
    </xf>
    <xf numFmtId="166" fontId="3" fillId="0" borderId="4" xfId="0" applyNumberFormat="1" applyFont="1" applyFill="1" applyBorder="1" applyAlignment="1">
      <alignment horizontal="center" vertical="center"/>
    </xf>
    <xf numFmtId="164" fontId="3" fillId="0" borderId="4" xfId="0" applyNumberFormat="1" applyFont="1" applyFill="1" applyBorder="1" applyAlignment="1">
      <alignment horizontal="center" vertical="center"/>
    </xf>
    <xf numFmtId="1" fontId="4" fillId="0" borderId="9" xfId="1" applyNumberFormat="1" applyFont="1" applyFill="1" applyBorder="1" applyAlignment="1">
      <alignment horizontal="center" vertical="center"/>
    </xf>
    <xf numFmtId="166" fontId="4" fillId="0" borderId="9" xfId="1" applyNumberFormat="1" applyFont="1" applyFill="1" applyBorder="1" applyAlignment="1">
      <alignment horizontal="center" vertical="center"/>
    </xf>
    <xf numFmtId="164" fontId="4" fillId="0" borderId="3" xfId="0" applyNumberFormat="1" applyFont="1" applyFill="1" applyBorder="1" applyAlignment="1">
      <alignment horizontal="center" vertical="center"/>
    </xf>
    <xf numFmtId="3" fontId="4" fillId="0" borderId="9" xfId="1" applyNumberFormat="1" applyFont="1" applyFill="1" applyBorder="1" applyAlignment="1">
      <alignment horizontal="center" vertical="center"/>
    </xf>
    <xf numFmtId="3" fontId="1" fillId="0" borderId="0" xfId="1" applyNumberFormat="1" applyFont="1" applyFill="1" applyBorder="1" applyAlignment="1">
      <alignment horizontal="center" vertical="center"/>
    </xf>
    <xf numFmtId="3" fontId="1" fillId="0" borderId="4" xfId="1" applyNumberFormat="1" applyFont="1" applyFill="1" applyBorder="1" applyAlignment="1">
      <alignment horizontal="center" vertical="center"/>
    </xf>
    <xf numFmtId="3" fontId="3" fillId="0" borderId="4" xfId="1" applyNumberFormat="1" applyFont="1" applyFill="1" applyBorder="1" applyAlignment="1">
      <alignment horizontal="center" vertical="center"/>
    </xf>
    <xf numFmtId="166" fontId="3" fillId="0" borderId="4" xfId="1" applyNumberFormat="1" applyFont="1" applyFill="1" applyBorder="1" applyAlignment="1">
      <alignment horizontal="center" vertical="center"/>
    </xf>
    <xf numFmtId="164" fontId="4" fillId="0" borderId="9" xfId="1" applyNumberFormat="1" applyFont="1" applyFill="1" applyBorder="1" applyAlignment="1">
      <alignment horizontal="center" vertical="center"/>
    </xf>
    <xf numFmtId="3" fontId="4" fillId="0" borderId="4" xfId="1" applyNumberFormat="1" applyFont="1" applyFill="1" applyBorder="1" applyAlignment="1">
      <alignment horizontal="center" vertical="center"/>
    </xf>
    <xf numFmtId="3" fontId="3" fillId="0" borderId="13" xfId="0" applyNumberFormat="1" applyFont="1" applyFill="1" applyBorder="1" applyAlignment="1">
      <alignment horizontal="center" vertical="center"/>
    </xf>
    <xf numFmtId="0" fontId="3" fillId="0" borderId="0" xfId="0" applyFont="1" applyAlignment="1">
      <alignment horizontal="center" vertical="center"/>
    </xf>
    <xf numFmtId="0" fontId="3" fillId="0" borderId="0" xfId="0" applyNumberFormat="1" applyFont="1" applyFill="1" applyBorder="1" applyAlignment="1" applyProtection="1">
      <alignment horizontal="center" vertical="center"/>
      <protection locked="0"/>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0" fontId="3" fillId="0" borderId="7" xfId="0" applyNumberFormat="1" applyFont="1" applyFill="1" applyBorder="1" applyAlignment="1" applyProtection="1">
      <alignment horizontal="center" vertical="center"/>
      <protection locked="0"/>
    </xf>
    <xf numFmtId="0" fontId="4" fillId="0" borderId="0" xfId="0" applyFont="1" applyFill="1" applyBorder="1" applyAlignment="1">
      <alignment horizontal="center" vertical="center" wrapText="1"/>
    </xf>
    <xf numFmtId="0" fontId="0" fillId="0" borderId="0" xfId="0" applyAlignment="1">
      <alignment horizontal="center" vertical="center"/>
    </xf>
    <xf numFmtId="0" fontId="4" fillId="0" borderId="0" xfId="0" applyFont="1" applyFill="1" applyBorder="1" applyAlignment="1">
      <alignment horizontal="center" vertical="center"/>
    </xf>
    <xf numFmtId="165" fontId="4" fillId="0" borderId="0" xfId="0" applyNumberFormat="1" applyFont="1" applyFill="1" applyBorder="1" applyAlignment="1">
      <alignment horizontal="center" vertical="center"/>
    </xf>
    <xf numFmtId="0" fontId="3" fillId="0" borderId="0" xfId="0" applyNumberFormat="1" applyFont="1" applyFill="1" applyBorder="1" applyAlignment="1" applyProtection="1">
      <alignment horizontal="center"/>
      <protection locked="0"/>
    </xf>
    <xf numFmtId="0" fontId="3" fillId="0" borderId="7" xfId="0" applyFont="1" applyBorder="1" applyAlignment="1">
      <alignment horizontal="center"/>
    </xf>
    <xf numFmtId="0" fontId="7" fillId="0" borderId="10" xfId="0" applyFont="1" applyFill="1" applyBorder="1" applyAlignment="1">
      <alignment horizontal="center"/>
    </xf>
    <xf numFmtId="0" fontId="0" fillId="0" borderId="12" xfId="0" applyBorder="1" applyAlignment="1">
      <alignment horizontal="center"/>
    </xf>
    <xf numFmtId="0" fontId="0" fillId="0" borderId="11" xfId="0" applyBorder="1" applyAlignment="1">
      <alignment horizontal="center"/>
    </xf>
    <xf numFmtId="0" fontId="4" fillId="0" borderId="0" xfId="0" applyFont="1" applyAlignment="1">
      <alignment vertical="top" wrapText="1"/>
    </xf>
    <xf numFmtId="0" fontId="0" fillId="0" borderId="0" xfId="0" applyAlignment="1">
      <alignment vertical="top" wrapText="1"/>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dimension ref="A1:AD128"/>
  <sheetViews>
    <sheetView tabSelected="1" topLeftCell="I26" zoomScaleNormal="100" zoomScaleSheetLayoutView="93" workbookViewId="0">
      <selection activeCell="L52" sqref="L52"/>
    </sheetView>
  </sheetViews>
  <sheetFormatPr defaultColWidth="9.140625" defaultRowHeight="12.75"/>
  <cols>
    <col min="1" max="1" width="27.5703125" style="36" customWidth="1"/>
    <col min="2" max="2" width="43.5703125" style="36" customWidth="1"/>
    <col min="3" max="3" width="26.7109375" style="37" customWidth="1"/>
    <col min="4" max="4" width="18.5703125" style="36" customWidth="1"/>
    <col min="5" max="5" width="15.28515625" style="36" customWidth="1"/>
    <col min="6" max="6" width="21.42578125" style="36" customWidth="1"/>
    <col min="7" max="7" width="16.85546875" style="70" customWidth="1"/>
    <col min="8" max="8" width="32.28515625" style="36" customWidth="1"/>
    <col min="9" max="9" width="27.140625" style="36" customWidth="1"/>
    <col min="10" max="10" width="28.140625" style="36" customWidth="1"/>
    <col min="11" max="11" width="14.7109375" style="36" customWidth="1"/>
    <col min="12" max="12" width="15.5703125" style="36" bestFit="1" customWidth="1"/>
    <col min="13" max="13" width="10.85546875" style="36" bestFit="1" customWidth="1"/>
    <col min="14" max="14" width="11.5703125" style="36" bestFit="1" customWidth="1"/>
    <col min="15" max="15" width="12" style="36" bestFit="1" customWidth="1"/>
    <col min="16" max="16" width="9.140625" style="36"/>
    <col min="17" max="18" width="10.85546875" style="36" bestFit="1" customWidth="1"/>
    <col min="19" max="19" width="11.5703125" style="36" bestFit="1" customWidth="1"/>
    <col min="20" max="20" width="12" style="36" bestFit="1" customWidth="1"/>
    <col min="21" max="24" width="12" style="36" customWidth="1"/>
    <col min="25" max="25" width="14.140625" style="36" customWidth="1"/>
    <col min="26" max="26" width="9.140625" style="36"/>
    <col min="27" max="28" width="10.85546875" style="36" bestFit="1" customWidth="1"/>
    <col min="29" max="29" width="11.5703125" style="36" bestFit="1" customWidth="1"/>
    <col min="30" max="30" width="12" style="36" bestFit="1" customWidth="1"/>
    <col min="31" max="16384" width="9.140625" style="36"/>
  </cols>
  <sheetData>
    <row r="1" spans="1:30" s="21" customFormat="1">
      <c r="A1" s="139" t="s">
        <v>96</v>
      </c>
      <c r="B1" s="139"/>
      <c r="C1" s="139"/>
      <c r="D1" s="139"/>
      <c r="G1" s="22"/>
    </row>
    <row r="2" spans="1:30" s="21" customFormat="1">
      <c r="A2" s="142" t="s">
        <v>12</v>
      </c>
      <c r="B2" s="142"/>
      <c r="C2" s="142"/>
      <c r="D2" s="142"/>
      <c r="G2" s="22"/>
      <c r="L2" s="138" t="s">
        <v>32</v>
      </c>
      <c r="M2" s="138"/>
      <c r="N2" s="138"/>
      <c r="O2" s="138"/>
      <c r="P2" s="23"/>
      <c r="Q2" s="138" t="s">
        <v>84</v>
      </c>
      <c r="R2" s="138"/>
      <c r="S2" s="138"/>
      <c r="T2" s="138"/>
      <c r="U2" s="24"/>
      <c r="V2" s="138" t="s">
        <v>85</v>
      </c>
      <c r="W2" s="138"/>
      <c r="X2" s="138"/>
      <c r="Y2" s="138"/>
      <c r="AA2" s="139" t="s">
        <v>39</v>
      </c>
      <c r="AB2" s="139"/>
      <c r="AC2" s="139"/>
      <c r="AD2" s="139"/>
    </row>
    <row r="3" spans="1:30" s="21" customFormat="1" ht="81.400000000000006" customHeight="1">
      <c r="A3" s="17" t="s">
        <v>65</v>
      </c>
      <c r="B3" s="5" t="s">
        <v>13</v>
      </c>
      <c r="C3" s="6" t="s">
        <v>14</v>
      </c>
      <c r="D3" s="6" t="s">
        <v>89</v>
      </c>
      <c r="E3" s="6" t="s">
        <v>40</v>
      </c>
      <c r="F3" s="6" t="s">
        <v>42</v>
      </c>
      <c r="G3" s="8" t="s">
        <v>1</v>
      </c>
      <c r="H3" s="6" t="s">
        <v>43</v>
      </c>
      <c r="I3" s="6" t="s">
        <v>60</v>
      </c>
      <c r="J3" s="7" t="s">
        <v>44</v>
      </c>
      <c r="K3" s="21" t="s">
        <v>83</v>
      </c>
      <c r="L3" s="2" t="s">
        <v>27</v>
      </c>
      <c r="M3" s="2" t="s">
        <v>28</v>
      </c>
      <c r="N3" s="2" t="s">
        <v>29</v>
      </c>
      <c r="O3" s="2" t="s">
        <v>30</v>
      </c>
      <c r="Q3" s="2" t="s">
        <v>27</v>
      </c>
      <c r="R3" s="2" t="s">
        <v>28</v>
      </c>
      <c r="S3" s="2" t="s">
        <v>29</v>
      </c>
      <c r="T3" s="2" t="s">
        <v>30</v>
      </c>
      <c r="U3" s="18"/>
      <c r="V3" s="2" t="s">
        <v>27</v>
      </c>
      <c r="W3" s="2" t="s">
        <v>28</v>
      </c>
      <c r="X3" s="2" t="s">
        <v>29</v>
      </c>
      <c r="Y3" s="2" t="s">
        <v>30</v>
      </c>
      <c r="AA3" s="2" t="s">
        <v>27</v>
      </c>
      <c r="AB3" s="2" t="s">
        <v>28</v>
      </c>
      <c r="AC3" s="2" t="s">
        <v>29</v>
      </c>
      <c r="AD3" s="2" t="s">
        <v>30</v>
      </c>
    </row>
    <row r="4" spans="1:30" s="29" customFormat="1">
      <c r="A4" s="25" t="s">
        <v>2</v>
      </c>
      <c r="B4" s="26" t="s">
        <v>3</v>
      </c>
      <c r="C4" s="26" t="s">
        <v>4</v>
      </c>
      <c r="D4" s="26" t="s">
        <v>5</v>
      </c>
      <c r="E4" s="26" t="s">
        <v>6</v>
      </c>
      <c r="F4" s="26" t="s">
        <v>7</v>
      </c>
      <c r="G4" s="27" t="s">
        <v>8</v>
      </c>
      <c r="H4" s="26" t="s">
        <v>9</v>
      </c>
      <c r="I4" s="28" t="s">
        <v>10</v>
      </c>
      <c r="J4" s="29" t="s">
        <v>41</v>
      </c>
    </row>
    <row r="5" spans="1:30">
      <c r="A5" s="30"/>
      <c r="B5" s="140" t="s">
        <v>45</v>
      </c>
      <c r="C5" s="141"/>
      <c r="D5" s="31"/>
      <c r="E5" s="32"/>
      <c r="F5" s="31"/>
      <c r="G5" s="33"/>
      <c r="H5" s="31"/>
      <c r="I5" s="32"/>
      <c r="J5" s="34"/>
      <c r="K5" s="35"/>
      <c r="L5" s="35"/>
    </row>
    <row r="6" spans="1:30">
      <c r="A6" s="37"/>
      <c r="B6" s="38" t="s">
        <v>48</v>
      </c>
      <c r="C6" s="39"/>
      <c r="D6" s="40"/>
      <c r="E6" s="41"/>
      <c r="F6" s="42"/>
      <c r="G6" s="43"/>
      <c r="H6" s="40"/>
      <c r="I6" s="41"/>
      <c r="J6" s="44"/>
      <c r="K6" s="45"/>
      <c r="L6" s="35"/>
    </row>
    <row r="7" spans="1:30">
      <c r="A7" s="37" t="s">
        <v>170</v>
      </c>
      <c r="B7" s="46" t="s">
        <v>58</v>
      </c>
      <c r="C7" s="39" t="s">
        <v>16</v>
      </c>
      <c r="D7" s="40">
        <f>'6022-yr1'!D7+'6022-yr2'!D7+'6022-yr3'!D7</f>
        <v>210</v>
      </c>
      <c r="E7" s="41">
        <v>4</v>
      </c>
      <c r="F7" s="42">
        <f>SUM(D7*E7)</f>
        <v>840</v>
      </c>
      <c r="G7" s="47">
        <f>('6022-yr1'!G7+'6022-yr2'!G7+'6022-yr3'!G7)/3</f>
        <v>2</v>
      </c>
      <c r="H7" s="40">
        <f>'6022-yr1'!H7+'6022-yr2'!H7+'6022-yr3'!H7</f>
        <v>1680</v>
      </c>
      <c r="I7" s="49">
        <f>+J7/H7</f>
        <v>61.98988095238095</v>
      </c>
      <c r="J7" s="50">
        <v>104143</v>
      </c>
      <c r="K7" s="51">
        <f>+J7/3</f>
        <v>34714.333333333336</v>
      </c>
      <c r="L7" s="52">
        <v>0</v>
      </c>
      <c r="M7" s="52">
        <v>0.75</v>
      </c>
      <c r="N7" s="52">
        <v>0.25</v>
      </c>
      <c r="O7" s="52">
        <v>0.66669999999999996</v>
      </c>
      <c r="Q7" s="53">
        <f t="shared" ref="Q7:T9" si="0">+$J7*L7</f>
        <v>0</v>
      </c>
      <c r="R7" s="53">
        <f t="shared" si="0"/>
        <v>78107.25</v>
      </c>
      <c r="S7" s="53">
        <f t="shared" si="0"/>
        <v>26035.75</v>
      </c>
      <c r="T7" s="53">
        <f t="shared" si="0"/>
        <v>69432.138099999996</v>
      </c>
      <c r="U7" s="53"/>
      <c r="V7" s="53">
        <f>+Q7/3</f>
        <v>0</v>
      </c>
      <c r="W7" s="53">
        <f>+R7/3</f>
        <v>26035.75</v>
      </c>
      <c r="X7" s="53">
        <f>+S7/3</f>
        <v>8678.5833333333339</v>
      </c>
      <c r="Y7" s="53">
        <f>+T7/3</f>
        <v>23144.046033333332</v>
      </c>
      <c r="AA7" s="54">
        <f>+$D7*L7</f>
        <v>0</v>
      </c>
      <c r="AB7" s="55">
        <f>+$D7*M7</f>
        <v>157.5</v>
      </c>
      <c r="AC7" s="55">
        <f>+$D7*N7</f>
        <v>52.5</v>
      </c>
      <c r="AD7" s="55">
        <f>+$D7*O7</f>
        <v>140.00700000000001</v>
      </c>
    </row>
    <row r="8" spans="1:30">
      <c r="A8" s="57" t="s">
        <v>161</v>
      </c>
      <c r="B8" s="56" t="s">
        <v>87</v>
      </c>
      <c r="C8" s="39" t="s">
        <v>16</v>
      </c>
      <c r="D8" s="40">
        <f>'6022-yr1'!D8+'6022-yr2'!D8+'6022-yr3'!D8</f>
        <v>6</v>
      </c>
      <c r="E8" s="41">
        <v>1</v>
      </c>
      <c r="F8" s="42">
        <f>SUM(D8*E8)</f>
        <v>6</v>
      </c>
      <c r="G8" s="47">
        <f>('6022-yr1'!G8+'6022-yr2'!G8+'6022-yr3'!G8)/3</f>
        <v>2</v>
      </c>
      <c r="H8" s="40">
        <f>'6022-yr1'!H8+'6022-yr2'!H8+'6022-yr3'!H8</f>
        <v>12</v>
      </c>
      <c r="I8" s="49">
        <f t="shared" ref="I8:I22" si="1">+J8/H8</f>
        <v>61.816666666666663</v>
      </c>
      <c r="J8" s="50">
        <f>'6022-yr1'!J8+'6022-yr2'!J8+'6022-yr3'!J8</f>
        <v>741.8</v>
      </c>
      <c r="K8" s="51">
        <f t="shared" ref="K8:K9" si="2">+J8/3</f>
        <v>247.26666666666665</v>
      </c>
      <c r="L8" s="52">
        <v>0</v>
      </c>
      <c r="M8" s="52">
        <v>0.75</v>
      </c>
      <c r="N8" s="52">
        <v>0.25</v>
      </c>
      <c r="O8" s="52">
        <v>0.66669999999999996</v>
      </c>
      <c r="Q8" s="53">
        <f t="shared" si="0"/>
        <v>0</v>
      </c>
      <c r="R8" s="53">
        <f t="shared" si="0"/>
        <v>556.34999999999991</v>
      </c>
      <c r="S8" s="53">
        <f t="shared" si="0"/>
        <v>185.45</v>
      </c>
      <c r="T8" s="53">
        <f t="shared" si="0"/>
        <v>494.55805999999995</v>
      </c>
      <c r="U8" s="53"/>
      <c r="V8" s="53"/>
      <c r="W8" s="53"/>
      <c r="X8" s="53"/>
      <c r="Y8" s="53"/>
      <c r="AA8" s="54"/>
      <c r="AB8" s="55"/>
      <c r="AC8" s="55"/>
      <c r="AD8" s="55"/>
    </row>
    <row r="9" spans="1:30">
      <c r="A9" s="57" t="s">
        <v>171</v>
      </c>
      <c r="B9" s="56" t="s">
        <v>88</v>
      </c>
      <c r="C9" s="39" t="s">
        <v>16</v>
      </c>
      <c r="D9" s="40">
        <f>'6022-yr1'!D9+'6022-yr2'!D9+'6022-yr3'!D9</f>
        <v>210</v>
      </c>
      <c r="E9" s="41">
        <v>1</v>
      </c>
      <c r="F9" s="42">
        <f>SUM(D9*E9)</f>
        <v>210</v>
      </c>
      <c r="G9" s="47">
        <f>('6022-yr1'!G9+'6022-yr2'!G9+'6022-yr3'!G9)/3</f>
        <v>2</v>
      </c>
      <c r="H9" s="40">
        <f>'6022-yr1'!H9+'6022-yr2'!H9+'6022-yr3'!H9</f>
        <v>420</v>
      </c>
      <c r="I9" s="49">
        <f t="shared" si="1"/>
        <v>61.990476190476187</v>
      </c>
      <c r="J9" s="50">
        <f>'6022-yr1'!J9+'6022-yr2'!J9+'6022-yr3'!J9</f>
        <v>26036</v>
      </c>
      <c r="K9" s="51">
        <f t="shared" si="2"/>
        <v>8678.6666666666661</v>
      </c>
      <c r="L9" s="52">
        <v>0</v>
      </c>
      <c r="M9" s="52">
        <v>0.75</v>
      </c>
      <c r="N9" s="52">
        <v>0.25</v>
      </c>
      <c r="O9" s="52">
        <v>0.66669999999999996</v>
      </c>
      <c r="Q9" s="53">
        <f t="shared" si="0"/>
        <v>0</v>
      </c>
      <c r="R9" s="53">
        <f t="shared" si="0"/>
        <v>19527</v>
      </c>
      <c r="S9" s="53">
        <f t="shared" si="0"/>
        <v>6509</v>
      </c>
      <c r="T9" s="53">
        <f t="shared" si="0"/>
        <v>17358.2012</v>
      </c>
      <c r="U9" s="53"/>
      <c r="V9" s="53"/>
      <c r="W9" s="53"/>
      <c r="X9" s="53"/>
      <c r="Y9" s="53"/>
      <c r="AA9" s="54"/>
      <c r="AB9" s="55"/>
      <c r="AC9" s="55"/>
      <c r="AD9" s="55"/>
    </row>
    <row r="10" spans="1:30">
      <c r="A10" s="37"/>
      <c r="B10" s="38" t="s">
        <v>47</v>
      </c>
      <c r="C10" s="39"/>
      <c r="D10" s="40"/>
      <c r="E10" s="41"/>
      <c r="F10" s="42"/>
      <c r="G10" s="43"/>
      <c r="H10" s="48"/>
      <c r="I10" s="49"/>
      <c r="J10" s="44"/>
      <c r="K10" s="51"/>
      <c r="L10" s="52"/>
      <c r="M10" s="52"/>
      <c r="N10" s="52"/>
      <c r="O10" s="52"/>
      <c r="AA10" s="54"/>
      <c r="AB10" s="55"/>
      <c r="AC10" s="55"/>
      <c r="AD10" s="55"/>
    </row>
    <row r="11" spans="1:30">
      <c r="A11" s="37" t="s">
        <v>66</v>
      </c>
      <c r="B11" s="56" t="s">
        <v>51</v>
      </c>
      <c r="C11" s="39" t="s">
        <v>16</v>
      </c>
      <c r="D11" s="40">
        <f>'6022-yr1'!D11+'6022-yr2'!D11+'6022-yr3'!D11</f>
        <v>219</v>
      </c>
      <c r="E11" s="41">
        <v>1</v>
      </c>
      <c r="F11" s="42">
        <f t="shared" ref="F11:F22" si="3">SUM(D11*E11)</f>
        <v>219</v>
      </c>
      <c r="G11" s="47">
        <f>('6022-yr1'!G11+'6022-yr2'!G11+'6022-yr3'!G11)/3</f>
        <v>8</v>
      </c>
      <c r="H11" s="40">
        <f>'6022-yr1'!H11+'6022-yr2'!H11+'6022-yr3'!H11</f>
        <v>1752</v>
      </c>
      <c r="I11" s="49">
        <f t="shared" si="1"/>
        <v>61.929794520547944</v>
      </c>
      <c r="J11" s="50">
        <v>108501</v>
      </c>
      <c r="K11" s="51">
        <f t="shared" ref="K11:K22" si="4">+J11/3</f>
        <v>36167</v>
      </c>
      <c r="L11" s="52">
        <v>0</v>
      </c>
      <c r="M11" s="52">
        <v>0.75</v>
      </c>
      <c r="N11" s="52">
        <v>0.25</v>
      </c>
      <c r="O11" s="52">
        <v>0.66669999999999996</v>
      </c>
      <c r="Q11" s="53">
        <f t="shared" ref="Q11:T15" si="5">+$J11*L11</f>
        <v>0</v>
      </c>
      <c r="R11" s="53">
        <f t="shared" si="5"/>
        <v>81375.75</v>
      </c>
      <c r="S11" s="53">
        <f t="shared" si="5"/>
        <v>27125.25</v>
      </c>
      <c r="T11" s="53">
        <f t="shared" si="5"/>
        <v>72337.616699999999</v>
      </c>
      <c r="U11" s="53"/>
      <c r="V11" s="53">
        <f t="shared" ref="V11:V22" si="6">+Q11/3</f>
        <v>0</v>
      </c>
      <c r="W11" s="53">
        <f t="shared" ref="W11:W22" si="7">+R11/3</f>
        <v>27125.25</v>
      </c>
      <c r="X11" s="53">
        <f t="shared" ref="X11:X22" si="8">+S11/3</f>
        <v>9041.75</v>
      </c>
      <c r="Y11" s="53">
        <f t="shared" ref="Y11:Y22" si="9">+T11/3</f>
        <v>24112.5389</v>
      </c>
      <c r="AA11" s="54">
        <f t="shared" ref="AA11:AD11" si="10">+$D11*L11</f>
        <v>0</v>
      </c>
      <c r="AB11" s="55">
        <f t="shared" si="10"/>
        <v>164.25</v>
      </c>
      <c r="AC11" s="55">
        <f t="shared" si="10"/>
        <v>54.75</v>
      </c>
      <c r="AD11" s="55">
        <f t="shared" si="10"/>
        <v>146.00729999999999</v>
      </c>
    </row>
    <row r="12" spans="1:30" ht="38.25">
      <c r="A12" s="57" t="s">
        <v>184</v>
      </c>
      <c r="B12" s="56" t="s">
        <v>185</v>
      </c>
      <c r="C12" s="39" t="s">
        <v>16</v>
      </c>
      <c r="D12" s="40">
        <f>'6022-yr1'!D12+'6022-yr2'!D12+'6022-yr3'!D12</f>
        <v>219</v>
      </c>
      <c r="E12" s="41">
        <v>1</v>
      </c>
      <c r="F12" s="42">
        <f t="shared" si="3"/>
        <v>219</v>
      </c>
      <c r="G12" s="47">
        <f>('6022-yr1'!G12+'6022-yr2'!G12+'6022-yr3'!G12)/3</f>
        <v>5.333333333333333</v>
      </c>
      <c r="H12" s="40">
        <v>1167</v>
      </c>
      <c r="I12" s="49">
        <f t="shared" si="1"/>
        <v>60.76006855184233</v>
      </c>
      <c r="J12" s="50">
        <v>70907</v>
      </c>
      <c r="K12" s="51">
        <f t="shared" si="4"/>
        <v>23635.666666666668</v>
      </c>
      <c r="L12" s="52">
        <v>0</v>
      </c>
      <c r="M12" s="52">
        <v>0.75</v>
      </c>
      <c r="N12" s="52">
        <v>0.25</v>
      </c>
      <c r="O12" s="52">
        <v>0.66669999999999996</v>
      </c>
      <c r="Q12" s="53">
        <f t="shared" si="5"/>
        <v>0</v>
      </c>
      <c r="R12" s="53">
        <f t="shared" si="5"/>
        <v>53180.25</v>
      </c>
      <c r="S12" s="53">
        <f t="shared" si="5"/>
        <v>17726.75</v>
      </c>
      <c r="T12" s="53">
        <f t="shared" si="5"/>
        <v>47273.696899999995</v>
      </c>
      <c r="U12" s="53"/>
      <c r="V12" s="53">
        <f t="shared" si="6"/>
        <v>0</v>
      </c>
      <c r="W12" s="53">
        <f t="shared" si="7"/>
        <v>17726.75</v>
      </c>
      <c r="X12" s="53">
        <f t="shared" si="8"/>
        <v>5908.916666666667</v>
      </c>
      <c r="Y12" s="53">
        <f t="shared" si="9"/>
        <v>15757.898966666666</v>
      </c>
      <c r="AA12" s="54">
        <f t="shared" ref="AA12:AA20" si="11">+$D12*L12</f>
        <v>0</v>
      </c>
      <c r="AB12" s="55">
        <f t="shared" ref="AB12:AB20" si="12">+$D12*M12</f>
        <v>164.25</v>
      </c>
      <c r="AC12" s="55">
        <f t="shared" ref="AC12:AC20" si="13">+$D12*N12</f>
        <v>54.75</v>
      </c>
      <c r="AD12" s="55">
        <f t="shared" ref="AD12:AD20" si="14">+$D12*O12</f>
        <v>146.00729999999999</v>
      </c>
    </row>
    <row r="13" spans="1:30" ht="25.5">
      <c r="A13" s="57" t="s">
        <v>67</v>
      </c>
      <c r="B13" s="56" t="s">
        <v>144</v>
      </c>
      <c r="C13" s="39" t="s">
        <v>16</v>
      </c>
      <c r="D13" s="40">
        <f>'6022-yr1'!D13+'6022-yr2'!D13+'6022-yr3'!D13</f>
        <v>60</v>
      </c>
      <c r="E13" s="41">
        <v>1</v>
      </c>
      <c r="F13" s="42">
        <f t="shared" si="3"/>
        <v>60</v>
      </c>
      <c r="G13" s="47">
        <f>('6022-yr1'!G13+'6022-yr2'!G13+'6022-yr3'!G13)/3</f>
        <v>8</v>
      </c>
      <c r="H13" s="40">
        <f>'6022-yr1'!H13+'6022-yr2'!H13+'6022-yr3'!H13</f>
        <v>480</v>
      </c>
      <c r="I13" s="49">
        <f t="shared" si="1"/>
        <v>60.670833333333334</v>
      </c>
      <c r="J13" s="50">
        <v>29122</v>
      </c>
      <c r="K13" s="51">
        <f t="shared" si="4"/>
        <v>9707.3333333333339</v>
      </c>
      <c r="L13" s="52">
        <v>0</v>
      </c>
      <c r="M13" s="52">
        <v>0.75</v>
      </c>
      <c r="N13" s="52">
        <v>0.25</v>
      </c>
      <c r="O13" s="52">
        <v>0.66669999999999996</v>
      </c>
      <c r="Q13" s="53">
        <f t="shared" si="5"/>
        <v>0</v>
      </c>
      <c r="R13" s="53">
        <f t="shared" si="5"/>
        <v>21841.5</v>
      </c>
      <c r="S13" s="53">
        <f t="shared" si="5"/>
        <v>7280.5</v>
      </c>
      <c r="T13" s="53">
        <f t="shared" si="5"/>
        <v>19415.6374</v>
      </c>
      <c r="U13" s="53"/>
      <c r="V13" s="53">
        <f t="shared" si="6"/>
        <v>0</v>
      </c>
      <c r="W13" s="53">
        <f t="shared" si="7"/>
        <v>7280.5</v>
      </c>
      <c r="X13" s="53">
        <f t="shared" si="8"/>
        <v>2426.8333333333335</v>
      </c>
      <c r="Y13" s="53">
        <f t="shared" si="9"/>
        <v>6471.8791333333329</v>
      </c>
      <c r="AA13" s="54">
        <f t="shared" si="11"/>
        <v>0</v>
      </c>
      <c r="AB13" s="55">
        <f t="shared" si="12"/>
        <v>45</v>
      </c>
      <c r="AC13" s="55">
        <f t="shared" si="13"/>
        <v>15</v>
      </c>
      <c r="AD13" s="55">
        <f t="shared" si="14"/>
        <v>40.001999999999995</v>
      </c>
    </row>
    <row r="14" spans="1:30" ht="25.5">
      <c r="A14" s="57" t="s">
        <v>67</v>
      </c>
      <c r="B14" s="56" t="s">
        <v>145</v>
      </c>
      <c r="C14" s="39" t="s">
        <v>16</v>
      </c>
      <c r="D14" s="40">
        <f>'6022-yr1'!D14+'6022-yr2'!D14+'6022-yr3'!D14</f>
        <v>88</v>
      </c>
      <c r="E14" s="41">
        <v>1</v>
      </c>
      <c r="F14" s="42">
        <f t="shared" ref="F14" si="15">SUM(D14*E14)</f>
        <v>88</v>
      </c>
      <c r="G14" s="47">
        <f>('6022-yr1'!G14+'6022-yr2'!G14+'6022-yr3'!G14)/3</f>
        <v>1</v>
      </c>
      <c r="H14" s="40">
        <f>'6022-yr1'!H14+'6022-yr2'!H14+'6022-yr3'!H14</f>
        <v>88</v>
      </c>
      <c r="I14" s="49">
        <f t="shared" ref="I14" si="16">+J14/H14</f>
        <v>62.746022727272724</v>
      </c>
      <c r="J14" s="50">
        <f>'6022-yr1'!J14+'6022-yr2'!J14+'6022-yr3'!J14</f>
        <v>5521.65</v>
      </c>
      <c r="K14" s="51">
        <f t="shared" si="4"/>
        <v>1840.55</v>
      </c>
      <c r="L14" s="52">
        <v>0</v>
      </c>
      <c r="M14" s="52">
        <v>0.75</v>
      </c>
      <c r="N14" s="52">
        <v>0.25</v>
      </c>
      <c r="O14" s="52">
        <v>0.66669999999999996</v>
      </c>
      <c r="Q14" s="53">
        <f t="shared" ref="Q14" si="17">+$J14*L14</f>
        <v>0</v>
      </c>
      <c r="R14" s="53">
        <f t="shared" ref="R14" si="18">+$J14*M14</f>
        <v>4141.2374999999993</v>
      </c>
      <c r="S14" s="53">
        <f t="shared" ref="S14" si="19">+$J14*N14</f>
        <v>1380.4124999999999</v>
      </c>
      <c r="T14" s="53">
        <f t="shared" ref="T14" si="20">+$J14*O14</f>
        <v>3681.2840549999996</v>
      </c>
      <c r="U14" s="53"/>
      <c r="V14" s="53">
        <f t="shared" ref="V14" si="21">+Q14/3</f>
        <v>0</v>
      </c>
      <c r="W14" s="53">
        <f t="shared" ref="W14" si="22">+R14/3</f>
        <v>1380.4124999999997</v>
      </c>
      <c r="X14" s="53">
        <f t="shared" ref="X14" si="23">+S14/3</f>
        <v>460.13749999999999</v>
      </c>
      <c r="Y14" s="53">
        <f t="shared" ref="Y14" si="24">+T14/3</f>
        <v>1227.0946849999998</v>
      </c>
      <c r="AA14" s="54">
        <f t="shared" ref="AA14" si="25">+$D14*L14</f>
        <v>0</v>
      </c>
      <c r="AB14" s="55">
        <f t="shared" ref="AB14" si="26">+$D14*M14</f>
        <v>66</v>
      </c>
      <c r="AC14" s="55">
        <f t="shared" ref="AC14" si="27">+$D14*N14</f>
        <v>22</v>
      </c>
      <c r="AD14" s="55">
        <f t="shared" ref="AD14" si="28">+$D14*O14</f>
        <v>58.669599999999996</v>
      </c>
    </row>
    <row r="15" spans="1:30" ht="25.5">
      <c r="A15" s="57" t="s">
        <v>147</v>
      </c>
      <c r="B15" s="56" t="s">
        <v>164</v>
      </c>
      <c r="C15" s="39" t="s">
        <v>16</v>
      </c>
      <c r="D15" s="40">
        <f>'6022-yr1'!D15+'6022-yr2'!D15+'6022-yr3'!D15</f>
        <v>34</v>
      </c>
      <c r="E15" s="41">
        <v>1</v>
      </c>
      <c r="F15" s="42">
        <f t="shared" si="3"/>
        <v>34</v>
      </c>
      <c r="G15" s="47">
        <f>('6022-yr1'!G15+'6022-yr2'!G15+'6022-yr3'!G15)/3</f>
        <v>8</v>
      </c>
      <c r="H15" s="40">
        <f>'6022-yr1'!H15+'6022-yr2'!H15+'6022-yr3'!H15</f>
        <v>272</v>
      </c>
      <c r="I15" s="49">
        <f t="shared" si="1"/>
        <v>61.761029411764703</v>
      </c>
      <c r="J15" s="50">
        <v>16799</v>
      </c>
      <c r="K15" s="51">
        <f t="shared" si="4"/>
        <v>5599.666666666667</v>
      </c>
      <c r="L15" s="52">
        <v>0</v>
      </c>
      <c r="M15" s="52">
        <v>0.75</v>
      </c>
      <c r="N15" s="52">
        <v>0.25</v>
      </c>
      <c r="O15" s="52">
        <v>0.66669999999999996</v>
      </c>
      <c r="Q15" s="53">
        <f t="shared" si="5"/>
        <v>0</v>
      </c>
      <c r="R15" s="53">
        <f t="shared" si="5"/>
        <v>12599.25</v>
      </c>
      <c r="S15" s="53">
        <f t="shared" si="5"/>
        <v>4199.75</v>
      </c>
      <c r="T15" s="53">
        <f t="shared" si="5"/>
        <v>11199.8933</v>
      </c>
      <c r="U15" s="53"/>
      <c r="V15" s="53">
        <f t="shared" si="6"/>
        <v>0</v>
      </c>
      <c r="W15" s="53">
        <f t="shared" si="7"/>
        <v>4199.75</v>
      </c>
      <c r="X15" s="53">
        <f t="shared" si="8"/>
        <v>1399.9166666666667</v>
      </c>
      <c r="Y15" s="53">
        <f t="shared" si="9"/>
        <v>3733.2977666666666</v>
      </c>
      <c r="AA15" s="54">
        <f t="shared" si="11"/>
        <v>0</v>
      </c>
      <c r="AB15" s="55">
        <f t="shared" si="12"/>
        <v>25.5</v>
      </c>
      <c r="AC15" s="55">
        <f t="shared" si="13"/>
        <v>8.5</v>
      </c>
      <c r="AD15" s="55">
        <f t="shared" si="14"/>
        <v>22.6678</v>
      </c>
    </row>
    <row r="16" spans="1:30" ht="25.5">
      <c r="A16" s="57" t="s">
        <v>147</v>
      </c>
      <c r="B16" s="56" t="s">
        <v>165</v>
      </c>
      <c r="C16" s="39" t="s">
        <v>16</v>
      </c>
      <c r="D16" s="40">
        <f>'6022-yr1'!D16+'6022-yr2'!D16+'6022-yr3'!D16</f>
        <v>16</v>
      </c>
      <c r="E16" s="41">
        <v>1</v>
      </c>
      <c r="F16" s="42">
        <f t="shared" ref="F16" si="29">SUM(D16*E16)</f>
        <v>16</v>
      </c>
      <c r="G16" s="47">
        <f>('6022-yr1'!G16+'6022-yr2'!G16+'6022-yr3'!G16)/3</f>
        <v>1</v>
      </c>
      <c r="H16" s="40">
        <f>'6022-yr1'!H16+'6022-yr2'!H16+'6022-yr3'!H16</f>
        <v>16</v>
      </c>
      <c r="I16" s="49">
        <f t="shared" ref="I16" si="30">+J16/H16</f>
        <v>62.724999999999994</v>
      </c>
      <c r="J16" s="50">
        <f>'6022-yr1'!J16+'6022-yr2'!J16+'6022-yr3'!J16</f>
        <v>1003.5999999999999</v>
      </c>
      <c r="K16" s="51">
        <f t="shared" si="4"/>
        <v>334.5333333333333</v>
      </c>
      <c r="L16" s="52">
        <v>0</v>
      </c>
      <c r="M16" s="52">
        <v>0.75</v>
      </c>
      <c r="N16" s="52">
        <v>0.25</v>
      </c>
      <c r="O16" s="52">
        <v>0.66669999999999996</v>
      </c>
      <c r="Q16" s="53">
        <f t="shared" ref="Q16" si="31">+$J16*L16</f>
        <v>0</v>
      </c>
      <c r="R16" s="53">
        <f t="shared" ref="R16" si="32">+$J16*M16</f>
        <v>752.69999999999993</v>
      </c>
      <c r="S16" s="53">
        <f t="shared" ref="S16" si="33">+$J16*N16</f>
        <v>250.89999999999998</v>
      </c>
      <c r="T16" s="53">
        <f t="shared" ref="T16" si="34">+$J16*O16</f>
        <v>669.10011999999995</v>
      </c>
      <c r="U16" s="53"/>
      <c r="V16" s="53">
        <f t="shared" ref="V16" si="35">+Q16/3</f>
        <v>0</v>
      </c>
      <c r="W16" s="53">
        <f t="shared" ref="W16" si="36">+R16/3</f>
        <v>250.89999999999998</v>
      </c>
      <c r="X16" s="53">
        <f t="shared" ref="X16" si="37">+S16/3</f>
        <v>83.633333333333326</v>
      </c>
      <c r="Y16" s="53">
        <f t="shared" ref="Y16" si="38">+T16/3</f>
        <v>223.03337333333332</v>
      </c>
      <c r="AA16" s="54">
        <f t="shared" ref="AA16" si="39">+$D16*L16</f>
        <v>0</v>
      </c>
      <c r="AB16" s="55">
        <f t="shared" ref="AB16" si="40">+$D16*M16</f>
        <v>12</v>
      </c>
      <c r="AC16" s="55">
        <f t="shared" ref="AC16" si="41">+$D16*N16</f>
        <v>4</v>
      </c>
      <c r="AD16" s="55">
        <f t="shared" ref="AD16" si="42">+$D16*O16</f>
        <v>10.667199999999999</v>
      </c>
    </row>
    <row r="17" spans="1:30" ht="25.5">
      <c r="A17" s="57" t="s">
        <v>68</v>
      </c>
      <c r="B17" s="56" t="s">
        <v>166</v>
      </c>
      <c r="C17" s="39" t="s">
        <v>16</v>
      </c>
      <c r="D17" s="40">
        <f>'6022-yr1'!D17+'6022-yr2'!D17+'6022-yr3'!D17</f>
        <v>21</v>
      </c>
      <c r="E17" s="41">
        <v>1</v>
      </c>
      <c r="F17" s="42">
        <f t="shared" si="3"/>
        <v>21</v>
      </c>
      <c r="G17" s="47">
        <f>('6022-yr1'!G17+'6022-yr2'!G17+'6022-yr3'!G17)/3</f>
        <v>6</v>
      </c>
      <c r="H17" s="40">
        <f>'6022-yr1'!H17+'6022-yr2'!H17+'6022-yr3'!H17</f>
        <v>126</v>
      </c>
      <c r="I17" s="49">
        <f t="shared" si="1"/>
        <v>61.816666666666663</v>
      </c>
      <c r="J17" s="50">
        <f>'6022-yr1'!J17+'6022-yr2'!J17+'6022-yr3'!J17</f>
        <v>7788.9</v>
      </c>
      <c r="K17" s="51">
        <f t="shared" si="4"/>
        <v>2596.2999999999997</v>
      </c>
      <c r="L17" s="52">
        <v>0</v>
      </c>
      <c r="M17" s="52">
        <v>0.75</v>
      </c>
      <c r="N17" s="52">
        <v>0.25</v>
      </c>
      <c r="O17" s="52">
        <v>0.66669999999999996</v>
      </c>
      <c r="Q17" s="53">
        <f t="shared" ref="Q17" si="43">+$J17*L17</f>
        <v>0</v>
      </c>
      <c r="R17" s="53">
        <f t="shared" ref="R17" si="44">+$J17*M17</f>
        <v>5841.6749999999993</v>
      </c>
      <c r="S17" s="53">
        <f t="shared" ref="S17" si="45">+$J17*N17</f>
        <v>1947.2249999999999</v>
      </c>
      <c r="T17" s="53">
        <f t="shared" ref="T17" si="46">+$J17*O17</f>
        <v>5192.859629999999</v>
      </c>
      <c r="U17" s="53"/>
      <c r="V17" s="53">
        <f t="shared" ref="V17" si="47">+Q17/3</f>
        <v>0</v>
      </c>
      <c r="W17" s="53">
        <f t="shared" ref="W17" si="48">+R17/3</f>
        <v>1947.2249999999997</v>
      </c>
      <c r="X17" s="53">
        <f t="shared" ref="X17" si="49">+S17/3</f>
        <v>649.07499999999993</v>
      </c>
      <c r="Y17" s="53">
        <f t="shared" ref="Y17" si="50">+T17/3</f>
        <v>1730.9532099999997</v>
      </c>
      <c r="AA17" s="54">
        <f t="shared" ref="AA17" si="51">+$D17*L17</f>
        <v>0</v>
      </c>
      <c r="AB17" s="55">
        <f t="shared" ref="AB17" si="52">+$D17*M17</f>
        <v>15.75</v>
      </c>
      <c r="AC17" s="55">
        <f t="shared" ref="AC17" si="53">+$D17*N17</f>
        <v>5.25</v>
      </c>
      <c r="AD17" s="55">
        <f t="shared" ref="AD17" si="54">+$D17*O17</f>
        <v>14.000699999999998</v>
      </c>
    </row>
    <row r="18" spans="1:30" ht="25.5">
      <c r="A18" s="57" t="s">
        <v>69</v>
      </c>
      <c r="B18" s="56" t="s">
        <v>110</v>
      </c>
      <c r="C18" s="39" t="s">
        <v>16</v>
      </c>
      <c r="D18" s="40">
        <f>'6022-yr1'!D18+'6022-yr2'!D18+'6022-yr3'!D18</f>
        <v>0</v>
      </c>
      <c r="E18" s="41">
        <v>1</v>
      </c>
      <c r="F18" s="42">
        <f t="shared" si="3"/>
        <v>0</v>
      </c>
      <c r="G18" s="47">
        <f>('6022-yr1'!G18+'6022-yr2'!G18+'6022-yr3'!G18)/3</f>
        <v>2</v>
      </c>
      <c r="H18" s="40">
        <f>'6022-yr1'!H18+'6022-yr2'!H18+'6022-yr3'!H18</f>
        <v>0</v>
      </c>
      <c r="I18" s="49"/>
      <c r="J18" s="50">
        <f>'6022-yr1'!J18+'6022-yr2'!J18+'6022-yr3'!J18</f>
        <v>0</v>
      </c>
      <c r="K18" s="51">
        <f t="shared" si="4"/>
        <v>0</v>
      </c>
      <c r="L18" s="52">
        <v>0</v>
      </c>
      <c r="M18" s="52">
        <v>0.75</v>
      </c>
      <c r="N18" s="52">
        <v>0.25</v>
      </c>
      <c r="O18" s="52">
        <v>0.66669999999999996</v>
      </c>
      <c r="Q18" s="53">
        <f t="shared" ref="Q18:T20" si="55">+$J18*L18</f>
        <v>0</v>
      </c>
      <c r="R18" s="53">
        <f t="shared" si="55"/>
        <v>0</v>
      </c>
      <c r="S18" s="53">
        <f t="shared" si="55"/>
        <v>0</v>
      </c>
      <c r="T18" s="53">
        <f t="shared" si="55"/>
        <v>0</v>
      </c>
      <c r="U18" s="53"/>
      <c r="V18" s="53">
        <f t="shared" si="6"/>
        <v>0</v>
      </c>
      <c r="W18" s="53">
        <f t="shared" si="7"/>
        <v>0</v>
      </c>
      <c r="X18" s="53">
        <f t="shared" si="8"/>
        <v>0</v>
      </c>
      <c r="Y18" s="53">
        <f t="shared" si="9"/>
        <v>0</v>
      </c>
      <c r="AA18" s="54">
        <f t="shared" si="11"/>
        <v>0</v>
      </c>
      <c r="AB18" s="55">
        <f t="shared" si="12"/>
        <v>0</v>
      </c>
      <c r="AC18" s="55">
        <f t="shared" si="13"/>
        <v>0</v>
      </c>
      <c r="AD18" s="55">
        <f t="shared" si="14"/>
        <v>0</v>
      </c>
    </row>
    <row r="19" spans="1:30">
      <c r="A19" s="57" t="s">
        <v>172</v>
      </c>
      <c r="B19" s="56" t="s">
        <v>72</v>
      </c>
      <c r="C19" s="39" t="s">
        <v>16</v>
      </c>
      <c r="D19" s="40">
        <f>'6022-yr1'!D19+'6022-yr2'!D19+'6022-yr3'!D19</f>
        <v>210</v>
      </c>
      <c r="E19" s="41">
        <v>1</v>
      </c>
      <c r="F19" s="42">
        <f t="shared" si="3"/>
        <v>210</v>
      </c>
      <c r="G19" s="47">
        <f>('6022-yr1'!G19+'6022-yr2'!G19+'6022-yr3'!G19)/3</f>
        <v>1</v>
      </c>
      <c r="H19" s="40">
        <f>'6022-yr1'!H19+'6022-yr2'!H19+'6022-yr3'!H19</f>
        <v>210</v>
      </c>
      <c r="I19" s="49">
        <f t="shared" si="1"/>
        <v>61.990476190476187</v>
      </c>
      <c r="J19" s="50">
        <f>'6022-yr1'!J19+'6022-yr2'!J19+'6022-yr3'!J19</f>
        <v>13018</v>
      </c>
      <c r="K19" s="51">
        <f t="shared" si="4"/>
        <v>4339.333333333333</v>
      </c>
      <c r="L19" s="52">
        <v>0</v>
      </c>
      <c r="M19" s="52">
        <v>0.75</v>
      </c>
      <c r="N19" s="52">
        <v>0.25</v>
      </c>
      <c r="O19" s="52">
        <v>0.66669999999999996</v>
      </c>
      <c r="Q19" s="53">
        <f t="shared" si="55"/>
        <v>0</v>
      </c>
      <c r="R19" s="53">
        <f t="shared" si="55"/>
        <v>9763.5</v>
      </c>
      <c r="S19" s="53">
        <f t="shared" si="55"/>
        <v>3254.5</v>
      </c>
      <c r="T19" s="53">
        <f t="shared" si="55"/>
        <v>8679.1005999999998</v>
      </c>
      <c r="U19" s="53"/>
      <c r="V19" s="53">
        <f t="shared" si="6"/>
        <v>0</v>
      </c>
      <c r="W19" s="53">
        <f t="shared" si="7"/>
        <v>3254.5</v>
      </c>
      <c r="X19" s="53">
        <f t="shared" si="8"/>
        <v>1084.8333333333333</v>
      </c>
      <c r="Y19" s="53">
        <f t="shared" si="9"/>
        <v>2893.0335333333333</v>
      </c>
      <c r="AA19" s="54">
        <f t="shared" si="11"/>
        <v>0</v>
      </c>
      <c r="AB19" s="55">
        <f t="shared" si="12"/>
        <v>157.5</v>
      </c>
      <c r="AC19" s="55">
        <f t="shared" si="13"/>
        <v>52.5</v>
      </c>
      <c r="AD19" s="55">
        <f t="shared" si="14"/>
        <v>140.00700000000001</v>
      </c>
    </row>
    <row r="20" spans="1:30">
      <c r="A20" s="57" t="s">
        <v>173</v>
      </c>
      <c r="B20" s="56" t="s">
        <v>73</v>
      </c>
      <c r="C20" s="39" t="s">
        <v>16</v>
      </c>
      <c r="D20" s="40">
        <f>'6022-yr1'!D20+'6022-yr2'!D20+'6022-yr3'!D20</f>
        <v>210</v>
      </c>
      <c r="E20" s="41">
        <v>1</v>
      </c>
      <c r="F20" s="42">
        <f t="shared" si="3"/>
        <v>210</v>
      </c>
      <c r="G20" s="47">
        <f>('6022-yr1'!G20+'6022-yr2'!G20+'6022-yr3'!G20)/3</f>
        <v>0.5</v>
      </c>
      <c r="H20" s="40">
        <f>'6022-yr1'!H20+'6022-yr2'!H20+'6022-yr3'!H20</f>
        <v>105</v>
      </c>
      <c r="I20" s="49">
        <f t="shared" si="1"/>
        <v>61.990476190476187</v>
      </c>
      <c r="J20" s="50">
        <f>'6022-yr1'!J20+'6022-yr2'!J20+'6022-yr3'!J20</f>
        <v>6509</v>
      </c>
      <c r="K20" s="51">
        <f t="shared" si="4"/>
        <v>2169.6666666666665</v>
      </c>
      <c r="L20" s="52">
        <v>0</v>
      </c>
      <c r="M20" s="52">
        <v>0.75</v>
      </c>
      <c r="N20" s="52">
        <v>0.25</v>
      </c>
      <c r="O20" s="52">
        <v>0.66669999999999996</v>
      </c>
      <c r="Q20" s="53">
        <f t="shared" si="55"/>
        <v>0</v>
      </c>
      <c r="R20" s="53">
        <f t="shared" si="55"/>
        <v>4881.75</v>
      </c>
      <c r="S20" s="53">
        <f t="shared" si="55"/>
        <v>1627.25</v>
      </c>
      <c r="T20" s="53">
        <f t="shared" si="55"/>
        <v>4339.5502999999999</v>
      </c>
      <c r="U20" s="53"/>
      <c r="V20" s="53">
        <f t="shared" si="6"/>
        <v>0</v>
      </c>
      <c r="W20" s="53">
        <f t="shared" si="7"/>
        <v>1627.25</v>
      </c>
      <c r="X20" s="53">
        <f t="shared" si="8"/>
        <v>542.41666666666663</v>
      </c>
      <c r="Y20" s="53">
        <f t="shared" si="9"/>
        <v>1446.5167666666666</v>
      </c>
      <c r="AA20" s="54">
        <f t="shared" si="11"/>
        <v>0</v>
      </c>
      <c r="AB20" s="55">
        <f t="shared" si="12"/>
        <v>157.5</v>
      </c>
      <c r="AC20" s="55">
        <f t="shared" si="13"/>
        <v>52.5</v>
      </c>
      <c r="AD20" s="55">
        <f t="shared" si="14"/>
        <v>140.00700000000001</v>
      </c>
    </row>
    <row r="21" spans="1:30">
      <c r="A21" s="37"/>
      <c r="B21" s="58" t="s">
        <v>49</v>
      </c>
      <c r="C21" s="39"/>
      <c r="D21" s="61"/>
      <c r="E21" s="41"/>
      <c r="F21" s="42"/>
      <c r="G21" s="43"/>
      <c r="H21" s="48"/>
      <c r="I21" s="49"/>
      <c r="J21" s="60"/>
      <c r="K21" s="51"/>
      <c r="L21" s="52"/>
      <c r="M21" s="52"/>
      <c r="N21" s="52"/>
      <c r="O21" s="52"/>
      <c r="Q21" s="53"/>
      <c r="R21" s="53"/>
      <c r="S21" s="53"/>
      <c r="T21" s="53"/>
      <c r="U21" s="53"/>
      <c r="V21" s="53"/>
      <c r="W21" s="53"/>
      <c r="X21" s="53"/>
      <c r="Y21" s="53"/>
      <c r="AA21" s="54"/>
      <c r="AB21" s="55"/>
      <c r="AC21" s="55"/>
      <c r="AD21" s="55"/>
    </row>
    <row r="22" spans="1:30">
      <c r="A22" s="57">
        <v>304</v>
      </c>
      <c r="B22" s="56" t="s">
        <v>46</v>
      </c>
      <c r="C22" s="39" t="s">
        <v>16</v>
      </c>
      <c r="D22" s="130">
        <f>'6022-yr1'!D22+'6022-yr2'!D22+'6022-yr3'!D22</f>
        <v>5</v>
      </c>
      <c r="E22" s="41">
        <v>1</v>
      </c>
      <c r="F22" s="127">
        <f t="shared" si="3"/>
        <v>5</v>
      </c>
      <c r="G22" s="47">
        <v>2</v>
      </c>
      <c r="H22" s="130">
        <f>'6022-yr1'!H22+'6022-yr2'!H22+'6022-yr3'!H22</f>
        <v>10</v>
      </c>
      <c r="I22" s="49">
        <f t="shared" si="1"/>
        <v>60</v>
      </c>
      <c r="J22" s="135">
        <f>'6022-yr1'!J22+'6022-yr2'!J22+'6022-yr3'!J22</f>
        <v>600</v>
      </c>
      <c r="K22" s="51">
        <f t="shared" si="4"/>
        <v>200</v>
      </c>
      <c r="L22" s="52">
        <v>0</v>
      </c>
      <c r="M22" s="52">
        <v>0.75</v>
      </c>
      <c r="N22" s="52">
        <v>0.25</v>
      </c>
      <c r="O22" s="52">
        <v>0.66669999999999996</v>
      </c>
      <c r="Q22" s="53">
        <f>+$J22*L22</f>
        <v>0</v>
      </c>
      <c r="R22" s="53">
        <f>+$J22*M22</f>
        <v>450</v>
      </c>
      <c r="S22" s="53">
        <f>+$J22*N22</f>
        <v>150</v>
      </c>
      <c r="T22" s="53">
        <f>+$J22*O22</f>
        <v>400.02</v>
      </c>
      <c r="U22" s="53"/>
      <c r="V22" s="53">
        <f t="shared" si="6"/>
        <v>0</v>
      </c>
      <c r="W22" s="53">
        <f t="shared" si="7"/>
        <v>150</v>
      </c>
      <c r="X22" s="53">
        <f t="shared" si="8"/>
        <v>50</v>
      </c>
      <c r="Y22" s="53">
        <f t="shared" si="9"/>
        <v>133.34</v>
      </c>
      <c r="AA22" s="54">
        <f>+$D22*L22</f>
        <v>0</v>
      </c>
      <c r="AB22" s="55">
        <f>+$D22*M22</f>
        <v>3.75</v>
      </c>
      <c r="AC22" s="55">
        <f>+$D22*N22</f>
        <v>1.25</v>
      </c>
      <c r="AD22" s="55">
        <f>+$D22*O22</f>
        <v>3.3334999999999999</v>
      </c>
    </row>
    <row r="23" spans="1:30">
      <c r="A23" s="37"/>
      <c r="B23" s="62" t="s">
        <v>38</v>
      </c>
      <c r="C23" s="63"/>
      <c r="D23" s="132"/>
      <c r="E23" s="64"/>
      <c r="F23" s="133">
        <f>SUM(F7:F22)</f>
        <v>2138</v>
      </c>
      <c r="G23" s="66"/>
      <c r="H23" s="134">
        <f>SUM(H7:H22)</f>
        <v>6338</v>
      </c>
      <c r="I23" s="68"/>
      <c r="J23" s="126">
        <v>390692</v>
      </c>
      <c r="K23" s="123"/>
      <c r="L23" s="52"/>
      <c r="M23" s="52"/>
      <c r="N23" s="52"/>
      <c r="O23" s="52"/>
      <c r="Q23" s="53"/>
      <c r="R23" s="53"/>
      <c r="S23" s="53"/>
      <c r="T23" s="53"/>
      <c r="U23" s="53"/>
      <c r="V23" s="53"/>
      <c r="W23" s="53"/>
      <c r="X23" s="53"/>
      <c r="AA23" s="54"/>
      <c r="AB23" s="55"/>
      <c r="AC23" s="55"/>
      <c r="AD23" s="55"/>
    </row>
    <row r="24" spans="1:30">
      <c r="A24" s="37"/>
      <c r="D24" s="37"/>
      <c r="E24" s="37"/>
      <c r="F24" s="37"/>
      <c r="H24" s="71"/>
      <c r="I24" s="72"/>
      <c r="J24" s="37"/>
      <c r="K24" s="77"/>
      <c r="L24" s="52"/>
      <c r="M24" s="52"/>
      <c r="N24" s="52"/>
      <c r="O24" s="52"/>
      <c r="Q24" s="53"/>
      <c r="R24" s="53"/>
      <c r="S24" s="53"/>
      <c r="T24" s="53"/>
      <c r="U24" s="53"/>
      <c r="V24" s="53"/>
      <c r="W24" s="53"/>
      <c r="X24" s="53"/>
      <c r="AA24" s="54"/>
      <c r="AB24" s="55"/>
      <c r="AC24" s="55"/>
      <c r="AD24" s="55"/>
    </row>
    <row r="25" spans="1:30">
      <c r="A25" s="37"/>
      <c r="B25" s="74" t="s">
        <v>53</v>
      </c>
      <c r="C25" s="18"/>
      <c r="D25" s="75"/>
      <c r="E25" s="75"/>
      <c r="F25" s="75"/>
      <c r="G25" s="66"/>
      <c r="H25" s="76"/>
      <c r="I25" s="69"/>
      <c r="J25" s="69"/>
      <c r="K25" s="77"/>
      <c r="L25" s="52"/>
      <c r="M25" s="52"/>
      <c r="N25" s="52"/>
      <c r="O25" s="52"/>
      <c r="Q25" s="53"/>
      <c r="R25" s="53"/>
      <c r="S25" s="53"/>
      <c r="T25" s="53"/>
      <c r="U25" s="53"/>
      <c r="V25" s="53"/>
      <c r="W25" s="53"/>
      <c r="X25" s="53"/>
      <c r="AA25" s="54"/>
      <c r="AB25" s="55"/>
      <c r="AC25" s="55"/>
      <c r="AD25" s="55"/>
    </row>
    <row r="26" spans="1:30" ht="29.25" customHeight="1">
      <c r="A26" s="37" t="s">
        <v>148</v>
      </c>
      <c r="B26" s="56" t="s">
        <v>19</v>
      </c>
      <c r="C26" s="39" t="s">
        <v>20</v>
      </c>
      <c r="D26" s="40">
        <f>'6022-yr1'!D26+'6022-yr2'!D26+'6022-yr3'!D26</f>
        <v>219</v>
      </c>
      <c r="E26" s="41">
        <v>1</v>
      </c>
      <c r="F26" s="42">
        <f>SUM(D26*E26)</f>
        <v>219</v>
      </c>
      <c r="G26" s="47">
        <f>('6022-yr1'!G26+'6022-yr2'!G26+'6022-yr3'!G26)/3</f>
        <v>0.25</v>
      </c>
      <c r="H26" s="40">
        <f>'6022-yr1'!H26+'6022-yr2'!H26+'6022-yr3'!H26</f>
        <v>55</v>
      </c>
      <c r="I26" s="49">
        <f>+J26/H26</f>
        <v>61.927272727272729</v>
      </c>
      <c r="J26" s="50">
        <v>3406</v>
      </c>
      <c r="K26" s="51">
        <f>+J26/3</f>
        <v>1135.3333333333333</v>
      </c>
      <c r="L26" s="52">
        <v>0</v>
      </c>
      <c r="M26" s="52">
        <v>0.75</v>
      </c>
      <c r="N26" s="52">
        <v>0.25</v>
      </c>
      <c r="O26" s="52">
        <v>0.66669999999999996</v>
      </c>
      <c r="Q26" s="53">
        <f t="shared" ref="Q26:T35" si="56">+$J26*L26</f>
        <v>0</v>
      </c>
      <c r="R26" s="53">
        <f t="shared" si="56"/>
        <v>2554.5</v>
      </c>
      <c r="S26" s="53">
        <f t="shared" si="56"/>
        <v>851.5</v>
      </c>
      <c r="T26" s="53">
        <f t="shared" si="56"/>
        <v>2270.7801999999997</v>
      </c>
      <c r="U26" s="53"/>
      <c r="V26" s="53">
        <f t="shared" ref="V26:Y35" si="57">+Q26/3</f>
        <v>0</v>
      </c>
      <c r="W26" s="53">
        <f t="shared" si="57"/>
        <v>851.5</v>
      </c>
      <c r="X26" s="53">
        <f t="shared" si="57"/>
        <v>283.83333333333331</v>
      </c>
      <c r="Y26" s="53">
        <f t="shared" si="57"/>
        <v>756.92673333333323</v>
      </c>
      <c r="AA26" s="54">
        <f t="shared" ref="AA26:AD35" si="58">+$D26*L26</f>
        <v>0</v>
      </c>
      <c r="AB26" s="55">
        <f t="shared" si="58"/>
        <v>164.25</v>
      </c>
      <c r="AC26" s="55">
        <f t="shared" si="58"/>
        <v>54.75</v>
      </c>
      <c r="AD26" s="55">
        <f t="shared" si="58"/>
        <v>146.00729999999999</v>
      </c>
    </row>
    <row r="27" spans="1:30" ht="15.75" customHeight="1">
      <c r="A27" s="37" t="s">
        <v>192</v>
      </c>
      <c r="B27" s="56" t="s">
        <v>193</v>
      </c>
      <c r="C27" s="39" t="s">
        <v>194</v>
      </c>
      <c r="D27" s="40">
        <f>'6022-yr1'!D27+'6022-yr2'!D27+'6022-yr3'!D27</f>
        <v>219</v>
      </c>
      <c r="E27" s="41">
        <v>1</v>
      </c>
      <c r="F27" s="42">
        <f>SUM(D27*E27)</f>
        <v>219</v>
      </c>
      <c r="G27" s="47">
        <f>('6022-yr1'!G27+'6022-yr2'!G27+'6022-yr3'!G27)/3</f>
        <v>8</v>
      </c>
      <c r="H27" s="40">
        <f>'6022-yr1'!H27+'6022-yr2'!H27+'6022-yr3'!H27</f>
        <v>1752</v>
      </c>
      <c r="I27" s="49">
        <f>+J27/H27</f>
        <v>61.929794520547944</v>
      </c>
      <c r="J27" s="50">
        <v>108501</v>
      </c>
      <c r="K27" s="51">
        <f t="shared" ref="K27:K28" si="59">+J27/3</f>
        <v>36167</v>
      </c>
      <c r="L27" s="52">
        <v>0</v>
      </c>
      <c r="M27" s="52">
        <v>0.75</v>
      </c>
      <c r="N27" s="52">
        <v>0.25</v>
      </c>
      <c r="O27" s="52">
        <v>0.66669999999999996</v>
      </c>
      <c r="Q27" s="53">
        <f t="shared" ref="Q27:Q28" si="60">+$J27*L27</f>
        <v>0</v>
      </c>
      <c r="R27" s="53">
        <f t="shared" ref="R27:R28" si="61">+$J27*M27</f>
        <v>81375.75</v>
      </c>
      <c r="S27" s="53">
        <f t="shared" ref="S27:S28" si="62">+$J27*N27</f>
        <v>27125.25</v>
      </c>
      <c r="T27" s="53">
        <f t="shared" ref="T27:T28" si="63">+$J27*O27</f>
        <v>72337.616699999999</v>
      </c>
      <c r="U27" s="53"/>
      <c r="V27" s="53">
        <f t="shared" ref="V27:V28" si="64">+Q27/3</f>
        <v>0</v>
      </c>
      <c r="W27" s="53">
        <f t="shared" ref="W27:W28" si="65">+R27/3</f>
        <v>27125.25</v>
      </c>
      <c r="X27" s="53">
        <f t="shared" ref="X27:X28" si="66">+S27/3</f>
        <v>9041.75</v>
      </c>
      <c r="Y27" s="53">
        <f t="shared" ref="Y27:Y28" si="67">+T27/3</f>
        <v>24112.5389</v>
      </c>
      <c r="AA27" s="54"/>
      <c r="AB27" s="55"/>
      <c r="AC27" s="55"/>
      <c r="AD27" s="55"/>
    </row>
    <row r="28" spans="1:30" ht="13.5" customHeight="1">
      <c r="A28" s="37" t="s">
        <v>162</v>
      </c>
      <c r="B28" s="56" t="s">
        <v>180</v>
      </c>
      <c r="C28" s="39" t="s">
        <v>179</v>
      </c>
      <c r="D28" s="40">
        <f>'6022-yr1'!D28+'6022-yr2'!D28+'6022-yr3'!D28</f>
        <v>219</v>
      </c>
      <c r="E28" s="41">
        <v>1</v>
      </c>
      <c r="F28" s="42">
        <f>SUM(D28*E28)</f>
        <v>219</v>
      </c>
      <c r="G28" s="47">
        <f>('6022-yr1'!G28+'6022-yr2'!G28+'6022-yr3'!G28)/3</f>
        <v>0.25</v>
      </c>
      <c r="H28" s="40">
        <f>'6022-yr1'!H28+'6022-yr2'!H28+'6022-yr3'!H28</f>
        <v>55</v>
      </c>
      <c r="I28" s="49">
        <f>+J28/H28</f>
        <v>61.927272727272729</v>
      </c>
      <c r="J28" s="50">
        <v>3406</v>
      </c>
      <c r="K28" s="51">
        <f t="shared" si="59"/>
        <v>1135.3333333333333</v>
      </c>
      <c r="L28" s="52">
        <v>0</v>
      </c>
      <c r="M28" s="52">
        <v>0.75</v>
      </c>
      <c r="N28" s="52">
        <v>0.25</v>
      </c>
      <c r="O28" s="52">
        <v>0.66669999999999996</v>
      </c>
      <c r="Q28" s="53">
        <f t="shared" si="60"/>
        <v>0</v>
      </c>
      <c r="R28" s="53">
        <f t="shared" si="61"/>
        <v>2554.5</v>
      </c>
      <c r="S28" s="53">
        <f t="shared" si="62"/>
        <v>851.5</v>
      </c>
      <c r="T28" s="53">
        <f t="shared" si="63"/>
        <v>2270.7801999999997</v>
      </c>
      <c r="U28" s="53"/>
      <c r="V28" s="53">
        <f t="shared" si="64"/>
        <v>0</v>
      </c>
      <c r="W28" s="53">
        <f t="shared" si="65"/>
        <v>851.5</v>
      </c>
      <c r="X28" s="53">
        <f t="shared" si="66"/>
        <v>283.83333333333331</v>
      </c>
      <c r="Y28" s="53">
        <f t="shared" si="67"/>
        <v>756.92673333333323</v>
      </c>
      <c r="AA28" s="54"/>
      <c r="AB28" s="55"/>
      <c r="AC28" s="55"/>
      <c r="AD28" s="55"/>
    </row>
    <row r="29" spans="1:30" ht="13.5" customHeight="1">
      <c r="A29" s="37" t="s">
        <v>174</v>
      </c>
      <c r="B29" s="56" t="s">
        <v>111</v>
      </c>
      <c r="C29" s="39" t="s">
        <v>112</v>
      </c>
      <c r="D29" s="40">
        <f>'6022-yr1'!D29+'6022-yr2'!D29+'6022-yr3'!D29</f>
        <v>210</v>
      </c>
      <c r="E29" s="41">
        <v>1</v>
      </c>
      <c r="F29" s="42">
        <f t="shared" ref="F29:F33" si="68">SUM(D29*E29)</f>
        <v>210</v>
      </c>
      <c r="G29" s="47">
        <f>('6022-yr1'!G29+'6022-yr2'!G29+'6022-yr3'!G29)/3</f>
        <v>0.08</v>
      </c>
      <c r="H29" s="40">
        <f>'6022-yr1'!H29+'6022-yr2'!H29+'6022-yr3'!H29</f>
        <v>17</v>
      </c>
      <c r="I29" s="49">
        <f>+J29/H29</f>
        <v>62</v>
      </c>
      <c r="J29" s="50">
        <v>1054</v>
      </c>
      <c r="K29" s="51">
        <f t="shared" ref="K29:K33" si="69">+J29/3</f>
        <v>351.33333333333331</v>
      </c>
      <c r="L29" s="52">
        <v>0</v>
      </c>
      <c r="M29" s="52">
        <v>0.75</v>
      </c>
      <c r="N29" s="52">
        <v>0.25</v>
      </c>
      <c r="O29" s="52">
        <v>0.66669999999999996</v>
      </c>
      <c r="Q29" s="53">
        <f t="shared" ref="Q29:Q33" si="70">+$J29*L29</f>
        <v>0</v>
      </c>
      <c r="R29" s="53">
        <f t="shared" ref="R29:R33" si="71">+$J29*M29</f>
        <v>790.5</v>
      </c>
      <c r="S29" s="53">
        <f t="shared" ref="S29:S33" si="72">+$J29*N29</f>
        <v>263.5</v>
      </c>
      <c r="T29" s="53">
        <f t="shared" ref="T29:T33" si="73">+$J29*O29</f>
        <v>702.70179999999993</v>
      </c>
      <c r="U29" s="53"/>
      <c r="V29" s="53">
        <f t="shared" ref="V29:V33" si="74">+Q29/3</f>
        <v>0</v>
      </c>
      <c r="W29" s="53">
        <f t="shared" ref="W29:W33" si="75">+R29/3</f>
        <v>263.5</v>
      </c>
      <c r="X29" s="53">
        <f t="shared" ref="X29:X33" si="76">+S29/3</f>
        <v>87.833333333333329</v>
      </c>
      <c r="Y29" s="53">
        <f t="shared" ref="Y29:Y33" si="77">+T29/3</f>
        <v>234.23393333333331</v>
      </c>
      <c r="AA29" s="54">
        <f t="shared" ref="AA29:AA33" si="78">+$D29*L29</f>
        <v>0</v>
      </c>
      <c r="AB29" s="55">
        <f t="shared" ref="AB29:AB33" si="79">+$D29*M29</f>
        <v>157.5</v>
      </c>
      <c r="AC29" s="55">
        <f t="shared" ref="AC29:AC33" si="80">+$D29*N29</f>
        <v>52.5</v>
      </c>
      <c r="AD29" s="55">
        <f t="shared" ref="AD29:AD33" si="81">+$D29*O29</f>
        <v>140.00700000000001</v>
      </c>
    </row>
    <row r="30" spans="1:30" ht="13.5" customHeight="1">
      <c r="A30" s="37" t="s">
        <v>175</v>
      </c>
      <c r="B30" s="56" t="s">
        <v>153</v>
      </c>
      <c r="C30" s="111" t="s">
        <v>152</v>
      </c>
      <c r="D30" s="40">
        <f>'6022-yr1'!D30+'6022-yr2'!D30+'6022-yr3'!D30</f>
        <v>210</v>
      </c>
      <c r="E30" s="41">
        <v>2</v>
      </c>
      <c r="F30" s="42">
        <f t="shared" ref="F30" si="82">SUM(D30*E30)</f>
        <v>420</v>
      </c>
      <c r="G30" s="47">
        <f>('6022-yr1'!G30+'6022-yr2'!G30+'6022-yr3'!G30)/3</f>
        <v>0.25</v>
      </c>
      <c r="H30" s="40">
        <f>'6022-yr1'!H30+'6022-yr2'!H30+'6022-yr3'!H30</f>
        <v>105</v>
      </c>
      <c r="I30" s="49">
        <f t="shared" ref="I30" si="83">+J30/H30</f>
        <v>61.990476190476187</v>
      </c>
      <c r="J30" s="50">
        <f>'6022-yr1'!J30+'6022-yr2'!J30+'6022-yr3'!J30</f>
        <v>6509</v>
      </c>
      <c r="K30" s="51">
        <f t="shared" si="69"/>
        <v>2169.6666666666665</v>
      </c>
      <c r="L30" s="52">
        <v>0</v>
      </c>
      <c r="M30" s="52">
        <v>0.75</v>
      </c>
      <c r="N30" s="52">
        <v>0.25</v>
      </c>
      <c r="O30" s="52">
        <v>0.66669999999999996</v>
      </c>
      <c r="Q30" s="53">
        <f t="shared" ref="Q30" si="84">+$J30*L30</f>
        <v>0</v>
      </c>
      <c r="R30" s="53">
        <f t="shared" ref="R30" si="85">+$J30*M30</f>
        <v>4881.75</v>
      </c>
      <c r="S30" s="53">
        <f t="shared" ref="S30" si="86">+$J30*N30</f>
        <v>1627.25</v>
      </c>
      <c r="T30" s="53">
        <f t="shared" ref="T30" si="87">+$J30*O30</f>
        <v>4339.5502999999999</v>
      </c>
      <c r="U30" s="53"/>
      <c r="V30" s="53">
        <f t="shared" ref="V30" si="88">+Q30/3</f>
        <v>0</v>
      </c>
      <c r="W30" s="53">
        <f t="shared" ref="W30" si="89">+R30/3</f>
        <v>1627.25</v>
      </c>
      <c r="X30" s="53">
        <f t="shared" ref="X30" si="90">+S30/3</f>
        <v>542.41666666666663</v>
      </c>
      <c r="Y30" s="53">
        <f t="shared" ref="Y30" si="91">+T30/3</f>
        <v>1446.5167666666666</v>
      </c>
      <c r="AA30" s="54">
        <f t="shared" ref="AA30" si="92">+$D30*L30</f>
        <v>0</v>
      </c>
      <c r="AB30" s="55">
        <f t="shared" ref="AB30" si="93">+$D30*M30</f>
        <v>157.5</v>
      </c>
      <c r="AC30" s="55">
        <f t="shared" ref="AC30" si="94">+$D30*N30</f>
        <v>52.5</v>
      </c>
      <c r="AD30" s="55">
        <f t="shared" ref="AD30" si="95">+$D30*O30</f>
        <v>140.00700000000001</v>
      </c>
    </row>
    <row r="31" spans="1:30" ht="13.5" customHeight="1">
      <c r="A31" s="37" t="s">
        <v>176</v>
      </c>
      <c r="B31" s="56" t="s">
        <v>117</v>
      </c>
      <c r="C31" s="39" t="s">
        <v>116</v>
      </c>
      <c r="D31" s="40">
        <f>'6022-yr1'!D31+'6022-yr2'!D31+'6022-yr3'!D31</f>
        <v>210</v>
      </c>
      <c r="E31" s="41">
        <v>1</v>
      </c>
      <c r="F31" s="42">
        <f t="shared" si="68"/>
        <v>210</v>
      </c>
      <c r="G31" s="47">
        <f>('6022-yr1'!G31+'6022-yr2'!G31+'6022-yr3'!G31)/3</f>
        <v>1</v>
      </c>
      <c r="H31" s="40">
        <f>'6022-yr1'!H31+'6022-yr2'!H31+'6022-yr3'!H31</f>
        <v>210</v>
      </c>
      <c r="I31" s="49">
        <f t="shared" ref="I31:I33" si="96">+J31/H31</f>
        <v>61.990476190476187</v>
      </c>
      <c r="J31" s="50">
        <f>'6022-yr1'!J31+'6022-yr2'!J31+'6022-yr3'!J31</f>
        <v>13018</v>
      </c>
      <c r="K31" s="51">
        <f t="shared" si="69"/>
        <v>4339.333333333333</v>
      </c>
      <c r="L31" s="52">
        <v>0</v>
      </c>
      <c r="M31" s="52">
        <v>0.75</v>
      </c>
      <c r="N31" s="52">
        <v>0.25</v>
      </c>
      <c r="O31" s="52">
        <v>0.66669999999999996</v>
      </c>
      <c r="Q31" s="53">
        <f t="shared" si="70"/>
        <v>0</v>
      </c>
      <c r="R31" s="53">
        <f t="shared" si="71"/>
        <v>9763.5</v>
      </c>
      <c r="S31" s="53">
        <f t="shared" si="72"/>
        <v>3254.5</v>
      </c>
      <c r="T31" s="53">
        <f t="shared" si="73"/>
        <v>8679.1005999999998</v>
      </c>
      <c r="U31" s="53"/>
      <c r="V31" s="53">
        <f t="shared" si="74"/>
        <v>0</v>
      </c>
      <c r="W31" s="53">
        <f t="shared" si="75"/>
        <v>3254.5</v>
      </c>
      <c r="X31" s="53">
        <f t="shared" si="76"/>
        <v>1084.8333333333333</v>
      </c>
      <c r="Y31" s="53">
        <f t="shared" si="77"/>
        <v>2893.0335333333333</v>
      </c>
      <c r="AA31" s="54">
        <f t="shared" si="78"/>
        <v>0</v>
      </c>
      <c r="AB31" s="55">
        <f t="shared" si="79"/>
        <v>157.5</v>
      </c>
      <c r="AC31" s="55">
        <f t="shared" si="80"/>
        <v>52.5</v>
      </c>
      <c r="AD31" s="55">
        <f t="shared" si="81"/>
        <v>140.00700000000001</v>
      </c>
    </row>
    <row r="32" spans="1:30" ht="13.5" customHeight="1">
      <c r="A32" s="37" t="s">
        <v>181</v>
      </c>
      <c r="B32" s="56" t="s">
        <v>113</v>
      </c>
      <c r="C32" s="39" t="s">
        <v>118</v>
      </c>
      <c r="D32" s="40">
        <f>'6022-yr1'!D32+'6022-yr2'!D32+'6022-yr3'!D32</f>
        <v>210</v>
      </c>
      <c r="E32" s="41">
        <v>1</v>
      </c>
      <c r="F32" s="42">
        <f t="shared" si="68"/>
        <v>210</v>
      </c>
      <c r="G32" s="47">
        <f>('6022-yr1'!G32+'6022-yr2'!G32+'6022-yr3'!G32)/3</f>
        <v>1.5</v>
      </c>
      <c r="H32" s="40">
        <f>'6022-yr1'!H32+'6022-yr2'!H32+'6022-yr3'!H32</f>
        <v>315</v>
      </c>
      <c r="I32" s="49">
        <f t="shared" si="96"/>
        <v>61.990476190476187</v>
      </c>
      <c r="J32" s="50">
        <f>'6022-yr1'!J32+'6022-yr2'!J32+'6022-yr3'!J32</f>
        <v>19527</v>
      </c>
      <c r="K32" s="51">
        <f t="shared" si="69"/>
        <v>6509</v>
      </c>
      <c r="L32" s="52">
        <v>0</v>
      </c>
      <c r="M32" s="52">
        <v>0.75</v>
      </c>
      <c r="N32" s="52">
        <v>0.25</v>
      </c>
      <c r="O32" s="52">
        <v>0.66669999999999996</v>
      </c>
      <c r="Q32" s="53">
        <f t="shared" si="70"/>
        <v>0</v>
      </c>
      <c r="R32" s="53">
        <f t="shared" si="71"/>
        <v>14645.25</v>
      </c>
      <c r="S32" s="53">
        <f t="shared" si="72"/>
        <v>4881.75</v>
      </c>
      <c r="T32" s="53">
        <f t="shared" si="73"/>
        <v>13018.650899999999</v>
      </c>
      <c r="U32" s="53"/>
      <c r="V32" s="53">
        <f t="shared" si="74"/>
        <v>0</v>
      </c>
      <c r="W32" s="53">
        <f t="shared" si="75"/>
        <v>4881.75</v>
      </c>
      <c r="X32" s="53">
        <f t="shared" si="76"/>
        <v>1627.25</v>
      </c>
      <c r="Y32" s="53">
        <f t="shared" si="77"/>
        <v>4339.5502999999999</v>
      </c>
      <c r="AA32" s="54">
        <f t="shared" si="78"/>
        <v>0</v>
      </c>
      <c r="AB32" s="55">
        <f t="shared" si="79"/>
        <v>157.5</v>
      </c>
      <c r="AC32" s="55">
        <f t="shared" si="80"/>
        <v>52.5</v>
      </c>
      <c r="AD32" s="55">
        <f t="shared" si="81"/>
        <v>140.00700000000001</v>
      </c>
    </row>
    <row r="33" spans="1:30" ht="13.5" customHeight="1">
      <c r="A33" s="37" t="s">
        <v>175</v>
      </c>
      <c r="B33" s="56" t="s">
        <v>114</v>
      </c>
      <c r="C33" s="39" t="s">
        <v>115</v>
      </c>
      <c r="D33" s="40">
        <f>'6022-yr1'!D33+'6022-yr2'!D33+'6022-yr3'!D33</f>
        <v>210</v>
      </c>
      <c r="E33" s="41">
        <v>1</v>
      </c>
      <c r="F33" s="42">
        <f t="shared" si="68"/>
        <v>210</v>
      </c>
      <c r="G33" s="47">
        <f>('6022-yr1'!G33+'6022-yr2'!G33+'6022-yr3'!G33)/3</f>
        <v>1.5</v>
      </c>
      <c r="H33" s="40">
        <f>'6022-yr1'!H33+'6022-yr2'!H33+'6022-yr3'!H33</f>
        <v>315</v>
      </c>
      <c r="I33" s="49">
        <f t="shared" si="96"/>
        <v>61.990476190476187</v>
      </c>
      <c r="J33" s="50">
        <f>'6022-yr1'!J33+'6022-yr2'!J33+'6022-yr3'!J33</f>
        <v>19527</v>
      </c>
      <c r="K33" s="51">
        <f t="shared" si="69"/>
        <v>6509</v>
      </c>
      <c r="L33" s="52">
        <v>0</v>
      </c>
      <c r="M33" s="52">
        <v>0.75</v>
      </c>
      <c r="N33" s="52">
        <v>0.25</v>
      </c>
      <c r="O33" s="52">
        <v>0.66669999999999996</v>
      </c>
      <c r="Q33" s="53">
        <f t="shared" si="70"/>
        <v>0</v>
      </c>
      <c r="R33" s="53">
        <f t="shared" si="71"/>
        <v>14645.25</v>
      </c>
      <c r="S33" s="53">
        <f t="shared" si="72"/>
        <v>4881.75</v>
      </c>
      <c r="T33" s="53">
        <f t="shared" si="73"/>
        <v>13018.650899999999</v>
      </c>
      <c r="U33" s="53"/>
      <c r="V33" s="53">
        <f t="shared" si="74"/>
        <v>0</v>
      </c>
      <c r="W33" s="53">
        <f t="shared" si="75"/>
        <v>4881.75</v>
      </c>
      <c r="X33" s="53">
        <f t="shared" si="76"/>
        <v>1627.25</v>
      </c>
      <c r="Y33" s="53">
        <f t="shared" si="77"/>
        <v>4339.5502999999999</v>
      </c>
      <c r="AA33" s="54">
        <f t="shared" si="78"/>
        <v>0</v>
      </c>
      <c r="AB33" s="55">
        <f t="shared" si="79"/>
        <v>157.5</v>
      </c>
      <c r="AC33" s="55">
        <f t="shared" si="80"/>
        <v>52.5</v>
      </c>
      <c r="AD33" s="55">
        <f t="shared" si="81"/>
        <v>140.00700000000001</v>
      </c>
    </row>
    <row r="34" spans="1:30" ht="27.75" customHeight="1">
      <c r="A34" s="37" t="s">
        <v>177</v>
      </c>
      <c r="B34" s="56" t="s">
        <v>160</v>
      </c>
      <c r="C34" s="39" t="s">
        <v>146</v>
      </c>
      <c r="D34" s="40">
        <f>'6022-yr1'!D34+'6022-yr2'!D34+'6022-yr3'!D34</f>
        <v>196</v>
      </c>
      <c r="E34" s="41">
        <v>1</v>
      </c>
      <c r="F34" s="42">
        <f t="shared" ref="F34" si="97">SUM(D34*E34)</f>
        <v>196</v>
      </c>
      <c r="G34" s="47">
        <f>('6022-yr1'!G34+'6022-yr2'!G34+'6022-yr3'!G34)/3</f>
        <v>1</v>
      </c>
      <c r="H34" s="40">
        <f>'6022-yr1'!H34+'6022-yr2'!H34+'6022-yr3'!H34</f>
        <v>196</v>
      </c>
      <c r="I34" s="49">
        <f t="shared" ref="I34" si="98">+J34/H34</f>
        <v>61.938010204081628</v>
      </c>
      <c r="J34" s="50">
        <f>'6022-yr1'!J34+'6022-yr2'!J34+'6022-yr3'!J34</f>
        <v>12139.849999999999</v>
      </c>
      <c r="K34" s="51">
        <f t="shared" ref="K34" si="99">+J34/3</f>
        <v>4046.6166666666663</v>
      </c>
      <c r="L34" s="52">
        <v>0</v>
      </c>
      <c r="M34" s="52">
        <v>0.75</v>
      </c>
      <c r="N34" s="52">
        <v>0.25</v>
      </c>
      <c r="O34" s="52">
        <v>0.66669999999999996</v>
      </c>
      <c r="Q34" s="53">
        <f t="shared" ref="Q34" si="100">+$J34*L34</f>
        <v>0</v>
      </c>
      <c r="R34" s="53">
        <f t="shared" ref="R34" si="101">+$J34*M34</f>
        <v>9104.8874999999989</v>
      </c>
      <c r="S34" s="53">
        <f t="shared" ref="S34" si="102">+$J34*N34</f>
        <v>3034.9624999999996</v>
      </c>
      <c r="T34" s="53">
        <f t="shared" ref="T34" si="103">+$J34*O34</f>
        <v>8093.6379949999982</v>
      </c>
      <c r="U34" s="53"/>
      <c r="V34" s="53">
        <f t="shared" ref="V34" si="104">+Q34/3</f>
        <v>0</v>
      </c>
      <c r="W34" s="53">
        <f t="shared" ref="W34" si="105">+R34/3</f>
        <v>3034.9624999999996</v>
      </c>
      <c r="X34" s="53">
        <f t="shared" ref="X34" si="106">+S34/3</f>
        <v>1011.6541666666666</v>
      </c>
      <c r="Y34" s="53">
        <f t="shared" ref="Y34" si="107">+T34/3</f>
        <v>2697.8793316666661</v>
      </c>
      <c r="AA34" s="54">
        <f t="shared" ref="AA34" si="108">+$D34*L34</f>
        <v>0</v>
      </c>
      <c r="AB34" s="55">
        <f t="shared" ref="AB34" si="109">+$D34*M34</f>
        <v>147</v>
      </c>
      <c r="AC34" s="55">
        <f t="shared" ref="AC34" si="110">+$D34*N34</f>
        <v>49</v>
      </c>
      <c r="AD34" s="55">
        <f t="shared" ref="AD34" si="111">+$D34*O34</f>
        <v>130.67319999999998</v>
      </c>
    </row>
    <row r="35" spans="1:30" ht="13.5" customHeight="1">
      <c r="A35" s="37" t="s">
        <v>149</v>
      </c>
      <c r="B35" s="56" t="s">
        <v>64</v>
      </c>
      <c r="C35" s="39" t="s">
        <v>63</v>
      </c>
      <c r="D35" s="40">
        <f>'6022-yr1'!D35+'6022-yr2'!D35+'6022-yr3'!D35</f>
        <v>210</v>
      </c>
      <c r="E35" s="41">
        <v>1</v>
      </c>
      <c r="F35" s="42">
        <f>SUM(D35*E35)</f>
        <v>210</v>
      </c>
      <c r="G35" s="47">
        <v>0.25</v>
      </c>
      <c r="H35" s="40">
        <f>'6022-yr1'!H35+'6022-yr2'!H35+'6022-yr3'!H35</f>
        <v>53</v>
      </c>
      <c r="I35" s="49">
        <f>+J35/H35</f>
        <v>61.988679245283009</v>
      </c>
      <c r="J35" s="50">
        <f>'6022-yr1'!J35+'6022-yr2'!J35+'6022-yr3'!J35</f>
        <v>3285.3999999999996</v>
      </c>
      <c r="K35" s="51">
        <f>+J35/3</f>
        <v>1095.1333333333332</v>
      </c>
      <c r="L35" s="52">
        <v>0</v>
      </c>
      <c r="M35" s="52">
        <v>0.75</v>
      </c>
      <c r="N35" s="52">
        <v>0.25</v>
      </c>
      <c r="O35" s="52">
        <v>0.66669999999999996</v>
      </c>
      <c r="Q35" s="53">
        <f t="shared" si="56"/>
        <v>0</v>
      </c>
      <c r="R35" s="53">
        <f t="shared" si="56"/>
        <v>2464.0499999999997</v>
      </c>
      <c r="S35" s="53">
        <f t="shared" si="56"/>
        <v>821.34999999999991</v>
      </c>
      <c r="T35" s="53">
        <f t="shared" si="56"/>
        <v>2190.3761799999997</v>
      </c>
      <c r="U35" s="53"/>
      <c r="V35" s="53">
        <f t="shared" si="57"/>
        <v>0</v>
      </c>
      <c r="W35" s="53">
        <f t="shared" si="57"/>
        <v>821.34999999999991</v>
      </c>
      <c r="X35" s="53">
        <f t="shared" si="57"/>
        <v>273.7833333333333</v>
      </c>
      <c r="Y35" s="53">
        <f t="shared" si="57"/>
        <v>730.12539333333325</v>
      </c>
      <c r="AA35" s="54">
        <f t="shared" si="58"/>
        <v>0</v>
      </c>
      <c r="AB35" s="55">
        <f t="shared" si="58"/>
        <v>157.5</v>
      </c>
      <c r="AC35" s="55">
        <f t="shared" si="58"/>
        <v>52.5</v>
      </c>
      <c r="AD35" s="55">
        <f t="shared" si="58"/>
        <v>140.00700000000001</v>
      </c>
    </row>
    <row r="36" spans="1:30">
      <c r="A36" s="37" t="s">
        <v>178</v>
      </c>
      <c r="B36" s="56" t="s">
        <v>70</v>
      </c>
      <c r="C36" s="39" t="s">
        <v>71</v>
      </c>
      <c r="D36" s="40">
        <f>'6022-yr1'!D36+'6022-yr2'!D36+'6022-yr3'!D36</f>
        <v>210</v>
      </c>
      <c r="E36" s="80">
        <v>4</v>
      </c>
      <c r="F36" s="42">
        <f>SUM(D36*E36)</f>
        <v>840</v>
      </c>
      <c r="G36" s="47">
        <f>('6022-yr1'!G36+'6022-yr2'!G36+'6022-yr3'!G36)/3</f>
        <v>1</v>
      </c>
      <c r="H36" s="40">
        <f>'6022-yr1'!H36+'6022-yr2'!H36+'6022-yr3'!H36</f>
        <v>840</v>
      </c>
      <c r="I36" s="49">
        <f>+J36/H36</f>
        <v>61.990476190476187</v>
      </c>
      <c r="J36" s="50">
        <f>'6022-yr1'!J36+'6022-yr2'!J36+'6022-yr3'!J36</f>
        <v>52072</v>
      </c>
      <c r="K36" s="51">
        <f>+J36/3</f>
        <v>17357.333333333332</v>
      </c>
      <c r="L36" s="52">
        <v>0</v>
      </c>
      <c r="M36" s="52">
        <v>0.75</v>
      </c>
      <c r="N36" s="52">
        <v>0.25</v>
      </c>
      <c r="O36" s="52">
        <v>0.66669999999999996</v>
      </c>
      <c r="Q36" s="53">
        <f t="shared" ref="Q36:T37" si="112">+$J36*L36</f>
        <v>0</v>
      </c>
      <c r="R36" s="53">
        <f t="shared" si="112"/>
        <v>39054</v>
      </c>
      <c r="S36" s="53">
        <f t="shared" si="112"/>
        <v>13018</v>
      </c>
      <c r="T36" s="53">
        <f t="shared" si="112"/>
        <v>34716.402399999999</v>
      </c>
      <c r="U36" s="53"/>
      <c r="V36" s="53">
        <f t="shared" ref="V36:Y37" si="113">+Q36/3</f>
        <v>0</v>
      </c>
      <c r="W36" s="53">
        <f t="shared" si="113"/>
        <v>13018</v>
      </c>
      <c r="X36" s="53">
        <f t="shared" si="113"/>
        <v>4339.333333333333</v>
      </c>
      <c r="Y36" s="53">
        <f t="shared" si="113"/>
        <v>11572.134133333333</v>
      </c>
      <c r="AA36" s="54">
        <f t="shared" ref="AA36:AD37" si="114">+$D36*L36</f>
        <v>0</v>
      </c>
      <c r="AB36" s="55">
        <f t="shared" si="114"/>
        <v>157.5</v>
      </c>
      <c r="AC36" s="55">
        <f t="shared" si="114"/>
        <v>52.5</v>
      </c>
      <c r="AD36" s="55">
        <f t="shared" si="114"/>
        <v>140.00700000000001</v>
      </c>
    </row>
    <row r="37" spans="1:30">
      <c r="A37" s="37" t="s">
        <v>151</v>
      </c>
      <c r="B37" s="56" t="s">
        <v>17</v>
      </c>
      <c r="C37" s="39" t="s">
        <v>18</v>
      </c>
      <c r="D37" s="130">
        <f>'6022-yr1'!D37+'6022-yr2'!D37+'6022-yr3'!D37</f>
        <v>219</v>
      </c>
      <c r="E37" s="41">
        <v>1</v>
      </c>
      <c r="F37" s="127">
        <f>SUM(D37*E37)</f>
        <v>219</v>
      </c>
      <c r="G37" s="47">
        <f>('6022-yr1'!G37+'6022-yr2'!G37+'6022-yr3'!G37)/3</f>
        <v>0.16</v>
      </c>
      <c r="H37" s="130">
        <f>'6022-yr1'!H37+'6022-yr2'!H37+'6022-yr3'!H37</f>
        <v>35</v>
      </c>
      <c r="I37" s="49">
        <f>+J37/H37</f>
        <v>61.921428571428571</v>
      </c>
      <c r="J37" s="135">
        <f>'6022-yr1'!J37+'6022-yr2'!J37+'6022-yr3'!J37</f>
        <v>2167.25</v>
      </c>
      <c r="K37" s="51">
        <f>+J37/3</f>
        <v>722.41666666666663</v>
      </c>
      <c r="L37" s="52">
        <v>0</v>
      </c>
      <c r="M37" s="52">
        <v>0.75</v>
      </c>
      <c r="N37" s="52">
        <v>0.25</v>
      </c>
      <c r="O37" s="52">
        <v>0.66669999999999996</v>
      </c>
      <c r="Q37" s="53">
        <f t="shared" si="112"/>
        <v>0</v>
      </c>
      <c r="R37" s="53">
        <f t="shared" si="112"/>
        <v>1625.4375</v>
      </c>
      <c r="S37" s="53">
        <f t="shared" si="112"/>
        <v>541.8125</v>
      </c>
      <c r="T37" s="53">
        <f t="shared" si="112"/>
        <v>1444.905575</v>
      </c>
      <c r="U37" s="53"/>
      <c r="V37" s="53">
        <f t="shared" si="113"/>
        <v>0</v>
      </c>
      <c r="W37" s="53">
        <f t="shared" si="113"/>
        <v>541.8125</v>
      </c>
      <c r="X37" s="53">
        <f t="shared" si="113"/>
        <v>180.60416666666666</v>
      </c>
      <c r="Y37" s="53">
        <f t="shared" si="113"/>
        <v>481.63519166666669</v>
      </c>
      <c r="AA37" s="54">
        <f t="shared" si="114"/>
        <v>0</v>
      </c>
      <c r="AB37" s="55">
        <f t="shared" si="114"/>
        <v>164.25</v>
      </c>
      <c r="AC37" s="55">
        <f t="shared" si="114"/>
        <v>54.75</v>
      </c>
      <c r="AD37" s="55">
        <f t="shared" si="114"/>
        <v>146.00729999999999</v>
      </c>
    </row>
    <row r="38" spans="1:30">
      <c r="A38" s="37"/>
      <c r="B38" s="62" t="s">
        <v>38</v>
      </c>
      <c r="C38" s="18"/>
      <c r="D38" s="124"/>
      <c r="E38" s="75"/>
      <c r="F38" s="124">
        <v>3382</v>
      </c>
      <c r="G38" s="66"/>
      <c r="H38" s="125">
        <v>3948</v>
      </c>
      <c r="I38" s="77"/>
      <c r="J38" s="126">
        <v>244612</v>
      </c>
      <c r="K38" s="77"/>
      <c r="L38" s="52"/>
      <c r="M38" s="52"/>
      <c r="N38" s="52"/>
      <c r="O38" s="52"/>
      <c r="Q38" s="53"/>
      <c r="R38" s="53"/>
      <c r="S38" s="53"/>
      <c r="T38" s="53"/>
      <c r="U38" s="53"/>
      <c r="V38" s="53"/>
      <c r="W38" s="53"/>
      <c r="X38" s="53"/>
      <c r="AA38" s="54"/>
      <c r="AB38" s="55"/>
      <c r="AC38" s="55"/>
      <c r="AD38" s="55"/>
    </row>
    <row r="39" spans="1:30">
      <c r="A39" s="37"/>
      <c r="B39" s="62"/>
      <c r="C39" s="18"/>
      <c r="D39" s="75"/>
      <c r="E39" s="75"/>
      <c r="F39" s="75"/>
      <c r="G39" s="66"/>
      <c r="H39" s="76"/>
      <c r="I39" s="77"/>
      <c r="J39" s="69"/>
      <c r="K39" s="77"/>
      <c r="L39" s="52"/>
      <c r="M39" s="52"/>
      <c r="N39" s="52"/>
      <c r="O39" s="52"/>
      <c r="Q39" s="53"/>
      <c r="R39" s="53"/>
      <c r="S39" s="53"/>
      <c r="T39" s="53"/>
      <c r="U39" s="53"/>
      <c r="V39" s="53"/>
      <c r="W39" s="53"/>
      <c r="X39" s="53"/>
      <c r="AA39" s="54"/>
      <c r="AB39" s="55"/>
      <c r="AC39" s="55"/>
      <c r="AD39" s="55"/>
    </row>
    <row r="40" spans="1:30">
      <c r="A40" s="37"/>
      <c r="B40" s="74" t="s">
        <v>50</v>
      </c>
      <c r="C40" s="18"/>
      <c r="D40" s="65"/>
      <c r="E40" s="77"/>
      <c r="F40" s="65"/>
      <c r="G40" s="66"/>
      <c r="H40" s="67"/>
      <c r="I40" s="77"/>
      <c r="J40" s="75"/>
      <c r="K40" s="77"/>
      <c r="L40" s="52"/>
      <c r="M40" s="52"/>
      <c r="N40" s="52"/>
      <c r="O40" s="52"/>
      <c r="Q40" s="53"/>
      <c r="R40" s="53"/>
      <c r="S40" s="53"/>
      <c r="T40" s="53"/>
      <c r="U40" s="53"/>
      <c r="V40" s="53"/>
      <c r="W40" s="53"/>
      <c r="X40" s="53"/>
      <c r="AA40" s="54"/>
      <c r="AB40" s="55"/>
      <c r="AC40" s="55"/>
      <c r="AD40" s="55"/>
    </row>
    <row r="41" spans="1:30">
      <c r="A41" s="37" t="s">
        <v>182</v>
      </c>
      <c r="B41" s="56" t="s">
        <v>15</v>
      </c>
      <c r="C41" s="39" t="s">
        <v>34</v>
      </c>
      <c r="D41" s="40">
        <f>'6022-yr1'!D41+'6022-yr2'!D43+'6022-yr3'!D41</f>
        <v>219</v>
      </c>
      <c r="E41" s="41">
        <v>1</v>
      </c>
      <c r="F41" s="42">
        <f t="shared" ref="F41:F43" si="115">SUM(D41*E41)</f>
        <v>219</v>
      </c>
      <c r="G41" s="47">
        <f>('6022-yr1'!G41+'6022-yr2'!G43+'6022-yr3'!G41)/3</f>
        <v>1</v>
      </c>
      <c r="H41" s="40">
        <f>'6022-yr1'!H41+'6022-yr2'!H43+'6022-yr3'!H41</f>
        <v>219</v>
      </c>
      <c r="I41" s="49">
        <f t="shared" ref="I41:I43" si="116">+J41/H41</f>
        <v>61.93356164383561</v>
      </c>
      <c r="J41" s="50">
        <f>'6022-yr1'!J41+'6022-yr2'!J43+'6022-yr3'!J41</f>
        <v>13563.449999999999</v>
      </c>
      <c r="K41" s="51">
        <f t="shared" ref="K41:K43" si="117">+J41/3</f>
        <v>4521.1499999999996</v>
      </c>
      <c r="L41" s="52">
        <v>0</v>
      </c>
      <c r="M41" s="52">
        <v>0.75</v>
      </c>
      <c r="N41" s="52">
        <v>0.25</v>
      </c>
      <c r="O41" s="52">
        <v>0.66669999999999996</v>
      </c>
      <c r="Q41" s="53">
        <f t="shared" ref="Q41:T43" si="118">+$J41*L41</f>
        <v>0</v>
      </c>
      <c r="R41" s="53">
        <f t="shared" si="118"/>
        <v>10172.5875</v>
      </c>
      <c r="S41" s="53">
        <f t="shared" si="118"/>
        <v>3390.8624999999997</v>
      </c>
      <c r="T41" s="53">
        <f t="shared" si="118"/>
        <v>9042.7521149999993</v>
      </c>
      <c r="U41" s="53"/>
      <c r="V41" s="53">
        <f t="shared" ref="V41:V43" si="119">+Q41/3</f>
        <v>0</v>
      </c>
      <c r="W41" s="53">
        <f t="shared" ref="W41:W43" si="120">+R41/3</f>
        <v>3390.8624999999997</v>
      </c>
      <c r="X41" s="53">
        <f t="shared" ref="X41:X43" si="121">+S41/3</f>
        <v>1130.2874999999999</v>
      </c>
      <c r="Y41" s="53">
        <f t="shared" ref="Y41:Y43" si="122">+T41/3</f>
        <v>3014.2507049999999</v>
      </c>
      <c r="AA41" s="54">
        <f t="shared" ref="AA41:AD41" si="123">+$D41*L41</f>
        <v>0</v>
      </c>
      <c r="AB41" s="55">
        <f t="shared" si="123"/>
        <v>164.25</v>
      </c>
      <c r="AC41" s="55">
        <f t="shared" si="123"/>
        <v>54.75</v>
      </c>
      <c r="AD41" s="55">
        <f t="shared" si="123"/>
        <v>146.00729999999999</v>
      </c>
    </row>
    <row r="42" spans="1:30">
      <c r="A42" s="37" t="s">
        <v>183</v>
      </c>
      <c r="B42" s="78" t="s">
        <v>35</v>
      </c>
      <c r="C42" s="39" t="s">
        <v>33</v>
      </c>
      <c r="D42" s="40">
        <f>'6022-yr1'!D42+'6022-yr2'!D44+'6022-yr3'!D42</f>
        <v>219</v>
      </c>
      <c r="E42" s="41">
        <v>1</v>
      </c>
      <c r="F42" s="42">
        <f t="shared" si="115"/>
        <v>219</v>
      </c>
      <c r="G42" s="47">
        <f>('6022-yr1'!G42+'6022-yr2'!G44+'6022-yr3'!G42)/3</f>
        <v>3</v>
      </c>
      <c r="H42" s="40">
        <f>'6022-yr1'!H42+'6022-yr2'!H44+'6022-yr3'!H42</f>
        <v>657</v>
      </c>
      <c r="I42" s="49">
        <f t="shared" si="116"/>
        <v>61.929984779299851</v>
      </c>
      <c r="J42" s="50">
        <v>40688</v>
      </c>
      <c r="K42" s="51">
        <f t="shared" si="117"/>
        <v>13562.666666666666</v>
      </c>
      <c r="L42" s="52">
        <v>0</v>
      </c>
      <c r="M42" s="52">
        <v>0.75</v>
      </c>
      <c r="N42" s="52">
        <v>0.25</v>
      </c>
      <c r="O42" s="52">
        <v>0.66669999999999996</v>
      </c>
      <c r="Q42" s="53">
        <f t="shared" si="118"/>
        <v>0</v>
      </c>
      <c r="R42" s="53">
        <f t="shared" si="118"/>
        <v>30516</v>
      </c>
      <c r="S42" s="53">
        <f t="shared" si="118"/>
        <v>10172</v>
      </c>
      <c r="T42" s="53">
        <f t="shared" si="118"/>
        <v>27126.689599999998</v>
      </c>
      <c r="U42" s="53"/>
      <c r="V42" s="53">
        <f t="shared" si="119"/>
        <v>0</v>
      </c>
      <c r="W42" s="53">
        <f t="shared" si="120"/>
        <v>10172</v>
      </c>
      <c r="X42" s="53">
        <f t="shared" si="121"/>
        <v>3390.6666666666665</v>
      </c>
      <c r="Y42" s="53">
        <f t="shared" si="122"/>
        <v>9042.2298666666666</v>
      </c>
      <c r="AA42" s="54">
        <f t="shared" ref="AA42:AA43" si="124">+$D42*L42</f>
        <v>0</v>
      </c>
      <c r="AB42" s="55">
        <f t="shared" ref="AB42:AB43" si="125">+$D42*M42</f>
        <v>164.25</v>
      </c>
      <c r="AC42" s="55">
        <f t="shared" ref="AC42:AC43" si="126">+$D42*N42</f>
        <v>54.75</v>
      </c>
      <c r="AD42" s="55">
        <f t="shared" ref="AD42:AD43" si="127">+$D42*O42</f>
        <v>146.00729999999999</v>
      </c>
    </row>
    <row r="43" spans="1:30">
      <c r="A43" s="37" t="s">
        <v>150</v>
      </c>
      <c r="B43" s="79" t="s">
        <v>36</v>
      </c>
      <c r="C43" s="39" t="s">
        <v>37</v>
      </c>
      <c r="D43" s="40">
        <f>'6022-yr1'!D43+'6022-yr2'!D45+'6022-yr3'!D43</f>
        <v>219</v>
      </c>
      <c r="E43" s="80">
        <v>1</v>
      </c>
      <c r="F43" s="42">
        <f t="shared" si="115"/>
        <v>219</v>
      </c>
      <c r="G43" s="47">
        <f>('6022-yr1'!G43+'6022-yr2'!G45+'6022-yr3'!G43)/3</f>
        <v>0.25</v>
      </c>
      <c r="H43" s="40">
        <f>'6022-yr1'!H43+'6022-yr2'!H45+'6022-yr3'!H43</f>
        <v>55</v>
      </c>
      <c r="I43" s="49">
        <f t="shared" si="116"/>
        <v>61.927272727272729</v>
      </c>
      <c r="J43" s="50">
        <v>3406</v>
      </c>
      <c r="K43" s="51">
        <f t="shared" si="117"/>
        <v>1135.3333333333333</v>
      </c>
      <c r="L43" s="52">
        <v>0</v>
      </c>
      <c r="M43" s="52">
        <v>0.75</v>
      </c>
      <c r="N43" s="52">
        <v>0.25</v>
      </c>
      <c r="O43" s="52">
        <v>0.66669999999999996</v>
      </c>
      <c r="Q43" s="53">
        <f t="shared" si="118"/>
        <v>0</v>
      </c>
      <c r="R43" s="53">
        <f t="shared" si="118"/>
        <v>2554.5</v>
      </c>
      <c r="S43" s="53">
        <f t="shared" si="118"/>
        <v>851.5</v>
      </c>
      <c r="T43" s="53">
        <f t="shared" si="118"/>
        <v>2270.7801999999997</v>
      </c>
      <c r="U43" s="53"/>
      <c r="V43" s="53">
        <f t="shared" si="119"/>
        <v>0</v>
      </c>
      <c r="W43" s="53">
        <f t="shared" si="120"/>
        <v>851.5</v>
      </c>
      <c r="X43" s="53">
        <f t="shared" si="121"/>
        <v>283.83333333333331</v>
      </c>
      <c r="Y43" s="53">
        <f t="shared" si="122"/>
        <v>756.92673333333323</v>
      </c>
      <c r="AA43" s="54">
        <f t="shared" si="124"/>
        <v>0</v>
      </c>
      <c r="AB43" s="55">
        <f t="shared" si="125"/>
        <v>164.25</v>
      </c>
      <c r="AC43" s="55">
        <f t="shared" si="126"/>
        <v>54.75</v>
      </c>
      <c r="AD43" s="55">
        <f t="shared" si="127"/>
        <v>146.00729999999999</v>
      </c>
    </row>
    <row r="44" spans="1:30">
      <c r="A44" s="37" t="s">
        <v>163</v>
      </c>
      <c r="B44" s="56" t="s">
        <v>154</v>
      </c>
      <c r="C44" s="41" t="s">
        <v>157</v>
      </c>
      <c r="D44" s="40">
        <f>'6022-yr1'!D44+'6022-yr2'!D46+'6022-yr3'!D44</f>
        <v>210</v>
      </c>
      <c r="E44" s="41">
        <v>1</v>
      </c>
      <c r="F44" s="42">
        <f>SUM(D44*E44)</f>
        <v>210</v>
      </c>
      <c r="G44" s="47">
        <f>('6022-yr1'!G44+'6022-yr2'!G46+'6022-yr3'!G44)/3</f>
        <v>0.42</v>
      </c>
      <c r="H44" s="40">
        <f>'6022-yr1'!H44+'6022-yr2'!H46+'6022-yr3'!H44</f>
        <v>88</v>
      </c>
      <c r="I44" s="49">
        <f>+J44/H44</f>
        <v>60</v>
      </c>
      <c r="J44" s="50">
        <f>'6022-yr1'!J44+'6022-yr2'!J46+'6022-yr3'!J44</f>
        <v>5280</v>
      </c>
      <c r="K44" s="68"/>
      <c r="L44" s="52"/>
      <c r="M44" s="52"/>
      <c r="N44" s="52"/>
      <c r="O44" s="52"/>
      <c r="Q44" s="53"/>
      <c r="R44" s="53"/>
      <c r="S44" s="53"/>
      <c r="T44" s="53"/>
      <c r="U44" s="53"/>
      <c r="V44" s="53"/>
      <c r="W44" s="53"/>
      <c r="X44" s="53"/>
      <c r="Y44" s="53"/>
      <c r="AA44" s="54"/>
      <c r="AB44" s="55"/>
      <c r="AC44" s="55"/>
      <c r="AD44" s="55"/>
    </row>
    <row r="45" spans="1:30">
      <c r="A45" s="37" t="s">
        <v>163</v>
      </c>
      <c r="B45" s="56" t="s">
        <v>155</v>
      </c>
      <c r="C45" s="41" t="s">
        <v>158</v>
      </c>
      <c r="D45" s="40">
        <f>'6022-yr1'!D45+'6022-yr2'!D47+'6022-yr3'!D45</f>
        <v>210</v>
      </c>
      <c r="E45" s="41">
        <v>1</v>
      </c>
      <c r="F45" s="42">
        <f>SUM(D45*E45)</f>
        <v>210</v>
      </c>
      <c r="G45" s="47">
        <f>('6022-yr1'!G45+'6022-yr2'!G47+'6022-yr3'!G45)/3</f>
        <v>0.75</v>
      </c>
      <c r="H45" s="40">
        <f>'6022-yr1'!H45+'6022-yr2'!H47+'6022-yr3'!H45</f>
        <v>158</v>
      </c>
      <c r="I45" s="49">
        <f>+J45/H45</f>
        <v>60</v>
      </c>
      <c r="J45" s="50">
        <f>'6022-yr1'!J45+'6022-yr2'!J47+'6022-yr3'!J45</f>
        <v>9480</v>
      </c>
      <c r="K45" s="68"/>
      <c r="L45" s="52"/>
      <c r="M45" s="52"/>
      <c r="N45" s="52"/>
      <c r="O45" s="52"/>
      <c r="Q45" s="53"/>
      <c r="R45" s="53"/>
      <c r="S45" s="53"/>
      <c r="T45" s="53"/>
      <c r="U45" s="53"/>
      <c r="V45" s="53"/>
      <c r="W45" s="53"/>
      <c r="X45" s="53"/>
      <c r="Y45" s="53"/>
      <c r="AA45" s="54"/>
      <c r="AB45" s="55"/>
      <c r="AC45" s="55"/>
      <c r="AD45" s="55"/>
    </row>
    <row r="46" spans="1:30">
      <c r="A46" s="37" t="s">
        <v>163</v>
      </c>
      <c r="B46" s="56" t="s">
        <v>156</v>
      </c>
      <c r="C46" s="41" t="s">
        <v>159</v>
      </c>
      <c r="D46" s="130">
        <f>'6022-yr1'!D46+'6022-yr2'!D48+'6022-yr3'!D46</f>
        <v>210</v>
      </c>
      <c r="E46" s="41">
        <v>1</v>
      </c>
      <c r="F46" s="127">
        <f>SUM(D46*E46)</f>
        <v>210</v>
      </c>
      <c r="G46" s="47">
        <f>('6022-yr1'!G46+'6022-yr2'!G48+'6022-yr3'!G46)/3</f>
        <v>0.33</v>
      </c>
      <c r="H46" s="130">
        <f>'6022-yr1'!H46+'6022-yr2'!H48+'6022-yr3'!H46</f>
        <v>69</v>
      </c>
      <c r="I46" s="49">
        <f>+J46/H46</f>
        <v>60</v>
      </c>
      <c r="J46" s="135">
        <f>'6022-yr1'!J46+'6022-yr2'!J48+'6022-yr3'!J46</f>
        <v>4140</v>
      </c>
      <c r="K46" s="68"/>
      <c r="L46" s="52"/>
      <c r="M46" s="52"/>
      <c r="N46" s="52"/>
      <c r="O46" s="52"/>
      <c r="Q46" s="53"/>
      <c r="R46" s="53"/>
      <c r="S46" s="53"/>
      <c r="T46" s="53"/>
      <c r="U46" s="53"/>
      <c r="V46" s="53"/>
      <c r="W46" s="53"/>
      <c r="X46" s="53"/>
      <c r="Y46" s="53"/>
      <c r="AA46" s="54"/>
      <c r="AB46" s="55"/>
      <c r="AC46" s="55"/>
      <c r="AD46" s="55"/>
    </row>
    <row r="47" spans="1:30">
      <c r="B47" s="62" t="s">
        <v>38</v>
      </c>
      <c r="C47" s="63"/>
      <c r="D47" s="136">
        <f>'6022-yr1'!D47+'6022-yr2'!D49+'6022-yr3'!D47</f>
        <v>219</v>
      </c>
      <c r="E47" s="35"/>
      <c r="F47" s="124">
        <v>1287</v>
      </c>
      <c r="G47" s="81"/>
      <c r="H47" s="125">
        <v>1246</v>
      </c>
      <c r="I47" s="35"/>
      <c r="J47" s="126">
        <v>76557</v>
      </c>
      <c r="L47" s="35"/>
    </row>
    <row r="48" spans="1:30">
      <c r="B48" s="62"/>
      <c r="C48" s="63"/>
      <c r="D48" s="77"/>
      <c r="E48" s="35"/>
      <c r="F48" s="75"/>
      <c r="G48" s="81"/>
      <c r="H48" s="75"/>
      <c r="I48" s="35"/>
      <c r="J48" s="69"/>
      <c r="L48" s="35"/>
      <c r="R48" s="82">
        <f>SUM(R7:R47)</f>
        <v>519720.67500000005</v>
      </c>
      <c r="S48" s="82">
        <f>SUM(S7:S47)</f>
        <v>173240.22499999998</v>
      </c>
      <c r="T48" s="82">
        <f>SUM(T7:T43)</f>
        <v>461997.03202999994</v>
      </c>
      <c r="U48" s="82"/>
      <c r="V48" s="53">
        <f>+Q48/3</f>
        <v>0</v>
      </c>
      <c r="W48" s="53">
        <f>+R48/3</f>
        <v>173240.22500000001</v>
      </c>
      <c r="X48" s="53">
        <f>+S48/3</f>
        <v>57746.741666666661</v>
      </c>
      <c r="Y48" s="53">
        <f>+T48/3</f>
        <v>153999.01067666666</v>
      </c>
      <c r="AB48" s="83"/>
      <c r="AC48" s="83"/>
      <c r="AD48" s="84"/>
    </row>
    <row r="49" spans="1:12">
      <c r="B49" s="62" t="s">
        <v>81</v>
      </c>
      <c r="C49" s="63"/>
      <c r="D49" s="131">
        <f>'6022-yr1'!D49+'6022-yr2'!D51+'6022-yr3'!D49</f>
        <v>219</v>
      </c>
      <c r="E49" s="35"/>
      <c r="F49" s="76">
        <f>SUM(F47+F38+F23)</f>
        <v>6807</v>
      </c>
      <c r="G49" s="81"/>
      <c r="H49" s="76">
        <f>SUM(H47+H38+H23)</f>
        <v>11532</v>
      </c>
      <c r="I49" s="100"/>
      <c r="J49" s="120">
        <v>711861</v>
      </c>
      <c r="K49" s="68">
        <f>+J49/3</f>
        <v>237287</v>
      </c>
      <c r="L49" s="35"/>
    </row>
    <row r="50" spans="1:12">
      <c r="A50" s="35"/>
      <c r="B50" s="62" t="s">
        <v>82</v>
      </c>
      <c r="D50" s="119">
        <f>+D49/3</f>
        <v>73</v>
      </c>
      <c r="F50" s="76">
        <f>+F49/3</f>
        <v>2269</v>
      </c>
      <c r="G50" s="85"/>
      <c r="H50" s="76">
        <f>+H49/3</f>
        <v>3844</v>
      </c>
      <c r="I50" s="86"/>
      <c r="J50" s="120">
        <f>+J49/3</f>
        <v>237287</v>
      </c>
      <c r="L50" s="35"/>
    </row>
    <row r="51" spans="1:12">
      <c r="A51" s="35"/>
      <c r="B51" s="62"/>
      <c r="D51" s="119"/>
      <c r="F51" s="76"/>
      <c r="G51" s="85"/>
      <c r="H51" s="76"/>
      <c r="I51" s="86"/>
      <c r="J51" s="120"/>
      <c r="L51" s="35"/>
    </row>
    <row r="52" spans="1:12">
      <c r="A52" s="88"/>
      <c r="B52" s="89" t="s">
        <v>80</v>
      </c>
      <c r="C52" s="63"/>
      <c r="D52" s="35"/>
      <c r="E52" s="35"/>
      <c r="F52" s="35"/>
      <c r="G52" s="81"/>
      <c r="H52" s="90"/>
      <c r="I52" s="35"/>
      <c r="J52" s="90"/>
      <c r="K52" s="64"/>
      <c r="L52" s="35"/>
    </row>
    <row r="53" spans="1:12">
      <c r="A53" s="45"/>
      <c r="B53" s="35"/>
      <c r="C53" s="143" t="s">
        <v>76</v>
      </c>
      <c r="D53" s="144"/>
      <c r="E53" s="145" t="s">
        <v>77</v>
      </c>
      <c r="F53" s="145"/>
      <c r="G53" s="146" t="s">
        <v>78</v>
      </c>
      <c r="H53" s="144"/>
      <c r="I53" s="35"/>
      <c r="J53" s="90"/>
      <c r="K53" s="64"/>
      <c r="L53" s="35"/>
    </row>
    <row r="54" spans="1:12">
      <c r="A54" s="45"/>
      <c r="B54" s="35" t="s">
        <v>74</v>
      </c>
      <c r="C54" s="63" t="s">
        <v>56</v>
      </c>
      <c r="D54" s="35" t="s">
        <v>75</v>
      </c>
      <c r="E54" s="63" t="s">
        <v>56</v>
      </c>
      <c r="F54" s="35" t="s">
        <v>75</v>
      </c>
      <c r="G54" s="63" t="s">
        <v>56</v>
      </c>
      <c r="H54" s="35" t="s">
        <v>75</v>
      </c>
      <c r="I54" s="35"/>
      <c r="J54" s="90"/>
      <c r="K54" s="64"/>
      <c r="L54" s="35"/>
    </row>
    <row r="55" spans="1:12">
      <c r="A55" s="45"/>
      <c r="B55" s="35" t="s">
        <v>109</v>
      </c>
      <c r="C55" s="63">
        <v>48</v>
      </c>
      <c r="D55" s="64">
        <v>43</v>
      </c>
      <c r="E55" s="64">
        <f>43+2</f>
        <v>45</v>
      </c>
      <c r="F55" s="64">
        <v>45</v>
      </c>
      <c r="G55" s="98">
        <f>45+10</f>
        <v>55</v>
      </c>
      <c r="H55" s="91">
        <v>55</v>
      </c>
      <c r="I55" s="35"/>
      <c r="J55" s="90"/>
      <c r="K55" s="64"/>
      <c r="L55" s="35"/>
    </row>
    <row r="56" spans="1:12">
      <c r="A56" s="45"/>
      <c r="B56" s="35" t="s">
        <v>108</v>
      </c>
      <c r="C56" s="37">
        <v>12</v>
      </c>
      <c r="D56" s="37">
        <v>10</v>
      </c>
      <c r="E56" s="37">
        <f>11+8</f>
        <v>19</v>
      </c>
      <c r="F56" s="37">
        <v>18</v>
      </c>
      <c r="G56" s="85">
        <v>19</v>
      </c>
      <c r="H56" s="37">
        <v>18</v>
      </c>
      <c r="L56" s="35"/>
    </row>
    <row r="57" spans="1:12">
      <c r="B57" s="35" t="s">
        <v>79</v>
      </c>
      <c r="C57" s="37">
        <f t="shared" ref="C57:H57" si="128">SUM(C55:C56)</f>
        <v>60</v>
      </c>
      <c r="D57" s="37">
        <f t="shared" si="128"/>
        <v>53</v>
      </c>
      <c r="E57" s="37">
        <f t="shared" si="128"/>
        <v>64</v>
      </c>
      <c r="F57" s="37">
        <f t="shared" si="128"/>
        <v>63</v>
      </c>
      <c r="G57" s="37">
        <f t="shared" si="128"/>
        <v>74</v>
      </c>
      <c r="H57" s="37">
        <f t="shared" si="128"/>
        <v>73</v>
      </c>
      <c r="L57" s="35"/>
    </row>
    <row r="58" spans="1:12">
      <c r="B58" s="35"/>
      <c r="D58" s="37"/>
      <c r="E58" s="37"/>
      <c r="F58" s="37"/>
      <c r="G58" s="37"/>
      <c r="H58" s="37"/>
      <c r="L58" s="35"/>
    </row>
    <row r="59" spans="1:12">
      <c r="A59" s="45"/>
      <c r="B59" s="87"/>
      <c r="C59" s="63"/>
      <c r="D59" s="64"/>
      <c r="E59" s="64"/>
      <c r="F59" s="64"/>
      <c r="G59" s="98"/>
      <c r="H59" s="91"/>
      <c r="I59" s="35"/>
      <c r="J59" s="90"/>
      <c r="K59" s="64"/>
      <c r="L59" s="35"/>
    </row>
    <row r="60" spans="1:12">
      <c r="A60" s="102"/>
      <c r="B60" s="87" t="s">
        <v>167</v>
      </c>
      <c r="C60" s="112">
        <v>7</v>
      </c>
      <c r="D60" s="113">
        <v>7</v>
      </c>
      <c r="E60" s="113">
        <v>7</v>
      </c>
      <c r="F60" s="113">
        <v>7</v>
      </c>
      <c r="G60" s="98">
        <v>7</v>
      </c>
      <c r="H60" s="91">
        <v>7</v>
      </c>
      <c r="I60" s="35"/>
      <c r="J60" s="90"/>
      <c r="K60" s="102"/>
      <c r="L60" s="35"/>
    </row>
    <row r="61" spans="1:12">
      <c r="B61" s="92"/>
      <c r="C61" s="37" t="s">
        <v>79</v>
      </c>
      <c r="D61" s="37" t="s">
        <v>119</v>
      </c>
      <c r="F61" s="37"/>
      <c r="H61" s="37"/>
      <c r="L61" s="35"/>
    </row>
    <row r="62" spans="1:12">
      <c r="B62" s="103" t="s">
        <v>120</v>
      </c>
      <c r="C62" s="85">
        <f>+C57+C60+E57+E60+G57+G60</f>
        <v>219</v>
      </c>
      <c r="D62" s="37">
        <f>+C62/3</f>
        <v>73</v>
      </c>
      <c r="L62" s="35"/>
    </row>
    <row r="63" spans="1:12">
      <c r="B63" s="103" t="s">
        <v>121</v>
      </c>
      <c r="C63" s="115">
        <f>+D57+D60+F57+F60+H57+H60</f>
        <v>210</v>
      </c>
      <c r="D63" s="37">
        <f>+C63/3</f>
        <v>70</v>
      </c>
      <c r="L63" s="35"/>
    </row>
    <row r="64" spans="1:12">
      <c r="L64" s="35"/>
    </row>
    <row r="65" spans="3:12">
      <c r="L65" s="35"/>
    </row>
    <row r="66" spans="3:12">
      <c r="C66" s="36"/>
      <c r="G66" s="36"/>
      <c r="L66" s="35"/>
    </row>
    <row r="67" spans="3:12">
      <c r="C67" s="36"/>
      <c r="G67" s="36"/>
      <c r="L67" s="35"/>
    </row>
    <row r="68" spans="3:12">
      <c r="C68" s="36"/>
      <c r="G68" s="36"/>
      <c r="L68" s="35"/>
    </row>
    <row r="69" spans="3:12">
      <c r="C69" s="36"/>
      <c r="G69" s="36"/>
      <c r="L69" s="35"/>
    </row>
    <row r="70" spans="3:12">
      <c r="C70" s="36"/>
      <c r="G70" s="36"/>
      <c r="L70" s="35"/>
    </row>
    <row r="71" spans="3:12">
      <c r="C71" s="36"/>
      <c r="G71" s="36"/>
      <c r="L71" s="35"/>
    </row>
    <row r="72" spans="3:12">
      <c r="C72" s="36"/>
      <c r="G72" s="36"/>
      <c r="L72" s="35"/>
    </row>
    <row r="73" spans="3:12">
      <c r="C73" s="36"/>
      <c r="G73" s="36"/>
      <c r="L73" s="35"/>
    </row>
    <row r="74" spans="3:12">
      <c r="C74" s="36"/>
      <c r="G74" s="36"/>
      <c r="L74" s="35"/>
    </row>
    <row r="75" spans="3:12">
      <c r="C75" s="36"/>
      <c r="G75" s="36"/>
      <c r="L75" s="35"/>
    </row>
    <row r="76" spans="3:12">
      <c r="C76" s="36"/>
      <c r="G76" s="36"/>
      <c r="L76" s="35"/>
    </row>
    <row r="77" spans="3:12">
      <c r="C77" s="36"/>
      <c r="G77" s="36"/>
      <c r="L77" s="35"/>
    </row>
    <row r="78" spans="3:12">
      <c r="C78" s="36"/>
      <c r="G78" s="36"/>
      <c r="L78" s="35"/>
    </row>
    <row r="79" spans="3:12">
      <c r="C79" s="36"/>
      <c r="G79" s="36"/>
      <c r="L79" s="35"/>
    </row>
    <row r="80" spans="3:12">
      <c r="C80" s="36"/>
      <c r="G80" s="36"/>
      <c r="L80" s="35"/>
    </row>
    <row r="81" spans="3:12">
      <c r="C81" s="36"/>
      <c r="G81" s="36"/>
      <c r="L81" s="35"/>
    </row>
    <row r="82" spans="3:12">
      <c r="C82" s="36"/>
      <c r="G82" s="36"/>
      <c r="L82" s="35"/>
    </row>
    <row r="83" spans="3:12">
      <c r="C83" s="36"/>
      <c r="G83" s="36"/>
      <c r="L83" s="35"/>
    </row>
    <row r="84" spans="3:12">
      <c r="C84" s="36"/>
      <c r="G84" s="36"/>
      <c r="L84" s="35"/>
    </row>
    <row r="85" spans="3:12">
      <c r="C85" s="36"/>
      <c r="G85" s="36"/>
      <c r="L85" s="35"/>
    </row>
    <row r="86" spans="3:12">
      <c r="C86" s="36"/>
      <c r="G86" s="36"/>
      <c r="L86" s="35"/>
    </row>
    <row r="87" spans="3:12">
      <c r="C87" s="36"/>
      <c r="G87" s="36"/>
      <c r="L87" s="35"/>
    </row>
    <row r="88" spans="3:12">
      <c r="C88" s="36"/>
      <c r="G88" s="36"/>
      <c r="L88" s="35"/>
    </row>
    <row r="89" spans="3:12">
      <c r="C89" s="36"/>
      <c r="G89" s="36"/>
      <c r="L89" s="35"/>
    </row>
    <row r="90" spans="3:12">
      <c r="C90" s="36"/>
      <c r="G90" s="36"/>
      <c r="L90" s="35"/>
    </row>
    <row r="91" spans="3:12">
      <c r="C91" s="36"/>
      <c r="G91" s="36"/>
      <c r="L91" s="35"/>
    </row>
    <row r="92" spans="3:12">
      <c r="C92" s="36"/>
      <c r="G92" s="36"/>
      <c r="L92" s="35"/>
    </row>
    <row r="93" spans="3:12">
      <c r="C93" s="36"/>
      <c r="G93" s="36"/>
      <c r="L93" s="35"/>
    </row>
    <row r="94" spans="3:12">
      <c r="C94" s="36"/>
      <c r="G94" s="36"/>
      <c r="L94" s="35"/>
    </row>
    <row r="95" spans="3:12">
      <c r="C95" s="36"/>
      <c r="G95" s="36"/>
      <c r="L95" s="35"/>
    </row>
    <row r="96" spans="3:12">
      <c r="C96" s="36"/>
      <c r="G96" s="36"/>
      <c r="L96" s="35"/>
    </row>
    <row r="97" spans="3:12">
      <c r="C97" s="36"/>
      <c r="G97" s="36"/>
      <c r="L97" s="35"/>
    </row>
    <row r="98" spans="3:12">
      <c r="C98" s="36"/>
      <c r="G98" s="36"/>
      <c r="L98" s="35"/>
    </row>
    <row r="99" spans="3:12">
      <c r="C99" s="36"/>
      <c r="G99" s="36"/>
      <c r="L99" s="35"/>
    </row>
    <row r="100" spans="3:12">
      <c r="C100" s="36"/>
      <c r="G100" s="36"/>
      <c r="L100" s="35"/>
    </row>
    <row r="101" spans="3:12">
      <c r="C101" s="36"/>
      <c r="G101" s="36"/>
      <c r="L101" s="35"/>
    </row>
    <row r="102" spans="3:12">
      <c r="C102" s="36"/>
      <c r="G102" s="36"/>
      <c r="L102" s="35"/>
    </row>
    <row r="103" spans="3:12">
      <c r="C103" s="36"/>
      <c r="G103" s="36"/>
      <c r="L103" s="35"/>
    </row>
    <row r="104" spans="3:12">
      <c r="C104" s="36"/>
      <c r="G104" s="36"/>
      <c r="L104" s="35"/>
    </row>
    <row r="105" spans="3:12">
      <c r="C105" s="36"/>
      <c r="G105" s="36"/>
      <c r="L105" s="35"/>
    </row>
    <row r="106" spans="3:12">
      <c r="C106" s="36"/>
      <c r="G106" s="36"/>
      <c r="L106" s="35"/>
    </row>
    <row r="107" spans="3:12">
      <c r="C107" s="36"/>
      <c r="G107" s="36"/>
      <c r="L107" s="35"/>
    </row>
    <row r="108" spans="3:12">
      <c r="C108" s="36"/>
      <c r="G108" s="36"/>
      <c r="L108" s="35"/>
    </row>
    <row r="109" spans="3:12">
      <c r="C109" s="36"/>
      <c r="G109" s="36"/>
      <c r="L109" s="35"/>
    </row>
    <row r="110" spans="3:12">
      <c r="C110" s="36"/>
      <c r="G110" s="36"/>
      <c r="L110" s="35"/>
    </row>
    <row r="111" spans="3:12">
      <c r="C111" s="36"/>
      <c r="G111" s="36"/>
      <c r="L111" s="35"/>
    </row>
    <row r="112" spans="3:12">
      <c r="C112" s="36"/>
      <c r="G112" s="36"/>
      <c r="L112" s="35"/>
    </row>
    <row r="113" spans="3:12">
      <c r="C113" s="36"/>
      <c r="G113" s="36"/>
      <c r="L113" s="35"/>
    </row>
    <row r="114" spans="3:12">
      <c r="C114" s="36"/>
      <c r="G114" s="36"/>
      <c r="L114" s="35"/>
    </row>
    <row r="115" spans="3:12">
      <c r="C115" s="36"/>
      <c r="G115" s="36"/>
      <c r="L115" s="35"/>
    </row>
    <row r="116" spans="3:12">
      <c r="C116" s="36"/>
      <c r="G116" s="36"/>
      <c r="L116" s="35"/>
    </row>
    <row r="117" spans="3:12">
      <c r="C117" s="36"/>
      <c r="G117" s="36"/>
      <c r="L117" s="35"/>
    </row>
    <row r="118" spans="3:12">
      <c r="C118" s="36"/>
      <c r="G118" s="36"/>
      <c r="L118" s="35"/>
    </row>
    <row r="119" spans="3:12">
      <c r="C119" s="36"/>
      <c r="G119" s="36"/>
      <c r="L119" s="35"/>
    </row>
    <row r="120" spans="3:12">
      <c r="C120" s="36"/>
      <c r="G120" s="36"/>
      <c r="L120" s="35"/>
    </row>
    <row r="121" spans="3:12">
      <c r="C121" s="36"/>
      <c r="G121" s="36"/>
      <c r="L121" s="35"/>
    </row>
    <row r="122" spans="3:12">
      <c r="C122" s="36"/>
      <c r="G122" s="36"/>
      <c r="L122" s="35"/>
    </row>
    <row r="123" spans="3:12">
      <c r="C123" s="36"/>
      <c r="G123" s="36"/>
      <c r="L123" s="35"/>
    </row>
    <row r="124" spans="3:12">
      <c r="C124" s="36"/>
      <c r="G124" s="36"/>
      <c r="L124" s="35"/>
    </row>
    <row r="125" spans="3:12">
      <c r="C125" s="36"/>
      <c r="G125" s="36"/>
      <c r="L125" s="35"/>
    </row>
    <row r="126" spans="3:12">
      <c r="C126" s="36"/>
      <c r="G126" s="36"/>
      <c r="L126" s="35"/>
    </row>
    <row r="127" spans="3:12">
      <c r="C127" s="36"/>
      <c r="G127" s="36"/>
      <c r="L127" s="35"/>
    </row>
    <row r="128" spans="3:12">
      <c r="C128" s="36"/>
      <c r="G128" s="36"/>
      <c r="L128" s="35"/>
    </row>
  </sheetData>
  <customSheetViews>
    <customSheetView guid="{C3053AD8-900F-4045-B60E-43CCFD9EF7DD}" scale="90" showPageBreaks="1" fitToPage="1" printArea="1">
      <selection activeCell="A31" sqref="A31"/>
      <pageMargins left="0.5" right="0.25" top="0.75" bottom="0" header="0.5" footer="0.5"/>
      <printOptions gridLines="1"/>
      <pageSetup scale="60" orientation="landscape" r:id="rId1"/>
      <headerFooter alignWithMargins="0"/>
    </customSheetView>
    <customSheetView guid="{855078B0-1E21-4B25-9C5A-4782BC11700B}" scale="90" showPageBreaks="1" fitToPage="1" printArea="1" topLeftCell="D22">
      <selection activeCell="J54" sqref="J54"/>
      <pageMargins left="0.5" right="0.25" top="0.75" bottom="0" header="0.5" footer="0.5"/>
      <printOptions gridLines="1"/>
      <pageSetup scale="60" orientation="landscape" r:id="rId2"/>
      <headerFooter alignWithMargins="0"/>
    </customSheetView>
  </customSheetViews>
  <mergeCells count="10">
    <mergeCell ref="C53:D53"/>
    <mergeCell ref="E53:F53"/>
    <mergeCell ref="G53:H53"/>
    <mergeCell ref="V2:Y2"/>
    <mergeCell ref="AA2:AD2"/>
    <mergeCell ref="B5:C5"/>
    <mergeCell ref="A1:D1"/>
    <mergeCell ref="A2:D2"/>
    <mergeCell ref="L2:O2"/>
    <mergeCell ref="Q2:T2"/>
  </mergeCells>
  <phoneticPr fontId="0" type="noConversion"/>
  <printOptions gridLines="1"/>
  <pageMargins left="0.5" right="0.25" top="0.75" bottom="0" header="0.5" footer="0.5"/>
  <pageSetup scale="45" orientation="landscape" r:id="rId3"/>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Y131"/>
  <sheetViews>
    <sheetView topLeftCell="G27" zoomScaleNormal="100" zoomScaleSheetLayoutView="93" workbookViewId="0">
      <selection activeCell="I40" sqref="I40"/>
    </sheetView>
  </sheetViews>
  <sheetFormatPr defaultColWidth="9.140625" defaultRowHeight="12.75"/>
  <cols>
    <col min="1" max="1" width="19.42578125" style="36" customWidth="1"/>
    <col min="2" max="2" width="52.7109375" style="36" customWidth="1"/>
    <col min="3" max="3" width="23.140625" style="37" customWidth="1"/>
    <col min="4" max="4" width="17" style="36" customWidth="1"/>
    <col min="5" max="5" width="17.7109375" style="36" customWidth="1"/>
    <col min="6" max="6" width="16.5703125" style="36" customWidth="1"/>
    <col min="7" max="7" width="17.140625" style="70" customWidth="1"/>
    <col min="8" max="8" width="13.85546875" style="36" customWidth="1"/>
    <col min="9" max="9" width="14.28515625" style="36" customWidth="1"/>
    <col min="10" max="10" width="13.28515625" style="36" bestFit="1" customWidth="1"/>
    <col min="11" max="11" width="9.140625" style="36"/>
    <col min="12" max="12" width="15.5703125" style="36" bestFit="1" customWidth="1"/>
    <col min="13" max="13" width="10.85546875" style="36" bestFit="1" customWidth="1"/>
    <col min="14" max="14" width="11.5703125" style="36" bestFit="1" customWidth="1"/>
    <col min="15" max="15" width="12" style="36" bestFit="1" customWidth="1"/>
    <col min="16" max="16" width="9.140625" style="36"/>
    <col min="17" max="18" width="10.85546875" style="36" bestFit="1" customWidth="1"/>
    <col min="19" max="19" width="11.5703125" style="36" bestFit="1" customWidth="1"/>
    <col min="20" max="20" width="12" style="36" bestFit="1" customWidth="1"/>
    <col min="21" max="21" width="9.140625" style="36"/>
    <col min="22" max="23" width="10.85546875" style="36" bestFit="1" customWidth="1"/>
    <col min="24" max="24" width="11.5703125" style="36" bestFit="1" customWidth="1"/>
    <col min="25" max="25" width="12" style="36" bestFit="1" customWidth="1"/>
    <col min="26" max="16384" width="9.140625" style="36"/>
  </cols>
  <sheetData>
    <row r="1" spans="1:25" s="21" customFormat="1">
      <c r="A1" s="139" t="s">
        <v>97</v>
      </c>
      <c r="B1" s="139"/>
      <c r="C1" s="139"/>
      <c r="D1" s="139"/>
      <c r="G1" s="22"/>
    </row>
    <row r="2" spans="1:25" s="21" customFormat="1">
      <c r="A2" s="142" t="s">
        <v>12</v>
      </c>
      <c r="B2" s="142"/>
      <c r="C2" s="142"/>
      <c r="D2" s="142"/>
      <c r="G2" s="22"/>
      <c r="L2" s="138" t="s">
        <v>32</v>
      </c>
      <c r="M2" s="138"/>
      <c r="N2" s="138"/>
      <c r="O2" s="138"/>
      <c r="P2" s="23"/>
      <c r="Q2" s="138" t="s">
        <v>31</v>
      </c>
      <c r="R2" s="138"/>
      <c r="S2" s="138"/>
      <c r="T2" s="138"/>
      <c r="V2" s="139" t="s">
        <v>39</v>
      </c>
      <c r="W2" s="139"/>
      <c r="X2" s="139"/>
      <c r="Y2" s="139"/>
    </row>
    <row r="3" spans="1:25" s="21" customFormat="1" ht="63.75">
      <c r="A3" s="17" t="s">
        <v>65</v>
      </c>
      <c r="B3" s="5" t="s">
        <v>13</v>
      </c>
      <c r="C3" s="6" t="s">
        <v>14</v>
      </c>
      <c r="D3" s="6" t="s">
        <v>89</v>
      </c>
      <c r="E3" s="6" t="s">
        <v>40</v>
      </c>
      <c r="F3" s="6" t="s">
        <v>42</v>
      </c>
      <c r="G3" s="8" t="s">
        <v>1</v>
      </c>
      <c r="H3" s="6" t="s">
        <v>43</v>
      </c>
      <c r="I3" s="6" t="s">
        <v>60</v>
      </c>
      <c r="J3" s="7" t="s">
        <v>44</v>
      </c>
      <c r="L3" s="2" t="s">
        <v>27</v>
      </c>
      <c r="M3" s="2" t="s">
        <v>28</v>
      </c>
      <c r="N3" s="2" t="s">
        <v>29</v>
      </c>
      <c r="O3" s="2" t="s">
        <v>30</v>
      </c>
      <c r="Q3" s="2" t="s">
        <v>27</v>
      </c>
      <c r="R3" s="2" t="s">
        <v>28</v>
      </c>
      <c r="S3" s="2" t="s">
        <v>29</v>
      </c>
      <c r="T3" s="2" t="s">
        <v>30</v>
      </c>
      <c r="V3" s="2" t="s">
        <v>27</v>
      </c>
      <c r="W3" s="2" t="s">
        <v>28</v>
      </c>
      <c r="X3" s="2" t="s">
        <v>29</v>
      </c>
      <c r="Y3" s="2" t="s">
        <v>30</v>
      </c>
    </row>
    <row r="4" spans="1:25" s="29" customFormat="1">
      <c r="A4" s="25" t="s">
        <v>2</v>
      </c>
      <c r="B4" s="26" t="s">
        <v>3</v>
      </c>
      <c r="C4" s="26" t="s">
        <v>4</v>
      </c>
      <c r="D4" s="26" t="s">
        <v>5</v>
      </c>
      <c r="E4" s="26" t="s">
        <v>6</v>
      </c>
      <c r="F4" s="26" t="s">
        <v>7</v>
      </c>
      <c r="G4" s="27" t="s">
        <v>8</v>
      </c>
      <c r="H4" s="26" t="s">
        <v>9</v>
      </c>
      <c r="I4" s="28" t="s">
        <v>10</v>
      </c>
      <c r="J4" s="29" t="s">
        <v>41</v>
      </c>
    </row>
    <row r="5" spans="1:25">
      <c r="A5" s="30"/>
      <c r="B5" s="140" t="s">
        <v>45</v>
      </c>
      <c r="C5" s="141"/>
      <c r="D5" s="31"/>
      <c r="E5" s="32"/>
      <c r="F5" s="31"/>
      <c r="G5" s="33"/>
      <c r="H5" s="31"/>
      <c r="I5" s="32"/>
      <c r="J5" s="34"/>
      <c r="K5" s="35"/>
      <c r="L5" s="35"/>
    </row>
    <row r="6" spans="1:25">
      <c r="A6" s="37"/>
      <c r="B6" s="38" t="s">
        <v>48</v>
      </c>
      <c r="C6" s="39"/>
      <c r="D6" s="40"/>
      <c r="E6" s="41"/>
      <c r="F6" s="42"/>
      <c r="G6" s="43"/>
      <c r="H6" s="40"/>
      <c r="I6" s="41"/>
      <c r="J6" s="44"/>
      <c r="K6" s="45"/>
      <c r="L6" s="35"/>
    </row>
    <row r="7" spans="1:25">
      <c r="A7" s="37" t="str">
        <f>'6022-total and 3 yr ave'!A7</f>
        <v>311(g)(1); 320(a)(1)</v>
      </c>
      <c r="B7" s="114" t="str">
        <f>'6022-total and 3 yr ave'!B7</f>
        <v>Quarterly reports</v>
      </c>
      <c r="C7" s="39" t="s">
        <v>16</v>
      </c>
      <c r="D7" s="40">
        <f>D$57+D$60</f>
        <v>60</v>
      </c>
      <c r="E7" s="41">
        <v>4</v>
      </c>
      <c r="F7" s="42">
        <f>SUM(D7*E7)</f>
        <v>240</v>
      </c>
      <c r="G7" s="43">
        <v>2</v>
      </c>
      <c r="H7" s="48">
        <f>SUM(G7*F7)</f>
        <v>480</v>
      </c>
      <c r="I7" s="59">
        <v>60</v>
      </c>
      <c r="J7" s="60">
        <f>(H7)*(I7)</f>
        <v>28800</v>
      </c>
      <c r="K7" s="45"/>
      <c r="L7" s="52">
        <v>0</v>
      </c>
      <c r="M7" s="52">
        <v>0.75</v>
      </c>
      <c r="N7" s="52">
        <v>0.25</v>
      </c>
      <c r="O7" s="52">
        <v>0.66669999999999996</v>
      </c>
      <c r="Q7" s="53">
        <f t="shared" ref="Q7:T9" si="0">+$J7*L7</f>
        <v>0</v>
      </c>
      <c r="R7" s="53">
        <f t="shared" si="0"/>
        <v>21600</v>
      </c>
      <c r="S7" s="53">
        <f t="shared" si="0"/>
        <v>7200</v>
      </c>
      <c r="T7" s="53">
        <f t="shared" si="0"/>
        <v>19200.96</v>
      </c>
      <c r="V7" s="54">
        <f t="shared" ref="V7:Y9" si="1">+$D7*L7</f>
        <v>0</v>
      </c>
      <c r="W7" s="55">
        <f t="shared" si="1"/>
        <v>45</v>
      </c>
      <c r="X7" s="55">
        <f t="shared" si="1"/>
        <v>15</v>
      </c>
      <c r="Y7" s="55">
        <f t="shared" si="1"/>
        <v>40.001999999999995</v>
      </c>
    </row>
    <row r="8" spans="1:25">
      <c r="A8" s="37" t="str">
        <f>'6022-total and 3 yr ave'!A8</f>
        <v>320(a)(3)</v>
      </c>
      <c r="B8" s="114" t="str">
        <f>'6022-total and 3 yr ave'!B8</f>
        <v>Poor performance reports</v>
      </c>
      <c r="C8" s="39" t="s">
        <v>16</v>
      </c>
      <c r="D8" s="40">
        <v>2</v>
      </c>
      <c r="E8" s="41">
        <v>1</v>
      </c>
      <c r="F8" s="42">
        <f>SUM(D8*E8)</f>
        <v>2</v>
      </c>
      <c r="G8" s="43">
        <v>2</v>
      </c>
      <c r="H8" s="48">
        <f>SUM(G8*F8)</f>
        <v>4</v>
      </c>
      <c r="I8" s="59">
        <v>60</v>
      </c>
      <c r="J8" s="60">
        <f>(H8)*(I8)</f>
        <v>240</v>
      </c>
      <c r="K8" s="45"/>
      <c r="L8" s="52">
        <v>0</v>
      </c>
      <c r="M8" s="52">
        <v>0.75</v>
      </c>
      <c r="N8" s="52">
        <v>0.25</v>
      </c>
      <c r="O8" s="52">
        <v>0.66669999999999996</v>
      </c>
      <c r="Q8" s="53">
        <f t="shared" si="0"/>
        <v>0</v>
      </c>
      <c r="R8" s="53">
        <f t="shared" si="0"/>
        <v>180</v>
      </c>
      <c r="S8" s="53">
        <f t="shared" si="0"/>
        <v>60</v>
      </c>
      <c r="T8" s="53">
        <f t="shared" si="0"/>
        <v>160.00799999999998</v>
      </c>
      <c r="V8" s="54">
        <f t="shared" si="1"/>
        <v>0</v>
      </c>
      <c r="W8" s="55">
        <f t="shared" si="1"/>
        <v>1.5</v>
      </c>
      <c r="X8" s="55">
        <f t="shared" si="1"/>
        <v>0.5</v>
      </c>
      <c r="Y8" s="55">
        <f t="shared" si="1"/>
        <v>1.3333999999999999</v>
      </c>
    </row>
    <row r="9" spans="1:25">
      <c r="A9" s="37" t="str">
        <f>'6022-total and 3 yr ave'!A9</f>
        <v>313(a)(4)</v>
      </c>
      <c r="B9" s="114" t="str">
        <f>'6022-total and 3 yr ave'!B9</f>
        <v>Annual budget report</v>
      </c>
      <c r="C9" s="39" t="s">
        <v>16</v>
      </c>
      <c r="D9" s="40">
        <f>D$57+D$60</f>
        <v>60</v>
      </c>
      <c r="E9" s="41">
        <v>1</v>
      </c>
      <c r="F9" s="42">
        <f>SUM(D9*E9)</f>
        <v>60</v>
      </c>
      <c r="G9" s="43">
        <v>2</v>
      </c>
      <c r="H9" s="48">
        <f>SUM(G9*F9)</f>
        <v>120</v>
      </c>
      <c r="I9" s="59">
        <v>60</v>
      </c>
      <c r="J9" s="60">
        <f>(H9)*(I9)</f>
        <v>7200</v>
      </c>
      <c r="K9" s="45"/>
      <c r="L9" s="52">
        <v>0</v>
      </c>
      <c r="M9" s="52">
        <v>0.75</v>
      </c>
      <c r="N9" s="52">
        <v>0.25</v>
      </c>
      <c r="O9" s="52">
        <v>0.66669999999999996</v>
      </c>
      <c r="Q9" s="53">
        <f t="shared" si="0"/>
        <v>0</v>
      </c>
      <c r="R9" s="53">
        <f t="shared" si="0"/>
        <v>5400</v>
      </c>
      <c r="S9" s="53">
        <f t="shared" si="0"/>
        <v>1800</v>
      </c>
      <c r="T9" s="53">
        <f t="shared" si="0"/>
        <v>4800.24</v>
      </c>
      <c r="V9" s="54">
        <f t="shared" si="1"/>
        <v>0</v>
      </c>
      <c r="W9" s="55">
        <f t="shared" si="1"/>
        <v>45</v>
      </c>
      <c r="X9" s="55">
        <f t="shared" si="1"/>
        <v>15</v>
      </c>
      <c r="Y9" s="55">
        <f t="shared" si="1"/>
        <v>40.001999999999995</v>
      </c>
    </row>
    <row r="10" spans="1:25">
      <c r="A10" s="37"/>
      <c r="B10" s="114" t="str">
        <f>'6022-total and 3 yr ave'!B10</f>
        <v>Applications</v>
      </c>
      <c r="C10" s="39"/>
      <c r="D10" s="40"/>
      <c r="E10" s="41"/>
      <c r="F10" s="42"/>
      <c r="G10" s="43"/>
      <c r="H10" s="48"/>
      <c r="I10" s="41"/>
      <c r="J10" s="44"/>
      <c r="K10" s="45"/>
      <c r="L10" s="52"/>
      <c r="M10" s="52"/>
      <c r="N10" s="52"/>
      <c r="O10" s="52"/>
      <c r="V10" s="54"/>
      <c r="W10" s="55"/>
      <c r="X10" s="55"/>
      <c r="Y10" s="55"/>
    </row>
    <row r="11" spans="1:25">
      <c r="A11" s="37" t="str">
        <f>'6022-total and 3 yr ave'!A11</f>
        <v>316(a)</v>
      </c>
      <c r="B11" s="114" t="str">
        <f>'6022-total and 3 yr ave'!B11</f>
        <v>Application Narrative - initial criteria, all applicants</v>
      </c>
      <c r="C11" s="39" t="s">
        <v>16</v>
      </c>
      <c r="D11" s="40">
        <f>+C$57+C$60</f>
        <v>67</v>
      </c>
      <c r="E11" s="41">
        <v>1</v>
      </c>
      <c r="F11" s="42">
        <f t="shared" ref="F11:F22" si="2">SUM(D11*E11)</f>
        <v>67</v>
      </c>
      <c r="G11" s="43">
        <v>8</v>
      </c>
      <c r="H11" s="48">
        <f t="shared" ref="H11:H22" si="3">SUM(G11*F11)</f>
        <v>536</v>
      </c>
      <c r="I11" s="59">
        <v>60</v>
      </c>
      <c r="J11" s="60">
        <f t="shared" ref="J11:J22" si="4">(H11)*(I11)</f>
        <v>32160</v>
      </c>
      <c r="K11" s="45"/>
      <c r="L11" s="52">
        <v>0</v>
      </c>
      <c r="M11" s="52">
        <v>0.75</v>
      </c>
      <c r="N11" s="52">
        <v>0.25</v>
      </c>
      <c r="O11" s="52">
        <v>0.66669999999999996</v>
      </c>
      <c r="Q11" s="53">
        <f t="shared" ref="Q11:T15" si="5">+$J11*L11</f>
        <v>0</v>
      </c>
      <c r="R11" s="53">
        <f t="shared" si="5"/>
        <v>24120</v>
      </c>
      <c r="S11" s="53">
        <f t="shared" si="5"/>
        <v>8040</v>
      </c>
      <c r="T11" s="53">
        <f t="shared" si="5"/>
        <v>21441.072</v>
      </c>
      <c r="V11" s="54">
        <f>+$D11*L11</f>
        <v>0</v>
      </c>
      <c r="W11" s="55">
        <f>+$D11*M11</f>
        <v>50.25</v>
      </c>
      <c r="X11" s="55">
        <f>+$D11*N11</f>
        <v>16.75</v>
      </c>
      <c r="Y11" s="55">
        <f>+$D11*O11</f>
        <v>44.668900000000001</v>
      </c>
    </row>
    <row r="12" spans="1:25" ht="41.25" customHeight="1">
      <c r="A12" s="37" t="str">
        <f>'6022-total and 3 yr ave'!A12</f>
        <v>315(c)(8), (c)(9)</v>
      </c>
      <c r="B12" s="114" t="str">
        <f>'6022-total and 3 yr ave'!B12</f>
        <v>Application Narrative - documentation of eligibility, all applicants including certification of credit not available elsewhere</v>
      </c>
      <c r="C12" s="39" t="s">
        <v>16</v>
      </c>
      <c r="D12" s="40">
        <f>+C$57+C$60</f>
        <v>67</v>
      </c>
      <c r="E12" s="41">
        <v>1</v>
      </c>
      <c r="F12" s="42">
        <f t="shared" si="2"/>
        <v>67</v>
      </c>
      <c r="G12" s="43">
        <v>12</v>
      </c>
      <c r="H12" s="48">
        <f t="shared" si="3"/>
        <v>804</v>
      </c>
      <c r="I12" s="59">
        <v>60</v>
      </c>
      <c r="J12" s="60">
        <f t="shared" si="4"/>
        <v>48240</v>
      </c>
      <c r="K12" s="45"/>
      <c r="L12" s="52">
        <v>0</v>
      </c>
      <c r="M12" s="52">
        <v>0.75</v>
      </c>
      <c r="N12" s="52">
        <v>0.25</v>
      </c>
      <c r="O12" s="52">
        <v>0.66669999999999996</v>
      </c>
      <c r="Q12" s="53">
        <f t="shared" si="5"/>
        <v>0</v>
      </c>
      <c r="R12" s="53">
        <f t="shared" si="5"/>
        <v>36180</v>
      </c>
      <c r="S12" s="53">
        <f t="shared" si="5"/>
        <v>12060</v>
      </c>
      <c r="T12" s="53">
        <f t="shared" si="5"/>
        <v>32161.607999999997</v>
      </c>
      <c r="V12" s="54">
        <f t="shared" ref="V12:V22" si="6">+$D12*L12</f>
        <v>0</v>
      </c>
      <c r="W12" s="55">
        <f t="shared" ref="W12:W22" si="7">+$D12*M12</f>
        <v>50.25</v>
      </c>
      <c r="X12" s="55">
        <f t="shared" ref="X12:X22" si="8">+$D12*N12</f>
        <v>16.75</v>
      </c>
      <c r="Y12" s="55">
        <f t="shared" ref="Y12:Y22" si="9">+$D12*O12</f>
        <v>44.668900000000001</v>
      </c>
    </row>
    <row r="13" spans="1:25" ht="25.5">
      <c r="A13" s="37" t="str">
        <f>'6022-total and 3 yr ave'!A13</f>
        <v>316(b)</v>
      </c>
      <c r="B13" s="114" t="str">
        <f>'6022-total and 3 yr ave'!B13</f>
        <v>Additional Documentaton - Microlenders with &gt; 3 yrs exp (new applicants)</v>
      </c>
      <c r="C13" s="39" t="s">
        <v>16</v>
      </c>
      <c r="D13" s="40">
        <f>SUM(C55)</f>
        <v>48</v>
      </c>
      <c r="E13" s="41">
        <v>1</v>
      </c>
      <c r="F13" s="42">
        <f t="shared" si="2"/>
        <v>48</v>
      </c>
      <c r="G13" s="43">
        <v>8</v>
      </c>
      <c r="H13" s="48">
        <f t="shared" si="3"/>
        <v>384</v>
      </c>
      <c r="I13" s="59">
        <v>60</v>
      </c>
      <c r="J13" s="60">
        <f t="shared" si="4"/>
        <v>23040</v>
      </c>
      <c r="K13" s="45"/>
      <c r="L13" s="52">
        <v>0</v>
      </c>
      <c r="M13" s="52">
        <v>0.75</v>
      </c>
      <c r="N13" s="52">
        <v>0.25</v>
      </c>
      <c r="O13" s="52">
        <v>0.66669999999999996</v>
      </c>
      <c r="Q13" s="53">
        <f t="shared" si="5"/>
        <v>0</v>
      </c>
      <c r="R13" s="53">
        <f t="shared" si="5"/>
        <v>17280</v>
      </c>
      <c r="S13" s="53">
        <f t="shared" si="5"/>
        <v>5760</v>
      </c>
      <c r="T13" s="53">
        <f t="shared" si="5"/>
        <v>15360.767999999998</v>
      </c>
      <c r="V13" s="54">
        <f t="shared" si="6"/>
        <v>0</v>
      </c>
      <c r="W13" s="55">
        <f t="shared" si="7"/>
        <v>36</v>
      </c>
      <c r="X13" s="55">
        <f t="shared" si="8"/>
        <v>12</v>
      </c>
      <c r="Y13" s="55">
        <f t="shared" si="9"/>
        <v>32.001599999999996</v>
      </c>
    </row>
    <row r="14" spans="1:25" ht="25.5">
      <c r="A14" s="37" t="str">
        <f>'6022-total and 3 yr ave'!A14</f>
        <v>316(b)</v>
      </c>
      <c r="B14" s="114" t="str">
        <f>'6022-total and 3 yr ave'!B14</f>
        <v>Additional Documentaton - Microlenders with &gt; 3 yrs exp (repeat applicants)</v>
      </c>
      <c r="C14" s="39" t="s">
        <v>16</v>
      </c>
      <c r="D14" s="40">
        <v>0</v>
      </c>
      <c r="E14" s="41">
        <v>1</v>
      </c>
      <c r="F14" s="42">
        <f t="shared" ref="F14" si="10">SUM(D14*E14)</f>
        <v>0</v>
      </c>
      <c r="G14" s="43">
        <v>1</v>
      </c>
      <c r="H14" s="48">
        <f t="shared" ref="H14" si="11">SUM(G14*F14)</f>
        <v>0</v>
      </c>
      <c r="I14" s="59">
        <v>60</v>
      </c>
      <c r="J14" s="60">
        <f t="shared" ref="J14" si="12">(H14)*(I14)</f>
        <v>0</v>
      </c>
      <c r="K14" s="45"/>
      <c r="L14" s="52">
        <v>0</v>
      </c>
      <c r="M14" s="52">
        <v>0.75</v>
      </c>
      <c r="N14" s="52">
        <v>0.25</v>
      </c>
      <c r="O14" s="52">
        <v>0.66669999999999996</v>
      </c>
      <c r="Q14" s="53">
        <f t="shared" ref="Q14" si="13">+$J14*L14</f>
        <v>0</v>
      </c>
      <c r="R14" s="53">
        <f t="shared" ref="R14" si="14">+$J14*M14</f>
        <v>0</v>
      </c>
      <c r="S14" s="53">
        <f t="shared" ref="S14" si="15">+$J14*N14</f>
        <v>0</v>
      </c>
      <c r="T14" s="53">
        <f t="shared" ref="T14" si="16">+$J14*O14</f>
        <v>0</v>
      </c>
      <c r="V14" s="54">
        <f t="shared" ref="V14" si="17">+$D14*L14</f>
        <v>0</v>
      </c>
      <c r="W14" s="55">
        <f t="shared" ref="W14" si="18">+$D14*M14</f>
        <v>0</v>
      </c>
      <c r="X14" s="55">
        <f t="shared" ref="X14" si="19">+$D14*N14</f>
        <v>0</v>
      </c>
      <c r="Y14" s="55">
        <f t="shared" ref="Y14" si="20">+$D14*O14</f>
        <v>0</v>
      </c>
    </row>
    <row r="15" spans="1:25" ht="25.5">
      <c r="A15" s="37" t="str">
        <f>'6022-total and 3 yr ave'!A15</f>
        <v>316(c)</v>
      </c>
      <c r="B15" s="114" t="str">
        <f>'6022-total and 3 yr ave'!B15</f>
        <v>Additional Documentation - Microlenders with 3 or less yrs exp (new applicants)</v>
      </c>
      <c r="C15" s="39" t="s">
        <v>16</v>
      </c>
      <c r="D15" s="40">
        <f>SUM(C56)</f>
        <v>12</v>
      </c>
      <c r="E15" s="41">
        <v>1</v>
      </c>
      <c r="F15" s="42">
        <f t="shared" si="2"/>
        <v>12</v>
      </c>
      <c r="G15" s="43">
        <v>8</v>
      </c>
      <c r="H15" s="48">
        <f t="shared" si="3"/>
        <v>96</v>
      </c>
      <c r="I15" s="59">
        <v>60</v>
      </c>
      <c r="J15" s="60">
        <f t="shared" si="4"/>
        <v>5760</v>
      </c>
      <c r="K15" s="45"/>
      <c r="L15" s="52">
        <v>0</v>
      </c>
      <c r="M15" s="52">
        <v>0.75</v>
      </c>
      <c r="N15" s="52">
        <v>0.25</v>
      </c>
      <c r="O15" s="52">
        <v>0.66669999999999996</v>
      </c>
      <c r="Q15" s="53">
        <f t="shared" si="5"/>
        <v>0</v>
      </c>
      <c r="R15" s="53">
        <f t="shared" si="5"/>
        <v>4320</v>
      </c>
      <c r="S15" s="53">
        <f t="shared" si="5"/>
        <v>1440</v>
      </c>
      <c r="T15" s="53">
        <f t="shared" si="5"/>
        <v>3840.1919999999996</v>
      </c>
      <c r="V15" s="54">
        <f t="shared" si="6"/>
        <v>0</v>
      </c>
      <c r="W15" s="55">
        <f t="shared" si="7"/>
        <v>9</v>
      </c>
      <c r="X15" s="55">
        <f t="shared" si="8"/>
        <v>3</v>
      </c>
      <c r="Y15" s="55">
        <f t="shared" si="9"/>
        <v>8.0003999999999991</v>
      </c>
    </row>
    <row r="16" spans="1:25" ht="25.5">
      <c r="A16" s="37" t="str">
        <f>'6022-total and 3 yr ave'!A16</f>
        <v>316(c)</v>
      </c>
      <c r="B16" s="114" t="str">
        <f>'6022-total and 3 yr ave'!B16</f>
        <v>Additional Documentation - Microlenders with 3 or less yrs exp (repeat applicants)</v>
      </c>
      <c r="C16" s="39" t="s">
        <v>16</v>
      </c>
      <c r="D16" s="40">
        <v>0</v>
      </c>
      <c r="E16" s="41">
        <v>1</v>
      </c>
      <c r="F16" s="42">
        <f t="shared" ref="F16" si="21">SUM(D16*E16)</f>
        <v>0</v>
      </c>
      <c r="G16" s="43">
        <v>1</v>
      </c>
      <c r="H16" s="48">
        <f t="shared" ref="H16" si="22">SUM(G16*F16)</f>
        <v>0</v>
      </c>
      <c r="I16" s="59">
        <v>60</v>
      </c>
      <c r="J16" s="60">
        <f t="shared" ref="J16" si="23">(H16)*(I16)</f>
        <v>0</v>
      </c>
      <c r="K16" s="45"/>
      <c r="L16" s="52">
        <v>0</v>
      </c>
      <c r="M16" s="52">
        <v>0.75</v>
      </c>
      <c r="N16" s="52">
        <v>0.25</v>
      </c>
      <c r="O16" s="52">
        <v>0.66669999999999996</v>
      </c>
      <c r="Q16" s="53">
        <f t="shared" ref="Q16" si="24">+$J16*L16</f>
        <v>0</v>
      </c>
      <c r="R16" s="53">
        <f t="shared" ref="R16" si="25">+$J16*M16</f>
        <v>0</v>
      </c>
      <c r="S16" s="53">
        <f t="shared" ref="S16" si="26">+$J16*N16</f>
        <v>0</v>
      </c>
      <c r="T16" s="53">
        <f t="shared" ref="T16" si="27">+$J16*O16</f>
        <v>0</v>
      </c>
      <c r="V16" s="54">
        <f t="shared" ref="V16" si="28">+$D16*L16</f>
        <v>0</v>
      </c>
      <c r="W16" s="55">
        <f t="shared" ref="W16" si="29">+$D16*M16</f>
        <v>0</v>
      </c>
      <c r="X16" s="55">
        <f t="shared" ref="X16" si="30">+$D16*N16</f>
        <v>0</v>
      </c>
      <c r="Y16" s="55">
        <f t="shared" ref="Y16" si="31">+$D16*O16</f>
        <v>0</v>
      </c>
    </row>
    <row r="17" spans="1:25">
      <c r="A17" s="37" t="str">
        <f>'6022-total and 3 yr ave'!A17</f>
        <v>316(d)</v>
      </c>
      <c r="B17" s="114" t="str">
        <f>'6022-total and 3 yr ave'!B17</f>
        <v>Additional Documentation - Technical assistance only grants</v>
      </c>
      <c r="C17" s="39" t="s">
        <v>16</v>
      </c>
      <c r="D17" s="40">
        <f>C60</f>
        <v>7</v>
      </c>
      <c r="E17" s="41">
        <v>1</v>
      </c>
      <c r="F17" s="42">
        <f t="shared" si="2"/>
        <v>7</v>
      </c>
      <c r="G17" s="43">
        <v>6</v>
      </c>
      <c r="H17" s="48">
        <f t="shared" si="3"/>
        <v>42</v>
      </c>
      <c r="I17" s="59">
        <v>60</v>
      </c>
      <c r="J17" s="60">
        <f t="shared" si="4"/>
        <v>2520</v>
      </c>
      <c r="K17" s="45"/>
      <c r="L17" s="52"/>
      <c r="M17" s="52"/>
      <c r="N17" s="52"/>
      <c r="O17" s="52"/>
      <c r="Q17" s="53"/>
      <c r="R17" s="53"/>
      <c r="S17" s="53"/>
      <c r="T17" s="53"/>
      <c r="V17" s="54"/>
      <c r="W17" s="55"/>
      <c r="X17" s="55"/>
      <c r="Y17" s="55"/>
    </row>
    <row r="18" spans="1:25">
      <c r="A18" s="37" t="str">
        <f>'6022-total and 3 yr ave'!A18</f>
        <v>316(e)</v>
      </c>
      <c r="B18" s="114" t="str">
        <f>'6022-total and 3 yr ave'!B18</f>
        <v>Application from microlenders with &gt; 5 yrs exp in program</v>
      </c>
      <c r="C18" s="39" t="s">
        <v>16</v>
      </c>
      <c r="D18" s="40">
        <v>0</v>
      </c>
      <c r="E18" s="41">
        <v>1</v>
      </c>
      <c r="F18" s="42">
        <f t="shared" si="2"/>
        <v>0</v>
      </c>
      <c r="G18" s="43">
        <v>4</v>
      </c>
      <c r="H18" s="48">
        <f t="shared" si="3"/>
        <v>0</v>
      </c>
      <c r="I18" s="59">
        <v>60</v>
      </c>
      <c r="J18" s="60">
        <f t="shared" si="4"/>
        <v>0</v>
      </c>
      <c r="K18" s="45"/>
      <c r="L18" s="52">
        <v>0</v>
      </c>
      <c r="M18" s="52">
        <v>0.75</v>
      </c>
      <c r="N18" s="52">
        <v>0.25</v>
      </c>
      <c r="O18" s="52">
        <v>0.66669999999999996</v>
      </c>
      <c r="Q18" s="53">
        <f t="shared" ref="Q18:Q22" si="32">+$J18*L18</f>
        <v>0</v>
      </c>
      <c r="R18" s="53">
        <f t="shared" ref="R18:R22" si="33">+$J18*M18</f>
        <v>0</v>
      </c>
      <c r="S18" s="53">
        <f t="shared" ref="S18:S22" si="34">+$J18*N18</f>
        <v>0</v>
      </c>
      <c r="T18" s="53">
        <f t="shared" ref="T18:T22" si="35">+$J18*O18</f>
        <v>0</v>
      </c>
      <c r="V18" s="54">
        <f t="shared" si="6"/>
        <v>0</v>
      </c>
      <c r="W18" s="55">
        <f t="shared" si="7"/>
        <v>0</v>
      </c>
      <c r="X18" s="55">
        <f t="shared" si="8"/>
        <v>0</v>
      </c>
      <c r="Y18" s="55">
        <f t="shared" si="9"/>
        <v>0</v>
      </c>
    </row>
    <row r="19" spans="1:25">
      <c r="A19" s="37" t="str">
        <f>'6022-total and 3 yr ave'!A19</f>
        <v>312(c)(1)</v>
      </c>
      <c r="B19" s="114" t="str">
        <f>'6022-total and 3 yr ave'!B19</f>
        <v>Documentation prior to loan closing</v>
      </c>
      <c r="C19" s="39" t="s">
        <v>16</v>
      </c>
      <c r="D19" s="40">
        <f t="shared" ref="D19:D20" si="36">D$57+D$60</f>
        <v>60</v>
      </c>
      <c r="E19" s="41">
        <v>1</v>
      </c>
      <c r="F19" s="42">
        <f t="shared" si="2"/>
        <v>60</v>
      </c>
      <c r="G19" s="43">
        <v>1</v>
      </c>
      <c r="H19" s="48">
        <f t="shared" si="3"/>
        <v>60</v>
      </c>
      <c r="I19" s="59">
        <v>60</v>
      </c>
      <c r="J19" s="60">
        <f t="shared" si="4"/>
        <v>3600</v>
      </c>
      <c r="K19" s="45"/>
      <c r="L19" s="52">
        <v>0</v>
      </c>
      <c r="M19" s="52">
        <v>0.75</v>
      </c>
      <c r="N19" s="52">
        <v>0.25</v>
      </c>
      <c r="O19" s="52">
        <v>0.66669999999999996</v>
      </c>
      <c r="Q19" s="53">
        <f t="shared" si="32"/>
        <v>0</v>
      </c>
      <c r="R19" s="53">
        <f t="shared" si="33"/>
        <v>2700</v>
      </c>
      <c r="S19" s="53">
        <f t="shared" si="34"/>
        <v>900</v>
      </c>
      <c r="T19" s="53">
        <f t="shared" si="35"/>
        <v>2400.12</v>
      </c>
      <c r="V19" s="54">
        <f t="shared" si="6"/>
        <v>0</v>
      </c>
      <c r="W19" s="55">
        <f t="shared" si="7"/>
        <v>45</v>
      </c>
      <c r="X19" s="55">
        <f t="shared" si="8"/>
        <v>15</v>
      </c>
      <c r="Y19" s="55">
        <f t="shared" si="9"/>
        <v>40.001999999999995</v>
      </c>
    </row>
    <row r="20" spans="1:25">
      <c r="A20" s="37" t="str">
        <f>'6022-total and 3 yr ave'!A20</f>
        <v>312(c)(2)</v>
      </c>
      <c r="B20" s="114" t="str">
        <f>'6022-total and 3 yr ave'!B20</f>
        <v>Lender certification at loan closing</v>
      </c>
      <c r="C20" s="39" t="s">
        <v>16</v>
      </c>
      <c r="D20" s="40">
        <f t="shared" si="36"/>
        <v>60</v>
      </c>
      <c r="E20" s="41">
        <v>1</v>
      </c>
      <c r="F20" s="42">
        <f t="shared" si="2"/>
        <v>60</v>
      </c>
      <c r="G20" s="43">
        <v>0.5</v>
      </c>
      <c r="H20" s="48">
        <f t="shared" si="3"/>
        <v>30</v>
      </c>
      <c r="I20" s="59">
        <v>60</v>
      </c>
      <c r="J20" s="60">
        <f t="shared" si="4"/>
        <v>1800</v>
      </c>
      <c r="K20" s="45"/>
      <c r="L20" s="52">
        <v>0</v>
      </c>
      <c r="M20" s="52">
        <v>0.75</v>
      </c>
      <c r="N20" s="52">
        <v>0.25</v>
      </c>
      <c r="O20" s="52">
        <v>0.66669999999999996</v>
      </c>
      <c r="Q20" s="53">
        <f t="shared" si="32"/>
        <v>0</v>
      </c>
      <c r="R20" s="53">
        <f t="shared" si="33"/>
        <v>1350</v>
      </c>
      <c r="S20" s="53">
        <f t="shared" si="34"/>
        <v>450</v>
      </c>
      <c r="T20" s="53">
        <f t="shared" si="35"/>
        <v>1200.06</v>
      </c>
      <c r="V20" s="54">
        <f t="shared" si="6"/>
        <v>0</v>
      </c>
      <c r="W20" s="55">
        <f t="shared" si="7"/>
        <v>45</v>
      </c>
      <c r="X20" s="55">
        <f t="shared" si="8"/>
        <v>15</v>
      </c>
      <c r="Y20" s="55">
        <f t="shared" si="9"/>
        <v>40.001999999999995</v>
      </c>
    </row>
    <row r="21" spans="1:25">
      <c r="A21" s="37"/>
      <c r="B21" s="117" t="str">
        <f>'6022-total and 3 yr ave'!B21</f>
        <v>Appeals</v>
      </c>
      <c r="C21" s="39"/>
      <c r="D21" s="61"/>
      <c r="E21" s="41"/>
      <c r="F21" s="42"/>
      <c r="G21" s="43"/>
      <c r="H21" s="48"/>
      <c r="I21" s="59"/>
      <c r="J21" s="60"/>
      <c r="K21" s="45"/>
      <c r="L21" s="52"/>
      <c r="M21" s="52"/>
      <c r="N21" s="52"/>
      <c r="O21" s="52"/>
      <c r="Q21" s="53"/>
      <c r="R21" s="53"/>
      <c r="S21" s="53"/>
      <c r="T21" s="53"/>
      <c r="V21" s="54"/>
      <c r="W21" s="55"/>
      <c r="X21" s="55"/>
      <c r="Y21" s="55"/>
    </row>
    <row r="22" spans="1:25">
      <c r="A22" s="37">
        <f>'6022-total and 3 yr ave'!A22</f>
        <v>304</v>
      </c>
      <c r="B22" s="114" t="str">
        <f>'6022-total and 3 yr ave'!B22</f>
        <v>Request for Appeal</v>
      </c>
      <c r="C22" s="39" t="s">
        <v>16</v>
      </c>
      <c r="D22" s="61">
        <v>5</v>
      </c>
      <c r="E22" s="41">
        <v>1</v>
      </c>
      <c r="F22" s="42">
        <f t="shared" si="2"/>
        <v>5</v>
      </c>
      <c r="G22" s="43">
        <v>2</v>
      </c>
      <c r="H22" s="48">
        <f t="shared" si="3"/>
        <v>10</v>
      </c>
      <c r="I22" s="59">
        <v>60</v>
      </c>
      <c r="J22" s="60">
        <f t="shared" si="4"/>
        <v>600</v>
      </c>
      <c r="K22" s="45"/>
      <c r="L22" s="52">
        <v>0</v>
      </c>
      <c r="M22" s="52">
        <v>0.75</v>
      </c>
      <c r="N22" s="52">
        <v>0.25</v>
      </c>
      <c r="O22" s="52">
        <v>0.66669999999999996</v>
      </c>
      <c r="Q22" s="53">
        <f t="shared" si="32"/>
        <v>0</v>
      </c>
      <c r="R22" s="53">
        <f t="shared" si="33"/>
        <v>450</v>
      </c>
      <c r="S22" s="53">
        <f t="shared" si="34"/>
        <v>150</v>
      </c>
      <c r="T22" s="53">
        <f t="shared" si="35"/>
        <v>400.02</v>
      </c>
      <c r="V22" s="54">
        <f t="shared" si="6"/>
        <v>0</v>
      </c>
      <c r="W22" s="55">
        <f t="shared" si="7"/>
        <v>3.75</v>
      </c>
      <c r="X22" s="55">
        <f t="shared" si="8"/>
        <v>1.25</v>
      </c>
      <c r="Y22" s="55">
        <f t="shared" si="9"/>
        <v>3.3334999999999999</v>
      </c>
    </row>
    <row r="23" spans="1:25">
      <c r="A23" s="37"/>
      <c r="B23" s="62" t="s">
        <v>38</v>
      </c>
      <c r="C23" s="63"/>
      <c r="D23" s="65">
        <f>SUM(D11)</f>
        <v>67</v>
      </c>
      <c r="E23" s="64"/>
      <c r="F23" s="65">
        <f>SUM(F7:F22)</f>
        <v>628</v>
      </c>
      <c r="G23" s="66"/>
      <c r="H23" s="67">
        <f>SUM(H7:H22)</f>
        <v>2566</v>
      </c>
      <c r="I23" s="68"/>
      <c r="J23" s="69">
        <f>SUM(J7:J22)</f>
        <v>153960</v>
      </c>
      <c r="K23" s="45"/>
      <c r="L23" s="52"/>
      <c r="M23" s="52"/>
      <c r="N23" s="52"/>
      <c r="O23" s="52"/>
      <c r="Q23" s="53"/>
      <c r="R23" s="53"/>
      <c r="S23" s="53"/>
      <c r="T23" s="53"/>
      <c r="V23" s="54"/>
      <c r="W23" s="55"/>
      <c r="X23" s="55"/>
      <c r="Y23" s="55"/>
    </row>
    <row r="24" spans="1:25">
      <c r="A24" s="37"/>
      <c r="D24" s="37"/>
      <c r="E24" s="37"/>
      <c r="F24" s="37"/>
      <c r="H24" s="71"/>
      <c r="I24" s="72"/>
      <c r="J24" s="37"/>
      <c r="K24" s="73"/>
      <c r="L24" s="52"/>
      <c r="M24" s="52"/>
      <c r="N24" s="52"/>
      <c r="O24" s="52"/>
      <c r="Q24" s="53"/>
      <c r="R24" s="53"/>
      <c r="S24" s="53"/>
      <c r="T24" s="53"/>
      <c r="V24" s="54"/>
      <c r="W24" s="55"/>
      <c r="X24" s="55"/>
      <c r="Y24" s="55"/>
    </row>
    <row r="25" spans="1:25">
      <c r="A25" s="37"/>
      <c r="B25" s="74" t="s">
        <v>53</v>
      </c>
      <c r="C25" s="18"/>
      <c r="D25" s="75"/>
      <c r="E25" s="75"/>
      <c r="F25" s="75"/>
      <c r="G25" s="66"/>
      <c r="H25" s="76"/>
      <c r="I25" s="69"/>
      <c r="J25" s="69"/>
      <c r="K25" s="73"/>
      <c r="L25" s="52"/>
      <c r="M25" s="52"/>
      <c r="N25" s="52"/>
      <c r="O25" s="52"/>
      <c r="Q25" s="53"/>
      <c r="R25" s="53"/>
      <c r="S25" s="53"/>
      <c r="T25" s="53"/>
      <c r="V25" s="54"/>
      <c r="W25" s="55"/>
      <c r="X25" s="55"/>
      <c r="Y25" s="55"/>
    </row>
    <row r="26" spans="1:25" ht="42.75" customHeight="1">
      <c r="A26" s="37" t="str">
        <f>'6022-total and 3 yr ave'!A26</f>
        <v>315(c)(5)</v>
      </c>
      <c r="B26" s="114" t="str">
        <f>'6022-total and 3 yr ave'!B26</f>
        <v>Certification Regarding Debarment, Suspension &amp; Other Resp. Matters-Primary Covered Trans.</v>
      </c>
      <c r="C26" s="39" t="s">
        <v>20</v>
      </c>
      <c r="D26" s="40">
        <f>+C$57+C$60</f>
        <v>67</v>
      </c>
      <c r="E26" s="41">
        <v>1</v>
      </c>
      <c r="F26" s="42">
        <f>SUM(D26*E26)</f>
        <v>67</v>
      </c>
      <c r="G26" s="93">
        <v>0.25</v>
      </c>
      <c r="H26" s="48">
        <v>17</v>
      </c>
      <c r="I26" s="59">
        <v>60</v>
      </c>
      <c r="J26" s="60">
        <f>(H26)*(I26)</f>
        <v>1020</v>
      </c>
      <c r="K26" s="73"/>
      <c r="L26" s="52">
        <v>0</v>
      </c>
      <c r="M26" s="52">
        <v>0.75</v>
      </c>
      <c r="N26" s="52">
        <v>0.25</v>
      </c>
      <c r="O26" s="52">
        <v>0.66669999999999996</v>
      </c>
      <c r="Q26" s="53">
        <f t="shared" ref="Q26:T35" si="37">+$J26*L26</f>
        <v>0</v>
      </c>
      <c r="R26" s="53">
        <f t="shared" si="37"/>
        <v>765</v>
      </c>
      <c r="S26" s="53">
        <f t="shared" si="37"/>
        <v>255</v>
      </c>
      <c r="T26" s="53">
        <f t="shared" si="37"/>
        <v>680.03399999999999</v>
      </c>
      <c r="V26" s="54">
        <f t="shared" ref="V26:Y35" si="38">+$D26*L26</f>
        <v>0</v>
      </c>
      <c r="W26" s="55">
        <f t="shared" si="38"/>
        <v>50.25</v>
      </c>
      <c r="X26" s="55">
        <f t="shared" si="38"/>
        <v>16.75</v>
      </c>
      <c r="Y26" s="55">
        <f t="shared" si="38"/>
        <v>44.668900000000001</v>
      </c>
    </row>
    <row r="27" spans="1:25" ht="15" customHeight="1">
      <c r="A27" s="37" t="str">
        <f>'6022-total and 3 yr ave'!A27</f>
        <v>315(c)(9)</v>
      </c>
      <c r="B27" s="114" t="str">
        <f>'6022-total and 3 yr ave'!B27</f>
        <v>Compliance Review</v>
      </c>
      <c r="C27" s="118" t="str">
        <f>'6022-total and 3 yr ave'!C27</f>
        <v>RD 400-8</v>
      </c>
      <c r="D27" s="40">
        <f>+C$57+C$60</f>
        <v>67</v>
      </c>
      <c r="E27" s="41">
        <v>1</v>
      </c>
      <c r="F27" s="42">
        <f>SUM(D27*E27)</f>
        <v>67</v>
      </c>
      <c r="G27" s="93">
        <v>8</v>
      </c>
      <c r="H27" s="48">
        <f t="shared" ref="H27" si="39">SUM(G27*F27)</f>
        <v>536</v>
      </c>
      <c r="I27" s="59">
        <v>60</v>
      </c>
      <c r="J27" s="60">
        <f>(H27)*(I27)</f>
        <v>32160</v>
      </c>
      <c r="K27" s="73"/>
      <c r="L27" s="52">
        <v>0</v>
      </c>
      <c r="M27" s="52">
        <v>0.75</v>
      </c>
      <c r="N27" s="52">
        <v>0.25</v>
      </c>
      <c r="O27" s="52">
        <v>0.66669999999999996</v>
      </c>
      <c r="Q27" s="53">
        <f t="shared" ref="Q27" si="40">+$J27*L27</f>
        <v>0</v>
      </c>
      <c r="R27" s="53">
        <f t="shared" ref="R27" si="41">+$J27*M27</f>
        <v>24120</v>
      </c>
      <c r="S27" s="53">
        <f t="shared" ref="S27" si="42">+$J27*N27</f>
        <v>8040</v>
      </c>
      <c r="T27" s="53">
        <f t="shared" ref="T27" si="43">+$J27*O27</f>
        <v>21441.072</v>
      </c>
      <c r="V27" s="54">
        <f t="shared" ref="V27" si="44">+$D27*L27</f>
        <v>0</v>
      </c>
      <c r="W27" s="55">
        <f t="shared" ref="W27" si="45">+$D27*M27</f>
        <v>50.25</v>
      </c>
      <c r="X27" s="55">
        <f t="shared" ref="X27" si="46">+$D27*N27</f>
        <v>16.75</v>
      </c>
      <c r="Y27" s="55">
        <f t="shared" ref="Y27" si="47">+$D27*O27</f>
        <v>44.668900000000001</v>
      </c>
    </row>
    <row r="28" spans="1:25" ht="13.5" customHeight="1">
      <c r="A28" s="37" t="str">
        <f>'6022-total and 3 yr ave'!A28</f>
        <v>315(c)(10)</v>
      </c>
      <c r="B28" s="114" t="str">
        <f>'6022-total and 3 yr ave'!B28</f>
        <v>Assurance Agreement</v>
      </c>
      <c r="C28" s="118" t="str">
        <f>'6022-total and 3 yr ave'!C28</f>
        <v>RD 400-4</v>
      </c>
      <c r="D28" s="40">
        <f>+C$57+C$60</f>
        <v>67</v>
      </c>
      <c r="E28" s="41">
        <v>1</v>
      </c>
      <c r="F28" s="42">
        <f>SUM(D28*E28)</f>
        <v>67</v>
      </c>
      <c r="G28" s="93">
        <v>0.25</v>
      </c>
      <c r="H28" s="48">
        <v>17</v>
      </c>
      <c r="I28" s="59">
        <v>60</v>
      </c>
      <c r="J28" s="60">
        <f>(H28)*(I28)</f>
        <v>1020</v>
      </c>
      <c r="K28" s="73"/>
      <c r="L28" s="52">
        <v>0</v>
      </c>
      <c r="M28" s="52">
        <v>0.75</v>
      </c>
      <c r="N28" s="52">
        <v>0.25</v>
      </c>
      <c r="O28" s="52">
        <v>0.66669999999999996</v>
      </c>
      <c r="Q28" s="53">
        <f t="shared" ref="Q28:Q30" si="48">+$J28*L28</f>
        <v>0</v>
      </c>
      <c r="R28" s="53">
        <f t="shared" ref="R28:R30" si="49">+$J28*M28</f>
        <v>765</v>
      </c>
      <c r="S28" s="53">
        <f t="shared" ref="S28:S30" si="50">+$J28*N28</f>
        <v>255</v>
      </c>
      <c r="T28" s="53">
        <f t="shared" ref="T28:T30" si="51">+$J28*O28</f>
        <v>680.03399999999999</v>
      </c>
      <c r="V28" s="54">
        <f t="shared" ref="V28:V30" si="52">+$D28*L28</f>
        <v>0</v>
      </c>
      <c r="W28" s="55">
        <f t="shared" ref="W28:W30" si="53">+$D28*M28</f>
        <v>50.25</v>
      </c>
      <c r="X28" s="55">
        <f t="shared" ref="X28:X30" si="54">+$D28*N28</f>
        <v>16.75</v>
      </c>
      <c r="Y28" s="55">
        <f t="shared" ref="Y28:Y30" si="55">+$D28*O28</f>
        <v>44.668900000000001</v>
      </c>
    </row>
    <row r="29" spans="1:25" ht="13.5" customHeight="1">
      <c r="A29" s="37" t="str">
        <f>'6022-total and 3 yr ave'!A29</f>
        <v>312(c)(1)(ii)</v>
      </c>
      <c r="B29" s="114" t="str">
        <f>'6022-total and 3 yr ave'!B29</f>
        <v>Deposit Agreement</v>
      </c>
      <c r="C29" s="39" t="s">
        <v>112</v>
      </c>
      <c r="D29" s="40">
        <f t="shared" ref="D29:D33" si="56">D$57+D$60</f>
        <v>60</v>
      </c>
      <c r="E29" s="41">
        <v>1</v>
      </c>
      <c r="F29" s="42">
        <f t="shared" ref="F29:F33" si="57">SUM(D29*E29)</f>
        <v>60</v>
      </c>
      <c r="G29" s="93">
        <v>0.08</v>
      </c>
      <c r="H29" s="48">
        <v>5</v>
      </c>
      <c r="I29" s="59">
        <v>60</v>
      </c>
      <c r="J29" s="60">
        <f t="shared" ref="J29:J33" si="58">(H29)*(I29)</f>
        <v>300</v>
      </c>
      <c r="K29" s="73"/>
      <c r="L29" s="52">
        <v>0</v>
      </c>
      <c r="M29" s="52">
        <v>0.75</v>
      </c>
      <c r="N29" s="52">
        <v>0.25</v>
      </c>
      <c r="O29" s="52">
        <v>0.66669999999999996</v>
      </c>
      <c r="Q29" s="53">
        <f t="shared" si="48"/>
        <v>0</v>
      </c>
      <c r="R29" s="53">
        <f t="shared" si="49"/>
        <v>225</v>
      </c>
      <c r="S29" s="53">
        <f t="shared" si="50"/>
        <v>75</v>
      </c>
      <c r="T29" s="53">
        <f t="shared" si="51"/>
        <v>200.01</v>
      </c>
      <c r="V29" s="54">
        <f t="shared" si="52"/>
        <v>0</v>
      </c>
      <c r="W29" s="55">
        <f t="shared" si="53"/>
        <v>45</v>
      </c>
      <c r="X29" s="55">
        <f t="shared" si="54"/>
        <v>15</v>
      </c>
      <c r="Y29" s="55">
        <f t="shared" si="55"/>
        <v>40.001999999999995</v>
      </c>
    </row>
    <row r="30" spans="1:25" ht="13.5" customHeight="1">
      <c r="A30" s="37" t="str">
        <f>'6022-total and 3 yr ave'!A30</f>
        <v>312(a)</v>
      </c>
      <c r="B30" s="114" t="str">
        <f>'6022-total and 3 yr ave'!B30</f>
        <v>Request for Obligation of Funds</v>
      </c>
      <c r="C30" s="111" t="s">
        <v>152</v>
      </c>
      <c r="D30" s="40">
        <f t="shared" si="56"/>
        <v>60</v>
      </c>
      <c r="E30" s="41">
        <v>2</v>
      </c>
      <c r="F30" s="42">
        <f t="shared" ref="F30" si="59">SUM(D30*E30)</f>
        <v>120</v>
      </c>
      <c r="G30" s="93">
        <v>0.25</v>
      </c>
      <c r="H30" s="48">
        <f t="shared" ref="H30" si="60">SUM(G30*F30)</f>
        <v>30</v>
      </c>
      <c r="I30" s="59">
        <v>60</v>
      </c>
      <c r="J30" s="60">
        <f t="shared" ref="J30" si="61">(H30)*(I30)</f>
        <v>1800</v>
      </c>
      <c r="K30" s="73"/>
      <c r="L30" s="52">
        <v>0</v>
      </c>
      <c r="M30" s="52">
        <v>0.75</v>
      </c>
      <c r="N30" s="52">
        <v>0.25</v>
      </c>
      <c r="O30" s="52">
        <v>0.66669999999999996</v>
      </c>
      <c r="Q30" s="53">
        <f t="shared" si="48"/>
        <v>0</v>
      </c>
      <c r="R30" s="53">
        <f t="shared" si="49"/>
        <v>1350</v>
      </c>
      <c r="S30" s="53">
        <f t="shared" si="50"/>
        <v>450</v>
      </c>
      <c r="T30" s="53">
        <f t="shared" si="51"/>
        <v>1200.06</v>
      </c>
      <c r="V30" s="54">
        <f t="shared" si="52"/>
        <v>0</v>
      </c>
      <c r="W30" s="55">
        <f t="shared" si="53"/>
        <v>45</v>
      </c>
      <c r="X30" s="55">
        <f t="shared" si="54"/>
        <v>15</v>
      </c>
      <c r="Y30" s="55">
        <f t="shared" si="55"/>
        <v>40.001999999999995</v>
      </c>
    </row>
    <row r="31" spans="1:25" ht="13.5" customHeight="1">
      <c r="A31" s="37" t="str">
        <f>'6022-total and 3 yr ave'!A31</f>
        <v>312(b)</v>
      </c>
      <c r="B31" s="114" t="str">
        <f>'6022-total and 3 yr ave'!B31</f>
        <v>Letter of Intent to Meet Conditions</v>
      </c>
      <c r="C31" s="39" t="s">
        <v>116</v>
      </c>
      <c r="D31" s="40">
        <f t="shared" si="56"/>
        <v>60</v>
      </c>
      <c r="E31" s="41">
        <v>1</v>
      </c>
      <c r="F31" s="42">
        <f t="shared" si="57"/>
        <v>60</v>
      </c>
      <c r="G31" s="93">
        <v>1</v>
      </c>
      <c r="H31" s="48">
        <f t="shared" ref="H31:H33" si="62">SUM(G31*F31)</f>
        <v>60</v>
      </c>
      <c r="I31" s="59">
        <v>60</v>
      </c>
      <c r="J31" s="60">
        <f t="shared" si="58"/>
        <v>3600</v>
      </c>
      <c r="K31" s="73"/>
      <c r="L31" s="52">
        <v>0</v>
      </c>
      <c r="M31" s="52">
        <v>0.75</v>
      </c>
      <c r="N31" s="52">
        <v>0.25</v>
      </c>
      <c r="O31" s="52">
        <v>0.66669999999999996</v>
      </c>
      <c r="Q31" s="53">
        <f t="shared" ref="Q31:Q33" si="63">+$J31*L31</f>
        <v>0</v>
      </c>
      <c r="R31" s="53">
        <f t="shared" ref="R31:R33" si="64">+$J31*M31</f>
        <v>2700</v>
      </c>
      <c r="S31" s="53">
        <f t="shared" ref="S31:S33" si="65">+$J31*N31</f>
        <v>900</v>
      </c>
      <c r="T31" s="53">
        <f t="shared" ref="T31:T33" si="66">+$J31*O31</f>
        <v>2400.12</v>
      </c>
      <c r="V31" s="54">
        <f t="shared" ref="V31:V33" si="67">+$D31*L31</f>
        <v>0</v>
      </c>
      <c r="W31" s="55">
        <f t="shared" ref="W31:W33" si="68">+$D31*M31</f>
        <v>45</v>
      </c>
      <c r="X31" s="55">
        <f t="shared" ref="X31:X33" si="69">+$D31*N31</f>
        <v>15</v>
      </c>
      <c r="Y31" s="55">
        <f t="shared" ref="Y31:Y33" si="70">+$D31*O31</f>
        <v>40.001999999999995</v>
      </c>
    </row>
    <row r="32" spans="1:25" ht="13.5" customHeight="1">
      <c r="A32" s="37" t="str">
        <f>'6022-total and 3 yr ave'!A32</f>
        <v>312(c)(iv)</v>
      </c>
      <c r="B32" s="114" t="str">
        <f>'6022-total and 3 yr ave'!B32</f>
        <v>Promissory Note</v>
      </c>
      <c r="C32" s="39" t="s">
        <v>118</v>
      </c>
      <c r="D32" s="40">
        <f t="shared" si="56"/>
        <v>60</v>
      </c>
      <c r="E32" s="41">
        <v>1</v>
      </c>
      <c r="F32" s="42">
        <f t="shared" si="57"/>
        <v>60</v>
      </c>
      <c r="G32" s="93">
        <v>1.5</v>
      </c>
      <c r="H32" s="48">
        <f t="shared" si="62"/>
        <v>90</v>
      </c>
      <c r="I32" s="59">
        <v>60</v>
      </c>
      <c r="J32" s="60">
        <f t="shared" si="58"/>
        <v>5400</v>
      </c>
      <c r="K32" s="73"/>
      <c r="L32" s="52">
        <v>0</v>
      </c>
      <c r="M32" s="52">
        <v>0.75</v>
      </c>
      <c r="N32" s="52">
        <v>0.25</v>
      </c>
      <c r="O32" s="52">
        <v>0.66669999999999996</v>
      </c>
      <c r="Q32" s="53">
        <f t="shared" si="63"/>
        <v>0</v>
      </c>
      <c r="R32" s="53">
        <f t="shared" si="64"/>
        <v>4050</v>
      </c>
      <c r="S32" s="53">
        <f t="shared" si="65"/>
        <v>1350</v>
      </c>
      <c r="T32" s="53">
        <f t="shared" si="66"/>
        <v>3600.18</v>
      </c>
      <c r="V32" s="54">
        <f t="shared" si="67"/>
        <v>0</v>
      </c>
      <c r="W32" s="55">
        <f t="shared" si="68"/>
        <v>45</v>
      </c>
      <c r="X32" s="55">
        <f t="shared" si="69"/>
        <v>15</v>
      </c>
      <c r="Y32" s="55">
        <f t="shared" si="70"/>
        <v>40.001999999999995</v>
      </c>
    </row>
    <row r="33" spans="1:25" ht="13.5" customHeight="1">
      <c r="A33" s="37" t="str">
        <f>'6022-total and 3 yr ave'!A33</f>
        <v>312(a)</v>
      </c>
      <c r="B33" s="114" t="str">
        <f>'6022-total and 3 yr ave'!B33</f>
        <v>Loan Agreement</v>
      </c>
      <c r="C33" s="39" t="s">
        <v>115</v>
      </c>
      <c r="D33" s="40">
        <f t="shared" si="56"/>
        <v>60</v>
      </c>
      <c r="E33" s="41">
        <v>1</v>
      </c>
      <c r="F33" s="42">
        <f t="shared" si="57"/>
        <v>60</v>
      </c>
      <c r="G33" s="93">
        <v>1.5</v>
      </c>
      <c r="H33" s="48">
        <f t="shared" si="62"/>
        <v>90</v>
      </c>
      <c r="I33" s="59">
        <v>60</v>
      </c>
      <c r="J33" s="60">
        <f t="shared" si="58"/>
        <v>5400</v>
      </c>
      <c r="K33" s="73"/>
      <c r="L33" s="52">
        <v>0</v>
      </c>
      <c r="M33" s="52">
        <v>0.75</v>
      </c>
      <c r="N33" s="52">
        <v>0.25</v>
      </c>
      <c r="O33" s="52">
        <v>0.66669999999999996</v>
      </c>
      <c r="Q33" s="53">
        <f t="shared" si="63"/>
        <v>0</v>
      </c>
      <c r="R33" s="53">
        <f t="shared" si="64"/>
        <v>4050</v>
      </c>
      <c r="S33" s="53">
        <f t="shared" si="65"/>
        <v>1350</v>
      </c>
      <c r="T33" s="53">
        <f t="shared" si="66"/>
        <v>3600.18</v>
      </c>
      <c r="V33" s="54">
        <f t="shared" si="67"/>
        <v>0</v>
      </c>
      <c r="W33" s="55">
        <f t="shared" si="68"/>
        <v>45</v>
      </c>
      <c r="X33" s="55">
        <f t="shared" si="69"/>
        <v>15</v>
      </c>
      <c r="Y33" s="55">
        <f t="shared" si="70"/>
        <v>40.001999999999995</v>
      </c>
    </row>
    <row r="34" spans="1:25" ht="40.5" customHeight="1">
      <c r="A34" s="37" t="str">
        <f>'6022-total and 3 yr ave'!A34</f>
        <v>313(e)</v>
      </c>
      <c r="B34" s="114" t="str">
        <f>'6022-total and 3 yr ave'!B34</f>
        <v>Rural Economic Development Grant/Rural Microentrepreneur Assistance Program Agreement</v>
      </c>
      <c r="C34" s="39" t="s">
        <v>146</v>
      </c>
      <c r="D34" s="40">
        <f>SUM(D57+D59+D60)</f>
        <v>60</v>
      </c>
      <c r="E34" s="41">
        <v>1</v>
      </c>
      <c r="F34" s="42">
        <f t="shared" ref="F34" si="71">SUM(D34*E34)</f>
        <v>60</v>
      </c>
      <c r="G34" s="93">
        <v>1</v>
      </c>
      <c r="H34" s="48">
        <f t="shared" ref="H34" si="72">SUM(G34*F34)</f>
        <v>60</v>
      </c>
      <c r="I34" s="59">
        <v>60</v>
      </c>
      <c r="J34" s="60">
        <f t="shared" ref="J34" si="73">(H34)*(I34)</f>
        <v>3600</v>
      </c>
      <c r="K34" s="73"/>
      <c r="L34" s="52">
        <v>0</v>
      </c>
      <c r="M34" s="52">
        <v>0.75</v>
      </c>
      <c r="N34" s="52">
        <v>0.25</v>
      </c>
      <c r="O34" s="52">
        <v>0.66669999999999996</v>
      </c>
      <c r="Q34" s="53">
        <f t="shared" ref="Q34" si="74">+$J34*L34</f>
        <v>0</v>
      </c>
      <c r="R34" s="53">
        <f t="shared" ref="R34" si="75">+$J34*M34</f>
        <v>2700</v>
      </c>
      <c r="S34" s="53">
        <f t="shared" ref="S34" si="76">+$J34*N34</f>
        <v>900</v>
      </c>
      <c r="T34" s="53">
        <f t="shared" ref="T34" si="77">+$J34*O34</f>
        <v>2400.12</v>
      </c>
      <c r="V34" s="54">
        <f t="shared" ref="V34" si="78">+$D34*L34</f>
        <v>0</v>
      </c>
      <c r="W34" s="55">
        <f t="shared" ref="W34" si="79">+$D34*M34</f>
        <v>45</v>
      </c>
      <c r="X34" s="55">
        <f t="shared" ref="X34" si="80">+$D34*N34</f>
        <v>15</v>
      </c>
      <c r="Y34" s="55">
        <f t="shared" ref="Y34" si="81">+$D34*O34</f>
        <v>40.001999999999995</v>
      </c>
    </row>
    <row r="35" spans="1:25" ht="13.5" customHeight="1">
      <c r="A35" s="37" t="str">
        <f>'6022-total and 3 yr ave'!A35</f>
        <v>315(c)(6)</v>
      </c>
      <c r="B35" s="114" t="str">
        <f>'6022-total and 3 yr ave'!B35</f>
        <v>Certification of No Federal Debt</v>
      </c>
      <c r="C35" s="39" t="s">
        <v>63</v>
      </c>
      <c r="D35" s="40">
        <f>D$57+D$60</f>
        <v>60</v>
      </c>
      <c r="E35" s="41">
        <v>1</v>
      </c>
      <c r="F35" s="42">
        <f>SUM(D35*E35)</f>
        <v>60</v>
      </c>
      <c r="G35" s="93">
        <v>0.25</v>
      </c>
      <c r="H35" s="48">
        <f>SUM(G35*F35)</f>
        <v>15</v>
      </c>
      <c r="I35" s="59">
        <v>60</v>
      </c>
      <c r="J35" s="60">
        <f>(H35)*(I35)</f>
        <v>900</v>
      </c>
      <c r="K35" s="73"/>
      <c r="L35" s="52">
        <v>0</v>
      </c>
      <c r="M35" s="52">
        <v>0.75</v>
      </c>
      <c r="N35" s="52">
        <v>0.25</v>
      </c>
      <c r="O35" s="52">
        <v>0.66669999999999996</v>
      </c>
      <c r="Q35" s="53">
        <f t="shared" si="37"/>
        <v>0</v>
      </c>
      <c r="R35" s="53">
        <f t="shared" si="37"/>
        <v>675</v>
      </c>
      <c r="S35" s="53">
        <f t="shared" si="37"/>
        <v>225</v>
      </c>
      <c r="T35" s="53">
        <f t="shared" si="37"/>
        <v>600.03</v>
      </c>
      <c r="V35" s="54">
        <f t="shared" si="38"/>
        <v>0</v>
      </c>
      <c r="W35" s="55">
        <f t="shared" si="38"/>
        <v>45</v>
      </c>
      <c r="X35" s="55">
        <f t="shared" si="38"/>
        <v>15</v>
      </c>
      <c r="Y35" s="55">
        <f t="shared" si="38"/>
        <v>40.001999999999995</v>
      </c>
    </row>
    <row r="36" spans="1:25">
      <c r="A36" s="37" t="str">
        <f>'6022-total and 3 yr ave'!A36</f>
        <v>320(a)(1)(ii)</v>
      </c>
      <c r="B36" s="114" t="str">
        <f>'6022-total and 3 yr ave'!B36</f>
        <v>Request for Advance or Reimbursement</v>
      </c>
      <c r="C36" s="39" t="s">
        <v>71</v>
      </c>
      <c r="D36" s="40">
        <f>D$57+D$60</f>
        <v>60</v>
      </c>
      <c r="E36" s="80">
        <v>4</v>
      </c>
      <c r="F36" s="42">
        <f>SUM(D36*E36)</f>
        <v>240</v>
      </c>
      <c r="G36" s="94">
        <v>1</v>
      </c>
      <c r="H36" s="48">
        <f>SUM(G36*F36)</f>
        <v>240</v>
      </c>
      <c r="I36" s="59">
        <v>60</v>
      </c>
      <c r="J36" s="60">
        <f>(H36)*(I36)</f>
        <v>14400</v>
      </c>
      <c r="K36" s="45"/>
      <c r="L36" s="52">
        <v>0</v>
      </c>
      <c r="M36" s="52">
        <v>0.75</v>
      </c>
      <c r="N36" s="52">
        <v>0.25</v>
      </c>
      <c r="O36" s="52">
        <v>0.66669999999999996</v>
      </c>
      <c r="Q36" s="53">
        <f t="shared" ref="Q36:T37" si="82">+$J36*L36</f>
        <v>0</v>
      </c>
      <c r="R36" s="53">
        <f t="shared" si="82"/>
        <v>10800</v>
      </c>
      <c r="S36" s="53">
        <f t="shared" si="82"/>
        <v>3600</v>
      </c>
      <c r="T36" s="53">
        <f t="shared" si="82"/>
        <v>9600.48</v>
      </c>
      <c r="V36" s="54">
        <f t="shared" ref="V36:Y37" si="83">+$D36*L36</f>
        <v>0</v>
      </c>
      <c r="W36" s="55">
        <f t="shared" si="83"/>
        <v>45</v>
      </c>
      <c r="X36" s="55">
        <f t="shared" si="83"/>
        <v>15</v>
      </c>
      <c r="Y36" s="55">
        <f t="shared" si="83"/>
        <v>40.001999999999995</v>
      </c>
    </row>
    <row r="37" spans="1:25">
      <c r="A37" s="37" t="str">
        <f>'6022-total and 3 yr ave'!A37</f>
        <v>315(c)(4)</v>
      </c>
      <c r="B37" s="114" t="str">
        <f>'6022-total and 3 yr ave'!B37</f>
        <v>Disclosure of Lobbying Activities</v>
      </c>
      <c r="C37" s="39" t="s">
        <v>18</v>
      </c>
      <c r="D37" s="130">
        <f>+C$57+C$60</f>
        <v>67</v>
      </c>
      <c r="E37" s="41">
        <v>1</v>
      </c>
      <c r="F37" s="127">
        <f>SUM(D37*E37)</f>
        <v>67</v>
      </c>
      <c r="G37" s="93">
        <v>0.16</v>
      </c>
      <c r="H37" s="128">
        <v>11</v>
      </c>
      <c r="I37" s="59">
        <v>60</v>
      </c>
      <c r="J37" s="129">
        <f>(H37)*(I37)</f>
        <v>660</v>
      </c>
      <c r="K37" s="45"/>
      <c r="L37" s="52">
        <v>0</v>
      </c>
      <c r="M37" s="52">
        <v>0.75</v>
      </c>
      <c r="N37" s="52">
        <v>0.25</v>
      </c>
      <c r="O37" s="52">
        <v>0.66669999999999996</v>
      </c>
      <c r="Q37" s="53">
        <f t="shared" si="82"/>
        <v>0</v>
      </c>
      <c r="R37" s="53">
        <f t="shared" si="82"/>
        <v>495</v>
      </c>
      <c r="S37" s="53">
        <f t="shared" si="82"/>
        <v>165</v>
      </c>
      <c r="T37" s="53">
        <f t="shared" si="82"/>
        <v>440.02199999999999</v>
      </c>
      <c r="V37" s="54">
        <f t="shared" si="83"/>
        <v>0</v>
      </c>
      <c r="W37" s="55">
        <f t="shared" si="83"/>
        <v>50.25</v>
      </c>
      <c r="X37" s="55">
        <f t="shared" si="83"/>
        <v>16.75</v>
      </c>
      <c r="Y37" s="55">
        <f t="shared" si="83"/>
        <v>44.668900000000001</v>
      </c>
    </row>
    <row r="38" spans="1:25">
      <c r="A38" s="37"/>
      <c r="B38" s="62" t="s">
        <v>38</v>
      </c>
      <c r="C38" s="18"/>
      <c r="D38" s="132">
        <f>SUM(D26)</f>
        <v>67</v>
      </c>
      <c r="E38" s="75"/>
      <c r="F38" s="124">
        <v>988</v>
      </c>
      <c r="G38" s="66"/>
      <c r="H38" s="125">
        <v>1171</v>
      </c>
      <c r="I38" s="77"/>
      <c r="J38" s="126">
        <v>70260</v>
      </c>
      <c r="K38" s="77"/>
      <c r="L38" s="52"/>
      <c r="M38" s="52"/>
      <c r="N38" s="52"/>
      <c r="O38" s="52"/>
      <c r="Q38" s="53"/>
      <c r="R38" s="53"/>
      <c r="S38" s="53"/>
      <c r="T38" s="53"/>
      <c r="V38" s="54"/>
      <c r="W38" s="55"/>
      <c r="X38" s="55"/>
      <c r="Y38" s="55"/>
    </row>
    <row r="39" spans="1:25">
      <c r="A39" s="37"/>
      <c r="B39" s="62"/>
      <c r="C39" s="18"/>
      <c r="D39" s="75"/>
      <c r="E39" s="75"/>
      <c r="F39" s="75"/>
      <c r="G39" s="66"/>
      <c r="H39" s="76"/>
      <c r="I39" s="77"/>
      <c r="J39" s="69"/>
      <c r="K39" s="73"/>
      <c r="L39" s="52"/>
      <c r="M39" s="52"/>
      <c r="N39" s="52"/>
      <c r="O39" s="52"/>
      <c r="Q39" s="53"/>
      <c r="R39" s="53"/>
      <c r="S39" s="53"/>
      <c r="T39" s="53"/>
      <c r="V39" s="54"/>
      <c r="W39" s="55"/>
      <c r="X39" s="55"/>
      <c r="Y39" s="55"/>
    </row>
    <row r="40" spans="1:25">
      <c r="A40" s="37"/>
      <c r="B40" s="74" t="s">
        <v>50</v>
      </c>
      <c r="C40" s="18"/>
      <c r="D40" s="65"/>
      <c r="E40" s="77"/>
      <c r="F40" s="65"/>
      <c r="G40" s="66"/>
      <c r="H40" s="67"/>
      <c r="I40" s="77"/>
      <c r="J40" s="75"/>
      <c r="K40" s="77"/>
      <c r="L40" s="52"/>
      <c r="M40" s="52"/>
      <c r="N40" s="52"/>
      <c r="O40" s="52"/>
      <c r="Q40" s="53"/>
      <c r="R40" s="53"/>
      <c r="S40" s="53"/>
      <c r="T40" s="53"/>
      <c r="V40" s="54"/>
      <c r="W40" s="55"/>
      <c r="X40" s="55"/>
      <c r="Y40" s="55"/>
    </row>
    <row r="41" spans="1:25">
      <c r="A41" s="37" t="str">
        <f>'6022-total and 3 yr ave'!A41</f>
        <v>315(c)(1)</v>
      </c>
      <c r="B41" s="114" t="str">
        <f>'6022-total and 3 yr ave'!B41</f>
        <v>Application for Federal Assistance</v>
      </c>
      <c r="C41" s="39" t="s">
        <v>34</v>
      </c>
      <c r="D41" s="40">
        <f t="shared" ref="D41:D43" si="84">+C$57+C$60</f>
        <v>67</v>
      </c>
      <c r="E41" s="41">
        <v>1</v>
      </c>
      <c r="F41" s="42">
        <f t="shared" ref="F41:F43" si="85">SUM(D41*E41)</f>
        <v>67</v>
      </c>
      <c r="G41" s="43">
        <v>1</v>
      </c>
      <c r="H41" s="48">
        <f t="shared" ref="H41:H42" si="86">SUM(G41*F41)</f>
        <v>67</v>
      </c>
      <c r="I41" s="59">
        <v>60</v>
      </c>
      <c r="J41" s="60">
        <f t="shared" ref="J41:J43" si="87">(H41)*(I41)</f>
        <v>4020</v>
      </c>
      <c r="K41" s="45"/>
      <c r="L41" s="52">
        <v>0</v>
      </c>
      <c r="M41" s="52">
        <v>0.75</v>
      </c>
      <c r="N41" s="52">
        <v>0.25</v>
      </c>
      <c r="O41" s="52">
        <v>0.66669999999999996</v>
      </c>
      <c r="Q41" s="53">
        <f t="shared" ref="Q41:T43" si="88">+$J41*L41</f>
        <v>0</v>
      </c>
      <c r="R41" s="53">
        <f t="shared" si="88"/>
        <v>3015</v>
      </c>
      <c r="S41" s="53">
        <f t="shared" si="88"/>
        <v>1005</v>
      </c>
      <c r="T41" s="53">
        <f t="shared" si="88"/>
        <v>2680.134</v>
      </c>
      <c r="V41" s="54">
        <f t="shared" ref="V41:Y47" si="89">+$D41*L41</f>
        <v>0</v>
      </c>
      <c r="W41" s="55">
        <f t="shared" si="89"/>
        <v>50.25</v>
      </c>
      <c r="X41" s="55">
        <f t="shared" si="89"/>
        <v>16.75</v>
      </c>
      <c r="Y41" s="55">
        <f t="shared" si="89"/>
        <v>44.668900000000001</v>
      </c>
    </row>
    <row r="42" spans="1:25">
      <c r="A42" s="37" t="str">
        <f>'6022-total and 3 yr ave'!A42</f>
        <v>315(c)(2)</v>
      </c>
      <c r="B42" s="114" t="str">
        <f>'6022-total and 3 yr ave'!B42</f>
        <v>Budget Information - Non-Construction Programs</v>
      </c>
      <c r="C42" s="39" t="s">
        <v>33</v>
      </c>
      <c r="D42" s="40">
        <f t="shared" si="84"/>
        <v>67</v>
      </c>
      <c r="E42" s="41">
        <v>1</v>
      </c>
      <c r="F42" s="42">
        <f t="shared" si="85"/>
        <v>67</v>
      </c>
      <c r="G42" s="43">
        <v>3</v>
      </c>
      <c r="H42" s="48">
        <f t="shared" si="86"/>
        <v>201</v>
      </c>
      <c r="I42" s="59">
        <v>60</v>
      </c>
      <c r="J42" s="60">
        <f t="shared" si="87"/>
        <v>12060</v>
      </c>
      <c r="K42" s="45"/>
      <c r="L42" s="52">
        <v>0</v>
      </c>
      <c r="M42" s="52">
        <v>0.75</v>
      </c>
      <c r="N42" s="52">
        <v>0.25</v>
      </c>
      <c r="O42" s="52">
        <v>0.66669999999999996</v>
      </c>
      <c r="Q42" s="53">
        <f t="shared" si="88"/>
        <v>0</v>
      </c>
      <c r="R42" s="53">
        <f t="shared" si="88"/>
        <v>9045</v>
      </c>
      <c r="S42" s="53">
        <f t="shared" si="88"/>
        <v>3015</v>
      </c>
      <c r="T42" s="53">
        <f t="shared" si="88"/>
        <v>8040.4019999999991</v>
      </c>
      <c r="V42" s="54">
        <f t="shared" si="89"/>
        <v>0</v>
      </c>
      <c r="W42" s="55">
        <f t="shared" si="89"/>
        <v>50.25</v>
      </c>
      <c r="X42" s="55">
        <f t="shared" si="89"/>
        <v>16.75</v>
      </c>
      <c r="Y42" s="55">
        <f t="shared" si="89"/>
        <v>44.668900000000001</v>
      </c>
    </row>
    <row r="43" spans="1:25">
      <c r="A43" s="37" t="str">
        <f>'6022-total and 3 yr ave'!A43</f>
        <v>315(c)(3)</v>
      </c>
      <c r="B43" s="114" t="str">
        <f>'6022-total and 3 yr ave'!B43</f>
        <v>Assurances - Non-Construction Program</v>
      </c>
      <c r="C43" s="39" t="s">
        <v>37</v>
      </c>
      <c r="D43" s="40">
        <f t="shared" si="84"/>
        <v>67</v>
      </c>
      <c r="E43" s="80">
        <v>1</v>
      </c>
      <c r="F43" s="42">
        <f t="shared" si="85"/>
        <v>67</v>
      </c>
      <c r="G43" s="94">
        <v>0.25</v>
      </c>
      <c r="H43" s="48">
        <v>17</v>
      </c>
      <c r="I43" s="59">
        <v>60</v>
      </c>
      <c r="J43" s="60">
        <f t="shared" si="87"/>
        <v>1020</v>
      </c>
      <c r="K43" s="45"/>
      <c r="L43" s="52">
        <v>0</v>
      </c>
      <c r="M43" s="52">
        <v>0.75</v>
      </c>
      <c r="N43" s="52">
        <v>0.25</v>
      </c>
      <c r="O43" s="52">
        <v>0.66669999999999996</v>
      </c>
      <c r="Q43" s="53">
        <f t="shared" si="88"/>
        <v>0</v>
      </c>
      <c r="R43" s="53">
        <f t="shared" si="88"/>
        <v>765</v>
      </c>
      <c r="S43" s="53">
        <f t="shared" si="88"/>
        <v>255</v>
      </c>
      <c r="T43" s="53">
        <f t="shared" si="88"/>
        <v>680.03399999999999</v>
      </c>
      <c r="V43" s="54">
        <f t="shared" si="89"/>
        <v>0</v>
      </c>
      <c r="W43" s="55">
        <f t="shared" si="89"/>
        <v>50.25</v>
      </c>
      <c r="X43" s="55">
        <f t="shared" si="89"/>
        <v>16.75</v>
      </c>
      <c r="Y43" s="55">
        <f t="shared" si="89"/>
        <v>44.668900000000001</v>
      </c>
    </row>
    <row r="44" spans="1:25">
      <c r="A44" s="37" t="str">
        <f>'6022-total and 3 yr ave'!A44</f>
        <v>320(a)(1)(i)</v>
      </c>
      <c r="B44" s="114" t="str">
        <f>'6022-total and 3 yr ave'!B44</f>
        <v>Project Performance Report cover sheet</v>
      </c>
      <c r="C44" s="41" t="s">
        <v>157</v>
      </c>
      <c r="D44" s="40">
        <f t="shared" ref="D44:D46" si="90">D$57+D$60</f>
        <v>60</v>
      </c>
      <c r="E44" s="41">
        <v>1</v>
      </c>
      <c r="F44" s="42">
        <f>SUM(D44*E44)</f>
        <v>60</v>
      </c>
      <c r="G44" s="41">
        <v>0.42</v>
      </c>
      <c r="H44" s="48">
        <v>25</v>
      </c>
      <c r="I44" s="59">
        <v>60</v>
      </c>
      <c r="J44" s="60">
        <f>(H44)*(I44)</f>
        <v>1500</v>
      </c>
      <c r="L44" s="35"/>
    </row>
    <row r="45" spans="1:25">
      <c r="A45" s="37" t="str">
        <f>'6022-total and 3 yr ave'!A45</f>
        <v>320(a)(1)(i)</v>
      </c>
      <c r="B45" s="114" t="str">
        <f>'6022-total and 3 yr ave'!B45</f>
        <v>Performance Measures</v>
      </c>
      <c r="C45" s="41" t="s">
        <v>158</v>
      </c>
      <c r="D45" s="40">
        <f t="shared" si="90"/>
        <v>60</v>
      </c>
      <c r="E45" s="41">
        <v>1</v>
      </c>
      <c r="F45" s="42">
        <f>SUM(D45*E45)</f>
        <v>60</v>
      </c>
      <c r="G45" s="41">
        <v>0.75</v>
      </c>
      <c r="H45" s="48">
        <f t="shared" ref="H45" si="91">SUM(G45*F45)</f>
        <v>45</v>
      </c>
      <c r="I45" s="59">
        <v>60</v>
      </c>
      <c r="J45" s="60">
        <f>(H45)*(I45)</f>
        <v>2700</v>
      </c>
      <c r="L45" s="35"/>
    </row>
    <row r="46" spans="1:25">
      <c r="A46" s="37" t="str">
        <f>'6022-total and 3 yr ave'!A46</f>
        <v>320(a)(1)(i)</v>
      </c>
      <c r="B46" s="114" t="str">
        <f>'6022-total and 3 yr ave'!B46</f>
        <v>Activity Based Expenditures</v>
      </c>
      <c r="C46" s="41" t="s">
        <v>159</v>
      </c>
      <c r="D46" s="40">
        <f t="shared" si="90"/>
        <v>60</v>
      </c>
      <c r="E46" s="41">
        <v>1</v>
      </c>
      <c r="F46" s="42">
        <f t="shared" ref="F46" si="92">SUM(D46*E46)</f>
        <v>60</v>
      </c>
      <c r="G46" s="41">
        <v>0.33</v>
      </c>
      <c r="H46" s="48">
        <v>20</v>
      </c>
      <c r="I46" s="59">
        <v>60</v>
      </c>
      <c r="J46" s="60">
        <f t="shared" ref="J46" si="93">(H46)*(I46)</f>
        <v>1200</v>
      </c>
      <c r="L46" s="35"/>
    </row>
    <row r="47" spans="1:25">
      <c r="B47" s="62" t="s">
        <v>38</v>
      </c>
      <c r="C47" s="63"/>
      <c r="D47" s="75">
        <f>SUM(D41)</f>
        <v>67</v>
      </c>
      <c r="E47" s="35"/>
      <c r="F47" s="75">
        <v>381</v>
      </c>
      <c r="G47" s="81"/>
      <c r="H47" s="76">
        <v>375</v>
      </c>
      <c r="I47" s="35"/>
      <c r="J47" s="69">
        <v>22500</v>
      </c>
      <c r="L47" s="52">
        <v>0</v>
      </c>
      <c r="M47" s="52">
        <v>0.75</v>
      </c>
      <c r="N47" s="52">
        <v>0.25</v>
      </c>
      <c r="O47" s="52">
        <v>0.66669999999999996</v>
      </c>
      <c r="V47" s="54">
        <f t="shared" si="89"/>
        <v>0</v>
      </c>
      <c r="W47" s="95">
        <f t="shared" si="89"/>
        <v>50.25</v>
      </c>
      <c r="X47" s="95">
        <f t="shared" si="89"/>
        <v>16.75</v>
      </c>
      <c r="Y47" s="55">
        <f t="shared" si="89"/>
        <v>44.668900000000001</v>
      </c>
    </row>
    <row r="48" spans="1:25">
      <c r="B48" s="62"/>
      <c r="C48" s="63"/>
      <c r="D48" s="77"/>
      <c r="E48" s="35"/>
      <c r="F48" s="75"/>
      <c r="G48" s="81"/>
      <c r="H48" s="75"/>
      <c r="I48" s="35"/>
      <c r="J48" s="69"/>
      <c r="L48" s="35"/>
      <c r="R48" s="82">
        <f>SUM(R7:R47)</f>
        <v>179100</v>
      </c>
      <c r="S48" s="82">
        <f>SUM(S7:S47)</f>
        <v>59700</v>
      </c>
      <c r="T48" s="82">
        <f>SUM(T7:T43)</f>
        <v>159207.95999999996</v>
      </c>
      <c r="W48" s="83"/>
      <c r="X48" s="83"/>
      <c r="Y48" s="84"/>
    </row>
    <row r="49" spans="1:12">
      <c r="B49" s="62" t="s">
        <v>57</v>
      </c>
      <c r="C49" s="63"/>
      <c r="D49" s="66">
        <f>SUM(D47)</f>
        <v>67</v>
      </c>
      <c r="E49" s="35"/>
      <c r="F49" s="76">
        <v>1616</v>
      </c>
      <c r="G49" s="81"/>
      <c r="H49" s="76">
        <v>3737</v>
      </c>
      <c r="I49" s="35"/>
      <c r="J49" s="69">
        <v>224220</v>
      </c>
      <c r="L49" s="35"/>
    </row>
    <row r="50" spans="1:12">
      <c r="A50" s="35"/>
      <c r="J50" s="37"/>
      <c r="L50" s="35"/>
    </row>
    <row r="51" spans="1:12">
      <c r="A51" s="45"/>
      <c r="B51" s="87"/>
      <c r="C51" s="36"/>
      <c r="G51" s="36"/>
      <c r="L51" s="35"/>
    </row>
    <row r="52" spans="1:12">
      <c r="A52" s="88"/>
      <c r="B52" s="89" t="s">
        <v>80</v>
      </c>
      <c r="C52" s="63"/>
      <c r="D52" s="35"/>
      <c r="E52" s="35"/>
      <c r="F52" s="35"/>
      <c r="G52" s="81"/>
      <c r="H52" s="90"/>
      <c r="I52" s="35"/>
      <c r="J52" s="90"/>
      <c r="K52" s="64"/>
      <c r="L52" s="35"/>
    </row>
    <row r="53" spans="1:12">
      <c r="A53" s="45"/>
      <c r="B53" s="35"/>
      <c r="C53" s="143" t="s">
        <v>76</v>
      </c>
      <c r="D53" s="144"/>
      <c r="E53" s="145" t="s">
        <v>77</v>
      </c>
      <c r="F53" s="145"/>
      <c r="G53" s="146" t="s">
        <v>78</v>
      </c>
      <c r="H53" s="144"/>
      <c r="I53" s="35"/>
      <c r="J53" s="90"/>
      <c r="K53" s="64"/>
      <c r="L53" s="35"/>
    </row>
    <row r="54" spans="1:12">
      <c r="A54" s="45"/>
      <c r="B54" s="35" t="s">
        <v>74</v>
      </c>
      <c r="C54" s="63" t="s">
        <v>56</v>
      </c>
      <c r="D54" s="35" t="s">
        <v>75</v>
      </c>
      <c r="E54" s="63" t="s">
        <v>56</v>
      </c>
      <c r="F54" s="35" t="s">
        <v>75</v>
      </c>
      <c r="G54" s="63" t="s">
        <v>56</v>
      </c>
      <c r="H54" s="35" t="s">
        <v>75</v>
      </c>
      <c r="I54" s="35"/>
      <c r="J54" s="90"/>
      <c r="K54" s="64"/>
      <c r="L54" s="35"/>
    </row>
    <row r="55" spans="1:12">
      <c r="A55" s="45"/>
      <c r="B55" s="35" t="s">
        <v>109</v>
      </c>
      <c r="C55" s="101">
        <v>48</v>
      </c>
      <c r="D55" s="102">
        <v>43</v>
      </c>
      <c r="E55" s="102">
        <f>43+2</f>
        <v>45</v>
      </c>
      <c r="F55" s="102">
        <v>45</v>
      </c>
      <c r="G55" s="98">
        <f>45+10</f>
        <v>55</v>
      </c>
      <c r="H55" s="91">
        <v>55</v>
      </c>
      <c r="I55" s="35"/>
      <c r="J55" s="90"/>
      <c r="K55" s="64"/>
      <c r="L55" s="35"/>
    </row>
    <row r="56" spans="1:12">
      <c r="A56" s="45"/>
      <c r="B56" s="35" t="s">
        <v>108</v>
      </c>
      <c r="C56" s="37">
        <v>12</v>
      </c>
      <c r="D56" s="37">
        <v>10</v>
      </c>
      <c r="E56" s="37">
        <f>11+8</f>
        <v>19</v>
      </c>
      <c r="F56" s="37">
        <v>18</v>
      </c>
      <c r="G56" s="85">
        <v>19</v>
      </c>
      <c r="H56" s="37">
        <v>18</v>
      </c>
      <c r="I56" s="35"/>
      <c r="J56" s="90"/>
      <c r="K56" s="64"/>
      <c r="L56" s="35"/>
    </row>
    <row r="57" spans="1:12">
      <c r="A57" s="45"/>
      <c r="B57" s="35" t="s">
        <v>79</v>
      </c>
      <c r="C57" s="37">
        <f t="shared" ref="C57:H57" si="94">SUM(C55:C56)</f>
        <v>60</v>
      </c>
      <c r="D57" s="37">
        <f t="shared" si="94"/>
        <v>53</v>
      </c>
      <c r="E57" s="37">
        <f t="shared" si="94"/>
        <v>64</v>
      </c>
      <c r="F57" s="37">
        <f t="shared" si="94"/>
        <v>63</v>
      </c>
      <c r="G57" s="37">
        <f t="shared" si="94"/>
        <v>74</v>
      </c>
      <c r="H57" s="37">
        <f t="shared" si="94"/>
        <v>73</v>
      </c>
      <c r="I57" s="35"/>
      <c r="J57" s="90"/>
      <c r="K57" s="64"/>
      <c r="L57" s="35"/>
    </row>
    <row r="58" spans="1:12">
      <c r="A58" s="45"/>
      <c r="B58" s="35"/>
      <c r="D58" s="37"/>
      <c r="E58" s="37"/>
      <c r="F58" s="37"/>
      <c r="G58" s="37"/>
      <c r="H58" s="37"/>
      <c r="L58" s="35"/>
    </row>
    <row r="59" spans="1:12">
      <c r="B59" s="87"/>
      <c r="C59" s="101"/>
      <c r="D59" s="102"/>
      <c r="E59" s="102"/>
      <c r="F59" s="102"/>
      <c r="G59" s="98"/>
      <c r="H59" s="91"/>
      <c r="L59" s="35"/>
    </row>
    <row r="60" spans="1:12">
      <c r="B60" s="87" t="s">
        <v>167</v>
      </c>
      <c r="C60" s="112">
        <v>7</v>
      </c>
      <c r="D60" s="113">
        <v>7</v>
      </c>
      <c r="E60" s="113">
        <v>7</v>
      </c>
      <c r="F60" s="113">
        <v>7</v>
      </c>
      <c r="G60" s="98">
        <v>7</v>
      </c>
      <c r="H60" s="91">
        <v>7</v>
      </c>
      <c r="L60" s="35"/>
    </row>
    <row r="61" spans="1:12">
      <c r="B61" s="92"/>
      <c r="C61" s="37" t="s">
        <v>79</v>
      </c>
      <c r="D61" s="37" t="s">
        <v>119</v>
      </c>
      <c r="F61" s="37"/>
      <c r="H61" s="37"/>
      <c r="L61" s="35"/>
    </row>
    <row r="62" spans="1:12">
      <c r="B62" s="103" t="s">
        <v>120</v>
      </c>
      <c r="C62" s="85">
        <f>+C57+C60+E57+E60+G57+G60</f>
        <v>219</v>
      </c>
      <c r="D62" s="37">
        <f>+C62/3</f>
        <v>73</v>
      </c>
      <c r="L62" s="35"/>
    </row>
    <row r="63" spans="1:12">
      <c r="B63" s="103" t="s">
        <v>121</v>
      </c>
      <c r="C63" s="115">
        <f>+D57+D60+F57+F60+H57+H60</f>
        <v>210</v>
      </c>
      <c r="D63" s="37">
        <f>+C63/3</f>
        <v>70</v>
      </c>
      <c r="L63" s="35"/>
    </row>
    <row r="64" spans="1:12">
      <c r="L64" s="35"/>
    </row>
    <row r="65" spans="2:12">
      <c r="L65" s="35"/>
    </row>
    <row r="66" spans="2:12">
      <c r="L66" s="35"/>
    </row>
    <row r="67" spans="2:12">
      <c r="B67" s="36" t="s">
        <v>122</v>
      </c>
      <c r="C67" s="37" t="s">
        <v>123</v>
      </c>
      <c r="D67" s="36" t="s">
        <v>126</v>
      </c>
      <c r="E67" s="36" t="s">
        <v>124</v>
      </c>
      <c r="F67" s="36" t="s">
        <v>125</v>
      </c>
      <c r="L67" s="35"/>
    </row>
    <row r="68" spans="2:12">
      <c r="D68" s="36" t="s">
        <v>127</v>
      </c>
      <c r="L68" s="35"/>
    </row>
    <row r="69" spans="2:12">
      <c r="B69" s="56" t="s">
        <v>51</v>
      </c>
      <c r="C69" s="37">
        <v>1</v>
      </c>
      <c r="D69" s="37">
        <v>60</v>
      </c>
      <c r="E69" s="37">
        <v>8</v>
      </c>
      <c r="F69" s="36">
        <f>+D69*E69</f>
        <v>480</v>
      </c>
      <c r="L69" s="35"/>
    </row>
    <row r="70" spans="2:12" ht="25.5">
      <c r="B70" s="56" t="s">
        <v>52</v>
      </c>
      <c r="C70" s="37">
        <v>1</v>
      </c>
      <c r="D70" s="37">
        <v>60</v>
      </c>
      <c r="E70" s="37">
        <v>12</v>
      </c>
      <c r="F70" s="36">
        <f t="shared" ref="F70:F90" si="95">+D70*E70</f>
        <v>720</v>
      </c>
      <c r="L70" s="35"/>
    </row>
    <row r="71" spans="2:12">
      <c r="B71" s="56" t="s">
        <v>106</v>
      </c>
      <c r="C71" s="37">
        <v>1</v>
      </c>
      <c r="D71" s="37">
        <v>48</v>
      </c>
      <c r="E71" s="37">
        <v>8</v>
      </c>
      <c r="F71" s="36">
        <f t="shared" si="95"/>
        <v>384</v>
      </c>
      <c r="L71" s="35"/>
    </row>
    <row r="72" spans="2:12">
      <c r="B72" s="56" t="s">
        <v>107</v>
      </c>
      <c r="C72" s="37">
        <v>1</v>
      </c>
      <c r="D72" s="37">
        <v>12</v>
      </c>
      <c r="E72" s="37">
        <v>8</v>
      </c>
      <c r="F72" s="36">
        <f t="shared" si="95"/>
        <v>96</v>
      </c>
      <c r="L72" s="35"/>
    </row>
    <row r="73" spans="2:12">
      <c r="E73" s="37"/>
      <c r="G73" s="105">
        <f>SUM(F69:F72)</f>
        <v>1680</v>
      </c>
      <c r="H73" s="36" t="s">
        <v>138</v>
      </c>
      <c r="L73" s="35"/>
    </row>
    <row r="74" spans="2:12" ht="27.4" customHeight="1">
      <c r="B74" s="56" t="s">
        <v>128</v>
      </c>
      <c r="C74" s="37">
        <v>2</v>
      </c>
      <c r="D74" s="37">
        <v>53</v>
      </c>
      <c r="E74" s="37">
        <v>8</v>
      </c>
      <c r="F74" s="36">
        <f t="shared" si="95"/>
        <v>424</v>
      </c>
      <c r="L74" s="35"/>
    </row>
    <row r="75" spans="2:12" ht="25.5" customHeight="1">
      <c r="B75" s="56" t="s">
        <v>129</v>
      </c>
      <c r="C75" s="37">
        <v>2</v>
      </c>
      <c r="D75" s="37">
        <v>11</v>
      </c>
      <c r="E75" s="37">
        <v>8</v>
      </c>
      <c r="F75" s="36">
        <f t="shared" si="95"/>
        <v>88</v>
      </c>
      <c r="L75" s="35"/>
    </row>
    <row r="76" spans="2:12" ht="25.5">
      <c r="B76" s="56" t="s">
        <v>130</v>
      </c>
      <c r="C76" s="37">
        <v>2</v>
      </c>
      <c r="D76" s="37">
        <v>53</v>
      </c>
      <c r="E76" s="37">
        <v>2</v>
      </c>
      <c r="F76" s="36">
        <f t="shared" si="95"/>
        <v>106</v>
      </c>
      <c r="L76" s="35"/>
    </row>
    <row r="77" spans="2:12" ht="25.5">
      <c r="B77" s="56" t="s">
        <v>131</v>
      </c>
      <c r="C77" s="37">
        <v>2</v>
      </c>
      <c r="D77" s="37">
        <v>11</v>
      </c>
      <c r="E77" s="37">
        <v>2</v>
      </c>
      <c r="F77" s="36">
        <f t="shared" si="95"/>
        <v>22</v>
      </c>
      <c r="L77" s="35"/>
    </row>
    <row r="78" spans="2:12" ht="25.5">
      <c r="B78" s="56" t="s">
        <v>132</v>
      </c>
      <c r="C78" s="37">
        <v>2</v>
      </c>
      <c r="D78" s="37">
        <v>43</v>
      </c>
      <c r="E78" s="37">
        <v>1</v>
      </c>
      <c r="F78" s="36">
        <f t="shared" si="95"/>
        <v>43</v>
      </c>
      <c r="L78" s="35"/>
    </row>
    <row r="79" spans="2:12" ht="26.25" customHeight="1">
      <c r="B79" s="106" t="s">
        <v>133</v>
      </c>
      <c r="C79" s="107">
        <v>2</v>
      </c>
      <c r="D79" s="107">
        <v>2</v>
      </c>
      <c r="E79" s="107">
        <v>8</v>
      </c>
      <c r="F79" s="108">
        <f t="shared" si="95"/>
        <v>16</v>
      </c>
      <c r="L79" s="35"/>
    </row>
    <row r="80" spans="2:12" ht="25.5">
      <c r="B80" s="56" t="s">
        <v>134</v>
      </c>
      <c r="C80" s="37">
        <v>2</v>
      </c>
      <c r="D80" s="37">
        <v>8</v>
      </c>
      <c r="E80" s="37">
        <v>1</v>
      </c>
      <c r="F80" s="36">
        <f t="shared" si="95"/>
        <v>8</v>
      </c>
      <c r="L80" s="35"/>
    </row>
    <row r="81" spans="2:12" ht="25.5">
      <c r="B81" s="106" t="s">
        <v>135</v>
      </c>
      <c r="C81" s="107">
        <v>2</v>
      </c>
      <c r="D81" s="107">
        <v>11</v>
      </c>
      <c r="E81" s="107">
        <v>8</v>
      </c>
      <c r="F81" s="108">
        <f t="shared" si="95"/>
        <v>88</v>
      </c>
      <c r="L81" s="35"/>
    </row>
    <row r="82" spans="2:12">
      <c r="D82" s="37"/>
      <c r="E82" s="37"/>
      <c r="G82" s="105">
        <f>SUM(F74:F81)</f>
        <v>795</v>
      </c>
      <c r="H82" s="36" t="s">
        <v>136</v>
      </c>
      <c r="L82" s="35"/>
    </row>
    <row r="83" spans="2:12">
      <c r="B83" s="56" t="s">
        <v>128</v>
      </c>
      <c r="C83" s="37">
        <v>3</v>
      </c>
      <c r="D83" s="37">
        <v>63</v>
      </c>
      <c r="E83" s="37">
        <v>8</v>
      </c>
      <c r="F83" s="36">
        <f t="shared" si="95"/>
        <v>504</v>
      </c>
      <c r="L83" s="35"/>
    </row>
    <row r="84" spans="2:12">
      <c r="B84" s="56" t="s">
        <v>129</v>
      </c>
      <c r="C84" s="37">
        <v>3</v>
      </c>
      <c r="D84" s="37">
        <v>11</v>
      </c>
      <c r="E84" s="37">
        <v>8</v>
      </c>
      <c r="F84" s="36">
        <f t="shared" si="95"/>
        <v>88</v>
      </c>
      <c r="L84" s="35"/>
    </row>
    <row r="85" spans="2:12" ht="25.5">
      <c r="B85" s="56" t="s">
        <v>130</v>
      </c>
      <c r="C85" s="37">
        <v>3</v>
      </c>
      <c r="D85" s="37">
        <v>63</v>
      </c>
      <c r="E85" s="37">
        <v>2</v>
      </c>
      <c r="F85" s="36">
        <f t="shared" si="95"/>
        <v>126</v>
      </c>
      <c r="L85" s="35"/>
    </row>
    <row r="86" spans="2:12" ht="25.5">
      <c r="B86" s="56" t="s">
        <v>131</v>
      </c>
      <c r="C86" s="37">
        <v>3</v>
      </c>
      <c r="D86" s="37">
        <v>11</v>
      </c>
      <c r="E86" s="37">
        <v>2</v>
      </c>
      <c r="F86" s="36">
        <f t="shared" si="95"/>
        <v>22</v>
      </c>
      <c r="L86" s="35"/>
    </row>
    <row r="87" spans="2:12" ht="25.5">
      <c r="B87" s="56" t="s">
        <v>132</v>
      </c>
      <c r="C87" s="37">
        <v>3</v>
      </c>
      <c r="D87" s="37">
        <v>45</v>
      </c>
      <c r="E87" s="37">
        <v>1</v>
      </c>
      <c r="F87" s="36">
        <f t="shared" si="95"/>
        <v>45</v>
      </c>
      <c r="L87" s="35"/>
    </row>
    <row r="88" spans="2:12" ht="25.5">
      <c r="B88" s="106" t="s">
        <v>133</v>
      </c>
      <c r="C88" s="107">
        <v>3</v>
      </c>
      <c r="D88" s="107">
        <v>10</v>
      </c>
      <c r="E88" s="107">
        <v>8</v>
      </c>
      <c r="F88" s="108">
        <f t="shared" si="95"/>
        <v>80</v>
      </c>
      <c r="L88" s="35"/>
    </row>
    <row r="89" spans="2:12" ht="25.5">
      <c r="B89" s="56" t="s">
        <v>134</v>
      </c>
      <c r="C89" s="37">
        <v>3</v>
      </c>
      <c r="D89" s="37">
        <v>8</v>
      </c>
      <c r="E89" s="37">
        <v>1</v>
      </c>
      <c r="F89" s="36">
        <f t="shared" si="95"/>
        <v>8</v>
      </c>
      <c r="L89" s="35"/>
    </row>
    <row r="90" spans="2:12" ht="25.5">
      <c r="B90" s="106" t="s">
        <v>135</v>
      </c>
      <c r="C90" s="107">
        <v>3</v>
      </c>
      <c r="D90" s="107">
        <v>11</v>
      </c>
      <c r="E90" s="107">
        <v>8</v>
      </c>
      <c r="F90" s="108">
        <f t="shared" si="95"/>
        <v>88</v>
      </c>
      <c r="L90" s="35"/>
    </row>
    <row r="91" spans="2:12">
      <c r="F91" s="104">
        <f>SUM(F69:F90)</f>
        <v>3436</v>
      </c>
      <c r="G91" s="105">
        <f>SUM(F83:F90)</f>
        <v>961</v>
      </c>
      <c r="H91" s="36" t="s">
        <v>137</v>
      </c>
      <c r="L91" s="35"/>
    </row>
    <row r="92" spans="2:12">
      <c r="L92" s="35"/>
    </row>
    <row r="93" spans="2:12">
      <c r="L93" s="35"/>
    </row>
    <row r="94" spans="2:12">
      <c r="L94" s="35"/>
    </row>
    <row r="95" spans="2:12">
      <c r="B95" s="109" t="s">
        <v>139</v>
      </c>
      <c r="L95" s="35"/>
    </row>
    <row r="96" spans="2:12">
      <c r="B96" s="36" t="s">
        <v>141</v>
      </c>
      <c r="L96" s="35"/>
    </row>
    <row r="97" spans="2:12">
      <c r="B97" s="36" t="s">
        <v>142</v>
      </c>
      <c r="L97" s="35"/>
    </row>
    <row r="98" spans="2:12">
      <c r="B98" s="36" t="s">
        <v>140</v>
      </c>
      <c r="L98" s="35"/>
    </row>
    <row r="99" spans="2:12">
      <c r="B99" s="36" t="s">
        <v>143</v>
      </c>
      <c r="L99" s="35"/>
    </row>
    <row r="100" spans="2:12">
      <c r="L100" s="35"/>
    </row>
    <row r="101" spans="2:12">
      <c r="L101" s="35"/>
    </row>
    <row r="102" spans="2:12">
      <c r="L102" s="35"/>
    </row>
    <row r="103" spans="2:12">
      <c r="L103" s="35"/>
    </row>
    <row r="104" spans="2:12">
      <c r="L104" s="35"/>
    </row>
    <row r="105" spans="2:12">
      <c r="L105" s="35"/>
    </row>
    <row r="106" spans="2:12">
      <c r="L106" s="35"/>
    </row>
    <row r="107" spans="2:12">
      <c r="L107" s="35"/>
    </row>
    <row r="108" spans="2:12">
      <c r="L108" s="35"/>
    </row>
    <row r="109" spans="2:12">
      <c r="L109" s="35"/>
    </row>
    <row r="110" spans="2:12">
      <c r="L110" s="35"/>
    </row>
    <row r="111" spans="2:12">
      <c r="L111" s="35"/>
    </row>
    <row r="112" spans="2:12">
      <c r="L112" s="35"/>
    </row>
    <row r="113" spans="3:12">
      <c r="L113" s="35"/>
    </row>
    <row r="114" spans="3:12">
      <c r="C114" s="36"/>
      <c r="G114" s="36"/>
      <c r="L114" s="35"/>
    </row>
    <row r="115" spans="3:12">
      <c r="C115" s="36"/>
      <c r="G115" s="36"/>
      <c r="L115" s="35"/>
    </row>
    <row r="116" spans="3:12">
      <c r="C116" s="36"/>
      <c r="G116" s="36"/>
      <c r="L116" s="35"/>
    </row>
    <row r="117" spans="3:12">
      <c r="C117" s="36"/>
      <c r="G117" s="36"/>
      <c r="L117" s="35"/>
    </row>
    <row r="118" spans="3:12">
      <c r="C118" s="36"/>
      <c r="G118" s="36"/>
      <c r="L118" s="35"/>
    </row>
    <row r="119" spans="3:12">
      <c r="C119" s="36"/>
      <c r="G119" s="36"/>
      <c r="L119" s="35"/>
    </row>
    <row r="120" spans="3:12">
      <c r="C120" s="36"/>
      <c r="G120" s="36"/>
      <c r="L120" s="35"/>
    </row>
    <row r="121" spans="3:12">
      <c r="C121" s="36"/>
      <c r="G121" s="36"/>
      <c r="L121" s="35"/>
    </row>
    <row r="122" spans="3:12">
      <c r="C122" s="36"/>
      <c r="G122" s="36"/>
      <c r="L122" s="35"/>
    </row>
    <row r="123" spans="3:12">
      <c r="C123" s="36"/>
      <c r="G123" s="36"/>
      <c r="L123" s="35"/>
    </row>
    <row r="124" spans="3:12">
      <c r="C124" s="36"/>
      <c r="G124" s="36"/>
      <c r="L124" s="35"/>
    </row>
    <row r="125" spans="3:12">
      <c r="C125" s="36"/>
      <c r="G125" s="36"/>
      <c r="L125" s="35"/>
    </row>
    <row r="126" spans="3:12">
      <c r="C126" s="36"/>
      <c r="G126" s="36"/>
      <c r="L126" s="35"/>
    </row>
    <row r="127" spans="3:12">
      <c r="C127" s="36"/>
      <c r="G127" s="36"/>
      <c r="L127" s="35"/>
    </row>
    <row r="128" spans="3:12">
      <c r="C128" s="36"/>
      <c r="G128" s="36"/>
      <c r="L128" s="35"/>
    </row>
    <row r="129" spans="3:12">
      <c r="C129" s="36"/>
      <c r="G129" s="36"/>
      <c r="L129" s="35"/>
    </row>
    <row r="130" spans="3:12">
      <c r="C130" s="36"/>
      <c r="G130" s="36"/>
      <c r="L130" s="35"/>
    </row>
    <row r="131" spans="3:12">
      <c r="C131" s="36"/>
      <c r="G131" s="36"/>
      <c r="L131" s="35"/>
    </row>
  </sheetData>
  <customSheetViews>
    <customSheetView guid="{C3053AD8-900F-4045-B60E-43CCFD9EF7DD}" scale="90" showPageBreaks="1" fitToPage="1" printArea="1" topLeftCell="A4">
      <selection activeCell="D45" sqref="D45"/>
      <pageMargins left="0.5" right="0.25" top="0.75" bottom="0" header="0.5" footer="0.5"/>
      <printOptions gridLines="1"/>
      <pageSetup scale="76" orientation="landscape" r:id="rId1"/>
      <headerFooter alignWithMargins="0"/>
    </customSheetView>
    <customSheetView guid="{855078B0-1E21-4B25-9C5A-4782BC11700B}" scale="90" showPageBreaks="1" fitToPage="1" printArea="1">
      <selection activeCell="D9" sqref="D9"/>
      <pageMargins left="0.5" right="0.25" top="0.75" bottom="0" header="0.5" footer="0.5"/>
      <printOptions gridLines="1"/>
      <pageSetup scale="76" orientation="landscape" r:id="rId2"/>
      <headerFooter alignWithMargins="0"/>
    </customSheetView>
  </customSheetViews>
  <mergeCells count="9">
    <mergeCell ref="B5:C5"/>
    <mergeCell ref="C53:D53"/>
    <mergeCell ref="E53:F53"/>
    <mergeCell ref="G53:H53"/>
    <mergeCell ref="A1:D1"/>
    <mergeCell ref="A2:D2"/>
    <mergeCell ref="V2:Y2"/>
    <mergeCell ref="L2:O2"/>
    <mergeCell ref="Q2:T2"/>
  </mergeCells>
  <phoneticPr fontId="2" type="noConversion"/>
  <printOptions gridLines="1"/>
  <pageMargins left="0.5" right="0.25" top="0.75" bottom="0" header="0.5" footer="0.5"/>
  <pageSetup scale="64" orientation="landscape" r:id="rId3"/>
  <headerFooter alignWithMargins="0"/>
</worksheet>
</file>

<file path=xl/worksheets/sheet3.xml><?xml version="1.0" encoding="utf-8"?>
<worksheet xmlns="http://schemas.openxmlformats.org/spreadsheetml/2006/main" xmlns:r="http://schemas.openxmlformats.org/officeDocument/2006/relationships">
  <dimension ref="A1:Y132"/>
  <sheetViews>
    <sheetView topLeftCell="B1" zoomScaleNormal="100" workbookViewId="0">
      <selection activeCell="J4" sqref="J4"/>
    </sheetView>
  </sheetViews>
  <sheetFormatPr defaultColWidth="9.140625" defaultRowHeight="12.75"/>
  <cols>
    <col min="1" max="1" width="19.42578125" style="36" customWidth="1"/>
    <col min="2" max="2" width="51.42578125" style="36" customWidth="1"/>
    <col min="3" max="3" width="31.42578125" style="37" customWidth="1"/>
    <col min="4" max="4" width="22.7109375" style="36" customWidth="1"/>
    <col min="5" max="5" width="17.7109375" style="36" customWidth="1"/>
    <col min="6" max="6" width="18.5703125" style="36" customWidth="1"/>
    <col min="7" max="7" width="18.140625" style="70" customWidth="1"/>
    <col min="8" max="8" width="18.85546875" style="36" customWidth="1"/>
    <col min="9" max="9" width="23.140625" style="36" customWidth="1"/>
    <col min="10" max="10" width="13.28515625" style="36" bestFit="1" customWidth="1"/>
    <col min="11" max="11" width="9.140625" style="36"/>
    <col min="12" max="12" width="15.5703125" style="36" bestFit="1" customWidth="1"/>
    <col min="13" max="13" width="10.85546875" style="36" bestFit="1" customWidth="1"/>
    <col min="14" max="14" width="11.5703125" style="36" bestFit="1" customWidth="1"/>
    <col min="15" max="15" width="12" style="36" bestFit="1" customWidth="1"/>
    <col min="16" max="16" width="9.140625" style="36"/>
    <col min="17" max="18" width="10.85546875" style="36" bestFit="1" customWidth="1"/>
    <col min="19" max="19" width="11.5703125" style="36" bestFit="1" customWidth="1"/>
    <col min="20" max="20" width="12" style="36" bestFit="1" customWidth="1"/>
    <col min="21" max="21" width="9.140625" style="36"/>
    <col min="22" max="23" width="10.85546875" style="36" bestFit="1" customWidth="1"/>
    <col min="24" max="24" width="11.5703125" style="36" bestFit="1" customWidth="1"/>
    <col min="25" max="25" width="12" style="36" bestFit="1" customWidth="1"/>
    <col min="26" max="16384" width="9.140625" style="36"/>
  </cols>
  <sheetData>
    <row r="1" spans="1:25" s="21" customFormat="1">
      <c r="A1" s="139" t="s">
        <v>98</v>
      </c>
      <c r="B1" s="139"/>
      <c r="C1" s="139"/>
      <c r="D1" s="139"/>
      <c r="G1" s="22"/>
    </row>
    <row r="2" spans="1:25" s="21" customFormat="1">
      <c r="A2" s="142" t="s">
        <v>12</v>
      </c>
      <c r="B2" s="142"/>
      <c r="C2" s="142"/>
      <c r="D2" s="142"/>
      <c r="G2" s="22"/>
      <c r="L2" s="138" t="s">
        <v>32</v>
      </c>
      <c r="M2" s="138"/>
      <c r="N2" s="138"/>
      <c r="O2" s="138"/>
      <c r="P2" s="23"/>
      <c r="Q2" s="138" t="s">
        <v>31</v>
      </c>
      <c r="R2" s="138"/>
      <c r="S2" s="138"/>
      <c r="T2" s="138"/>
      <c r="V2" s="139" t="s">
        <v>39</v>
      </c>
      <c r="W2" s="139"/>
      <c r="X2" s="139"/>
      <c r="Y2" s="139"/>
    </row>
    <row r="3" spans="1:25" s="21" customFormat="1" ht="63.75">
      <c r="A3" s="4" t="s">
        <v>0</v>
      </c>
      <c r="B3" s="5" t="s">
        <v>13</v>
      </c>
      <c r="C3" s="6" t="s">
        <v>14</v>
      </c>
      <c r="D3" s="6" t="s">
        <v>89</v>
      </c>
      <c r="E3" s="6" t="s">
        <v>40</v>
      </c>
      <c r="F3" s="6" t="s">
        <v>42</v>
      </c>
      <c r="G3" s="8" t="s">
        <v>1</v>
      </c>
      <c r="H3" s="6" t="s">
        <v>43</v>
      </c>
      <c r="I3" s="6" t="s">
        <v>59</v>
      </c>
      <c r="J3" s="7" t="s">
        <v>44</v>
      </c>
      <c r="L3" s="2" t="s">
        <v>27</v>
      </c>
      <c r="M3" s="2" t="s">
        <v>28</v>
      </c>
      <c r="N3" s="2" t="s">
        <v>29</v>
      </c>
      <c r="O3" s="2" t="s">
        <v>30</v>
      </c>
      <c r="Q3" s="2" t="s">
        <v>27</v>
      </c>
      <c r="R3" s="2" t="s">
        <v>28</v>
      </c>
      <c r="S3" s="2" t="s">
        <v>29</v>
      </c>
      <c r="T3" s="2" t="s">
        <v>30</v>
      </c>
      <c r="V3" s="2" t="s">
        <v>27</v>
      </c>
      <c r="W3" s="2" t="s">
        <v>28</v>
      </c>
      <c r="X3" s="2" t="s">
        <v>29</v>
      </c>
      <c r="Y3" s="2" t="s">
        <v>30</v>
      </c>
    </row>
    <row r="4" spans="1:25" s="29" customFormat="1">
      <c r="A4" s="25" t="s">
        <v>2</v>
      </c>
      <c r="B4" s="26" t="s">
        <v>3</v>
      </c>
      <c r="C4" s="26" t="s">
        <v>4</v>
      </c>
      <c r="D4" s="26" t="s">
        <v>5</v>
      </c>
      <c r="E4" s="26" t="s">
        <v>6</v>
      </c>
      <c r="F4" s="26" t="s">
        <v>7</v>
      </c>
      <c r="G4" s="27" t="s">
        <v>8</v>
      </c>
      <c r="H4" s="26" t="s">
        <v>9</v>
      </c>
      <c r="I4" s="26" t="s">
        <v>10</v>
      </c>
      <c r="J4" s="28" t="s">
        <v>41</v>
      </c>
    </row>
    <row r="5" spans="1:25">
      <c r="A5" s="30"/>
      <c r="B5" s="140" t="s">
        <v>45</v>
      </c>
      <c r="C5" s="141"/>
      <c r="D5" s="31"/>
      <c r="E5" s="32"/>
      <c r="F5" s="31"/>
      <c r="G5" s="33"/>
      <c r="H5" s="31"/>
      <c r="I5" s="32"/>
      <c r="J5" s="99"/>
      <c r="K5" s="35"/>
      <c r="L5" s="35"/>
    </row>
    <row r="6" spans="1:25">
      <c r="A6" s="37"/>
      <c r="B6" s="38" t="s">
        <v>48</v>
      </c>
      <c r="C6" s="39"/>
      <c r="D6" s="40"/>
      <c r="E6" s="41"/>
      <c r="F6" s="42"/>
      <c r="G6" s="43"/>
      <c r="H6" s="40"/>
      <c r="I6" s="41"/>
      <c r="J6" s="44"/>
      <c r="K6" s="45"/>
      <c r="L6" s="35"/>
    </row>
    <row r="7" spans="1:25">
      <c r="A7" s="37" t="str">
        <f>'6022-total and 3 yr ave'!A7</f>
        <v>311(g)(1); 320(a)(1)</v>
      </c>
      <c r="B7" s="114" t="str">
        <f>'6022-total and 3 yr ave'!B7</f>
        <v>Quarterly reports</v>
      </c>
      <c r="C7" s="39" t="s">
        <v>16</v>
      </c>
      <c r="D7" s="40">
        <f>F$59+F$62</f>
        <v>70</v>
      </c>
      <c r="E7" s="41">
        <v>4</v>
      </c>
      <c r="F7" s="42">
        <f>SUM(D7*E7)</f>
        <v>280</v>
      </c>
      <c r="G7" s="43">
        <v>2</v>
      </c>
      <c r="H7" s="48">
        <f>SUM(G7*F7)</f>
        <v>560</v>
      </c>
      <c r="I7" s="49">
        <v>61.8</v>
      </c>
      <c r="J7" s="60">
        <f>(H7)*(I7)</f>
        <v>34608</v>
      </c>
      <c r="K7" s="45"/>
      <c r="L7" s="52">
        <v>0</v>
      </c>
      <c r="M7" s="52">
        <v>0.75</v>
      </c>
      <c r="N7" s="52">
        <v>0.25</v>
      </c>
      <c r="O7" s="52">
        <v>0.66669999999999996</v>
      </c>
      <c r="Q7" s="53">
        <f t="shared" ref="Q7:T9" si="0">+$J7*L7</f>
        <v>0</v>
      </c>
      <c r="R7" s="53">
        <f t="shared" si="0"/>
        <v>25956</v>
      </c>
      <c r="S7" s="53">
        <f t="shared" si="0"/>
        <v>8652</v>
      </c>
      <c r="T7" s="53">
        <f t="shared" si="0"/>
        <v>23073.153599999998</v>
      </c>
      <c r="V7" s="54">
        <f t="shared" ref="V7:Y9" si="1">+$D7*L7</f>
        <v>0</v>
      </c>
      <c r="W7" s="55">
        <f t="shared" si="1"/>
        <v>52.5</v>
      </c>
      <c r="X7" s="55">
        <f t="shared" si="1"/>
        <v>17.5</v>
      </c>
      <c r="Y7" s="55">
        <f t="shared" si="1"/>
        <v>46.668999999999997</v>
      </c>
    </row>
    <row r="8" spans="1:25">
      <c r="A8" s="37" t="str">
        <f>'6022-total and 3 yr ave'!A8</f>
        <v>320(a)(3)</v>
      </c>
      <c r="B8" s="114" t="str">
        <f>'6022-total and 3 yr ave'!B8</f>
        <v>Poor performance reports</v>
      </c>
      <c r="C8" s="39" t="s">
        <v>16</v>
      </c>
      <c r="D8" s="40">
        <v>2</v>
      </c>
      <c r="E8" s="41">
        <v>1</v>
      </c>
      <c r="F8" s="42">
        <f>SUM(D8*E8)</f>
        <v>2</v>
      </c>
      <c r="G8" s="43">
        <v>2</v>
      </c>
      <c r="H8" s="48">
        <f>SUM(G8*F8)</f>
        <v>4</v>
      </c>
      <c r="I8" s="49">
        <v>61.8</v>
      </c>
      <c r="J8" s="60">
        <f>(H8)*(I8)</f>
        <v>247.2</v>
      </c>
      <c r="K8" s="45"/>
      <c r="L8" s="52">
        <v>0</v>
      </c>
      <c r="M8" s="52">
        <v>0.75</v>
      </c>
      <c r="N8" s="52">
        <v>0.25</v>
      </c>
      <c r="O8" s="52">
        <v>0.66669999999999996</v>
      </c>
      <c r="Q8" s="53">
        <f t="shared" si="0"/>
        <v>0</v>
      </c>
      <c r="R8" s="53">
        <f t="shared" si="0"/>
        <v>185.39999999999998</v>
      </c>
      <c r="S8" s="53">
        <f t="shared" si="0"/>
        <v>61.8</v>
      </c>
      <c r="T8" s="53">
        <f t="shared" si="0"/>
        <v>164.80823999999998</v>
      </c>
      <c r="V8" s="54">
        <f t="shared" si="1"/>
        <v>0</v>
      </c>
      <c r="W8" s="55">
        <f t="shared" si="1"/>
        <v>1.5</v>
      </c>
      <c r="X8" s="55">
        <f t="shared" si="1"/>
        <v>0.5</v>
      </c>
      <c r="Y8" s="55">
        <f t="shared" si="1"/>
        <v>1.3333999999999999</v>
      </c>
    </row>
    <row r="9" spans="1:25">
      <c r="A9" s="37" t="str">
        <f>'6022-total and 3 yr ave'!A9</f>
        <v>313(a)(4)</v>
      </c>
      <c r="B9" s="114" t="str">
        <f>'6022-total and 3 yr ave'!B9</f>
        <v>Annual budget report</v>
      </c>
      <c r="C9" s="39" t="s">
        <v>16</v>
      </c>
      <c r="D9" s="40">
        <f>F$59+F$62</f>
        <v>70</v>
      </c>
      <c r="E9" s="41">
        <v>1</v>
      </c>
      <c r="F9" s="42">
        <f>SUM(D9*E9)</f>
        <v>70</v>
      </c>
      <c r="G9" s="43">
        <v>2</v>
      </c>
      <c r="H9" s="48">
        <f>SUM(G9*F9)</f>
        <v>140</v>
      </c>
      <c r="I9" s="49">
        <v>61.8</v>
      </c>
      <c r="J9" s="60">
        <f>(H9)*(I9)</f>
        <v>8652</v>
      </c>
      <c r="K9" s="45"/>
      <c r="L9" s="52">
        <v>0</v>
      </c>
      <c r="M9" s="52">
        <v>0.75</v>
      </c>
      <c r="N9" s="52">
        <v>0.25</v>
      </c>
      <c r="O9" s="52">
        <v>0.66669999999999996</v>
      </c>
      <c r="Q9" s="53">
        <f t="shared" si="0"/>
        <v>0</v>
      </c>
      <c r="R9" s="53">
        <f t="shared" si="0"/>
        <v>6489</v>
      </c>
      <c r="S9" s="53">
        <f t="shared" si="0"/>
        <v>2163</v>
      </c>
      <c r="T9" s="53">
        <f t="shared" si="0"/>
        <v>5768.2883999999995</v>
      </c>
      <c r="V9" s="54">
        <f t="shared" si="1"/>
        <v>0</v>
      </c>
      <c r="W9" s="55">
        <f t="shared" si="1"/>
        <v>52.5</v>
      </c>
      <c r="X9" s="55">
        <f t="shared" si="1"/>
        <v>17.5</v>
      </c>
      <c r="Y9" s="55">
        <f t="shared" si="1"/>
        <v>46.668999999999997</v>
      </c>
    </row>
    <row r="10" spans="1:25">
      <c r="A10" s="37"/>
      <c r="B10" s="114" t="str">
        <f>'6022-total and 3 yr ave'!B10</f>
        <v>Applications</v>
      </c>
      <c r="C10" s="39"/>
      <c r="D10" s="40"/>
      <c r="E10" s="41"/>
      <c r="F10" s="42"/>
      <c r="G10" s="43"/>
      <c r="H10" s="48"/>
      <c r="I10" s="41"/>
      <c r="J10" s="44"/>
      <c r="K10" s="45"/>
      <c r="L10" s="52"/>
      <c r="M10" s="52"/>
      <c r="N10" s="52"/>
      <c r="O10" s="52"/>
      <c r="V10" s="54"/>
      <c r="W10" s="55"/>
      <c r="X10" s="55"/>
      <c r="Y10" s="55"/>
    </row>
    <row r="11" spans="1:25">
      <c r="A11" s="37" t="str">
        <f>'6022-total and 3 yr ave'!A11</f>
        <v>316(a)</v>
      </c>
      <c r="B11" s="114" t="str">
        <f>'6022-total and 3 yr ave'!B11</f>
        <v>Application Narrative - initial criteria, all applicants</v>
      </c>
      <c r="C11" s="39" t="s">
        <v>16</v>
      </c>
      <c r="D11" s="40">
        <f>E$59+E$62</f>
        <v>71</v>
      </c>
      <c r="E11" s="41">
        <v>1</v>
      </c>
      <c r="F11" s="42">
        <f t="shared" ref="F11:F18" si="2">SUM(D11*E11)</f>
        <v>71</v>
      </c>
      <c r="G11" s="43">
        <v>8</v>
      </c>
      <c r="H11" s="48">
        <f t="shared" ref="H11:H18" si="3">SUM(G11*F11)</f>
        <v>568</v>
      </c>
      <c r="I11" s="49">
        <v>61.8</v>
      </c>
      <c r="J11" s="60">
        <f t="shared" ref="J11:J18" si="4">(H11)*(I11)</f>
        <v>35102.400000000001</v>
      </c>
      <c r="K11" s="45"/>
      <c r="L11" s="52">
        <v>0</v>
      </c>
      <c r="M11" s="52">
        <v>0.75</v>
      </c>
      <c r="N11" s="52">
        <v>0.25</v>
      </c>
      <c r="O11" s="52">
        <v>0.66669999999999996</v>
      </c>
      <c r="Q11" s="53">
        <f t="shared" ref="Q11:Q20" si="5">+$J11*L11</f>
        <v>0</v>
      </c>
      <c r="R11" s="53">
        <f t="shared" ref="R11:R20" si="6">+$J11*M11</f>
        <v>26326.800000000003</v>
      </c>
      <c r="S11" s="53">
        <f t="shared" ref="S11:S20" si="7">+$J11*N11</f>
        <v>8775.6</v>
      </c>
      <c r="T11" s="53">
        <f t="shared" ref="T11:T20" si="8">+$J11*O11</f>
        <v>23402.770079999998</v>
      </c>
      <c r="V11" s="54">
        <f>+$D11*L11</f>
        <v>0</v>
      </c>
      <c r="W11" s="55">
        <f>+$D11*M11</f>
        <v>53.25</v>
      </c>
      <c r="X11" s="55">
        <f>+$D11*N11</f>
        <v>17.75</v>
      </c>
      <c r="Y11" s="55">
        <f>+$D11*O11</f>
        <v>47.335699999999996</v>
      </c>
    </row>
    <row r="12" spans="1:25" ht="39" customHeight="1">
      <c r="A12" s="37" t="str">
        <f>'6022-total and 3 yr ave'!A12</f>
        <v>315(c)(8), (c)(9)</v>
      </c>
      <c r="B12" s="114" t="str">
        <f>'6022-total and 3 yr ave'!B12</f>
        <v>Application Narrative - documentation of eligibility, all applicants including certification of credit not available elsewhere</v>
      </c>
      <c r="C12" s="39" t="s">
        <v>16</v>
      </c>
      <c r="D12" s="40">
        <f>E$59+E$62</f>
        <v>71</v>
      </c>
      <c r="E12" s="41">
        <v>1</v>
      </c>
      <c r="F12" s="42">
        <f t="shared" si="2"/>
        <v>71</v>
      </c>
      <c r="G12" s="43">
        <v>2</v>
      </c>
      <c r="H12" s="48">
        <f t="shared" si="3"/>
        <v>142</v>
      </c>
      <c r="I12" s="49">
        <v>61.8</v>
      </c>
      <c r="J12" s="60">
        <f t="shared" si="4"/>
        <v>8775.6</v>
      </c>
      <c r="K12" s="45"/>
      <c r="L12" s="52">
        <v>0</v>
      </c>
      <c r="M12" s="52">
        <v>0.75</v>
      </c>
      <c r="N12" s="52">
        <v>0.25</v>
      </c>
      <c r="O12" s="52">
        <v>0.66669999999999996</v>
      </c>
      <c r="Q12" s="53">
        <f t="shared" si="5"/>
        <v>0</v>
      </c>
      <c r="R12" s="53">
        <f t="shared" si="6"/>
        <v>6581.7000000000007</v>
      </c>
      <c r="S12" s="53">
        <f t="shared" si="7"/>
        <v>2193.9</v>
      </c>
      <c r="T12" s="53">
        <f t="shared" si="8"/>
        <v>5850.6925199999996</v>
      </c>
      <c r="V12" s="54">
        <f t="shared" ref="V12:V20" si="9">+$D12*L12</f>
        <v>0</v>
      </c>
      <c r="W12" s="55">
        <f t="shared" ref="W12:W20" si="10">+$D12*M12</f>
        <v>53.25</v>
      </c>
      <c r="X12" s="55">
        <f t="shared" ref="X12:X20" si="11">+$D12*N12</f>
        <v>17.75</v>
      </c>
      <c r="Y12" s="55">
        <f t="shared" ref="Y12:Y20" si="12">+$D12*O12</f>
        <v>47.335699999999996</v>
      </c>
    </row>
    <row r="13" spans="1:25" ht="28.5" customHeight="1">
      <c r="A13" s="37" t="str">
        <f>'6022-total and 3 yr ave'!A13</f>
        <v>316(b)</v>
      </c>
      <c r="B13" s="114" t="str">
        <f>'6022-total and 3 yr ave'!B13</f>
        <v>Additional Documentaton - Microlenders with &gt; 3 yrs exp (new applicants)</v>
      </c>
      <c r="C13" s="39" t="s">
        <v>16</v>
      </c>
      <c r="D13" s="40">
        <v>2</v>
      </c>
      <c r="E13" s="41">
        <v>1</v>
      </c>
      <c r="F13" s="42">
        <f t="shared" si="2"/>
        <v>2</v>
      </c>
      <c r="G13" s="43">
        <v>8</v>
      </c>
      <c r="H13" s="48">
        <f t="shared" si="3"/>
        <v>16</v>
      </c>
      <c r="I13" s="49">
        <v>61.8</v>
      </c>
      <c r="J13" s="60">
        <f t="shared" si="4"/>
        <v>988.8</v>
      </c>
      <c r="K13" s="45"/>
      <c r="L13" s="52">
        <v>0</v>
      </c>
      <c r="M13" s="52">
        <v>0.75</v>
      </c>
      <c r="N13" s="52">
        <v>0.25</v>
      </c>
      <c r="O13" s="52">
        <v>0.66669999999999996</v>
      </c>
      <c r="Q13" s="53">
        <f t="shared" si="5"/>
        <v>0</v>
      </c>
      <c r="R13" s="53">
        <f t="shared" si="6"/>
        <v>741.59999999999991</v>
      </c>
      <c r="S13" s="53">
        <f t="shared" si="7"/>
        <v>247.2</v>
      </c>
      <c r="T13" s="53">
        <f t="shared" si="8"/>
        <v>659.23295999999993</v>
      </c>
      <c r="V13" s="54">
        <f t="shared" si="9"/>
        <v>0</v>
      </c>
      <c r="W13" s="55">
        <f t="shared" si="10"/>
        <v>1.5</v>
      </c>
      <c r="X13" s="55">
        <f t="shared" si="11"/>
        <v>0.5</v>
      </c>
      <c r="Y13" s="55">
        <f t="shared" si="12"/>
        <v>1.3333999999999999</v>
      </c>
    </row>
    <row r="14" spans="1:25" ht="27.4" customHeight="1">
      <c r="A14" s="37" t="str">
        <f>'6022-total and 3 yr ave'!A14</f>
        <v>316(b)</v>
      </c>
      <c r="B14" s="114" t="str">
        <f>'6022-total and 3 yr ave'!B14</f>
        <v>Additional Documentaton - Microlenders with &gt; 3 yrs exp (repeat applicants)</v>
      </c>
      <c r="C14" s="39" t="s">
        <v>16</v>
      </c>
      <c r="D14" s="40">
        <v>43</v>
      </c>
      <c r="E14" s="41">
        <v>1</v>
      </c>
      <c r="F14" s="42">
        <f t="shared" ref="F14" si="13">SUM(D14*E14)</f>
        <v>43</v>
      </c>
      <c r="G14" s="43">
        <v>1</v>
      </c>
      <c r="H14" s="48">
        <f t="shared" ref="H14" si="14">SUM(G14*F14)</f>
        <v>43</v>
      </c>
      <c r="I14" s="49">
        <v>61.8</v>
      </c>
      <c r="J14" s="60">
        <f t="shared" ref="J14" si="15">(H14)*(I14)</f>
        <v>2657.4</v>
      </c>
      <c r="K14" s="45"/>
      <c r="L14" s="52">
        <v>0</v>
      </c>
      <c r="M14" s="52">
        <v>0.75</v>
      </c>
      <c r="N14" s="52">
        <v>0.25</v>
      </c>
      <c r="O14" s="52">
        <v>0.66669999999999996</v>
      </c>
      <c r="Q14" s="53">
        <f t="shared" ref="Q14" si="16">+$J14*L14</f>
        <v>0</v>
      </c>
      <c r="R14" s="53">
        <f t="shared" ref="R14" si="17">+$J14*M14</f>
        <v>1993.0500000000002</v>
      </c>
      <c r="S14" s="53">
        <f t="shared" ref="S14" si="18">+$J14*N14</f>
        <v>664.35</v>
      </c>
      <c r="T14" s="53">
        <f t="shared" ref="T14" si="19">+$J14*O14</f>
        <v>1771.68858</v>
      </c>
      <c r="V14" s="54">
        <f t="shared" ref="V14" si="20">+$D14*L14</f>
        <v>0</v>
      </c>
      <c r="W14" s="55">
        <f t="shared" ref="W14" si="21">+$D14*M14</f>
        <v>32.25</v>
      </c>
      <c r="X14" s="55">
        <f t="shared" ref="X14" si="22">+$D14*N14</f>
        <v>10.75</v>
      </c>
      <c r="Y14" s="55">
        <f t="shared" ref="Y14" si="23">+$D14*O14</f>
        <v>28.668099999999999</v>
      </c>
    </row>
    <row r="15" spans="1:25" ht="25.7" customHeight="1">
      <c r="A15" s="37" t="str">
        <f>'6022-total and 3 yr ave'!A15</f>
        <v>316(c)</v>
      </c>
      <c r="B15" s="114" t="str">
        <f>'6022-total and 3 yr ave'!B15</f>
        <v>Additional Documentation - Microlenders with 3 or less yrs exp (new applicants)</v>
      </c>
      <c r="C15" s="39" t="s">
        <v>16</v>
      </c>
      <c r="D15" s="40">
        <v>11</v>
      </c>
      <c r="E15" s="41">
        <v>1</v>
      </c>
      <c r="F15" s="42">
        <f t="shared" si="2"/>
        <v>11</v>
      </c>
      <c r="G15" s="43">
        <v>8</v>
      </c>
      <c r="H15" s="48">
        <f t="shared" si="3"/>
        <v>88</v>
      </c>
      <c r="I15" s="49">
        <v>61.8</v>
      </c>
      <c r="J15" s="60">
        <f t="shared" si="4"/>
        <v>5438.4</v>
      </c>
      <c r="K15" s="45"/>
      <c r="L15" s="52">
        <v>0</v>
      </c>
      <c r="M15" s="52">
        <v>0.75</v>
      </c>
      <c r="N15" s="52">
        <v>0.25</v>
      </c>
      <c r="O15" s="52">
        <v>0.66669999999999996</v>
      </c>
      <c r="Q15" s="53">
        <f t="shared" si="5"/>
        <v>0</v>
      </c>
      <c r="R15" s="53">
        <f t="shared" si="6"/>
        <v>4078.7999999999997</v>
      </c>
      <c r="S15" s="53">
        <f t="shared" si="7"/>
        <v>1359.6</v>
      </c>
      <c r="T15" s="53">
        <f t="shared" si="8"/>
        <v>3625.7812799999997</v>
      </c>
      <c r="V15" s="54">
        <f t="shared" si="9"/>
        <v>0</v>
      </c>
      <c r="W15" s="55">
        <f t="shared" si="10"/>
        <v>8.25</v>
      </c>
      <c r="X15" s="55">
        <f t="shared" si="11"/>
        <v>2.75</v>
      </c>
      <c r="Y15" s="55">
        <f t="shared" si="12"/>
        <v>7.3336999999999994</v>
      </c>
    </row>
    <row r="16" spans="1:25" ht="29.25" customHeight="1">
      <c r="A16" s="37" t="str">
        <f>'6022-total and 3 yr ave'!A16</f>
        <v>316(c)</v>
      </c>
      <c r="B16" s="114" t="str">
        <f>'6022-total and 3 yr ave'!B16</f>
        <v>Additional Documentation - Microlenders with 3 or less yrs exp (repeat applicants)</v>
      </c>
      <c r="C16" s="39" t="s">
        <v>16</v>
      </c>
      <c r="D16" s="40">
        <v>8</v>
      </c>
      <c r="E16" s="41">
        <v>1</v>
      </c>
      <c r="F16" s="42">
        <f t="shared" ref="F16" si="24">SUM(D16*E16)</f>
        <v>8</v>
      </c>
      <c r="G16" s="43">
        <v>1</v>
      </c>
      <c r="H16" s="48">
        <f t="shared" ref="H16" si="25">SUM(G16*F16)</f>
        <v>8</v>
      </c>
      <c r="I16" s="49">
        <v>61.8</v>
      </c>
      <c r="J16" s="60">
        <f t="shared" ref="J16" si="26">(H16)*(I16)</f>
        <v>494.4</v>
      </c>
      <c r="K16" s="45"/>
      <c r="L16" s="52">
        <v>0</v>
      </c>
      <c r="M16" s="52">
        <v>0.75</v>
      </c>
      <c r="N16" s="52">
        <v>0.25</v>
      </c>
      <c r="O16" s="52">
        <v>0.66669999999999996</v>
      </c>
      <c r="Q16" s="53">
        <f t="shared" ref="Q16" si="27">+$J16*L16</f>
        <v>0</v>
      </c>
      <c r="R16" s="53">
        <f t="shared" ref="R16" si="28">+$J16*M16</f>
        <v>370.79999999999995</v>
      </c>
      <c r="S16" s="53">
        <f t="shared" ref="S16" si="29">+$J16*N16</f>
        <v>123.6</v>
      </c>
      <c r="T16" s="53">
        <f t="shared" ref="T16" si="30">+$J16*O16</f>
        <v>329.61647999999997</v>
      </c>
      <c r="V16" s="54">
        <f t="shared" ref="V16" si="31">+$D16*L16</f>
        <v>0</v>
      </c>
      <c r="W16" s="55">
        <f t="shared" ref="W16" si="32">+$D16*M16</f>
        <v>6</v>
      </c>
      <c r="X16" s="55">
        <f t="shared" ref="X16" si="33">+$D16*N16</f>
        <v>2</v>
      </c>
      <c r="Y16" s="55">
        <f t="shared" ref="Y16" si="34">+$D16*O16</f>
        <v>5.3335999999999997</v>
      </c>
    </row>
    <row r="17" spans="1:25" ht="25.5">
      <c r="A17" s="37" t="str">
        <f>'6022-total and 3 yr ave'!A17</f>
        <v>316(d)</v>
      </c>
      <c r="B17" s="114" t="str">
        <f>'6022-total and 3 yr ave'!B17</f>
        <v>Additional Documentation - Technical assistance only grants</v>
      </c>
      <c r="C17" s="39" t="s">
        <v>16</v>
      </c>
      <c r="D17" s="40">
        <f>'6022-yr1'!E60</f>
        <v>7</v>
      </c>
      <c r="E17" s="41">
        <v>1</v>
      </c>
      <c r="F17" s="42">
        <f t="shared" si="2"/>
        <v>7</v>
      </c>
      <c r="G17" s="43">
        <v>6</v>
      </c>
      <c r="H17" s="48">
        <f t="shared" si="3"/>
        <v>42</v>
      </c>
      <c r="I17" s="49">
        <v>61.8</v>
      </c>
      <c r="J17" s="60">
        <f t="shared" si="4"/>
        <v>2595.6</v>
      </c>
      <c r="K17" s="45"/>
      <c r="L17" s="52"/>
      <c r="M17" s="52"/>
      <c r="N17" s="52"/>
      <c r="O17" s="52"/>
      <c r="Q17" s="53"/>
      <c r="R17" s="53"/>
      <c r="S17" s="53"/>
      <c r="T17" s="53"/>
      <c r="V17" s="54"/>
      <c r="W17" s="55"/>
      <c r="X17" s="55"/>
      <c r="Y17" s="55"/>
    </row>
    <row r="18" spans="1:25">
      <c r="A18" s="37" t="str">
        <f>'6022-total and 3 yr ave'!A18</f>
        <v>316(e)</v>
      </c>
      <c r="B18" s="114" t="str">
        <f>'6022-total and 3 yr ave'!B18</f>
        <v>Application from microlenders with &gt; 5 yrs exp in program</v>
      </c>
      <c r="C18" s="39" t="s">
        <v>16</v>
      </c>
      <c r="D18" s="40">
        <v>0</v>
      </c>
      <c r="E18" s="41">
        <v>1</v>
      </c>
      <c r="F18" s="42">
        <f t="shared" si="2"/>
        <v>0</v>
      </c>
      <c r="G18" s="43">
        <v>1</v>
      </c>
      <c r="H18" s="48">
        <f t="shared" si="3"/>
        <v>0</v>
      </c>
      <c r="I18" s="49">
        <v>61.8</v>
      </c>
      <c r="J18" s="60">
        <f t="shared" si="4"/>
        <v>0</v>
      </c>
      <c r="K18" s="45"/>
      <c r="L18" s="52">
        <v>0</v>
      </c>
      <c r="M18" s="52">
        <v>0.75</v>
      </c>
      <c r="N18" s="52">
        <v>0.25</v>
      </c>
      <c r="O18" s="52">
        <v>0.66669999999999996</v>
      </c>
      <c r="Q18" s="53">
        <f t="shared" si="5"/>
        <v>0</v>
      </c>
      <c r="R18" s="53">
        <f t="shared" si="6"/>
        <v>0</v>
      </c>
      <c r="S18" s="53">
        <f t="shared" si="7"/>
        <v>0</v>
      </c>
      <c r="T18" s="53">
        <f t="shared" si="8"/>
        <v>0</v>
      </c>
      <c r="V18" s="54">
        <f t="shared" si="9"/>
        <v>0</v>
      </c>
      <c r="W18" s="55">
        <f t="shared" si="10"/>
        <v>0</v>
      </c>
      <c r="X18" s="55">
        <f t="shared" si="11"/>
        <v>0</v>
      </c>
      <c r="Y18" s="55">
        <f t="shared" si="12"/>
        <v>0</v>
      </c>
    </row>
    <row r="19" spans="1:25">
      <c r="A19" s="37" t="str">
        <f>'6022-total and 3 yr ave'!A19</f>
        <v>312(c)(1)</v>
      </c>
      <c r="B19" s="114" t="str">
        <f>'6022-total and 3 yr ave'!B19</f>
        <v>Documentation prior to loan closing</v>
      </c>
      <c r="C19" s="39" t="s">
        <v>16</v>
      </c>
      <c r="D19" s="40">
        <f t="shared" ref="D19:D20" si="35">F$59+F$62</f>
        <v>70</v>
      </c>
      <c r="E19" s="41">
        <v>1</v>
      </c>
      <c r="F19" s="42">
        <f>SUM(D19*E19)</f>
        <v>70</v>
      </c>
      <c r="G19" s="43">
        <v>1</v>
      </c>
      <c r="H19" s="48">
        <f>SUM(G19*F19)</f>
        <v>70</v>
      </c>
      <c r="I19" s="49">
        <v>61.8</v>
      </c>
      <c r="J19" s="60">
        <f>(H19)*(I19)</f>
        <v>4326</v>
      </c>
      <c r="K19" s="45"/>
      <c r="L19" s="52">
        <v>0</v>
      </c>
      <c r="M19" s="52">
        <v>0.75</v>
      </c>
      <c r="N19" s="52">
        <v>0.25</v>
      </c>
      <c r="O19" s="52">
        <v>0.66669999999999996</v>
      </c>
      <c r="Q19" s="53">
        <f t="shared" si="5"/>
        <v>0</v>
      </c>
      <c r="R19" s="53">
        <f t="shared" si="6"/>
        <v>3244.5</v>
      </c>
      <c r="S19" s="53">
        <f t="shared" si="7"/>
        <v>1081.5</v>
      </c>
      <c r="T19" s="53">
        <f t="shared" si="8"/>
        <v>2884.1441999999997</v>
      </c>
      <c r="V19" s="54">
        <f t="shared" si="9"/>
        <v>0</v>
      </c>
      <c r="W19" s="55">
        <f t="shared" si="10"/>
        <v>52.5</v>
      </c>
      <c r="X19" s="55">
        <f t="shared" si="11"/>
        <v>17.5</v>
      </c>
      <c r="Y19" s="55">
        <f t="shared" si="12"/>
        <v>46.668999999999997</v>
      </c>
    </row>
    <row r="20" spans="1:25">
      <c r="A20" s="37" t="str">
        <f>'6022-total and 3 yr ave'!A20</f>
        <v>312(c)(2)</v>
      </c>
      <c r="B20" s="114" t="str">
        <f>'6022-total and 3 yr ave'!B20</f>
        <v>Lender certification at loan closing</v>
      </c>
      <c r="C20" s="39" t="s">
        <v>16</v>
      </c>
      <c r="D20" s="40">
        <f t="shared" si="35"/>
        <v>70</v>
      </c>
      <c r="E20" s="41">
        <v>1</v>
      </c>
      <c r="F20" s="42">
        <f>SUM(D20*E20)</f>
        <v>70</v>
      </c>
      <c r="G20" s="43">
        <v>0.5</v>
      </c>
      <c r="H20" s="48">
        <f>SUM(G20*F20)</f>
        <v>35</v>
      </c>
      <c r="I20" s="49">
        <v>61.8</v>
      </c>
      <c r="J20" s="60">
        <f>(H20)*(I20)</f>
        <v>2163</v>
      </c>
      <c r="K20" s="45"/>
      <c r="L20" s="52">
        <v>0</v>
      </c>
      <c r="M20" s="52">
        <v>0.75</v>
      </c>
      <c r="N20" s="52">
        <v>0.25</v>
      </c>
      <c r="O20" s="52">
        <v>0.66669999999999996</v>
      </c>
      <c r="Q20" s="53">
        <f t="shared" si="5"/>
        <v>0</v>
      </c>
      <c r="R20" s="53">
        <f t="shared" si="6"/>
        <v>1622.25</v>
      </c>
      <c r="S20" s="53">
        <f t="shared" si="7"/>
        <v>540.75</v>
      </c>
      <c r="T20" s="53">
        <f t="shared" si="8"/>
        <v>1442.0720999999999</v>
      </c>
      <c r="V20" s="54">
        <f t="shared" si="9"/>
        <v>0</v>
      </c>
      <c r="W20" s="55">
        <f t="shared" si="10"/>
        <v>52.5</v>
      </c>
      <c r="X20" s="55">
        <f t="shared" si="11"/>
        <v>17.5</v>
      </c>
      <c r="Y20" s="55">
        <f t="shared" si="12"/>
        <v>46.668999999999997</v>
      </c>
    </row>
    <row r="21" spans="1:25">
      <c r="A21" s="37"/>
      <c r="B21" s="114" t="str">
        <f>'6022-total and 3 yr ave'!B21</f>
        <v>Appeals</v>
      </c>
      <c r="C21" s="39"/>
      <c r="D21" s="61"/>
      <c r="E21" s="41"/>
      <c r="F21" s="42"/>
      <c r="G21" s="43"/>
      <c r="H21" s="48"/>
      <c r="I21" s="49"/>
      <c r="J21" s="59"/>
      <c r="K21" s="45"/>
      <c r="L21" s="52"/>
      <c r="M21" s="52"/>
      <c r="N21" s="52"/>
      <c r="O21" s="52"/>
      <c r="Q21" s="53"/>
      <c r="R21" s="53"/>
      <c r="S21" s="53"/>
      <c r="T21" s="53"/>
      <c r="V21" s="54"/>
      <c r="W21" s="55"/>
      <c r="X21" s="55"/>
      <c r="Y21" s="55"/>
    </row>
    <row r="22" spans="1:25" ht="15" customHeight="1">
      <c r="A22" s="37">
        <f>'6022-total and 3 yr ave'!A22</f>
        <v>304</v>
      </c>
      <c r="B22" s="114" t="str">
        <f>'6022-total and 3 yr ave'!B22</f>
        <v>Request for Appeal</v>
      </c>
      <c r="C22" s="39"/>
      <c r="D22" s="61"/>
      <c r="E22" s="41"/>
      <c r="F22" s="42"/>
      <c r="G22" s="43"/>
      <c r="H22" s="48"/>
      <c r="I22" s="49"/>
      <c r="J22" s="59"/>
      <c r="K22" s="45"/>
      <c r="L22" s="52"/>
      <c r="M22" s="52"/>
      <c r="N22" s="52"/>
      <c r="O22" s="52"/>
      <c r="Q22" s="53"/>
      <c r="R22" s="53"/>
      <c r="S22" s="53"/>
      <c r="T22" s="53"/>
      <c r="V22" s="54"/>
      <c r="W22" s="55"/>
      <c r="X22" s="55"/>
      <c r="Y22" s="55"/>
    </row>
    <row r="23" spans="1:25">
      <c r="A23" s="37"/>
      <c r="B23" s="62" t="s">
        <v>38</v>
      </c>
      <c r="C23" s="63"/>
      <c r="D23" s="65">
        <f>SUM(D11)</f>
        <v>71</v>
      </c>
      <c r="E23" s="64"/>
      <c r="F23" s="65">
        <f>SUM(F7:F20)</f>
        <v>705</v>
      </c>
      <c r="G23" s="66"/>
      <c r="H23" s="67">
        <f>SUM(H7:H20)</f>
        <v>1716</v>
      </c>
      <c r="I23" s="68"/>
      <c r="J23" s="120">
        <v>106048</v>
      </c>
      <c r="K23" s="45"/>
      <c r="L23" s="52"/>
      <c r="M23" s="52"/>
      <c r="N23" s="52"/>
      <c r="O23" s="52"/>
      <c r="Q23" s="53"/>
      <c r="R23" s="53"/>
      <c r="S23" s="53"/>
      <c r="T23" s="53"/>
      <c r="V23" s="54"/>
      <c r="W23" s="55"/>
      <c r="X23" s="55"/>
      <c r="Y23" s="55"/>
    </row>
    <row r="24" spans="1:25">
      <c r="A24" s="37"/>
      <c r="D24" s="37"/>
      <c r="E24" s="37"/>
      <c r="F24" s="37"/>
      <c r="H24" s="71"/>
      <c r="I24" s="72"/>
      <c r="J24" s="37"/>
      <c r="K24" s="73"/>
      <c r="L24" s="52"/>
      <c r="M24" s="52"/>
      <c r="N24" s="52"/>
      <c r="O24" s="52"/>
      <c r="Q24" s="53"/>
      <c r="R24" s="53"/>
      <c r="S24" s="53"/>
      <c r="T24" s="53"/>
      <c r="V24" s="54"/>
      <c r="W24" s="55"/>
      <c r="X24" s="55"/>
      <c r="Y24" s="55"/>
    </row>
    <row r="25" spans="1:25">
      <c r="A25" s="37"/>
      <c r="B25" s="74" t="s">
        <v>53</v>
      </c>
      <c r="C25" s="18"/>
      <c r="D25" s="75"/>
      <c r="E25" s="75"/>
      <c r="F25" s="75"/>
      <c r="G25" s="66"/>
      <c r="H25" s="76"/>
      <c r="I25" s="69"/>
      <c r="J25" s="69"/>
      <c r="K25" s="73"/>
      <c r="L25" s="52"/>
      <c r="M25" s="52"/>
      <c r="N25" s="52"/>
      <c r="O25" s="52"/>
      <c r="Q25" s="53"/>
      <c r="R25" s="53"/>
      <c r="S25" s="53"/>
      <c r="T25" s="53"/>
      <c r="V25" s="54"/>
      <c r="W25" s="55"/>
      <c r="X25" s="55"/>
      <c r="Y25" s="55"/>
    </row>
    <row r="26" spans="1:25" ht="42.75" customHeight="1">
      <c r="A26" s="37" t="str">
        <f>'6022-total and 3 yr ave'!A26</f>
        <v>315(c)(5)</v>
      </c>
      <c r="B26" s="114" t="str">
        <f>'6022-total and 3 yr ave'!B26</f>
        <v>Certification Regarding Debarment, Suspension &amp; Other Resp. Matters-Primary Covered Trans.</v>
      </c>
      <c r="C26" s="118" t="str">
        <f>'6022-total and 3 yr ave'!C26</f>
        <v>AD-1047 or in writing</v>
      </c>
      <c r="D26" s="40">
        <f>E$59+E$62</f>
        <v>71</v>
      </c>
      <c r="E26" s="41">
        <v>1</v>
      </c>
      <c r="F26" s="42">
        <f>SUM(D26*E26)</f>
        <v>71</v>
      </c>
      <c r="G26" s="93">
        <v>0.25</v>
      </c>
      <c r="H26" s="48">
        <v>18</v>
      </c>
      <c r="I26" s="49">
        <v>61.8</v>
      </c>
      <c r="J26" s="60">
        <f>(H26)*(I26)</f>
        <v>1112.3999999999999</v>
      </c>
      <c r="K26" s="73"/>
      <c r="L26" s="52">
        <v>0</v>
      </c>
      <c r="M26" s="52">
        <v>0.75</v>
      </c>
      <c r="N26" s="52">
        <v>0.25</v>
      </c>
      <c r="O26" s="52">
        <v>0.66669999999999996</v>
      </c>
      <c r="Q26" s="53">
        <f t="shared" ref="Q26:T35" si="36">+$J26*L26</f>
        <v>0</v>
      </c>
      <c r="R26" s="53">
        <f t="shared" si="36"/>
        <v>834.3</v>
      </c>
      <c r="S26" s="53">
        <f t="shared" si="36"/>
        <v>278.09999999999997</v>
      </c>
      <c r="T26" s="53">
        <f t="shared" si="36"/>
        <v>741.63707999999986</v>
      </c>
      <c r="V26" s="54">
        <f>+$D26*L26</f>
        <v>0</v>
      </c>
      <c r="W26" s="55">
        <f>+$D26*M26</f>
        <v>53.25</v>
      </c>
      <c r="X26" s="55">
        <f>+$D26*N26</f>
        <v>17.75</v>
      </c>
      <c r="Y26" s="55">
        <f>+$D26*O26</f>
        <v>47.335699999999996</v>
      </c>
    </row>
    <row r="27" spans="1:25" ht="12.75" customHeight="1">
      <c r="A27" s="37" t="str">
        <f>'6022-total and 3 yr ave'!A27</f>
        <v>315(c)(9)</v>
      </c>
      <c r="B27" s="114" t="str">
        <f>'6022-total and 3 yr ave'!B27</f>
        <v>Compliance Review</v>
      </c>
      <c r="C27" s="118" t="str">
        <f>'6022-total and 3 yr ave'!C27</f>
        <v>RD 400-8</v>
      </c>
      <c r="D27" s="40">
        <f t="shared" ref="D27" si="37">E$59+E$62</f>
        <v>71</v>
      </c>
      <c r="E27" s="41">
        <v>1</v>
      </c>
      <c r="F27" s="42">
        <f>SUM(D27*E27)</f>
        <v>71</v>
      </c>
      <c r="G27" s="93">
        <v>8</v>
      </c>
      <c r="H27" s="48">
        <f t="shared" ref="H27" si="38">SUM(G27*F27)</f>
        <v>568</v>
      </c>
      <c r="I27" s="49">
        <v>61.8</v>
      </c>
      <c r="J27" s="60">
        <f>(H27)*(I27)</f>
        <v>35102.400000000001</v>
      </c>
      <c r="K27" s="73"/>
      <c r="L27" s="52">
        <v>0</v>
      </c>
      <c r="M27" s="52">
        <v>0.75</v>
      </c>
      <c r="N27" s="52">
        <v>0.25</v>
      </c>
      <c r="O27" s="52">
        <v>0.66669999999999996</v>
      </c>
      <c r="Q27" s="53">
        <f t="shared" ref="Q27:Q30" si="39">+$J27*L27</f>
        <v>0</v>
      </c>
      <c r="R27" s="53">
        <f t="shared" ref="R27:R30" si="40">+$J27*M27</f>
        <v>26326.800000000003</v>
      </c>
      <c r="S27" s="53">
        <f t="shared" ref="S27:S30" si="41">+$J27*N27</f>
        <v>8775.6</v>
      </c>
      <c r="T27" s="53">
        <f t="shared" ref="T27:T30" si="42">+$J27*O27</f>
        <v>23402.770079999998</v>
      </c>
      <c r="V27" s="54">
        <f t="shared" ref="V27:V30" si="43">+$D27*L27</f>
        <v>0</v>
      </c>
      <c r="W27" s="55">
        <f t="shared" ref="W27:W30" si="44">+$D27*M27</f>
        <v>53.25</v>
      </c>
      <c r="X27" s="55">
        <f t="shared" ref="X27:X30" si="45">+$D27*N27</f>
        <v>17.75</v>
      </c>
      <c r="Y27" s="55">
        <f t="shared" ref="Y27:Y30" si="46">+$D27*O27</f>
        <v>47.335699999999996</v>
      </c>
    </row>
    <row r="28" spans="1:25" ht="13.5" customHeight="1">
      <c r="A28" s="37" t="str">
        <f>'6022-total and 3 yr ave'!A28</f>
        <v>315(c)(10)</v>
      </c>
      <c r="B28" s="114" t="str">
        <f>'6022-total and 3 yr ave'!B28</f>
        <v>Assurance Agreement</v>
      </c>
      <c r="C28" s="118" t="str">
        <f>'6022-total and 3 yr ave'!C28</f>
        <v>RD 400-4</v>
      </c>
      <c r="D28" s="40">
        <f t="shared" ref="D28" si="47">E$59+E$62</f>
        <v>71</v>
      </c>
      <c r="E28" s="41">
        <v>1</v>
      </c>
      <c r="F28" s="42">
        <f>SUM(D28*E28)</f>
        <v>71</v>
      </c>
      <c r="G28" s="93">
        <v>0.25</v>
      </c>
      <c r="H28" s="48">
        <v>18</v>
      </c>
      <c r="I28" s="49">
        <v>61.8</v>
      </c>
      <c r="J28" s="60">
        <f>(H28)*(I28)</f>
        <v>1112.3999999999999</v>
      </c>
      <c r="K28" s="73"/>
      <c r="L28" s="52">
        <v>0</v>
      </c>
      <c r="M28" s="52">
        <v>0.75</v>
      </c>
      <c r="N28" s="52">
        <v>0.25</v>
      </c>
      <c r="O28" s="52">
        <v>0.66669999999999996</v>
      </c>
      <c r="Q28" s="53">
        <f t="shared" si="39"/>
        <v>0</v>
      </c>
      <c r="R28" s="53">
        <f t="shared" si="40"/>
        <v>834.3</v>
      </c>
      <c r="S28" s="53">
        <f t="shared" si="41"/>
        <v>278.09999999999997</v>
      </c>
      <c r="T28" s="53">
        <f t="shared" si="42"/>
        <v>741.63707999999986</v>
      </c>
      <c r="V28" s="54">
        <f t="shared" si="43"/>
        <v>0</v>
      </c>
      <c r="W28" s="55">
        <f t="shared" si="44"/>
        <v>53.25</v>
      </c>
      <c r="X28" s="55">
        <f t="shared" si="45"/>
        <v>17.75</v>
      </c>
      <c r="Y28" s="55">
        <f t="shared" si="46"/>
        <v>47.335699999999996</v>
      </c>
    </row>
    <row r="29" spans="1:25" ht="13.5" customHeight="1">
      <c r="A29" s="37" t="str">
        <f>'6022-total and 3 yr ave'!A29</f>
        <v>312(c)(1)(ii)</v>
      </c>
      <c r="B29" s="114" t="str">
        <f>'6022-total and 3 yr ave'!B29</f>
        <v>Deposit Agreement</v>
      </c>
      <c r="C29" s="39" t="s">
        <v>112</v>
      </c>
      <c r="D29" s="40">
        <f t="shared" ref="D29:D33" si="48">F$59+F$62</f>
        <v>70</v>
      </c>
      <c r="E29" s="41">
        <v>1</v>
      </c>
      <c r="F29" s="42">
        <f t="shared" ref="F29:F33" si="49">SUM(D29*E29)</f>
        <v>70</v>
      </c>
      <c r="G29" s="93">
        <v>0.08</v>
      </c>
      <c r="H29" s="48">
        <v>6</v>
      </c>
      <c r="I29" s="49">
        <v>61.8</v>
      </c>
      <c r="J29" s="60">
        <f t="shared" ref="J29:J33" si="50">(H29)*(I29)</f>
        <v>370.79999999999995</v>
      </c>
      <c r="K29" s="73"/>
      <c r="L29" s="52">
        <v>0</v>
      </c>
      <c r="M29" s="52">
        <v>0.75</v>
      </c>
      <c r="N29" s="52">
        <v>0.25</v>
      </c>
      <c r="O29" s="52">
        <v>0.66669999999999996</v>
      </c>
      <c r="Q29" s="53">
        <f t="shared" si="39"/>
        <v>0</v>
      </c>
      <c r="R29" s="53">
        <f t="shared" si="40"/>
        <v>278.09999999999997</v>
      </c>
      <c r="S29" s="53">
        <f t="shared" si="41"/>
        <v>92.699999999999989</v>
      </c>
      <c r="T29" s="53">
        <f t="shared" si="42"/>
        <v>247.21235999999996</v>
      </c>
      <c r="V29" s="54">
        <f t="shared" si="43"/>
        <v>0</v>
      </c>
      <c r="W29" s="55">
        <f t="shared" si="44"/>
        <v>52.5</v>
      </c>
      <c r="X29" s="55">
        <f t="shared" si="45"/>
        <v>17.5</v>
      </c>
      <c r="Y29" s="55">
        <f t="shared" si="46"/>
        <v>46.668999999999997</v>
      </c>
    </row>
    <row r="30" spans="1:25" ht="13.5" customHeight="1">
      <c r="A30" s="37" t="str">
        <f>'6022-total and 3 yr ave'!A30</f>
        <v>312(a)</v>
      </c>
      <c r="B30" s="114" t="str">
        <f>'6022-total and 3 yr ave'!B30</f>
        <v>Request for Obligation of Funds</v>
      </c>
      <c r="C30" s="111" t="s">
        <v>152</v>
      </c>
      <c r="D30" s="40">
        <f t="shared" si="48"/>
        <v>70</v>
      </c>
      <c r="E30" s="41">
        <v>2</v>
      </c>
      <c r="F30" s="42">
        <f t="shared" ref="F30" si="51">SUM(D30*E30)</f>
        <v>140</v>
      </c>
      <c r="G30" s="93">
        <v>0.25</v>
      </c>
      <c r="H30" s="48">
        <f t="shared" ref="H30" si="52">SUM(G30*F30)</f>
        <v>35</v>
      </c>
      <c r="I30" s="49">
        <v>61.8</v>
      </c>
      <c r="J30" s="60">
        <f t="shared" ref="J30" si="53">(H30)*(I30)</f>
        <v>2163</v>
      </c>
      <c r="K30" s="73"/>
      <c r="L30" s="52">
        <v>0</v>
      </c>
      <c r="M30" s="52">
        <v>0.75</v>
      </c>
      <c r="N30" s="52">
        <v>0.25</v>
      </c>
      <c r="O30" s="52">
        <v>0.66669999999999996</v>
      </c>
      <c r="Q30" s="53">
        <f t="shared" si="39"/>
        <v>0</v>
      </c>
      <c r="R30" s="53">
        <f t="shared" si="40"/>
        <v>1622.25</v>
      </c>
      <c r="S30" s="53">
        <f t="shared" si="41"/>
        <v>540.75</v>
      </c>
      <c r="T30" s="53">
        <f t="shared" si="42"/>
        <v>1442.0720999999999</v>
      </c>
      <c r="V30" s="54">
        <f t="shared" si="43"/>
        <v>0</v>
      </c>
      <c r="W30" s="55">
        <f t="shared" si="44"/>
        <v>52.5</v>
      </c>
      <c r="X30" s="55">
        <f t="shared" si="45"/>
        <v>17.5</v>
      </c>
      <c r="Y30" s="55">
        <f t="shared" si="46"/>
        <v>46.668999999999997</v>
      </c>
    </row>
    <row r="31" spans="1:25" ht="13.5" customHeight="1">
      <c r="A31" s="37" t="str">
        <f>'6022-total and 3 yr ave'!A31</f>
        <v>312(b)</v>
      </c>
      <c r="B31" s="114" t="str">
        <f>'6022-total and 3 yr ave'!B31</f>
        <v>Letter of Intent to Meet Conditions</v>
      </c>
      <c r="C31" s="39" t="s">
        <v>116</v>
      </c>
      <c r="D31" s="40">
        <f t="shared" si="48"/>
        <v>70</v>
      </c>
      <c r="E31" s="41">
        <v>1</v>
      </c>
      <c r="F31" s="42">
        <f t="shared" si="49"/>
        <v>70</v>
      </c>
      <c r="G31" s="93">
        <v>1</v>
      </c>
      <c r="H31" s="48">
        <f t="shared" ref="H31:H33" si="54">SUM(G31*F31)</f>
        <v>70</v>
      </c>
      <c r="I31" s="49">
        <v>61.8</v>
      </c>
      <c r="J31" s="60">
        <f t="shared" si="50"/>
        <v>4326</v>
      </c>
      <c r="K31" s="73"/>
      <c r="L31" s="52">
        <v>0</v>
      </c>
      <c r="M31" s="52">
        <v>0.75</v>
      </c>
      <c r="N31" s="52">
        <v>0.25</v>
      </c>
      <c r="O31" s="52">
        <v>0.66669999999999996</v>
      </c>
      <c r="Q31" s="53">
        <f t="shared" ref="Q31:Q33" si="55">+$J31*L31</f>
        <v>0</v>
      </c>
      <c r="R31" s="53">
        <f t="shared" ref="R31:R33" si="56">+$J31*M31</f>
        <v>3244.5</v>
      </c>
      <c r="S31" s="53">
        <f t="shared" ref="S31:S33" si="57">+$J31*N31</f>
        <v>1081.5</v>
      </c>
      <c r="T31" s="53">
        <f t="shared" ref="T31:T33" si="58">+$J31*O31</f>
        <v>2884.1441999999997</v>
      </c>
      <c r="V31" s="54">
        <f t="shared" ref="V31:V33" si="59">+$D31*L31</f>
        <v>0</v>
      </c>
      <c r="W31" s="55">
        <f t="shared" ref="W31:W33" si="60">+$D31*M31</f>
        <v>52.5</v>
      </c>
      <c r="X31" s="55">
        <f t="shared" ref="X31:X33" si="61">+$D31*N31</f>
        <v>17.5</v>
      </c>
      <c r="Y31" s="55">
        <f t="shared" ref="Y31:Y33" si="62">+$D31*O31</f>
        <v>46.668999999999997</v>
      </c>
    </row>
    <row r="32" spans="1:25" ht="13.5" customHeight="1">
      <c r="A32" s="37" t="str">
        <f>'6022-total and 3 yr ave'!A32</f>
        <v>312(c)(iv)</v>
      </c>
      <c r="B32" s="114" t="str">
        <f>'6022-total and 3 yr ave'!B32</f>
        <v>Promissory Note</v>
      </c>
      <c r="C32" s="39" t="s">
        <v>118</v>
      </c>
      <c r="D32" s="40">
        <f t="shared" si="48"/>
        <v>70</v>
      </c>
      <c r="E32" s="41">
        <v>1</v>
      </c>
      <c r="F32" s="42">
        <f t="shared" si="49"/>
        <v>70</v>
      </c>
      <c r="G32" s="93">
        <v>1.5</v>
      </c>
      <c r="H32" s="48">
        <f t="shared" si="54"/>
        <v>105</v>
      </c>
      <c r="I32" s="49">
        <v>61.8</v>
      </c>
      <c r="J32" s="60">
        <f t="shared" si="50"/>
        <v>6489</v>
      </c>
      <c r="K32" s="73"/>
      <c r="L32" s="52">
        <v>0</v>
      </c>
      <c r="M32" s="52">
        <v>0.75</v>
      </c>
      <c r="N32" s="52">
        <v>0.25</v>
      </c>
      <c r="O32" s="52">
        <v>0.66669999999999996</v>
      </c>
      <c r="Q32" s="53">
        <f t="shared" si="55"/>
        <v>0</v>
      </c>
      <c r="R32" s="53">
        <f t="shared" si="56"/>
        <v>4866.75</v>
      </c>
      <c r="S32" s="53">
        <f t="shared" si="57"/>
        <v>1622.25</v>
      </c>
      <c r="T32" s="53">
        <f t="shared" si="58"/>
        <v>4326.2163</v>
      </c>
      <c r="V32" s="54">
        <f t="shared" si="59"/>
        <v>0</v>
      </c>
      <c r="W32" s="55">
        <f t="shared" si="60"/>
        <v>52.5</v>
      </c>
      <c r="X32" s="55">
        <f t="shared" si="61"/>
        <v>17.5</v>
      </c>
      <c r="Y32" s="55">
        <f t="shared" si="62"/>
        <v>46.668999999999997</v>
      </c>
    </row>
    <row r="33" spans="1:25" ht="13.5" customHeight="1">
      <c r="A33" s="37" t="str">
        <f>'6022-total and 3 yr ave'!A33</f>
        <v>312(a)</v>
      </c>
      <c r="B33" s="114" t="str">
        <f>'6022-total and 3 yr ave'!B33</f>
        <v>Loan Agreement</v>
      </c>
      <c r="C33" s="39" t="s">
        <v>115</v>
      </c>
      <c r="D33" s="40">
        <f t="shared" si="48"/>
        <v>70</v>
      </c>
      <c r="E33" s="41">
        <v>1</v>
      </c>
      <c r="F33" s="42">
        <f t="shared" si="49"/>
        <v>70</v>
      </c>
      <c r="G33" s="93">
        <v>1.5</v>
      </c>
      <c r="H33" s="48">
        <f t="shared" si="54"/>
        <v>105</v>
      </c>
      <c r="I33" s="49">
        <v>61.8</v>
      </c>
      <c r="J33" s="60">
        <f t="shared" si="50"/>
        <v>6489</v>
      </c>
      <c r="K33" s="73"/>
      <c r="L33" s="52">
        <v>0</v>
      </c>
      <c r="M33" s="52">
        <v>0.75</v>
      </c>
      <c r="N33" s="52">
        <v>0.25</v>
      </c>
      <c r="O33" s="52">
        <v>0.66669999999999996</v>
      </c>
      <c r="Q33" s="53">
        <f t="shared" si="55"/>
        <v>0</v>
      </c>
      <c r="R33" s="53">
        <f t="shared" si="56"/>
        <v>4866.75</v>
      </c>
      <c r="S33" s="53">
        <f t="shared" si="57"/>
        <v>1622.25</v>
      </c>
      <c r="T33" s="53">
        <f t="shared" si="58"/>
        <v>4326.2163</v>
      </c>
      <c r="V33" s="54">
        <f t="shared" si="59"/>
        <v>0</v>
      </c>
      <c r="W33" s="55">
        <f t="shared" si="60"/>
        <v>52.5</v>
      </c>
      <c r="X33" s="55">
        <f t="shared" si="61"/>
        <v>17.5</v>
      </c>
      <c r="Y33" s="55">
        <f t="shared" si="62"/>
        <v>46.668999999999997</v>
      </c>
    </row>
    <row r="34" spans="1:25" ht="41.25" customHeight="1">
      <c r="A34" s="37" t="str">
        <f>'6022-total and 3 yr ave'!A34</f>
        <v>313(e)</v>
      </c>
      <c r="B34" s="114" t="str">
        <f>'6022-total and 3 yr ave'!B34</f>
        <v>Rural Economic Development Grant/Rural Microentrepreneur Assistance Program Agreement</v>
      </c>
      <c r="C34" s="39" t="s">
        <v>146</v>
      </c>
      <c r="D34" s="40">
        <f>SUM('6022-yr1'!F57+'6022-yr1'!F59)</f>
        <v>63</v>
      </c>
      <c r="E34" s="41">
        <v>1</v>
      </c>
      <c r="F34" s="42">
        <f t="shared" ref="F34" si="63">SUM(D34*E34)</f>
        <v>63</v>
      </c>
      <c r="G34" s="93">
        <v>1</v>
      </c>
      <c r="H34" s="48">
        <f t="shared" ref="H34" si="64">SUM(G34*F34)</f>
        <v>63</v>
      </c>
      <c r="I34" s="49">
        <v>61.8</v>
      </c>
      <c r="J34" s="60">
        <f t="shared" ref="J34" si="65">(H34)*(I34)</f>
        <v>3893.3999999999996</v>
      </c>
      <c r="K34" s="73"/>
      <c r="L34" s="52">
        <v>0</v>
      </c>
      <c r="M34" s="52">
        <v>0.75</v>
      </c>
      <c r="N34" s="52">
        <v>0.25</v>
      </c>
      <c r="O34" s="52">
        <v>0.66669999999999996</v>
      </c>
      <c r="Q34" s="53">
        <f t="shared" ref="Q34" si="66">+$J34*L34</f>
        <v>0</v>
      </c>
      <c r="R34" s="53">
        <f t="shared" ref="R34" si="67">+$J34*M34</f>
        <v>2920.0499999999997</v>
      </c>
      <c r="S34" s="53">
        <f t="shared" ref="S34" si="68">+$J34*N34</f>
        <v>973.34999999999991</v>
      </c>
      <c r="T34" s="53">
        <f t="shared" ref="T34" si="69">+$J34*O34</f>
        <v>2595.7297799999997</v>
      </c>
      <c r="V34" s="54">
        <f t="shared" ref="V34" si="70">+$D34*L34</f>
        <v>0</v>
      </c>
      <c r="W34" s="55">
        <f t="shared" ref="W34" si="71">+$D34*M34</f>
        <v>47.25</v>
      </c>
      <c r="X34" s="55">
        <f t="shared" ref="X34" si="72">+$D34*N34</f>
        <v>15.75</v>
      </c>
      <c r="Y34" s="55">
        <f t="shared" ref="Y34" si="73">+$D34*O34</f>
        <v>42.002099999999999</v>
      </c>
    </row>
    <row r="35" spans="1:25" ht="13.5" customHeight="1">
      <c r="A35" s="37" t="str">
        <f>'6022-total and 3 yr ave'!A35</f>
        <v>315(c)(6)</v>
      </c>
      <c r="B35" s="114" t="str">
        <f>'6022-total and 3 yr ave'!B35</f>
        <v>Certification of No Federal Debt</v>
      </c>
      <c r="C35" s="39" t="s">
        <v>63</v>
      </c>
      <c r="D35" s="40">
        <f>F$59+F$62</f>
        <v>70</v>
      </c>
      <c r="E35" s="41">
        <v>1</v>
      </c>
      <c r="F35" s="42">
        <f>SUM(D35*E35)</f>
        <v>70</v>
      </c>
      <c r="G35" s="93">
        <v>0.25</v>
      </c>
      <c r="H35" s="48">
        <v>18</v>
      </c>
      <c r="I35" s="49">
        <v>61.8</v>
      </c>
      <c r="J35" s="60">
        <f>(H35)*(I35)</f>
        <v>1112.3999999999999</v>
      </c>
      <c r="K35" s="73"/>
      <c r="L35" s="52">
        <v>0</v>
      </c>
      <c r="M35" s="52">
        <v>0.75</v>
      </c>
      <c r="N35" s="52">
        <v>0.25</v>
      </c>
      <c r="O35" s="52">
        <v>0.66669999999999996</v>
      </c>
      <c r="Q35" s="53">
        <f t="shared" si="36"/>
        <v>0</v>
      </c>
      <c r="R35" s="53">
        <f t="shared" si="36"/>
        <v>834.3</v>
      </c>
      <c r="S35" s="53">
        <f t="shared" si="36"/>
        <v>278.09999999999997</v>
      </c>
      <c r="T35" s="53">
        <f t="shared" si="36"/>
        <v>741.63707999999986</v>
      </c>
      <c r="V35" s="54">
        <f t="shared" ref="V35:V45" si="74">+$D35*L35</f>
        <v>0</v>
      </c>
      <c r="W35" s="55">
        <f t="shared" ref="W35:W45" si="75">+$D35*M35</f>
        <v>52.5</v>
      </c>
      <c r="X35" s="55">
        <f t="shared" ref="X35:X45" si="76">+$D35*N35</f>
        <v>17.5</v>
      </c>
      <c r="Y35" s="55">
        <f t="shared" ref="Y35:Y45" si="77">+$D35*O35</f>
        <v>46.668999999999997</v>
      </c>
    </row>
    <row r="36" spans="1:25">
      <c r="A36" s="37" t="str">
        <f>'6022-total and 3 yr ave'!A36</f>
        <v>320(a)(1)(ii)</v>
      </c>
      <c r="B36" s="114" t="str">
        <f>'6022-total and 3 yr ave'!B36</f>
        <v>Request for Advance or Reimbursement</v>
      </c>
      <c r="C36" s="39" t="s">
        <v>71</v>
      </c>
      <c r="D36" s="40">
        <f>F$59+F$62</f>
        <v>70</v>
      </c>
      <c r="E36" s="80">
        <v>4</v>
      </c>
      <c r="F36" s="42">
        <f>SUM(D36*E36)</f>
        <v>280</v>
      </c>
      <c r="G36" s="94">
        <v>1</v>
      </c>
      <c r="H36" s="48">
        <f>SUM(G36*F36)</f>
        <v>280</v>
      </c>
      <c r="I36" s="49">
        <v>61.8</v>
      </c>
      <c r="J36" s="60">
        <f>(H36)*(I36)</f>
        <v>17304</v>
      </c>
      <c r="K36" s="45"/>
      <c r="L36" s="52">
        <v>0</v>
      </c>
      <c r="M36" s="52">
        <v>0.75</v>
      </c>
      <c r="N36" s="52">
        <v>0.25</v>
      </c>
      <c r="O36" s="52">
        <v>0.66669999999999996</v>
      </c>
      <c r="Q36" s="53">
        <f t="shared" ref="Q36:T37" si="78">+$J36*L36</f>
        <v>0</v>
      </c>
      <c r="R36" s="53">
        <f t="shared" si="78"/>
        <v>12978</v>
      </c>
      <c r="S36" s="53">
        <f t="shared" si="78"/>
        <v>4326</v>
      </c>
      <c r="T36" s="53">
        <f t="shared" si="78"/>
        <v>11536.576799999999</v>
      </c>
      <c r="V36" s="54">
        <f t="shared" ref="V36:Y37" si="79">+$D36*L36</f>
        <v>0</v>
      </c>
      <c r="W36" s="55">
        <f t="shared" si="79"/>
        <v>52.5</v>
      </c>
      <c r="X36" s="55">
        <f t="shared" si="79"/>
        <v>17.5</v>
      </c>
      <c r="Y36" s="55">
        <f t="shared" si="79"/>
        <v>46.668999999999997</v>
      </c>
    </row>
    <row r="37" spans="1:25">
      <c r="A37" s="37" t="str">
        <f>'6022-total and 3 yr ave'!A37</f>
        <v>315(c)(4)</v>
      </c>
      <c r="B37" s="114" t="str">
        <f>'6022-total and 3 yr ave'!B37</f>
        <v>Disclosure of Lobbying Activities</v>
      </c>
      <c r="C37" s="39" t="s">
        <v>18</v>
      </c>
      <c r="D37" s="40">
        <f>E$59+E$62</f>
        <v>71</v>
      </c>
      <c r="E37" s="41">
        <v>1</v>
      </c>
      <c r="F37" s="42">
        <f>SUM(D37*E37)</f>
        <v>71</v>
      </c>
      <c r="G37" s="93">
        <v>0.16</v>
      </c>
      <c r="H37" s="48">
        <v>11</v>
      </c>
      <c r="I37" s="49">
        <v>61.8</v>
      </c>
      <c r="J37" s="60">
        <f>(H37)*(I37)</f>
        <v>679.8</v>
      </c>
      <c r="K37" s="45"/>
      <c r="L37" s="52">
        <v>0</v>
      </c>
      <c r="M37" s="52">
        <v>0.75</v>
      </c>
      <c r="N37" s="52">
        <v>0.25</v>
      </c>
      <c r="O37" s="52">
        <v>0.66669999999999996</v>
      </c>
      <c r="Q37" s="53">
        <f t="shared" si="78"/>
        <v>0</v>
      </c>
      <c r="R37" s="53">
        <f t="shared" si="78"/>
        <v>509.84999999999997</v>
      </c>
      <c r="S37" s="53">
        <f t="shared" si="78"/>
        <v>169.95</v>
      </c>
      <c r="T37" s="53">
        <f t="shared" si="78"/>
        <v>453.22265999999996</v>
      </c>
      <c r="V37" s="54">
        <f t="shared" si="79"/>
        <v>0</v>
      </c>
      <c r="W37" s="55">
        <f t="shared" si="79"/>
        <v>53.25</v>
      </c>
      <c r="X37" s="55">
        <f t="shared" si="79"/>
        <v>17.75</v>
      </c>
      <c r="Y37" s="55">
        <f t="shared" si="79"/>
        <v>47.335699999999996</v>
      </c>
    </row>
    <row r="38" spans="1:25" ht="1.5" customHeight="1"/>
    <row r="39" spans="1:25" hidden="1"/>
    <row r="40" spans="1:25">
      <c r="A40" s="37"/>
      <c r="B40" s="62" t="s">
        <v>38</v>
      </c>
      <c r="C40" s="18"/>
      <c r="D40" s="75">
        <f>SUM(D26)</f>
        <v>71</v>
      </c>
      <c r="E40" s="75"/>
      <c r="F40" s="124">
        <v>1117</v>
      </c>
      <c r="G40" s="66"/>
      <c r="H40" s="125">
        <v>1297</v>
      </c>
      <c r="I40" s="77"/>
      <c r="J40" s="126">
        <v>80153</v>
      </c>
      <c r="K40" s="77"/>
      <c r="L40" s="52"/>
      <c r="M40" s="52"/>
      <c r="N40" s="52"/>
      <c r="O40" s="52"/>
      <c r="Q40" s="53"/>
      <c r="R40" s="53"/>
      <c r="S40" s="53"/>
      <c r="T40" s="53"/>
      <c r="V40" s="54"/>
      <c r="W40" s="55"/>
      <c r="X40" s="55"/>
      <c r="Y40" s="55"/>
    </row>
    <row r="41" spans="1:25">
      <c r="A41" s="37"/>
      <c r="B41" s="62"/>
      <c r="C41" s="18"/>
      <c r="D41" s="75"/>
      <c r="E41" s="75"/>
      <c r="F41" s="75"/>
      <c r="G41" s="66"/>
      <c r="H41" s="76"/>
      <c r="I41" s="77"/>
      <c r="J41" s="69"/>
      <c r="K41" s="77"/>
      <c r="L41" s="52"/>
      <c r="M41" s="52"/>
      <c r="N41" s="52"/>
      <c r="O41" s="52"/>
      <c r="Q41" s="53"/>
      <c r="R41" s="53"/>
      <c r="S41" s="53"/>
      <c r="T41" s="53"/>
      <c r="V41" s="54"/>
      <c r="W41" s="55"/>
      <c r="X41" s="55"/>
      <c r="Y41" s="55"/>
    </row>
    <row r="42" spans="1:25">
      <c r="A42" s="37"/>
      <c r="B42" s="74" t="s">
        <v>50</v>
      </c>
      <c r="C42" s="18"/>
      <c r="D42" s="65"/>
      <c r="E42" s="77"/>
      <c r="F42" s="65"/>
      <c r="G42" s="66"/>
      <c r="H42" s="67"/>
      <c r="I42" s="77"/>
      <c r="J42" s="75"/>
      <c r="K42" s="77"/>
      <c r="L42" s="52"/>
      <c r="M42" s="52"/>
      <c r="N42" s="52"/>
      <c r="O42" s="52"/>
      <c r="Q42" s="53"/>
      <c r="R42" s="53"/>
      <c r="S42" s="53"/>
      <c r="T42" s="53"/>
      <c r="V42" s="54"/>
      <c r="W42" s="55"/>
      <c r="X42" s="55"/>
      <c r="Y42" s="55"/>
    </row>
    <row r="43" spans="1:25">
      <c r="A43" s="37" t="str">
        <f>'6022-total and 3 yr ave'!A41</f>
        <v>315(c)(1)</v>
      </c>
      <c r="B43" s="114" t="str">
        <f>'6022-total and 3 yr ave'!B41</f>
        <v>Application for Federal Assistance</v>
      </c>
      <c r="C43" s="39" t="s">
        <v>34</v>
      </c>
      <c r="D43" s="40">
        <f t="shared" ref="D43:D45" si="80">E$59+E$62</f>
        <v>71</v>
      </c>
      <c r="E43" s="41">
        <v>1</v>
      </c>
      <c r="F43" s="42">
        <f t="shared" ref="F43:F45" si="81">SUM(D43*E43)</f>
        <v>71</v>
      </c>
      <c r="G43" s="43">
        <v>1</v>
      </c>
      <c r="H43" s="48">
        <f t="shared" ref="H43:H44" si="82">SUM(G43*F43)</f>
        <v>71</v>
      </c>
      <c r="I43" s="49">
        <v>61.8</v>
      </c>
      <c r="J43" s="60">
        <f t="shared" ref="J43:J45" si="83">(H43)*(I43)</f>
        <v>4387.8</v>
      </c>
      <c r="K43" s="45"/>
      <c r="L43" s="52">
        <v>0</v>
      </c>
      <c r="M43" s="52">
        <v>0.75</v>
      </c>
      <c r="N43" s="52">
        <v>0.25</v>
      </c>
      <c r="O43" s="52">
        <v>0.66669999999999996</v>
      </c>
      <c r="Q43" s="53">
        <f t="shared" ref="Q43:Q45" si="84">+$J43*L43</f>
        <v>0</v>
      </c>
      <c r="R43" s="53">
        <f t="shared" ref="R43:R45" si="85">+$J43*M43</f>
        <v>3290.8500000000004</v>
      </c>
      <c r="S43" s="53">
        <f t="shared" ref="S43:S45" si="86">+$J43*N43</f>
        <v>1096.95</v>
      </c>
      <c r="T43" s="53">
        <f t="shared" ref="T43:T45" si="87">+$J43*O43</f>
        <v>2925.3462599999998</v>
      </c>
      <c r="V43" s="54">
        <f t="shared" si="74"/>
        <v>0</v>
      </c>
      <c r="W43" s="55">
        <f t="shared" si="75"/>
        <v>53.25</v>
      </c>
      <c r="X43" s="55">
        <f t="shared" si="76"/>
        <v>17.75</v>
      </c>
      <c r="Y43" s="55">
        <f t="shared" si="77"/>
        <v>47.335699999999996</v>
      </c>
    </row>
    <row r="44" spans="1:25">
      <c r="A44" s="37" t="str">
        <f>'6022-total and 3 yr ave'!A42</f>
        <v>315(c)(2)</v>
      </c>
      <c r="B44" s="114" t="str">
        <f>'6022-total and 3 yr ave'!B42</f>
        <v>Budget Information - Non-Construction Programs</v>
      </c>
      <c r="C44" s="39" t="s">
        <v>33</v>
      </c>
      <c r="D44" s="40">
        <f t="shared" si="80"/>
        <v>71</v>
      </c>
      <c r="E44" s="41">
        <v>1</v>
      </c>
      <c r="F44" s="42">
        <f t="shared" si="81"/>
        <v>71</v>
      </c>
      <c r="G44" s="43">
        <v>3</v>
      </c>
      <c r="H44" s="48">
        <f t="shared" si="82"/>
        <v>213</v>
      </c>
      <c r="I44" s="49">
        <v>61.8</v>
      </c>
      <c r="J44" s="60">
        <f t="shared" si="83"/>
        <v>13163.4</v>
      </c>
      <c r="K44" s="45"/>
      <c r="L44" s="52">
        <v>0</v>
      </c>
      <c r="M44" s="52">
        <v>0.75</v>
      </c>
      <c r="N44" s="52">
        <v>0.25</v>
      </c>
      <c r="O44" s="52">
        <v>0.66669999999999996</v>
      </c>
      <c r="Q44" s="53">
        <f t="shared" si="84"/>
        <v>0</v>
      </c>
      <c r="R44" s="53">
        <f t="shared" si="85"/>
        <v>9872.5499999999993</v>
      </c>
      <c r="S44" s="53">
        <f t="shared" si="86"/>
        <v>3290.85</v>
      </c>
      <c r="T44" s="53">
        <f t="shared" si="87"/>
        <v>8776.038779999999</v>
      </c>
      <c r="V44" s="54">
        <f t="shared" si="74"/>
        <v>0</v>
      </c>
      <c r="W44" s="55">
        <f t="shared" si="75"/>
        <v>53.25</v>
      </c>
      <c r="X44" s="55">
        <f t="shared" si="76"/>
        <v>17.75</v>
      </c>
      <c r="Y44" s="55">
        <f t="shared" si="77"/>
        <v>47.335699999999996</v>
      </c>
    </row>
    <row r="45" spans="1:25">
      <c r="A45" s="37" t="str">
        <f>'6022-total and 3 yr ave'!A43</f>
        <v>315(c)(3)</v>
      </c>
      <c r="B45" s="114" t="str">
        <f>'6022-total and 3 yr ave'!B43</f>
        <v>Assurances - Non-Construction Program</v>
      </c>
      <c r="C45" s="39" t="s">
        <v>37</v>
      </c>
      <c r="D45" s="40">
        <f t="shared" si="80"/>
        <v>71</v>
      </c>
      <c r="E45" s="80">
        <v>1</v>
      </c>
      <c r="F45" s="42">
        <f t="shared" si="81"/>
        <v>71</v>
      </c>
      <c r="G45" s="94">
        <v>0.25</v>
      </c>
      <c r="H45" s="48">
        <v>18</v>
      </c>
      <c r="I45" s="49">
        <v>61.8</v>
      </c>
      <c r="J45" s="60">
        <f t="shared" si="83"/>
        <v>1112.3999999999999</v>
      </c>
      <c r="K45" s="45"/>
      <c r="L45" s="52">
        <v>0</v>
      </c>
      <c r="M45" s="52">
        <v>0.75</v>
      </c>
      <c r="N45" s="52">
        <v>0.25</v>
      </c>
      <c r="O45" s="52">
        <v>0.66669999999999996</v>
      </c>
      <c r="Q45" s="53">
        <f t="shared" si="84"/>
        <v>0</v>
      </c>
      <c r="R45" s="53">
        <f t="shared" si="85"/>
        <v>834.3</v>
      </c>
      <c r="S45" s="53">
        <f t="shared" si="86"/>
        <v>278.09999999999997</v>
      </c>
      <c r="T45" s="53">
        <f t="shared" si="87"/>
        <v>741.63707999999986</v>
      </c>
      <c r="V45" s="54">
        <f t="shared" si="74"/>
        <v>0</v>
      </c>
      <c r="W45" s="55">
        <f t="shared" si="75"/>
        <v>53.25</v>
      </c>
      <c r="X45" s="55">
        <f t="shared" si="76"/>
        <v>17.75</v>
      </c>
      <c r="Y45" s="55">
        <f t="shared" si="77"/>
        <v>47.335699999999996</v>
      </c>
    </row>
    <row r="46" spans="1:25">
      <c r="A46" s="37" t="str">
        <f>'6022-total and 3 yr ave'!A44</f>
        <v>320(a)(1)(i)</v>
      </c>
      <c r="B46" s="114" t="str">
        <f>'6022-total and 3 yr ave'!B44</f>
        <v>Project Performance Report cover sheet</v>
      </c>
      <c r="C46" s="41" t="s">
        <v>157</v>
      </c>
      <c r="D46" s="40">
        <f t="shared" ref="D46:D48" si="88">F$59+F$62</f>
        <v>70</v>
      </c>
      <c r="E46" s="41">
        <v>1</v>
      </c>
      <c r="F46" s="42">
        <f>SUM(D46*E46)</f>
        <v>70</v>
      </c>
      <c r="G46" s="41">
        <v>0.42</v>
      </c>
      <c r="H46" s="48">
        <v>29</v>
      </c>
      <c r="I46" s="59">
        <v>60</v>
      </c>
      <c r="J46" s="59">
        <f>(H46)*(I46)</f>
        <v>1740</v>
      </c>
      <c r="L46" s="35"/>
    </row>
    <row r="47" spans="1:25">
      <c r="A47" s="37" t="str">
        <f>'6022-total and 3 yr ave'!A45</f>
        <v>320(a)(1)(i)</v>
      </c>
      <c r="B47" s="114" t="str">
        <f>'6022-total and 3 yr ave'!B45</f>
        <v>Performance Measures</v>
      </c>
      <c r="C47" s="41" t="s">
        <v>158</v>
      </c>
      <c r="D47" s="40">
        <f t="shared" si="88"/>
        <v>70</v>
      </c>
      <c r="E47" s="41">
        <v>1</v>
      </c>
      <c r="F47" s="42">
        <f>SUM(D47*E47)</f>
        <v>70</v>
      </c>
      <c r="G47" s="41">
        <v>0.75</v>
      </c>
      <c r="H47" s="48">
        <v>53</v>
      </c>
      <c r="I47" s="59">
        <v>60</v>
      </c>
      <c r="J47" s="59">
        <f>(H47)*(I47)</f>
        <v>3180</v>
      </c>
      <c r="L47" s="35"/>
    </row>
    <row r="48" spans="1:25">
      <c r="A48" s="37" t="str">
        <f>'6022-total and 3 yr ave'!A46</f>
        <v>320(a)(1)(i)</v>
      </c>
      <c r="B48" s="114" t="str">
        <f>'6022-total and 3 yr ave'!B46</f>
        <v>Activity Based Expenditures</v>
      </c>
      <c r="C48" s="41" t="s">
        <v>159</v>
      </c>
      <c r="D48" s="40">
        <f t="shared" si="88"/>
        <v>70</v>
      </c>
      <c r="E48" s="41">
        <v>1</v>
      </c>
      <c r="F48" s="42">
        <f t="shared" ref="F48" si="89">SUM(D48*E48)</f>
        <v>70</v>
      </c>
      <c r="G48" s="41">
        <v>0.33</v>
      </c>
      <c r="H48" s="48">
        <v>23</v>
      </c>
      <c r="I48" s="59">
        <v>60</v>
      </c>
      <c r="J48" s="59">
        <f t="shared" ref="J48" si="90">(H48)*(I48)</f>
        <v>1380</v>
      </c>
      <c r="K48" s="96"/>
      <c r="L48" s="35"/>
    </row>
    <row r="49" spans="1:25">
      <c r="B49" s="62" t="s">
        <v>38</v>
      </c>
      <c r="C49" s="63"/>
      <c r="D49" s="75">
        <f>SUM(D43)</f>
        <v>71</v>
      </c>
      <c r="E49" s="35"/>
      <c r="F49" s="75">
        <v>423</v>
      </c>
      <c r="G49" s="81"/>
      <c r="H49" s="76">
        <v>407</v>
      </c>
      <c r="I49" s="35"/>
      <c r="J49" s="69">
        <v>24963</v>
      </c>
      <c r="L49" s="52">
        <v>0</v>
      </c>
      <c r="M49" s="52">
        <v>0.75</v>
      </c>
      <c r="N49" s="52">
        <v>0.25</v>
      </c>
      <c r="O49" s="52">
        <v>0.66669999999999996</v>
      </c>
      <c r="V49" s="54">
        <f>+$D49*L49</f>
        <v>0</v>
      </c>
      <c r="W49" s="95">
        <f>+$D49*M49</f>
        <v>53.25</v>
      </c>
      <c r="X49" s="95">
        <f>+$D49*N49</f>
        <v>17.75</v>
      </c>
      <c r="Y49" s="55">
        <f>+$D49*O49</f>
        <v>47.335699999999996</v>
      </c>
    </row>
    <row r="50" spans="1:25">
      <c r="B50" s="62"/>
      <c r="C50" s="63"/>
      <c r="D50" s="77"/>
      <c r="E50" s="35"/>
      <c r="F50" s="75"/>
      <c r="G50" s="81"/>
      <c r="H50" s="75"/>
      <c r="I50" s="35"/>
      <c r="J50" s="69"/>
      <c r="L50" s="35"/>
      <c r="M50" s="52"/>
      <c r="N50" s="52"/>
      <c r="O50" s="52"/>
      <c r="R50" s="82">
        <f>SUM(R7:R49)</f>
        <v>151703.55000000005</v>
      </c>
      <c r="S50" s="82">
        <f>SUM(S7:S49)</f>
        <v>50567.849999999984</v>
      </c>
      <c r="T50" s="82">
        <f>SUM(T7:T45)</f>
        <v>134854.34237999999</v>
      </c>
      <c r="W50" s="83"/>
      <c r="X50" s="83"/>
      <c r="Y50" s="84"/>
    </row>
    <row r="51" spans="1:25">
      <c r="B51" s="116" t="s">
        <v>169</v>
      </c>
      <c r="C51" s="63"/>
      <c r="D51" s="66">
        <f>SUM(D49)</f>
        <v>71</v>
      </c>
      <c r="E51" s="35"/>
      <c r="F51" s="76">
        <v>1822</v>
      </c>
      <c r="G51" s="81"/>
      <c r="H51" s="76">
        <v>3013</v>
      </c>
      <c r="I51" s="35"/>
      <c r="J51" s="69">
        <v>186201</v>
      </c>
      <c r="L51" s="35"/>
      <c r="M51" s="52"/>
      <c r="N51" s="52"/>
      <c r="O51" s="52"/>
    </row>
    <row r="52" spans="1:25">
      <c r="A52" s="35"/>
      <c r="J52" s="37"/>
      <c r="L52" s="35"/>
    </row>
    <row r="53" spans="1:25">
      <c r="A53" s="45"/>
      <c r="B53" s="87"/>
      <c r="C53" s="96"/>
      <c r="D53" s="96"/>
      <c r="E53" s="96"/>
      <c r="F53" s="96"/>
      <c r="G53" s="96"/>
      <c r="H53" s="96"/>
      <c r="I53" s="96"/>
      <c r="J53" s="96"/>
      <c r="K53" s="96"/>
      <c r="L53" s="35"/>
    </row>
    <row r="54" spans="1:25">
      <c r="A54" s="45"/>
      <c r="B54" s="87"/>
      <c r="C54" s="36"/>
      <c r="G54" s="36"/>
      <c r="L54" s="35"/>
    </row>
    <row r="55" spans="1:25">
      <c r="A55" s="88"/>
      <c r="B55" s="35"/>
      <c r="C55" s="143" t="s">
        <v>76</v>
      </c>
      <c r="D55" s="144"/>
      <c r="E55" s="145" t="s">
        <v>77</v>
      </c>
      <c r="F55" s="145"/>
      <c r="G55" s="146" t="s">
        <v>78</v>
      </c>
      <c r="H55" s="144"/>
      <c r="I55" s="35"/>
      <c r="J55" s="90"/>
      <c r="K55" s="64"/>
      <c r="L55" s="35"/>
    </row>
    <row r="56" spans="1:25">
      <c r="A56" s="45"/>
      <c r="B56" s="35" t="s">
        <v>74</v>
      </c>
      <c r="C56" s="112" t="s">
        <v>56</v>
      </c>
      <c r="D56" s="35" t="s">
        <v>75</v>
      </c>
      <c r="E56" s="112" t="s">
        <v>56</v>
      </c>
      <c r="F56" s="35" t="s">
        <v>75</v>
      </c>
      <c r="G56" s="112" t="s">
        <v>56</v>
      </c>
      <c r="H56" s="35" t="s">
        <v>75</v>
      </c>
      <c r="I56" s="35"/>
      <c r="J56" s="90"/>
      <c r="K56" s="64"/>
      <c r="L56" s="35"/>
    </row>
    <row r="57" spans="1:25">
      <c r="A57" s="45"/>
      <c r="B57" s="35" t="s">
        <v>109</v>
      </c>
      <c r="C57" s="112">
        <v>48</v>
      </c>
      <c r="D57" s="113">
        <v>43</v>
      </c>
      <c r="E57" s="113">
        <f>43+2</f>
        <v>45</v>
      </c>
      <c r="F57" s="113">
        <v>45</v>
      </c>
      <c r="G57" s="98">
        <f>45+10</f>
        <v>55</v>
      </c>
      <c r="H57" s="91">
        <v>55</v>
      </c>
      <c r="I57" s="35"/>
      <c r="J57" s="90"/>
      <c r="K57" s="64"/>
      <c r="L57" s="35"/>
    </row>
    <row r="58" spans="1:25">
      <c r="A58" s="45"/>
      <c r="B58" s="35" t="s">
        <v>108</v>
      </c>
      <c r="C58" s="37">
        <v>12</v>
      </c>
      <c r="D58" s="37">
        <v>10</v>
      </c>
      <c r="E58" s="37">
        <f>11+8</f>
        <v>19</v>
      </c>
      <c r="F58" s="37">
        <v>18</v>
      </c>
      <c r="G58" s="85">
        <v>19</v>
      </c>
      <c r="H58" s="37">
        <v>18</v>
      </c>
      <c r="I58" s="35"/>
      <c r="J58" s="90"/>
      <c r="K58" s="64"/>
      <c r="L58" s="35"/>
    </row>
    <row r="59" spans="1:25">
      <c r="A59" s="45"/>
      <c r="B59" s="35" t="s">
        <v>79</v>
      </c>
      <c r="C59" s="37">
        <f t="shared" ref="C59:H59" si="91">SUM(C57:C58)</f>
        <v>60</v>
      </c>
      <c r="D59" s="37">
        <f t="shared" si="91"/>
        <v>53</v>
      </c>
      <c r="E59" s="37">
        <f t="shared" si="91"/>
        <v>64</v>
      </c>
      <c r="F59" s="37">
        <f t="shared" si="91"/>
        <v>63</v>
      </c>
      <c r="G59" s="37">
        <f t="shared" si="91"/>
        <v>74</v>
      </c>
      <c r="H59" s="37">
        <f t="shared" si="91"/>
        <v>73</v>
      </c>
      <c r="I59" s="35"/>
      <c r="J59" s="90"/>
      <c r="K59" s="64"/>
      <c r="L59" s="35"/>
    </row>
    <row r="60" spans="1:25">
      <c r="A60" s="45"/>
      <c r="B60" s="35"/>
      <c r="D60" s="37"/>
      <c r="E60" s="37"/>
      <c r="F60" s="37"/>
      <c r="G60" s="37"/>
      <c r="H60" s="37"/>
      <c r="I60" s="35"/>
      <c r="J60" s="90"/>
      <c r="K60" s="64"/>
      <c r="L60" s="35"/>
    </row>
    <row r="61" spans="1:25">
      <c r="A61" s="45"/>
      <c r="B61" s="87"/>
      <c r="C61" s="112"/>
      <c r="D61" s="113"/>
      <c r="E61" s="113"/>
      <c r="F61" s="113"/>
      <c r="G61" s="98"/>
      <c r="H61" s="91"/>
      <c r="I61" s="35"/>
      <c r="J61" s="90"/>
      <c r="K61" s="64"/>
      <c r="L61" s="35"/>
    </row>
    <row r="62" spans="1:25">
      <c r="A62" s="45"/>
      <c r="B62" s="87" t="s">
        <v>167</v>
      </c>
      <c r="C62" s="112">
        <v>7</v>
      </c>
      <c r="D62" s="113">
        <v>7</v>
      </c>
      <c r="E62" s="113">
        <v>7</v>
      </c>
      <c r="F62" s="113">
        <v>7</v>
      </c>
      <c r="G62" s="98">
        <v>7</v>
      </c>
      <c r="H62" s="91">
        <v>7</v>
      </c>
      <c r="L62" s="35"/>
    </row>
    <row r="63" spans="1:25">
      <c r="B63" s="92"/>
      <c r="C63" s="37" t="s">
        <v>79</v>
      </c>
      <c r="D63" s="37" t="s">
        <v>119</v>
      </c>
      <c r="F63" s="37"/>
      <c r="H63" s="37"/>
      <c r="L63" s="35"/>
    </row>
    <row r="64" spans="1:25">
      <c r="B64" s="103" t="s">
        <v>120</v>
      </c>
      <c r="C64" s="85">
        <f>+C59+C62+E59+E62+G59+G62</f>
        <v>219</v>
      </c>
      <c r="D64" s="37">
        <f>+C64/3</f>
        <v>73</v>
      </c>
      <c r="L64" s="35"/>
    </row>
    <row r="65" spans="2:12">
      <c r="B65" s="103" t="s">
        <v>121</v>
      </c>
      <c r="C65" s="115">
        <f>+D59+D62+F59+F62+H59+H62</f>
        <v>210</v>
      </c>
      <c r="D65" s="37">
        <f>+C65/3</f>
        <v>70</v>
      </c>
      <c r="L65" s="35"/>
    </row>
    <row r="66" spans="2:12">
      <c r="L66" s="35"/>
    </row>
    <row r="67" spans="2:12">
      <c r="L67" s="35"/>
    </row>
    <row r="68" spans="2:12">
      <c r="L68" s="35"/>
    </row>
    <row r="69" spans="2:12">
      <c r="L69" s="35"/>
    </row>
    <row r="70" spans="2:12">
      <c r="L70" s="35"/>
    </row>
    <row r="71" spans="2:12">
      <c r="L71" s="35"/>
    </row>
    <row r="72" spans="2:12">
      <c r="L72" s="35"/>
    </row>
    <row r="73" spans="2:12">
      <c r="L73" s="35"/>
    </row>
    <row r="74" spans="2:12">
      <c r="L74" s="35"/>
    </row>
    <row r="75" spans="2:12">
      <c r="L75" s="35"/>
    </row>
    <row r="76" spans="2:12">
      <c r="L76" s="35"/>
    </row>
    <row r="77" spans="2:12">
      <c r="L77" s="35"/>
    </row>
    <row r="78" spans="2:12">
      <c r="C78" s="36"/>
      <c r="G78" s="36"/>
      <c r="L78" s="35"/>
    </row>
    <row r="79" spans="2:12">
      <c r="C79" s="36"/>
      <c r="G79" s="36"/>
      <c r="L79" s="35"/>
    </row>
    <row r="80" spans="2:12">
      <c r="C80" s="36"/>
      <c r="G80" s="36"/>
      <c r="L80" s="35"/>
    </row>
    <row r="81" spans="3:12">
      <c r="C81" s="36"/>
      <c r="G81" s="36"/>
      <c r="L81" s="35"/>
    </row>
    <row r="82" spans="3:12">
      <c r="C82" s="36"/>
      <c r="G82" s="36"/>
      <c r="L82" s="35"/>
    </row>
    <row r="83" spans="3:12">
      <c r="C83" s="36"/>
      <c r="G83" s="36"/>
      <c r="L83" s="35"/>
    </row>
    <row r="84" spans="3:12">
      <c r="C84" s="36"/>
      <c r="G84" s="36"/>
      <c r="L84" s="35"/>
    </row>
    <row r="85" spans="3:12">
      <c r="C85" s="36"/>
      <c r="G85" s="36"/>
      <c r="L85" s="35"/>
    </row>
    <row r="86" spans="3:12">
      <c r="C86" s="36"/>
      <c r="G86" s="36"/>
      <c r="L86" s="35"/>
    </row>
    <row r="87" spans="3:12">
      <c r="C87" s="36"/>
      <c r="G87" s="36"/>
      <c r="L87" s="35"/>
    </row>
    <row r="88" spans="3:12">
      <c r="C88" s="36"/>
      <c r="G88" s="36"/>
      <c r="L88" s="35"/>
    </row>
    <row r="89" spans="3:12">
      <c r="C89" s="36"/>
      <c r="G89" s="36"/>
      <c r="L89" s="35"/>
    </row>
    <row r="90" spans="3:12">
      <c r="C90" s="36"/>
      <c r="G90" s="36"/>
      <c r="L90" s="35"/>
    </row>
    <row r="91" spans="3:12">
      <c r="C91" s="36"/>
      <c r="G91" s="36"/>
      <c r="L91" s="35"/>
    </row>
    <row r="92" spans="3:12">
      <c r="C92" s="36"/>
      <c r="G92" s="36"/>
      <c r="L92" s="35"/>
    </row>
    <row r="93" spans="3:12">
      <c r="C93" s="36"/>
      <c r="G93" s="36"/>
      <c r="L93" s="35"/>
    </row>
    <row r="94" spans="3:12">
      <c r="C94" s="36"/>
      <c r="G94" s="36"/>
      <c r="L94" s="35"/>
    </row>
    <row r="95" spans="3:12">
      <c r="C95" s="36"/>
      <c r="G95" s="36"/>
      <c r="L95" s="35"/>
    </row>
    <row r="96" spans="3:12">
      <c r="C96" s="36"/>
      <c r="G96" s="36"/>
      <c r="L96" s="35"/>
    </row>
    <row r="97" spans="3:12">
      <c r="C97" s="36"/>
      <c r="G97" s="36"/>
      <c r="L97" s="35"/>
    </row>
    <row r="98" spans="3:12">
      <c r="C98" s="36"/>
      <c r="G98" s="36"/>
      <c r="L98" s="35"/>
    </row>
    <row r="99" spans="3:12">
      <c r="C99" s="36"/>
      <c r="G99" s="36"/>
      <c r="L99" s="35"/>
    </row>
    <row r="100" spans="3:12">
      <c r="C100" s="36"/>
      <c r="G100" s="36"/>
      <c r="L100" s="35"/>
    </row>
    <row r="101" spans="3:12">
      <c r="C101" s="36"/>
      <c r="G101" s="36"/>
      <c r="L101" s="35"/>
    </row>
    <row r="102" spans="3:12">
      <c r="C102" s="36"/>
      <c r="G102" s="36"/>
      <c r="L102" s="35"/>
    </row>
    <row r="103" spans="3:12">
      <c r="C103" s="36"/>
      <c r="G103" s="36"/>
      <c r="L103" s="35"/>
    </row>
    <row r="104" spans="3:12">
      <c r="C104" s="36"/>
      <c r="G104" s="36"/>
      <c r="L104" s="35"/>
    </row>
    <row r="105" spans="3:12">
      <c r="C105" s="36"/>
      <c r="G105" s="36"/>
      <c r="L105" s="35"/>
    </row>
    <row r="106" spans="3:12">
      <c r="C106" s="36"/>
      <c r="G106" s="36"/>
      <c r="L106" s="35"/>
    </row>
    <row r="107" spans="3:12">
      <c r="C107" s="36"/>
      <c r="G107" s="36"/>
      <c r="L107" s="35"/>
    </row>
    <row r="108" spans="3:12">
      <c r="C108" s="36"/>
      <c r="G108" s="36"/>
      <c r="L108" s="35"/>
    </row>
    <row r="109" spans="3:12">
      <c r="C109" s="36"/>
      <c r="G109" s="36"/>
      <c r="L109" s="35"/>
    </row>
    <row r="110" spans="3:12">
      <c r="C110" s="36"/>
      <c r="G110" s="36"/>
      <c r="L110" s="35"/>
    </row>
    <row r="111" spans="3:12">
      <c r="C111" s="36"/>
      <c r="G111" s="36"/>
      <c r="L111" s="35"/>
    </row>
    <row r="112" spans="3:12">
      <c r="C112" s="36"/>
      <c r="G112" s="36"/>
      <c r="L112" s="35"/>
    </row>
    <row r="113" spans="3:12">
      <c r="C113" s="36"/>
      <c r="G113" s="36"/>
      <c r="L113" s="35"/>
    </row>
    <row r="114" spans="3:12">
      <c r="C114" s="36"/>
      <c r="G114" s="36"/>
      <c r="L114" s="35"/>
    </row>
    <row r="115" spans="3:12">
      <c r="C115" s="36"/>
      <c r="G115" s="36"/>
      <c r="L115" s="35"/>
    </row>
    <row r="116" spans="3:12">
      <c r="C116" s="36"/>
      <c r="G116" s="36"/>
      <c r="L116" s="35"/>
    </row>
    <row r="117" spans="3:12">
      <c r="C117" s="36"/>
      <c r="G117" s="36"/>
      <c r="L117" s="35"/>
    </row>
    <row r="118" spans="3:12">
      <c r="C118" s="36"/>
      <c r="G118" s="36"/>
      <c r="L118" s="35"/>
    </row>
    <row r="119" spans="3:12">
      <c r="C119" s="36"/>
      <c r="G119" s="36"/>
      <c r="L119" s="35"/>
    </row>
    <row r="120" spans="3:12">
      <c r="C120" s="36"/>
      <c r="G120" s="36"/>
      <c r="L120" s="35"/>
    </row>
    <row r="121" spans="3:12">
      <c r="C121" s="36"/>
      <c r="G121" s="36"/>
      <c r="L121" s="35"/>
    </row>
    <row r="122" spans="3:12">
      <c r="C122" s="36"/>
      <c r="G122" s="36"/>
      <c r="L122" s="35"/>
    </row>
    <row r="123" spans="3:12">
      <c r="C123" s="36"/>
      <c r="G123" s="36"/>
      <c r="L123" s="35"/>
    </row>
    <row r="124" spans="3:12">
      <c r="C124" s="36"/>
      <c r="G124" s="36"/>
      <c r="L124" s="35"/>
    </row>
    <row r="125" spans="3:12">
      <c r="C125" s="36"/>
      <c r="G125" s="36"/>
      <c r="L125" s="35"/>
    </row>
    <row r="126" spans="3:12">
      <c r="C126" s="36"/>
      <c r="G126" s="36"/>
      <c r="L126" s="35"/>
    </row>
    <row r="127" spans="3:12">
      <c r="C127" s="36"/>
      <c r="G127" s="36"/>
      <c r="L127" s="35"/>
    </row>
    <row r="128" spans="3:12">
      <c r="C128" s="36"/>
      <c r="G128" s="36"/>
      <c r="L128" s="35"/>
    </row>
    <row r="129" spans="3:12">
      <c r="C129" s="36"/>
      <c r="G129" s="36"/>
      <c r="L129" s="35"/>
    </row>
    <row r="130" spans="3:12">
      <c r="C130" s="36"/>
      <c r="G130" s="36"/>
      <c r="L130" s="35"/>
    </row>
    <row r="131" spans="3:12">
      <c r="C131" s="36"/>
      <c r="G131" s="36"/>
      <c r="L131" s="35"/>
    </row>
    <row r="132" spans="3:12">
      <c r="C132" s="36"/>
      <c r="G132" s="36"/>
      <c r="L132" s="35"/>
    </row>
  </sheetData>
  <customSheetViews>
    <customSheetView guid="{C3053AD8-900F-4045-B60E-43CCFD9EF7DD}" scale="90" fitToPage="1">
      <selection activeCell="D45" sqref="D45"/>
      <pageMargins left="0.7" right="0.7" top="0.75" bottom="0.75" header="0.3" footer="0.3"/>
      <pageSetup scale="56" fitToWidth="2" orientation="landscape" r:id="rId1"/>
    </customSheetView>
    <customSheetView guid="{855078B0-1E21-4B25-9C5A-4782BC11700B}" scale="90" showPageBreaks="1" fitToPage="1" topLeftCell="F13">
      <selection activeCell="D32" sqref="D32:D33"/>
      <pageMargins left="0.7" right="0.7" top="0.75" bottom="0.75" header="0.3" footer="0.3"/>
      <pageSetup scale="54" fitToWidth="2" orientation="landscape" r:id="rId2"/>
    </customSheetView>
  </customSheetViews>
  <mergeCells count="9">
    <mergeCell ref="V2:Y2"/>
    <mergeCell ref="B5:C5"/>
    <mergeCell ref="A1:D1"/>
    <mergeCell ref="A2:D2"/>
    <mergeCell ref="L2:O2"/>
    <mergeCell ref="Q2:T2"/>
    <mergeCell ref="C55:D55"/>
    <mergeCell ref="E55:F55"/>
    <mergeCell ref="G55:H55"/>
  </mergeCells>
  <phoneticPr fontId="0" type="noConversion"/>
  <pageMargins left="0.7" right="0.7" top="0.75" bottom="0.75" header="0.3" footer="0.3"/>
  <pageSetup scale="48" fitToWidth="2" orientation="landscape" r:id="rId3"/>
  <colBreaks count="1" manualBreakCount="1">
    <brk id="11" max="51" man="1"/>
  </colBreaks>
</worksheet>
</file>

<file path=xl/worksheets/sheet4.xml><?xml version="1.0" encoding="utf-8"?>
<worksheet xmlns="http://schemas.openxmlformats.org/spreadsheetml/2006/main" xmlns:r="http://schemas.openxmlformats.org/officeDocument/2006/relationships">
  <dimension ref="A1:Y130"/>
  <sheetViews>
    <sheetView topLeftCell="E1" zoomScaleNormal="100" workbookViewId="0">
      <selection activeCell="K12" sqref="K12"/>
    </sheetView>
  </sheetViews>
  <sheetFormatPr defaultColWidth="9.140625" defaultRowHeight="12.75"/>
  <cols>
    <col min="1" max="1" width="19.42578125" style="36" customWidth="1"/>
    <col min="2" max="2" width="58.42578125" style="36" customWidth="1"/>
    <col min="3" max="3" width="28" style="37" customWidth="1"/>
    <col min="4" max="4" width="18.85546875" style="36" customWidth="1"/>
    <col min="5" max="5" width="15.28515625" style="36" customWidth="1"/>
    <col min="6" max="6" width="15.7109375" style="36" customWidth="1"/>
    <col min="7" max="7" width="16.85546875" style="70" customWidth="1"/>
    <col min="8" max="8" width="16.140625" style="36" customWidth="1"/>
    <col min="9" max="9" width="21" style="36" customWidth="1"/>
    <col min="10" max="10" width="29" style="36" customWidth="1"/>
    <col min="11" max="11" width="9.140625" style="36"/>
    <col min="12" max="12" width="15.5703125" style="36" bestFit="1" customWidth="1"/>
    <col min="13" max="13" width="10.85546875" style="36" bestFit="1" customWidth="1"/>
    <col min="14" max="14" width="11.5703125" style="36" bestFit="1" customWidth="1"/>
    <col min="15" max="15" width="12" style="36" bestFit="1" customWidth="1"/>
    <col min="16" max="16" width="9.140625" style="36"/>
    <col min="17" max="18" width="10.85546875" style="36" bestFit="1" customWidth="1"/>
    <col min="19" max="19" width="11.5703125" style="36" bestFit="1" customWidth="1"/>
    <col min="20" max="20" width="12" style="36" bestFit="1" customWidth="1"/>
    <col min="21" max="21" width="9.140625" style="36"/>
    <col min="22" max="23" width="10.85546875" style="36" bestFit="1" customWidth="1"/>
    <col min="24" max="24" width="11.5703125" style="36" bestFit="1" customWidth="1"/>
    <col min="25" max="25" width="12" style="36" bestFit="1" customWidth="1"/>
    <col min="26" max="16384" width="9.140625" style="36"/>
  </cols>
  <sheetData>
    <row r="1" spans="1:25" s="21" customFormat="1">
      <c r="A1" s="139" t="s">
        <v>99</v>
      </c>
      <c r="B1" s="139"/>
      <c r="C1" s="139"/>
      <c r="D1" s="139"/>
      <c r="G1" s="22"/>
    </row>
    <row r="2" spans="1:25" s="21" customFormat="1">
      <c r="A2" s="142" t="s">
        <v>12</v>
      </c>
      <c r="B2" s="142"/>
      <c r="C2" s="142"/>
      <c r="D2" s="142"/>
      <c r="G2" s="22"/>
      <c r="L2" s="138" t="s">
        <v>32</v>
      </c>
      <c r="M2" s="138"/>
      <c r="N2" s="138"/>
      <c r="O2" s="138"/>
      <c r="P2" s="23"/>
      <c r="Q2" s="138" t="s">
        <v>31</v>
      </c>
      <c r="R2" s="138"/>
      <c r="S2" s="138"/>
      <c r="T2" s="138"/>
      <c r="V2" s="139" t="s">
        <v>39</v>
      </c>
      <c r="W2" s="139"/>
      <c r="X2" s="139"/>
      <c r="Y2" s="139"/>
    </row>
    <row r="3" spans="1:25" s="21" customFormat="1" ht="63.75">
      <c r="A3" s="4" t="s">
        <v>0</v>
      </c>
      <c r="B3" s="5" t="s">
        <v>13</v>
      </c>
      <c r="C3" s="6" t="s">
        <v>14</v>
      </c>
      <c r="D3" s="6" t="s">
        <v>89</v>
      </c>
      <c r="E3" s="6" t="s">
        <v>40</v>
      </c>
      <c r="F3" s="6" t="s">
        <v>42</v>
      </c>
      <c r="G3" s="8" t="s">
        <v>1</v>
      </c>
      <c r="H3" s="6" t="s">
        <v>43</v>
      </c>
      <c r="I3" s="6" t="s">
        <v>59</v>
      </c>
      <c r="J3" s="7" t="s">
        <v>44</v>
      </c>
      <c r="L3" s="2" t="s">
        <v>27</v>
      </c>
      <c r="M3" s="2" t="s">
        <v>28</v>
      </c>
      <c r="N3" s="2" t="s">
        <v>29</v>
      </c>
      <c r="O3" s="2" t="s">
        <v>30</v>
      </c>
      <c r="Q3" s="2" t="s">
        <v>27</v>
      </c>
      <c r="R3" s="2" t="s">
        <v>28</v>
      </c>
      <c r="S3" s="2" t="s">
        <v>29</v>
      </c>
      <c r="T3" s="2" t="s">
        <v>30</v>
      </c>
      <c r="V3" s="2" t="s">
        <v>27</v>
      </c>
      <c r="W3" s="2" t="s">
        <v>28</v>
      </c>
      <c r="X3" s="2" t="s">
        <v>29</v>
      </c>
      <c r="Y3" s="2" t="s">
        <v>30</v>
      </c>
    </row>
    <row r="4" spans="1:25" s="29" customFormat="1">
      <c r="A4" s="25" t="s">
        <v>2</v>
      </c>
      <c r="B4" s="26" t="s">
        <v>3</v>
      </c>
      <c r="C4" s="26" t="s">
        <v>4</v>
      </c>
      <c r="D4" s="26" t="s">
        <v>5</v>
      </c>
      <c r="E4" s="26" t="s">
        <v>6</v>
      </c>
      <c r="F4" s="26" t="s">
        <v>7</v>
      </c>
      <c r="G4" s="27" t="s">
        <v>8</v>
      </c>
      <c r="H4" s="26" t="s">
        <v>9</v>
      </c>
      <c r="I4" s="26" t="s">
        <v>10</v>
      </c>
      <c r="J4" s="28" t="s">
        <v>41</v>
      </c>
    </row>
    <row r="5" spans="1:25">
      <c r="A5" s="30"/>
      <c r="B5" s="140" t="s">
        <v>45</v>
      </c>
      <c r="C5" s="141"/>
      <c r="D5" s="31"/>
      <c r="E5" s="32"/>
      <c r="F5" s="31"/>
      <c r="G5" s="33"/>
      <c r="H5" s="31"/>
      <c r="I5" s="32"/>
      <c r="J5" s="137"/>
      <c r="K5" s="35"/>
      <c r="L5" s="35"/>
    </row>
    <row r="6" spans="1:25">
      <c r="A6" s="37"/>
      <c r="B6" s="38" t="s">
        <v>48</v>
      </c>
      <c r="C6" s="39"/>
      <c r="D6" s="40"/>
      <c r="E6" s="41"/>
      <c r="F6" s="42"/>
      <c r="G6" s="43"/>
      <c r="H6" s="40"/>
      <c r="I6" s="41"/>
      <c r="J6" s="44"/>
      <c r="K6" s="45"/>
      <c r="L6" s="35"/>
    </row>
    <row r="7" spans="1:25">
      <c r="A7" s="37" t="str">
        <f>'6022-total and 3 yr ave'!A7</f>
        <v>311(g)(1); 320(a)(1)</v>
      </c>
      <c r="B7" s="114" t="str">
        <f>'6022-total and 3 yr ave'!B7</f>
        <v>Quarterly reports</v>
      </c>
      <c r="C7" s="39" t="s">
        <v>16</v>
      </c>
      <c r="D7" s="40">
        <f>H$57+H$60</f>
        <v>80</v>
      </c>
      <c r="E7" s="41">
        <v>4</v>
      </c>
      <c r="F7" s="42">
        <f>SUM(D7*E7)</f>
        <v>320</v>
      </c>
      <c r="G7" s="43">
        <v>2</v>
      </c>
      <c r="H7" s="48">
        <f>SUM(G7*F7)</f>
        <v>640</v>
      </c>
      <c r="I7" s="49">
        <v>63.65</v>
      </c>
      <c r="J7" s="60">
        <f>(H7)*(I7)</f>
        <v>40736</v>
      </c>
      <c r="K7" s="45"/>
      <c r="L7" s="52">
        <v>0</v>
      </c>
      <c r="M7" s="52">
        <v>0.75</v>
      </c>
      <c r="N7" s="52">
        <v>0.25</v>
      </c>
      <c r="O7" s="52">
        <v>0.66669999999999996</v>
      </c>
      <c r="Q7" s="53">
        <f t="shared" ref="Q7:T9" si="0">+$J7*L7</f>
        <v>0</v>
      </c>
      <c r="R7" s="53">
        <f t="shared" si="0"/>
        <v>30552</v>
      </c>
      <c r="S7" s="53">
        <f t="shared" si="0"/>
        <v>10184</v>
      </c>
      <c r="T7" s="53">
        <f t="shared" si="0"/>
        <v>27158.691199999997</v>
      </c>
      <c r="V7" s="54">
        <f t="shared" ref="V7:Y9" si="1">+$D7*L7</f>
        <v>0</v>
      </c>
      <c r="W7" s="55">
        <f t="shared" si="1"/>
        <v>60</v>
      </c>
      <c r="X7" s="55">
        <f t="shared" si="1"/>
        <v>20</v>
      </c>
      <c r="Y7" s="55">
        <f t="shared" si="1"/>
        <v>53.335999999999999</v>
      </c>
    </row>
    <row r="8" spans="1:25">
      <c r="A8" s="37" t="str">
        <f>'6022-total and 3 yr ave'!A8</f>
        <v>320(a)(3)</v>
      </c>
      <c r="B8" s="114" t="str">
        <f>'6022-total and 3 yr ave'!B8</f>
        <v>Poor performance reports</v>
      </c>
      <c r="C8" s="39" t="s">
        <v>16</v>
      </c>
      <c r="D8" s="40">
        <v>2</v>
      </c>
      <c r="E8" s="41">
        <v>1</v>
      </c>
      <c r="F8" s="42">
        <f>SUM(D8*E8)</f>
        <v>2</v>
      </c>
      <c r="G8" s="43">
        <v>2</v>
      </c>
      <c r="H8" s="48">
        <f>SUM(G8*F8)</f>
        <v>4</v>
      </c>
      <c r="I8" s="49">
        <v>63.65</v>
      </c>
      <c r="J8" s="60">
        <f>(H8)*(I8)</f>
        <v>254.6</v>
      </c>
      <c r="K8" s="45"/>
      <c r="L8" s="52">
        <v>0</v>
      </c>
      <c r="M8" s="52">
        <v>0.75</v>
      </c>
      <c r="N8" s="52">
        <v>0.25</v>
      </c>
      <c r="O8" s="52">
        <v>0.66669999999999996</v>
      </c>
      <c r="Q8" s="53">
        <f t="shared" si="0"/>
        <v>0</v>
      </c>
      <c r="R8" s="53">
        <f t="shared" si="0"/>
        <v>190.95</v>
      </c>
      <c r="S8" s="53">
        <f t="shared" si="0"/>
        <v>63.65</v>
      </c>
      <c r="T8" s="53">
        <f t="shared" si="0"/>
        <v>169.74181999999999</v>
      </c>
      <c r="V8" s="54">
        <f t="shared" si="1"/>
        <v>0</v>
      </c>
      <c r="W8" s="55">
        <f t="shared" si="1"/>
        <v>1.5</v>
      </c>
      <c r="X8" s="55">
        <f t="shared" si="1"/>
        <v>0.5</v>
      </c>
      <c r="Y8" s="55">
        <f t="shared" si="1"/>
        <v>1.3333999999999999</v>
      </c>
    </row>
    <row r="9" spans="1:25">
      <c r="A9" s="37" t="str">
        <f>'6022-total and 3 yr ave'!A9</f>
        <v>313(a)(4)</v>
      </c>
      <c r="B9" s="114" t="str">
        <f>'6022-total and 3 yr ave'!B9</f>
        <v>Annual budget report</v>
      </c>
      <c r="C9" s="39" t="s">
        <v>16</v>
      </c>
      <c r="D9" s="40">
        <f>H$57+H$60</f>
        <v>80</v>
      </c>
      <c r="E9" s="41">
        <v>1</v>
      </c>
      <c r="F9" s="42">
        <f>SUM(D9*E9)</f>
        <v>80</v>
      </c>
      <c r="G9" s="43">
        <v>2</v>
      </c>
      <c r="H9" s="48">
        <f>SUM(G9*F9)</f>
        <v>160</v>
      </c>
      <c r="I9" s="49">
        <v>63.65</v>
      </c>
      <c r="J9" s="60">
        <f>(H9)*(I9)</f>
        <v>10184</v>
      </c>
      <c r="K9" s="45"/>
      <c r="L9" s="52">
        <v>0</v>
      </c>
      <c r="M9" s="52">
        <v>0.75</v>
      </c>
      <c r="N9" s="52">
        <v>0.25</v>
      </c>
      <c r="O9" s="52">
        <v>0.66669999999999996</v>
      </c>
      <c r="Q9" s="53">
        <f t="shared" si="0"/>
        <v>0</v>
      </c>
      <c r="R9" s="53">
        <f t="shared" si="0"/>
        <v>7638</v>
      </c>
      <c r="S9" s="53">
        <f t="shared" si="0"/>
        <v>2546</v>
      </c>
      <c r="T9" s="53">
        <f t="shared" si="0"/>
        <v>6789.6727999999994</v>
      </c>
      <c r="V9" s="54">
        <f t="shared" si="1"/>
        <v>0</v>
      </c>
      <c r="W9" s="55">
        <f t="shared" si="1"/>
        <v>60</v>
      </c>
      <c r="X9" s="55">
        <f t="shared" si="1"/>
        <v>20</v>
      </c>
      <c r="Y9" s="55">
        <f t="shared" si="1"/>
        <v>53.335999999999999</v>
      </c>
    </row>
    <row r="10" spans="1:25">
      <c r="A10" s="37"/>
      <c r="B10" s="114" t="str">
        <f>'6022-total and 3 yr ave'!B10</f>
        <v>Applications</v>
      </c>
      <c r="C10" s="39"/>
      <c r="D10" s="40"/>
      <c r="E10" s="41"/>
      <c r="F10" s="42"/>
      <c r="G10" s="43"/>
      <c r="H10" s="48"/>
      <c r="I10" s="49"/>
      <c r="J10" s="44"/>
      <c r="K10" s="45"/>
      <c r="L10" s="52"/>
      <c r="M10" s="52"/>
      <c r="N10" s="52"/>
      <c r="O10" s="52"/>
      <c r="V10" s="54"/>
      <c r="W10" s="55"/>
      <c r="X10" s="55"/>
      <c r="Y10" s="55"/>
    </row>
    <row r="11" spans="1:25">
      <c r="A11" s="37" t="str">
        <f>'6022-total and 3 yr ave'!A11</f>
        <v>316(a)</v>
      </c>
      <c r="B11" s="114" t="str">
        <f>'6022-total and 3 yr ave'!B11</f>
        <v>Application Narrative - initial criteria, all applicants</v>
      </c>
      <c r="C11" s="39" t="s">
        <v>16</v>
      </c>
      <c r="D11" s="40">
        <f>G$57+G$60</f>
        <v>81</v>
      </c>
      <c r="E11" s="41">
        <v>1</v>
      </c>
      <c r="F11" s="42">
        <f t="shared" ref="F11:F18" si="2">SUM(D11*E11)</f>
        <v>81</v>
      </c>
      <c r="G11" s="43">
        <v>8</v>
      </c>
      <c r="H11" s="48">
        <f t="shared" ref="H11:H18" si="3">SUM(G11*F11)</f>
        <v>648</v>
      </c>
      <c r="I11" s="49">
        <v>63.65</v>
      </c>
      <c r="J11" s="60">
        <f t="shared" ref="J11:J18" si="4">(H11)*(I11)</f>
        <v>41245.199999999997</v>
      </c>
      <c r="K11" s="45"/>
      <c r="L11" s="52">
        <v>0</v>
      </c>
      <c r="M11" s="52">
        <v>0.75</v>
      </c>
      <c r="N11" s="52">
        <v>0.25</v>
      </c>
      <c r="O11" s="52">
        <v>0.66669999999999996</v>
      </c>
      <c r="Q11" s="53">
        <f>+$J11*L11</f>
        <v>0</v>
      </c>
      <c r="R11" s="53">
        <f>+$J11*M11</f>
        <v>30933.899999999998</v>
      </c>
      <c r="S11" s="53">
        <f>+$J11*N11</f>
        <v>10311.299999999999</v>
      </c>
      <c r="T11" s="53">
        <f>+$J11*O11</f>
        <v>27498.174839999996</v>
      </c>
      <c r="V11" s="54">
        <f>+$D11*L11</f>
        <v>0</v>
      </c>
      <c r="W11" s="55">
        <f>+$D11*M11</f>
        <v>60.75</v>
      </c>
      <c r="X11" s="55">
        <f>+$D11*N11</f>
        <v>20.25</v>
      </c>
      <c r="Y11" s="55">
        <f>+$D11*O11</f>
        <v>54.002699999999997</v>
      </c>
    </row>
    <row r="12" spans="1:25" ht="40.5" customHeight="1">
      <c r="A12" s="37" t="str">
        <f>'6022-total and 3 yr ave'!A12</f>
        <v>315(c)(8), (c)(9)</v>
      </c>
      <c r="B12" s="114" t="str">
        <f>'6022-total and 3 yr ave'!B12</f>
        <v>Application Narrative - documentation of eligibility, all applicants including certification of credit not available elsewhere</v>
      </c>
      <c r="C12" s="39" t="s">
        <v>16</v>
      </c>
      <c r="D12" s="40">
        <f>G$57+G$60</f>
        <v>81</v>
      </c>
      <c r="E12" s="41">
        <v>1</v>
      </c>
      <c r="F12" s="42">
        <f t="shared" si="2"/>
        <v>81</v>
      </c>
      <c r="G12" s="43">
        <v>2</v>
      </c>
      <c r="H12" s="48">
        <f t="shared" si="3"/>
        <v>162</v>
      </c>
      <c r="I12" s="49">
        <v>63.65</v>
      </c>
      <c r="J12" s="60">
        <f t="shared" si="4"/>
        <v>10311.299999999999</v>
      </c>
      <c r="K12" s="45"/>
      <c r="L12" s="52">
        <v>0</v>
      </c>
      <c r="M12" s="52">
        <v>0.75</v>
      </c>
      <c r="N12" s="52">
        <v>0.25</v>
      </c>
      <c r="O12" s="52">
        <v>0.66669999999999996</v>
      </c>
      <c r="Q12" s="53">
        <f t="shared" ref="Q12:Q20" si="5">+$J12*L12</f>
        <v>0</v>
      </c>
      <c r="R12" s="53">
        <f t="shared" ref="R12:R20" si="6">+$J12*M12</f>
        <v>7733.4749999999995</v>
      </c>
      <c r="S12" s="53">
        <f t="shared" ref="S12:S20" si="7">+$J12*N12</f>
        <v>2577.8249999999998</v>
      </c>
      <c r="T12" s="53">
        <f t="shared" ref="T12:T20" si="8">+$J12*O12</f>
        <v>6874.543709999999</v>
      </c>
      <c r="V12" s="54">
        <f t="shared" ref="V12:V20" si="9">+$D12*L12</f>
        <v>0</v>
      </c>
      <c r="W12" s="55">
        <f t="shared" ref="W12:W20" si="10">+$D12*M12</f>
        <v>60.75</v>
      </c>
      <c r="X12" s="55">
        <f t="shared" ref="X12:X20" si="11">+$D12*N12</f>
        <v>20.25</v>
      </c>
      <c r="Y12" s="55">
        <f t="shared" ref="Y12:Y20" si="12">+$D12*O12</f>
        <v>54.002699999999997</v>
      </c>
    </row>
    <row r="13" spans="1:25" ht="25.5">
      <c r="A13" s="37" t="str">
        <f>'6022-total and 3 yr ave'!A13</f>
        <v>316(b)</v>
      </c>
      <c r="B13" s="114" t="str">
        <f>'6022-total and 3 yr ave'!B13</f>
        <v>Additional Documentaton - Microlenders with &gt; 3 yrs exp (new applicants)</v>
      </c>
      <c r="C13" s="39" t="s">
        <v>16</v>
      </c>
      <c r="D13" s="40">
        <v>10</v>
      </c>
      <c r="E13" s="41">
        <v>1</v>
      </c>
      <c r="F13" s="42">
        <f t="shared" si="2"/>
        <v>10</v>
      </c>
      <c r="G13" s="43">
        <v>8</v>
      </c>
      <c r="H13" s="48">
        <f t="shared" si="3"/>
        <v>80</v>
      </c>
      <c r="I13" s="49">
        <v>63.65</v>
      </c>
      <c r="J13" s="60">
        <f t="shared" si="4"/>
        <v>5092</v>
      </c>
      <c r="K13" s="45"/>
      <c r="L13" s="52">
        <v>0</v>
      </c>
      <c r="M13" s="52">
        <v>0.75</v>
      </c>
      <c r="N13" s="52">
        <v>0.25</v>
      </c>
      <c r="O13" s="52">
        <v>0.66669999999999996</v>
      </c>
      <c r="Q13" s="53">
        <f t="shared" si="5"/>
        <v>0</v>
      </c>
      <c r="R13" s="53">
        <f t="shared" si="6"/>
        <v>3819</v>
      </c>
      <c r="S13" s="53">
        <f t="shared" si="7"/>
        <v>1273</v>
      </c>
      <c r="T13" s="53">
        <f t="shared" si="8"/>
        <v>3394.8363999999997</v>
      </c>
      <c r="V13" s="54">
        <f t="shared" si="9"/>
        <v>0</v>
      </c>
      <c r="W13" s="55">
        <f t="shared" si="10"/>
        <v>7.5</v>
      </c>
      <c r="X13" s="55">
        <f t="shared" si="11"/>
        <v>2.5</v>
      </c>
      <c r="Y13" s="55">
        <f t="shared" si="12"/>
        <v>6.6669999999999998</v>
      </c>
    </row>
    <row r="14" spans="1:25" ht="25.5">
      <c r="A14" s="37" t="str">
        <f>'6022-total and 3 yr ave'!A14</f>
        <v>316(b)</v>
      </c>
      <c r="B14" s="114" t="str">
        <f>'6022-total and 3 yr ave'!B14</f>
        <v>Additional Documentaton - Microlenders with &gt; 3 yrs exp (repeat applicants)</v>
      </c>
      <c r="C14" s="39" t="s">
        <v>16</v>
      </c>
      <c r="D14" s="40">
        <v>45</v>
      </c>
      <c r="E14" s="41">
        <v>1</v>
      </c>
      <c r="F14" s="42">
        <f t="shared" ref="F14" si="13">SUM(D14*E14)</f>
        <v>45</v>
      </c>
      <c r="G14" s="43">
        <v>1</v>
      </c>
      <c r="H14" s="48">
        <f t="shared" ref="H14" si="14">SUM(G14*F14)</f>
        <v>45</v>
      </c>
      <c r="I14" s="49">
        <v>63.65</v>
      </c>
      <c r="J14" s="60">
        <f t="shared" ref="J14" si="15">(H14)*(I14)</f>
        <v>2864.25</v>
      </c>
      <c r="K14" s="45"/>
      <c r="L14" s="52">
        <v>0</v>
      </c>
      <c r="M14" s="52">
        <v>0.75</v>
      </c>
      <c r="N14" s="52">
        <v>0.25</v>
      </c>
      <c r="O14" s="52">
        <v>0.66669999999999996</v>
      </c>
      <c r="Q14" s="53">
        <f t="shared" ref="Q14" si="16">+$J14*L14</f>
        <v>0</v>
      </c>
      <c r="R14" s="53">
        <f t="shared" ref="R14" si="17">+$J14*M14</f>
        <v>2148.1875</v>
      </c>
      <c r="S14" s="53">
        <f t="shared" ref="S14" si="18">+$J14*N14</f>
        <v>716.0625</v>
      </c>
      <c r="T14" s="53">
        <f t="shared" ref="T14" si="19">+$J14*O14</f>
        <v>1909.5954749999999</v>
      </c>
      <c r="V14" s="54">
        <f t="shared" ref="V14" si="20">+$D14*L14</f>
        <v>0</v>
      </c>
      <c r="W14" s="55">
        <f t="shared" ref="W14" si="21">+$D14*M14</f>
        <v>33.75</v>
      </c>
      <c r="X14" s="55">
        <f t="shared" ref="X14" si="22">+$D14*N14</f>
        <v>11.25</v>
      </c>
      <c r="Y14" s="55">
        <f t="shared" ref="Y14" si="23">+$D14*O14</f>
        <v>30.001499999999997</v>
      </c>
    </row>
    <row r="15" spans="1:25" ht="25.5">
      <c r="A15" s="37" t="str">
        <f>'6022-total and 3 yr ave'!A15</f>
        <v>316(c)</v>
      </c>
      <c r="B15" s="114" t="str">
        <f>'6022-total and 3 yr ave'!B15</f>
        <v>Additional Documentation - Microlenders with 3 or less yrs exp (new applicants)</v>
      </c>
      <c r="C15" s="39" t="s">
        <v>16</v>
      </c>
      <c r="D15" s="40">
        <v>11</v>
      </c>
      <c r="E15" s="41">
        <v>1</v>
      </c>
      <c r="F15" s="42">
        <f t="shared" si="2"/>
        <v>11</v>
      </c>
      <c r="G15" s="43">
        <v>8</v>
      </c>
      <c r="H15" s="48">
        <f t="shared" si="3"/>
        <v>88</v>
      </c>
      <c r="I15" s="49">
        <v>63.65</v>
      </c>
      <c r="J15" s="60">
        <f t="shared" si="4"/>
        <v>5601.2</v>
      </c>
      <c r="K15" s="45"/>
      <c r="L15" s="52">
        <v>0</v>
      </c>
      <c r="M15" s="52">
        <v>0.75</v>
      </c>
      <c r="N15" s="52">
        <v>0.25</v>
      </c>
      <c r="O15" s="52">
        <v>0.66669999999999996</v>
      </c>
      <c r="Q15" s="53">
        <f t="shared" si="5"/>
        <v>0</v>
      </c>
      <c r="R15" s="53">
        <f t="shared" si="6"/>
        <v>4200.8999999999996</v>
      </c>
      <c r="S15" s="53">
        <f t="shared" si="7"/>
        <v>1400.3</v>
      </c>
      <c r="T15" s="53">
        <f t="shared" si="8"/>
        <v>3734.3200399999996</v>
      </c>
      <c r="V15" s="54">
        <f t="shared" si="9"/>
        <v>0</v>
      </c>
      <c r="W15" s="55">
        <f t="shared" si="10"/>
        <v>8.25</v>
      </c>
      <c r="X15" s="55">
        <f t="shared" si="11"/>
        <v>2.75</v>
      </c>
      <c r="Y15" s="55">
        <f t="shared" si="12"/>
        <v>7.3336999999999994</v>
      </c>
    </row>
    <row r="16" spans="1:25" ht="32.1" customHeight="1">
      <c r="A16" s="37" t="str">
        <f>'6022-total and 3 yr ave'!A16</f>
        <v>316(c)</v>
      </c>
      <c r="B16" s="114" t="str">
        <f>'6022-total and 3 yr ave'!B16</f>
        <v>Additional Documentation - Microlenders with 3 or less yrs exp (repeat applicants)</v>
      </c>
      <c r="C16" s="39" t="s">
        <v>16</v>
      </c>
      <c r="D16" s="40">
        <v>8</v>
      </c>
      <c r="E16" s="41">
        <v>1</v>
      </c>
      <c r="F16" s="42">
        <f t="shared" ref="F16" si="24">SUM(D16*E16)</f>
        <v>8</v>
      </c>
      <c r="G16" s="43">
        <v>1</v>
      </c>
      <c r="H16" s="48">
        <f t="shared" ref="H16" si="25">SUM(G16*F16)</f>
        <v>8</v>
      </c>
      <c r="I16" s="49">
        <v>63.65</v>
      </c>
      <c r="J16" s="60">
        <f t="shared" ref="J16" si="26">(H16)*(I16)</f>
        <v>509.2</v>
      </c>
      <c r="K16" s="45"/>
      <c r="L16" s="52">
        <v>0</v>
      </c>
      <c r="M16" s="52">
        <v>0.75</v>
      </c>
      <c r="N16" s="52">
        <v>0.25</v>
      </c>
      <c r="O16" s="52">
        <v>0.66669999999999996</v>
      </c>
      <c r="Q16" s="53">
        <f t="shared" ref="Q16" si="27">+$J16*L16</f>
        <v>0</v>
      </c>
      <c r="R16" s="53">
        <f t="shared" ref="R16" si="28">+$J16*M16</f>
        <v>381.9</v>
      </c>
      <c r="S16" s="53">
        <f t="shared" ref="S16" si="29">+$J16*N16</f>
        <v>127.3</v>
      </c>
      <c r="T16" s="53">
        <f t="shared" ref="T16" si="30">+$J16*O16</f>
        <v>339.48363999999998</v>
      </c>
      <c r="V16" s="54">
        <f t="shared" ref="V16" si="31">+$D16*L16</f>
        <v>0</v>
      </c>
      <c r="W16" s="55">
        <f t="shared" ref="W16" si="32">+$D16*M16</f>
        <v>6</v>
      </c>
      <c r="X16" s="55">
        <f t="shared" ref="X16" si="33">+$D16*N16</f>
        <v>2</v>
      </c>
      <c r="Y16" s="55">
        <f t="shared" ref="Y16" si="34">+$D16*O16</f>
        <v>5.3335999999999997</v>
      </c>
    </row>
    <row r="17" spans="1:25">
      <c r="A17" s="37" t="str">
        <f>'6022-total and 3 yr ave'!A17</f>
        <v>316(d)</v>
      </c>
      <c r="B17" s="114" t="str">
        <f>'6022-total and 3 yr ave'!B17</f>
        <v>Additional Documentation - Technical assistance only grants</v>
      </c>
      <c r="C17" s="39" t="s">
        <v>16</v>
      </c>
      <c r="D17" s="40">
        <f>'6022-yr1'!G60</f>
        <v>7</v>
      </c>
      <c r="E17" s="41">
        <v>1</v>
      </c>
      <c r="F17" s="42">
        <f t="shared" si="2"/>
        <v>7</v>
      </c>
      <c r="G17" s="43">
        <v>6</v>
      </c>
      <c r="H17" s="48">
        <f t="shared" si="3"/>
        <v>42</v>
      </c>
      <c r="I17" s="49">
        <v>63.65</v>
      </c>
      <c r="J17" s="60">
        <f t="shared" si="4"/>
        <v>2673.2999999999997</v>
      </c>
      <c r="K17" s="45"/>
      <c r="L17" s="52"/>
      <c r="M17" s="52"/>
      <c r="N17" s="52"/>
      <c r="O17" s="52"/>
      <c r="Q17" s="53"/>
      <c r="R17" s="53"/>
      <c r="S17" s="53"/>
      <c r="T17" s="53"/>
      <c r="V17" s="54"/>
      <c r="W17" s="55"/>
      <c r="X17" s="55"/>
      <c r="Y17" s="55"/>
    </row>
    <row r="18" spans="1:25">
      <c r="A18" s="37" t="str">
        <f>'6022-total and 3 yr ave'!A18</f>
        <v>316(e)</v>
      </c>
      <c r="B18" s="114" t="str">
        <f>'6022-total and 3 yr ave'!B18</f>
        <v>Application from microlenders with &gt; 5 yrs exp in program</v>
      </c>
      <c r="C18" s="39" t="s">
        <v>16</v>
      </c>
      <c r="D18" s="40">
        <v>0</v>
      </c>
      <c r="E18" s="41">
        <v>1</v>
      </c>
      <c r="F18" s="42">
        <f t="shared" si="2"/>
        <v>0</v>
      </c>
      <c r="G18" s="43">
        <v>1</v>
      </c>
      <c r="H18" s="48">
        <f t="shared" si="3"/>
        <v>0</v>
      </c>
      <c r="I18" s="49">
        <v>63.65</v>
      </c>
      <c r="J18" s="60">
        <f t="shared" si="4"/>
        <v>0</v>
      </c>
      <c r="K18" s="45"/>
      <c r="L18" s="52">
        <v>0</v>
      </c>
      <c r="M18" s="52">
        <v>0.75</v>
      </c>
      <c r="N18" s="52">
        <v>0.25</v>
      </c>
      <c r="O18" s="52">
        <v>0.66669999999999996</v>
      </c>
      <c r="Q18" s="53">
        <f t="shared" si="5"/>
        <v>0</v>
      </c>
      <c r="R18" s="53">
        <f t="shared" si="6"/>
        <v>0</v>
      </c>
      <c r="S18" s="53">
        <f t="shared" si="7"/>
        <v>0</v>
      </c>
      <c r="T18" s="53">
        <f t="shared" si="8"/>
        <v>0</v>
      </c>
      <c r="V18" s="54">
        <f t="shared" si="9"/>
        <v>0</v>
      </c>
      <c r="W18" s="55">
        <f t="shared" si="10"/>
        <v>0</v>
      </c>
      <c r="X18" s="55">
        <f t="shared" si="11"/>
        <v>0</v>
      </c>
      <c r="Y18" s="55">
        <f t="shared" si="12"/>
        <v>0</v>
      </c>
    </row>
    <row r="19" spans="1:25">
      <c r="A19" s="37" t="str">
        <f>'6022-total and 3 yr ave'!A19</f>
        <v>312(c)(1)</v>
      </c>
      <c r="B19" s="114" t="str">
        <f>'6022-total and 3 yr ave'!B19</f>
        <v>Documentation prior to loan closing</v>
      </c>
      <c r="C19" s="39" t="s">
        <v>16</v>
      </c>
      <c r="D19" s="40">
        <f t="shared" ref="D19:D20" si="35">H$57+H$60</f>
        <v>80</v>
      </c>
      <c r="E19" s="41">
        <v>1</v>
      </c>
      <c r="F19" s="42">
        <f>SUM(D19*E19)</f>
        <v>80</v>
      </c>
      <c r="G19" s="43">
        <v>1</v>
      </c>
      <c r="H19" s="48">
        <f>SUM(G19*F19)</f>
        <v>80</v>
      </c>
      <c r="I19" s="49">
        <v>63.65</v>
      </c>
      <c r="J19" s="60">
        <f>(H19)*(I19)</f>
        <v>5092</v>
      </c>
      <c r="K19" s="45"/>
      <c r="L19" s="52">
        <v>0</v>
      </c>
      <c r="M19" s="52">
        <v>0.75</v>
      </c>
      <c r="N19" s="52">
        <v>0.25</v>
      </c>
      <c r="O19" s="52">
        <v>0.66669999999999996</v>
      </c>
      <c r="Q19" s="53">
        <f t="shared" si="5"/>
        <v>0</v>
      </c>
      <c r="R19" s="53">
        <f t="shared" si="6"/>
        <v>3819</v>
      </c>
      <c r="S19" s="53">
        <f t="shared" si="7"/>
        <v>1273</v>
      </c>
      <c r="T19" s="53">
        <f t="shared" si="8"/>
        <v>3394.8363999999997</v>
      </c>
      <c r="V19" s="54">
        <f t="shared" si="9"/>
        <v>0</v>
      </c>
      <c r="W19" s="55">
        <f t="shared" si="10"/>
        <v>60</v>
      </c>
      <c r="X19" s="55">
        <f t="shared" si="11"/>
        <v>20</v>
      </c>
      <c r="Y19" s="55">
        <f t="shared" si="12"/>
        <v>53.335999999999999</v>
      </c>
    </row>
    <row r="20" spans="1:25">
      <c r="A20" s="37" t="str">
        <f>'6022-total and 3 yr ave'!A20</f>
        <v>312(c)(2)</v>
      </c>
      <c r="B20" s="114" t="str">
        <f>'6022-total and 3 yr ave'!B20</f>
        <v>Lender certification at loan closing</v>
      </c>
      <c r="C20" s="39" t="s">
        <v>16</v>
      </c>
      <c r="D20" s="40">
        <f t="shared" si="35"/>
        <v>80</v>
      </c>
      <c r="E20" s="41">
        <v>1</v>
      </c>
      <c r="F20" s="42">
        <f>SUM(D20*E20)</f>
        <v>80</v>
      </c>
      <c r="G20" s="43">
        <v>0.5</v>
      </c>
      <c r="H20" s="48">
        <f>SUM(G20*F20)</f>
        <v>40</v>
      </c>
      <c r="I20" s="49">
        <v>63.65</v>
      </c>
      <c r="J20" s="60">
        <f>(H20)*(I20)</f>
        <v>2546</v>
      </c>
      <c r="K20" s="45"/>
      <c r="L20" s="52">
        <v>0</v>
      </c>
      <c r="M20" s="52">
        <v>0.75</v>
      </c>
      <c r="N20" s="52">
        <v>0.25</v>
      </c>
      <c r="O20" s="52">
        <v>0.66669999999999996</v>
      </c>
      <c r="Q20" s="53">
        <f t="shared" si="5"/>
        <v>0</v>
      </c>
      <c r="R20" s="53">
        <f t="shared" si="6"/>
        <v>1909.5</v>
      </c>
      <c r="S20" s="53">
        <f t="shared" si="7"/>
        <v>636.5</v>
      </c>
      <c r="T20" s="53">
        <f t="shared" si="8"/>
        <v>1697.4181999999998</v>
      </c>
      <c r="V20" s="54">
        <f t="shared" si="9"/>
        <v>0</v>
      </c>
      <c r="W20" s="55">
        <f t="shared" si="10"/>
        <v>60</v>
      </c>
      <c r="X20" s="55">
        <f t="shared" si="11"/>
        <v>20</v>
      </c>
      <c r="Y20" s="55">
        <f t="shared" si="12"/>
        <v>53.335999999999999</v>
      </c>
    </row>
    <row r="21" spans="1:25">
      <c r="A21" s="37"/>
      <c r="B21" s="114" t="str">
        <f>'6022-total and 3 yr ave'!B21</f>
        <v>Appeals</v>
      </c>
      <c r="C21" s="39"/>
      <c r="D21" s="61"/>
      <c r="E21" s="41"/>
      <c r="F21" s="42"/>
      <c r="G21" s="43"/>
      <c r="H21" s="48"/>
      <c r="I21" s="49"/>
      <c r="J21" s="59"/>
      <c r="K21" s="45"/>
      <c r="L21" s="52"/>
      <c r="M21" s="52"/>
      <c r="N21" s="52"/>
      <c r="O21" s="52"/>
      <c r="Q21" s="53"/>
      <c r="R21" s="53"/>
      <c r="S21" s="53"/>
      <c r="T21" s="53"/>
      <c r="V21" s="54"/>
      <c r="W21" s="55"/>
      <c r="X21" s="55"/>
      <c r="Y21" s="55"/>
    </row>
    <row r="22" spans="1:25">
      <c r="A22" s="37">
        <f>'6022-total and 3 yr ave'!A22</f>
        <v>304</v>
      </c>
      <c r="B22" s="114" t="str">
        <f>'6022-total and 3 yr ave'!B22</f>
        <v>Request for Appeal</v>
      </c>
      <c r="C22" s="39"/>
      <c r="D22" s="61"/>
      <c r="E22" s="41"/>
      <c r="F22" s="42"/>
      <c r="G22" s="43"/>
      <c r="H22" s="48"/>
      <c r="I22" s="49"/>
      <c r="J22" s="59"/>
      <c r="K22" s="45"/>
      <c r="L22" s="52"/>
      <c r="M22" s="52"/>
      <c r="N22" s="52"/>
      <c r="O22" s="52"/>
      <c r="Q22" s="53"/>
      <c r="R22" s="53"/>
      <c r="S22" s="53"/>
      <c r="T22" s="53"/>
      <c r="V22" s="54"/>
      <c r="W22" s="55"/>
      <c r="X22" s="55"/>
      <c r="Y22" s="55"/>
    </row>
    <row r="23" spans="1:25">
      <c r="A23" s="37"/>
      <c r="B23" s="62" t="s">
        <v>38</v>
      </c>
      <c r="C23" s="63"/>
      <c r="D23" s="65">
        <f>SUM(D11)</f>
        <v>81</v>
      </c>
      <c r="E23" s="64"/>
      <c r="F23" s="65">
        <f>SUM(F7:F20)</f>
        <v>805</v>
      </c>
      <c r="G23" s="66"/>
      <c r="H23" s="67">
        <f>SUM(H7:H20)</f>
        <v>1997</v>
      </c>
      <c r="I23" s="68"/>
      <c r="J23" s="69">
        <f>SUM(J7:J20)</f>
        <v>127109.04999999999</v>
      </c>
      <c r="K23" s="123"/>
      <c r="L23" s="52"/>
      <c r="M23" s="52"/>
      <c r="N23" s="52"/>
      <c r="O23" s="52"/>
      <c r="Q23" s="53"/>
      <c r="R23" s="53"/>
      <c r="S23" s="53"/>
      <c r="T23" s="53"/>
      <c r="V23" s="54"/>
      <c r="W23" s="55"/>
      <c r="X23" s="55"/>
      <c r="Y23" s="55"/>
    </row>
    <row r="24" spans="1:25">
      <c r="A24" s="37"/>
      <c r="D24" s="37"/>
      <c r="E24" s="37"/>
      <c r="F24" s="37"/>
      <c r="H24" s="71"/>
      <c r="I24" s="72"/>
      <c r="J24" s="37"/>
      <c r="K24" s="77"/>
      <c r="L24" s="52"/>
      <c r="M24" s="52"/>
      <c r="N24" s="52"/>
      <c r="O24" s="52"/>
      <c r="Q24" s="53"/>
      <c r="R24" s="53"/>
      <c r="S24" s="53"/>
      <c r="T24" s="53"/>
      <c r="V24" s="54"/>
      <c r="W24" s="55"/>
      <c r="X24" s="55"/>
      <c r="Y24" s="55"/>
    </row>
    <row r="25" spans="1:25">
      <c r="A25" s="37"/>
      <c r="B25" s="74" t="s">
        <v>53</v>
      </c>
      <c r="C25" s="18"/>
      <c r="D25" s="75"/>
      <c r="E25" s="75"/>
      <c r="F25" s="75"/>
      <c r="G25" s="66"/>
      <c r="H25" s="76"/>
      <c r="I25" s="69"/>
      <c r="J25" s="69"/>
      <c r="K25" s="77"/>
      <c r="L25" s="52"/>
      <c r="M25" s="52"/>
      <c r="N25" s="52"/>
      <c r="O25" s="52"/>
      <c r="Q25" s="53"/>
      <c r="R25" s="53"/>
      <c r="S25" s="53"/>
      <c r="T25" s="53"/>
      <c r="V25" s="54"/>
      <c r="W25" s="55"/>
      <c r="X25" s="55"/>
      <c r="Y25" s="55"/>
    </row>
    <row r="26" spans="1:25" ht="41.25" customHeight="1">
      <c r="A26" s="37" t="str">
        <f>'6022-total and 3 yr ave'!A26</f>
        <v>315(c)(5)</v>
      </c>
      <c r="B26" s="114" t="str">
        <f>'6022-total and 3 yr ave'!B26</f>
        <v>Certification Regarding Debarment, Suspension &amp; Other Resp. Matters-Primary Covered Trans.</v>
      </c>
      <c r="C26" s="118" t="str">
        <f>'6022-total and 3 yr ave'!C26</f>
        <v>AD-1047 or in writing</v>
      </c>
      <c r="D26" s="40">
        <f t="shared" ref="D26" si="36">G$57+G$60</f>
        <v>81</v>
      </c>
      <c r="E26" s="41">
        <v>1</v>
      </c>
      <c r="F26" s="42">
        <f>SUM(D26*E26)</f>
        <v>81</v>
      </c>
      <c r="G26" s="93">
        <v>0.25</v>
      </c>
      <c r="H26" s="48">
        <v>20</v>
      </c>
      <c r="I26" s="49">
        <v>63.65</v>
      </c>
      <c r="J26" s="60">
        <f>(H26)*(I26)</f>
        <v>1273</v>
      </c>
      <c r="K26" s="73"/>
      <c r="L26" s="52">
        <v>0</v>
      </c>
      <c r="M26" s="52">
        <v>0.75</v>
      </c>
      <c r="N26" s="52">
        <v>0.25</v>
      </c>
      <c r="O26" s="52">
        <v>0.66669999999999996</v>
      </c>
      <c r="Q26" s="53">
        <f t="shared" ref="Q26:T26" si="37">+$J26*L26</f>
        <v>0</v>
      </c>
      <c r="R26" s="53">
        <f t="shared" si="37"/>
        <v>954.75</v>
      </c>
      <c r="S26" s="53">
        <f t="shared" si="37"/>
        <v>318.25</v>
      </c>
      <c r="T26" s="53">
        <f t="shared" si="37"/>
        <v>848.70909999999992</v>
      </c>
      <c r="V26" s="54">
        <f t="shared" ref="V26:Y26" si="38">+$D26*L26</f>
        <v>0</v>
      </c>
      <c r="W26" s="55">
        <f t="shared" si="38"/>
        <v>60.75</v>
      </c>
      <c r="X26" s="55">
        <f t="shared" si="38"/>
        <v>20.25</v>
      </c>
      <c r="Y26" s="55">
        <f t="shared" si="38"/>
        <v>54.002699999999997</v>
      </c>
    </row>
    <row r="27" spans="1:25" ht="12.75" customHeight="1">
      <c r="A27" s="37" t="str">
        <f>'6022-total and 3 yr ave'!A27</f>
        <v>315(c)(9)</v>
      </c>
      <c r="B27" s="114" t="str">
        <f>'6022-total and 3 yr ave'!B27</f>
        <v>Compliance Review</v>
      </c>
      <c r="C27" s="118" t="str">
        <f>'6022-total and 3 yr ave'!C27</f>
        <v>RD 400-8</v>
      </c>
      <c r="D27" s="40">
        <f>G$57+G$60</f>
        <v>81</v>
      </c>
      <c r="E27" s="41">
        <v>1</v>
      </c>
      <c r="F27" s="42">
        <f t="shared" ref="F27:F28" si="39">SUM(D27*E27)</f>
        <v>81</v>
      </c>
      <c r="G27" s="93">
        <v>8</v>
      </c>
      <c r="H27" s="48">
        <f t="shared" ref="H27" si="40">SUM(G27*F27)</f>
        <v>648</v>
      </c>
      <c r="I27" s="49">
        <v>63.65</v>
      </c>
      <c r="J27" s="60">
        <f t="shared" ref="J27:J28" si="41">(H27)*(I27)</f>
        <v>41245.199999999997</v>
      </c>
      <c r="K27" s="73"/>
      <c r="L27" s="52">
        <v>0</v>
      </c>
      <c r="M27" s="52">
        <v>0.75</v>
      </c>
      <c r="N27" s="52">
        <v>0.25</v>
      </c>
      <c r="O27" s="52">
        <v>0.66669999999999996</v>
      </c>
      <c r="Q27" s="53">
        <f t="shared" ref="Q27" si="42">+$J27*L27</f>
        <v>0</v>
      </c>
      <c r="R27" s="53">
        <f t="shared" ref="R27" si="43">+$J27*M27</f>
        <v>30933.899999999998</v>
      </c>
      <c r="S27" s="53">
        <f t="shared" ref="S27" si="44">+$J27*N27</f>
        <v>10311.299999999999</v>
      </c>
      <c r="T27" s="53">
        <f t="shared" ref="T27" si="45">+$J27*O27</f>
        <v>27498.174839999996</v>
      </c>
      <c r="V27" s="54">
        <f t="shared" ref="V27" si="46">+$D27*L27</f>
        <v>0</v>
      </c>
      <c r="W27" s="55">
        <f t="shared" ref="W27" si="47">+$D27*M27</f>
        <v>60.75</v>
      </c>
      <c r="X27" s="55">
        <f t="shared" ref="X27" si="48">+$D27*N27</f>
        <v>20.25</v>
      </c>
      <c r="Y27" s="55">
        <f t="shared" ref="Y27" si="49">+$D27*O27</f>
        <v>54.002699999999997</v>
      </c>
    </row>
    <row r="28" spans="1:25" ht="13.5" customHeight="1">
      <c r="A28" s="37" t="str">
        <f>'6022-total and 3 yr ave'!A28</f>
        <v>315(c)(10)</v>
      </c>
      <c r="B28" s="114" t="str">
        <f>'6022-total and 3 yr ave'!B28</f>
        <v>Assurance Agreement</v>
      </c>
      <c r="C28" s="118" t="str">
        <f>'6022-total and 3 yr ave'!C28</f>
        <v>RD 400-4</v>
      </c>
      <c r="D28" s="40">
        <f>G$57+G$60</f>
        <v>81</v>
      </c>
      <c r="E28" s="41">
        <v>1</v>
      </c>
      <c r="F28" s="42">
        <f t="shared" si="39"/>
        <v>81</v>
      </c>
      <c r="G28" s="93">
        <v>0.25</v>
      </c>
      <c r="H28" s="48">
        <v>20</v>
      </c>
      <c r="I28" s="49">
        <v>63.65</v>
      </c>
      <c r="J28" s="60">
        <f t="shared" si="41"/>
        <v>1273</v>
      </c>
      <c r="K28" s="73"/>
      <c r="L28" s="52">
        <v>0</v>
      </c>
      <c r="M28" s="52">
        <v>0.75</v>
      </c>
      <c r="N28" s="52">
        <v>0.25</v>
      </c>
      <c r="O28" s="52">
        <v>0.66669999999999996</v>
      </c>
      <c r="Q28" s="53">
        <f t="shared" ref="Q28:Q35" si="50">+$J28*L28</f>
        <v>0</v>
      </c>
      <c r="R28" s="53">
        <f t="shared" ref="R28:R35" si="51">+$J28*M28</f>
        <v>954.75</v>
      </c>
      <c r="S28" s="53">
        <f t="shared" ref="S28:S35" si="52">+$J28*N28</f>
        <v>318.25</v>
      </c>
      <c r="T28" s="53">
        <f t="shared" ref="T28:T35" si="53">+$J28*O28</f>
        <v>848.70909999999992</v>
      </c>
      <c r="V28" s="54">
        <f t="shared" ref="V28:V35" si="54">+$D28*L28</f>
        <v>0</v>
      </c>
      <c r="W28" s="55">
        <f t="shared" ref="W28:W35" si="55">+$D28*M28</f>
        <v>60.75</v>
      </c>
      <c r="X28" s="55">
        <f t="shared" ref="X28:X35" si="56">+$D28*N28</f>
        <v>20.25</v>
      </c>
      <c r="Y28" s="55">
        <f t="shared" ref="Y28:Y35" si="57">+$D28*O28</f>
        <v>54.002699999999997</v>
      </c>
    </row>
    <row r="29" spans="1:25" ht="13.5" customHeight="1">
      <c r="A29" s="37" t="str">
        <f>'6022-total and 3 yr ave'!A29</f>
        <v>312(c)(1)(ii)</v>
      </c>
      <c r="B29" s="114" t="str">
        <f>'6022-total and 3 yr ave'!B29</f>
        <v>Deposit Agreement</v>
      </c>
      <c r="C29" s="39" t="s">
        <v>112</v>
      </c>
      <c r="D29" s="40">
        <f t="shared" ref="D29:D33" si="58">H$57+H$60</f>
        <v>80</v>
      </c>
      <c r="E29" s="41">
        <v>1</v>
      </c>
      <c r="F29" s="42">
        <f t="shared" ref="F29:F33" si="59">SUM(D29*E29)</f>
        <v>80</v>
      </c>
      <c r="G29" s="93">
        <v>0.08</v>
      </c>
      <c r="H29" s="48">
        <v>6</v>
      </c>
      <c r="I29" s="49">
        <v>63.65</v>
      </c>
      <c r="J29" s="60">
        <f t="shared" ref="J29:J33" si="60">(H29)*(I29)</f>
        <v>381.9</v>
      </c>
      <c r="K29" s="73"/>
      <c r="L29" s="52">
        <v>0</v>
      </c>
      <c r="M29" s="52">
        <v>0.75</v>
      </c>
      <c r="N29" s="52">
        <v>0.25</v>
      </c>
      <c r="O29" s="52">
        <v>0.66669999999999996</v>
      </c>
      <c r="Q29" s="53">
        <f t="shared" si="50"/>
        <v>0</v>
      </c>
      <c r="R29" s="53">
        <f t="shared" si="51"/>
        <v>286.42499999999995</v>
      </c>
      <c r="S29" s="53">
        <f t="shared" si="52"/>
        <v>95.474999999999994</v>
      </c>
      <c r="T29" s="53">
        <f t="shared" si="53"/>
        <v>254.61272999999997</v>
      </c>
      <c r="V29" s="54">
        <f t="shared" si="54"/>
        <v>0</v>
      </c>
      <c r="W29" s="55">
        <f t="shared" si="55"/>
        <v>60</v>
      </c>
      <c r="X29" s="55">
        <f t="shared" si="56"/>
        <v>20</v>
      </c>
      <c r="Y29" s="55">
        <f t="shared" si="57"/>
        <v>53.335999999999999</v>
      </c>
    </row>
    <row r="30" spans="1:25" ht="13.5" customHeight="1">
      <c r="A30" s="37" t="str">
        <f>'6022-total and 3 yr ave'!A30</f>
        <v>312(a)</v>
      </c>
      <c r="B30" s="114" t="str">
        <f>'6022-total and 3 yr ave'!B30</f>
        <v>Request for Obligation of Funds</v>
      </c>
      <c r="C30" s="111" t="s">
        <v>152</v>
      </c>
      <c r="D30" s="40">
        <f t="shared" si="58"/>
        <v>80</v>
      </c>
      <c r="E30" s="41">
        <v>2</v>
      </c>
      <c r="F30" s="42">
        <f t="shared" ref="F30" si="61">SUM(D30*E30)</f>
        <v>160</v>
      </c>
      <c r="G30" s="93">
        <v>0.25</v>
      </c>
      <c r="H30" s="48">
        <f t="shared" ref="H30" si="62">SUM(G30*F30)</f>
        <v>40</v>
      </c>
      <c r="I30" s="49">
        <v>63.65</v>
      </c>
      <c r="J30" s="60">
        <f t="shared" ref="J30" si="63">(H30)*(I30)</f>
        <v>2546</v>
      </c>
      <c r="K30" s="73"/>
      <c r="L30" s="52">
        <v>0</v>
      </c>
      <c r="M30" s="52">
        <v>0.75</v>
      </c>
      <c r="N30" s="52">
        <v>0.25</v>
      </c>
      <c r="O30" s="52">
        <v>0.66669999999999996</v>
      </c>
      <c r="Q30" s="53">
        <f t="shared" si="50"/>
        <v>0</v>
      </c>
      <c r="R30" s="53">
        <f t="shared" si="51"/>
        <v>1909.5</v>
      </c>
      <c r="S30" s="53">
        <f t="shared" si="52"/>
        <v>636.5</v>
      </c>
      <c r="T30" s="53">
        <f t="shared" si="53"/>
        <v>1697.4181999999998</v>
      </c>
      <c r="V30" s="54">
        <f t="shared" si="54"/>
        <v>0</v>
      </c>
      <c r="W30" s="55">
        <f t="shared" si="55"/>
        <v>60</v>
      </c>
      <c r="X30" s="55">
        <f t="shared" si="56"/>
        <v>20</v>
      </c>
      <c r="Y30" s="55">
        <f t="shared" si="57"/>
        <v>53.335999999999999</v>
      </c>
    </row>
    <row r="31" spans="1:25" ht="13.5" customHeight="1">
      <c r="A31" s="37" t="str">
        <f>'6022-total and 3 yr ave'!A31</f>
        <v>312(b)</v>
      </c>
      <c r="B31" s="114" t="str">
        <f>'6022-total and 3 yr ave'!B31</f>
        <v>Letter of Intent to Meet Conditions</v>
      </c>
      <c r="C31" s="39" t="s">
        <v>116</v>
      </c>
      <c r="D31" s="40">
        <f t="shared" si="58"/>
        <v>80</v>
      </c>
      <c r="E31" s="41">
        <v>1</v>
      </c>
      <c r="F31" s="42">
        <f t="shared" si="59"/>
        <v>80</v>
      </c>
      <c r="G31" s="93">
        <v>1</v>
      </c>
      <c r="H31" s="48">
        <f t="shared" ref="H31:H33" si="64">SUM(G31*F31)</f>
        <v>80</v>
      </c>
      <c r="I31" s="49">
        <v>63.65</v>
      </c>
      <c r="J31" s="60">
        <f t="shared" si="60"/>
        <v>5092</v>
      </c>
      <c r="K31" s="73"/>
      <c r="L31" s="52">
        <v>0</v>
      </c>
      <c r="M31" s="52">
        <v>0.75</v>
      </c>
      <c r="N31" s="52">
        <v>0.25</v>
      </c>
      <c r="O31" s="52">
        <v>0.66669999999999996</v>
      </c>
      <c r="Q31" s="53">
        <f t="shared" si="50"/>
        <v>0</v>
      </c>
      <c r="R31" s="53">
        <f t="shared" si="51"/>
        <v>3819</v>
      </c>
      <c r="S31" s="53">
        <f t="shared" si="52"/>
        <v>1273</v>
      </c>
      <c r="T31" s="53">
        <f t="shared" si="53"/>
        <v>3394.8363999999997</v>
      </c>
      <c r="V31" s="54">
        <f t="shared" si="54"/>
        <v>0</v>
      </c>
      <c r="W31" s="55">
        <f t="shared" si="55"/>
        <v>60</v>
      </c>
      <c r="X31" s="55">
        <f t="shared" si="56"/>
        <v>20</v>
      </c>
      <c r="Y31" s="55">
        <f t="shared" si="57"/>
        <v>53.335999999999999</v>
      </c>
    </row>
    <row r="32" spans="1:25" ht="13.5" customHeight="1">
      <c r="A32" s="37" t="str">
        <f>'6022-total and 3 yr ave'!A32</f>
        <v>312(c)(iv)</v>
      </c>
      <c r="B32" s="114" t="str">
        <f>'6022-total and 3 yr ave'!B32</f>
        <v>Promissory Note</v>
      </c>
      <c r="C32" s="39" t="s">
        <v>118</v>
      </c>
      <c r="D32" s="40">
        <f t="shared" si="58"/>
        <v>80</v>
      </c>
      <c r="E32" s="41">
        <v>1</v>
      </c>
      <c r="F32" s="42">
        <f t="shared" si="59"/>
        <v>80</v>
      </c>
      <c r="G32" s="93">
        <v>1.5</v>
      </c>
      <c r="H32" s="48">
        <f t="shared" si="64"/>
        <v>120</v>
      </c>
      <c r="I32" s="49">
        <v>63.65</v>
      </c>
      <c r="J32" s="60">
        <f t="shared" si="60"/>
        <v>7638</v>
      </c>
      <c r="K32" s="73"/>
      <c r="L32" s="52">
        <v>0</v>
      </c>
      <c r="M32" s="52">
        <v>0.75</v>
      </c>
      <c r="N32" s="52">
        <v>0.25</v>
      </c>
      <c r="O32" s="52">
        <v>0.66669999999999996</v>
      </c>
      <c r="Q32" s="53">
        <f t="shared" si="50"/>
        <v>0</v>
      </c>
      <c r="R32" s="53">
        <f t="shared" si="51"/>
        <v>5728.5</v>
      </c>
      <c r="S32" s="53">
        <f t="shared" si="52"/>
        <v>1909.5</v>
      </c>
      <c r="T32" s="53">
        <f t="shared" si="53"/>
        <v>5092.2545999999993</v>
      </c>
      <c r="V32" s="54">
        <f t="shared" si="54"/>
        <v>0</v>
      </c>
      <c r="W32" s="55">
        <f t="shared" si="55"/>
        <v>60</v>
      </c>
      <c r="X32" s="55">
        <f t="shared" si="56"/>
        <v>20</v>
      </c>
      <c r="Y32" s="55">
        <f t="shared" si="57"/>
        <v>53.335999999999999</v>
      </c>
    </row>
    <row r="33" spans="1:25" ht="13.5" customHeight="1">
      <c r="A33" s="37" t="str">
        <f>'6022-total and 3 yr ave'!A33</f>
        <v>312(a)</v>
      </c>
      <c r="B33" s="114" t="str">
        <f>'6022-total and 3 yr ave'!B33</f>
        <v>Loan Agreement</v>
      </c>
      <c r="C33" s="39" t="s">
        <v>115</v>
      </c>
      <c r="D33" s="40">
        <f t="shared" si="58"/>
        <v>80</v>
      </c>
      <c r="E33" s="41">
        <v>1</v>
      </c>
      <c r="F33" s="42">
        <f t="shared" si="59"/>
        <v>80</v>
      </c>
      <c r="G33" s="93">
        <v>1.5</v>
      </c>
      <c r="H33" s="48">
        <f t="shared" si="64"/>
        <v>120</v>
      </c>
      <c r="I33" s="49">
        <v>63.65</v>
      </c>
      <c r="J33" s="60">
        <f t="shared" si="60"/>
        <v>7638</v>
      </c>
      <c r="K33" s="73"/>
      <c r="L33" s="52">
        <v>0</v>
      </c>
      <c r="M33" s="52">
        <v>0.75</v>
      </c>
      <c r="N33" s="52">
        <v>0.25</v>
      </c>
      <c r="O33" s="52">
        <v>0.66669999999999996</v>
      </c>
      <c r="Q33" s="53">
        <f t="shared" si="50"/>
        <v>0</v>
      </c>
      <c r="R33" s="53">
        <f t="shared" si="51"/>
        <v>5728.5</v>
      </c>
      <c r="S33" s="53">
        <f t="shared" si="52"/>
        <v>1909.5</v>
      </c>
      <c r="T33" s="53">
        <f t="shared" si="53"/>
        <v>5092.2545999999993</v>
      </c>
      <c r="V33" s="54">
        <f t="shared" si="54"/>
        <v>0</v>
      </c>
      <c r="W33" s="55">
        <f t="shared" si="55"/>
        <v>60</v>
      </c>
      <c r="X33" s="55">
        <f t="shared" si="56"/>
        <v>20</v>
      </c>
      <c r="Y33" s="55">
        <f t="shared" si="57"/>
        <v>53.335999999999999</v>
      </c>
    </row>
    <row r="34" spans="1:25" ht="40.5" customHeight="1">
      <c r="A34" s="37" t="str">
        <f>'6022-total and 3 yr ave'!A34</f>
        <v>313(e)</v>
      </c>
      <c r="B34" s="114" t="str">
        <f>'6022-total and 3 yr ave'!B34</f>
        <v>Rural Economic Development Grant/Rural Microentrepreneur Assistance Program Agreement</v>
      </c>
      <c r="C34" s="39" t="s">
        <v>146</v>
      </c>
      <c r="D34" s="40">
        <f>SUM('6022-yr1'!H57+'6022-yr1'!H59)</f>
        <v>73</v>
      </c>
      <c r="E34" s="41">
        <v>1</v>
      </c>
      <c r="F34" s="42">
        <f t="shared" ref="F34" si="65">SUM(D34*E34)</f>
        <v>73</v>
      </c>
      <c r="G34" s="93">
        <v>1</v>
      </c>
      <c r="H34" s="48">
        <f t="shared" ref="H34" si="66">SUM(G34*F34)</f>
        <v>73</v>
      </c>
      <c r="I34" s="49">
        <v>63.65</v>
      </c>
      <c r="J34" s="60">
        <f t="shared" ref="J34" si="67">(H34)*(I34)</f>
        <v>4646.45</v>
      </c>
      <c r="K34" s="73"/>
      <c r="L34" s="52">
        <v>0</v>
      </c>
      <c r="M34" s="52">
        <v>0.75</v>
      </c>
      <c r="N34" s="52">
        <v>0.25</v>
      </c>
      <c r="O34" s="52">
        <v>0.66669999999999996</v>
      </c>
      <c r="Q34" s="53">
        <f t="shared" si="50"/>
        <v>0</v>
      </c>
      <c r="R34" s="53">
        <f t="shared" si="51"/>
        <v>3484.8374999999996</v>
      </c>
      <c r="S34" s="53">
        <f t="shared" si="52"/>
        <v>1161.6125</v>
      </c>
      <c r="T34" s="53">
        <f t="shared" si="53"/>
        <v>3097.7882149999996</v>
      </c>
      <c r="V34" s="54">
        <f t="shared" si="54"/>
        <v>0</v>
      </c>
      <c r="W34" s="55">
        <f t="shared" si="55"/>
        <v>54.75</v>
      </c>
      <c r="X34" s="55">
        <f t="shared" si="56"/>
        <v>18.25</v>
      </c>
      <c r="Y34" s="55">
        <f t="shared" si="57"/>
        <v>48.6691</v>
      </c>
    </row>
    <row r="35" spans="1:25" ht="13.5" customHeight="1">
      <c r="A35" s="37" t="str">
        <f>'6022-total and 3 yr ave'!A35</f>
        <v>315(c)(6)</v>
      </c>
      <c r="B35" s="114" t="str">
        <f>'6022-total and 3 yr ave'!B35</f>
        <v>Certification of No Federal Debt</v>
      </c>
      <c r="C35" s="39" t="s">
        <v>63</v>
      </c>
      <c r="D35" s="40">
        <f>H$57+H$60</f>
        <v>80</v>
      </c>
      <c r="E35" s="41">
        <v>1</v>
      </c>
      <c r="F35" s="42">
        <f>SUM(D35*E35)</f>
        <v>80</v>
      </c>
      <c r="G35" s="93">
        <v>0.25</v>
      </c>
      <c r="H35" s="48">
        <f>SUM(G35*F35)</f>
        <v>20</v>
      </c>
      <c r="I35" s="49">
        <v>63.65</v>
      </c>
      <c r="J35" s="60">
        <f>(H35)*(I35)</f>
        <v>1273</v>
      </c>
      <c r="K35" s="73"/>
      <c r="L35" s="52">
        <v>0</v>
      </c>
      <c r="M35" s="52">
        <v>0.75</v>
      </c>
      <c r="N35" s="52">
        <v>0.25</v>
      </c>
      <c r="O35" s="52">
        <v>0.66669999999999996</v>
      </c>
      <c r="Q35" s="53">
        <f t="shared" si="50"/>
        <v>0</v>
      </c>
      <c r="R35" s="53">
        <f t="shared" si="51"/>
        <v>954.75</v>
      </c>
      <c r="S35" s="53">
        <f t="shared" si="52"/>
        <v>318.25</v>
      </c>
      <c r="T35" s="53">
        <f t="shared" si="53"/>
        <v>848.70909999999992</v>
      </c>
      <c r="V35" s="54">
        <f t="shared" si="54"/>
        <v>0</v>
      </c>
      <c r="W35" s="55">
        <f t="shared" si="55"/>
        <v>60</v>
      </c>
      <c r="X35" s="55">
        <f t="shared" si="56"/>
        <v>20</v>
      </c>
      <c r="Y35" s="55">
        <f t="shared" si="57"/>
        <v>53.335999999999999</v>
      </c>
    </row>
    <row r="36" spans="1:25">
      <c r="A36" s="37" t="str">
        <f>'6022-total and 3 yr ave'!A36</f>
        <v>320(a)(1)(ii)</v>
      </c>
      <c r="B36" s="114" t="str">
        <f>'6022-total and 3 yr ave'!B36</f>
        <v>Request for Advance or Reimbursement</v>
      </c>
      <c r="C36" s="39" t="s">
        <v>71</v>
      </c>
      <c r="D36" s="40">
        <f>H$57+H$60</f>
        <v>80</v>
      </c>
      <c r="E36" s="80">
        <v>4</v>
      </c>
      <c r="F36" s="42">
        <f>SUM(D36*E36)</f>
        <v>320</v>
      </c>
      <c r="G36" s="94">
        <v>1</v>
      </c>
      <c r="H36" s="48">
        <f>SUM(G36*F36)</f>
        <v>320</v>
      </c>
      <c r="I36" s="49">
        <v>63.65</v>
      </c>
      <c r="J36" s="60">
        <f>(H36)*(I36)</f>
        <v>20368</v>
      </c>
      <c r="K36" s="45"/>
      <c r="L36" s="52">
        <v>0</v>
      </c>
      <c r="M36" s="52">
        <v>0.75</v>
      </c>
      <c r="N36" s="52">
        <v>0.25</v>
      </c>
      <c r="O36" s="52">
        <v>0.66669999999999996</v>
      </c>
      <c r="Q36" s="53">
        <f t="shared" ref="Q36:T37" si="68">+$J36*L36</f>
        <v>0</v>
      </c>
      <c r="R36" s="53">
        <f t="shared" si="68"/>
        <v>15276</v>
      </c>
      <c r="S36" s="53">
        <f t="shared" si="68"/>
        <v>5092</v>
      </c>
      <c r="T36" s="53">
        <f t="shared" si="68"/>
        <v>13579.345599999999</v>
      </c>
      <c r="V36" s="54">
        <f t="shared" ref="V36:Y37" si="69">+$D36*L36</f>
        <v>0</v>
      </c>
      <c r="W36" s="55">
        <f t="shared" si="69"/>
        <v>60</v>
      </c>
      <c r="X36" s="55">
        <f t="shared" si="69"/>
        <v>20</v>
      </c>
      <c r="Y36" s="55">
        <f t="shared" si="69"/>
        <v>53.335999999999999</v>
      </c>
    </row>
    <row r="37" spans="1:25">
      <c r="A37" s="37" t="str">
        <f>'6022-total and 3 yr ave'!A37</f>
        <v>315(c)(4)</v>
      </c>
      <c r="B37" s="114" t="str">
        <f>'6022-total and 3 yr ave'!B37</f>
        <v>Disclosure of Lobbying Activities</v>
      </c>
      <c r="C37" s="39" t="s">
        <v>18</v>
      </c>
      <c r="D37" s="40">
        <f>G$57+G$60</f>
        <v>81</v>
      </c>
      <c r="E37" s="41">
        <v>1</v>
      </c>
      <c r="F37" s="127">
        <f>SUM(D37*E37)</f>
        <v>81</v>
      </c>
      <c r="G37" s="93">
        <v>0.16</v>
      </c>
      <c r="H37" s="128">
        <v>13</v>
      </c>
      <c r="I37" s="49">
        <v>63.65</v>
      </c>
      <c r="J37" s="129">
        <f>(H37)*(I37)</f>
        <v>827.44999999999993</v>
      </c>
      <c r="K37" s="45"/>
      <c r="L37" s="52">
        <v>0</v>
      </c>
      <c r="M37" s="52">
        <v>0.75</v>
      </c>
      <c r="N37" s="52">
        <v>0.25</v>
      </c>
      <c r="O37" s="52">
        <v>0.66669999999999996</v>
      </c>
      <c r="Q37" s="53">
        <f t="shared" si="68"/>
        <v>0</v>
      </c>
      <c r="R37" s="53">
        <f t="shared" si="68"/>
        <v>620.58749999999998</v>
      </c>
      <c r="S37" s="53">
        <f t="shared" si="68"/>
        <v>206.86249999999998</v>
      </c>
      <c r="T37" s="53">
        <f t="shared" si="68"/>
        <v>551.66091499999993</v>
      </c>
      <c r="V37" s="54">
        <f t="shared" si="69"/>
        <v>0</v>
      </c>
      <c r="W37" s="55">
        <f t="shared" si="69"/>
        <v>60.75</v>
      </c>
      <c r="X37" s="55">
        <f t="shared" si="69"/>
        <v>20.25</v>
      </c>
      <c r="Y37" s="55">
        <f t="shared" si="69"/>
        <v>54.002699999999997</v>
      </c>
    </row>
    <row r="38" spans="1:25">
      <c r="A38" s="37"/>
      <c r="B38" s="62" t="s">
        <v>38</v>
      </c>
      <c r="C38" s="18"/>
      <c r="D38" s="75">
        <f>SUM(D26)</f>
        <v>81</v>
      </c>
      <c r="E38" s="75"/>
      <c r="F38" s="124">
        <v>1277</v>
      </c>
      <c r="G38" s="66"/>
      <c r="H38" s="125">
        <v>1480</v>
      </c>
      <c r="I38" s="77"/>
      <c r="J38" s="126">
        <v>94201</v>
      </c>
      <c r="K38" s="77"/>
      <c r="L38" s="52"/>
      <c r="M38" s="52"/>
      <c r="N38" s="52"/>
      <c r="O38" s="52"/>
      <c r="Q38" s="53"/>
      <c r="R38" s="53"/>
      <c r="S38" s="53"/>
      <c r="T38" s="53"/>
      <c r="V38" s="54"/>
      <c r="W38" s="55"/>
      <c r="X38" s="55"/>
      <c r="Y38" s="55"/>
    </row>
    <row r="39" spans="1:25">
      <c r="A39" s="37"/>
      <c r="B39" s="62"/>
      <c r="C39" s="18"/>
      <c r="D39" s="75"/>
      <c r="E39" s="75"/>
      <c r="F39" s="75"/>
      <c r="G39" s="66"/>
      <c r="H39" s="76"/>
      <c r="I39" s="77"/>
      <c r="J39" s="69"/>
      <c r="K39" s="77"/>
      <c r="L39" s="52"/>
      <c r="M39" s="52"/>
      <c r="N39" s="52"/>
      <c r="O39" s="52"/>
      <c r="Q39" s="53"/>
      <c r="R39" s="53"/>
      <c r="S39" s="53"/>
      <c r="T39" s="53"/>
      <c r="V39" s="54"/>
      <c r="W39" s="55"/>
      <c r="X39" s="55"/>
      <c r="Y39" s="55"/>
    </row>
    <row r="40" spans="1:25">
      <c r="A40" s="37"/>
      <c r="B40" s="74" t="s">
        <v>50</v>
      </c>
      <c r="C40" s="18"/>
      <c r="D40" s="65"/>
      <c r="E40" s="77"/>
      <c r="F40" s="65"/>
      <c r="G40" s="66"/>
      <c r="H40" s="67"/>
      <c r="I40" s="77"/>
      <c r="J40" s="75"/>
      <c r="K40" s="77"/>
      <c r="L40" s="52"/>
      <c r="M40" s="52"/>
      <c r="N40" s="52"/>
      <c r="O40" s="52"/>
      <c r="Q40" s="53"/>
      <c r="R40" s="53"/>
      <c r="S40" s="53"/>
      <c r="T40" s="53"/>
      <c r="V40" s="54"/>
      <c r="W40" s="55"/>
      <c r="X40" s="55"/>
      <c r="Y40" s="55"/>
    </row>
    <row r="41" spans="1:25">
      <c r="A41" s="37" t="str">
        <f>'6022-total and 3 yr ave'!A41</f>
        <v>315(c)(1)</v>
      </c>
      <c r="B41" s="114" t="str">
        <f>'6022-total and 3 yr ave'!B41</f>
        <v>Application for Federal Assistance</v>
      </c>
      <c r="C41" s="39" t="s">
        <v>34</v>
      </c>
      <c r="D41" s="40">
        <f t="shared" ref="D41:D43" si="70">G$57+G$60</f>
        <v>81</v>
      </c>
      <c r="E41" s="41">
        <v>1</v>
      </c>
      <c r="F41" s="42">
        <f t="shared" ref="F41:F43" si="71">SUM(D41*E41)</f>
        <v>81</v>
      </c>
      <c r="G41" s="43">
        <v>1</v>
      </c>
      <c r="H41" s="48">
        <f t="shared" ref="H41:H42" si="72">SUM(G41*F41)</f>
        <v>81</v>
      </c>
      <c r="I41" s="49">
        <v>63.65</v>
      </c>
      <c r="J41" s="60">
        <f t="shared" ref="J41:J43" si="73">(H41)*(I41)</f>
        <v>5155.6499999999996</v>
      </c>
      <c r="K41" s="45"/>
      <c r="L41" s="52">
        <v>0</v>
      </c>
      <c r="M41" s="52">
        <v>0.75</v>
      </c>
      <c r="N41" s="52">
        <v>0.25</v>
      </c>
      <c r="O41" s="52">
        <v>0.66669999999999996</v>
      </c>
      <c r="Q41" s="53">
        <f t="shared" ref="Q41:T43" si="74">+$J41*L41</f>
        <v>0</v>
      </c>
      <c r="R41" s="53">
        <f t="shared" si="74"/>
        <v>3866.7374999999997</v>
      </c>
      <c r="S41" s="53">
        <f t="shared" si="74"/>
        <v>1288.9124999999999</v>
      </c>
      <c r="T41" s="53">
        <f t="shared" si="74"/>
        <v>3437.2718549999995</v>
      </c>
      <c r="V41" s="54">
        <f t="shared" ref="V41:Y47" si="75">+$D41*L41</f>
        <v>0</v>
      </c>
      <c r="W41" s="55">
        <f t="shared" si="75"/>
        <v>60.75</v>
      </c>
      <c r="X41" s="55">
        <f t="shared" si="75"/>
        <v>20.25</v>
      </c>
      <c r="Y41" s="55">
        <f t="shared" si="75"/>
        <v>54.002699999999997</v>
      </c>
    </row>
    <row r="42" spans="1:25">
      <c r="A42" s="37" t="str">
        <f>'6022-total and 3 yr ave'!A42</f>
        <v>315(c)(2)</v>
      </c>
      <c r="B42" s="114" t="str">
        <f>'6022-total and 3 yr ave'!B42</f>
        <v>Budget Information - Non-Construction Programs</v>
      </c>
      <c r="C42" s="39" t="s">
        <v>33</v>
      </c>
      <c r="D42" s="40">
        <f t="shared" si="70"/>
        <v>81</v>
      </c>
      <c r="E42" s="41">
        <v>1</v>
      </c>
      <c r="F42" s="42">
        <f t="shared" si="71"/>
        <v>81</v>
      </c>
      <c r="G42" s="43">
        <v>3</v>
      </c>
      <c r="H42" s="48">
        <f t="shared" si="72"/>
        <v>243</v>
      </c>
      <c r="I42" s="49">
        <v>63.65</v>
      </c>
      <c r="J42" s="60">
        <f t="shared" si="73"/>
        <v>15466.949999999999</v>
      </c>
      <c r="K42" s="45"/>
      <c r="L42" s="52">
        <v>0</v>
      </c>
      <c r="M42" s="52">
        <v>0.75</v>
      </c>
      <c r="N42" s="52">
        <v>0.25</v>
      </c>
      <c r="O42" s="52">
        <v>0.66669999999999996</v>
      </c>
      <c r="Q42" s="53">
        <f t="shared" si="74"/>
        <v>0</v>
      </c>
      <c r="R42" s="53">
        <f t="shared" si="74"/>
        <v>11600.2125</v>
      </c>
      <c r="S42" s="53">
        <f t="shared" si="74"/>
        <v>3866.7374999999997</v>
      </c>
      <c r="T42" s="53">
        <f t="shared" si="74"/>
        <v>10311.815564999999</v>
      </c>
      <c r="V42" s="54">
        <f t="shared" si="75"/>
        <v>0</v>
      </c>
      <c r="W42" s="55">
        <f t="shared" si="75"/>
        <v>60.75</v>
      </c>
      <c r="X42" s="55">
        <f t="shared" si="75"/>
        <v>20.25</v>
      </c>
      <c r="Y42" s="55">
        <f t="shared" si="75"/>
        <v>54.002699999999997</v>
      </c>
    </row>
    <row r="43" spans="1:25">
      <c r="A43" s="37" t="str">
        <f>'6022-total and 3 yr ave'!A43</f>
        <v>315(c)(3)</v>
      </c>
      <c r="B43" s="114" t="str">
        <f>'6022-total and 3 yr ave'!B43</f>
        <v>Assurances - Non-Construction Program</v>
      </c>
      <c r="C43" s="39" t="s">
        <v>37</v>
      </c>
      <c r="D43" s="40">
        <f t="shared" si="70"/>
        <v>81</v>
      </c>
      <c r="E43" s="80">
        <v>1</v>
      </c>
      <c r="F43" s="42">
        <f t="shared" si="71"/>
        <v>81</v>
      </c>
      <c r="G43" s="94">
        <v>0.25</v>
      </c>
      <c r="H43" s="48">
        <v>20</v>
      </c>
      <c r="I43" s="49">
        <v>63.65</v>
      </c>
      <c r="J43" s="60">
        <f t="shared" si="73"/>
        <v>1273</v>
      </c>
      <c r="K43" s="45"/>
      <c r="L43" s="52">
        <v>0</v>
      </c>
      <c r="M43" s="52">
        <v>0.75</v>
      </c>
      <c r="N43" s="52">
        <v>0.25</v>
      </c>
      <c r="O43" s="52">
        <v>0.66669999999999996</v>
      </c>
      <c r="Q43" s="53">
        <f t="shared" si="74"/>
        <v>0</v>
      </c>
      <c r="R43" s="53">
        <f t="shared" si="74"/>
        <v>954.75</v>
      </c>
      <c r="S43" s="53">
        <f t="shared" si="74"/>
        <v>318.25</v>
      </c>
      <c r="T43" s="53">
        <f t="shared" si="74"/>
        <v>848.70909999999992</v>
      </c>
      <c r="V43" s="54">
        <f t="shared" si="75"/>
        <v>0</v>
      </c>
      <c r="W43" s="55">
        <f t="shared" si="75"/>
        <v>60.75</v>
      </c>
      <c r="X43" s="55">
        <f t="shared" si="75"/>
        <v>20.25</v>
      </c>
      <c r="Y43" s="55">
        <f t="shared" si="75"/>
        <v>54.002699999999997</v>
      </c>
    </row>
    <row r="44" spans="1:25">
      <c r="A44" s="37" t="str">
        <f>'6022-total and 3 yr ave'!A44</f>
        <v>320(a)(1)(i)</v>
      </c>
      <c r="B44" s="114" t="str">
        <f>'6022-total and 3 yr ave'!B44</f>
        <v>Project Performance Report cover sheet</v>
      </c>
      <c r="C44" s="78" t="s">
        <v>157</v>
      </c>
      <c r="D44" s="40">
        <f t="shared" ref="D44:D46" si="76">H$57+H$60</f>
        <v>80</v>
      </c>
      <c r="E44" s="41">
        <v>1</v>
      </c>
      <c r="F44" s="42">
        <f>SUM(D44*E44)</f>
        <v>80</v>
      </c>
      <c r="G44" s="41">
        <v>0.42</v>
      </c>
      <c r="H44" s="48">
        <v>34</v>
      </c>
      <c r="I44" s="59">
        <v>60</v>
      </c>
      <c r="J44" s="59">
        <f>(H44)*(I44)</f>
        <v>2040</v>
      </c>
      <c r="L44" s="35"/>
    </row>
    <row r="45" spans="1:25">
      <c r="A45" s="37" t="str">
        <f>'6022-total and 3 yr ave'!A45</f>
        <v>320(a)(1)(i)</v>
      </c>
      <c r="B45" s="114" t="str">
        <f>'6022-total and 3 yr ave'!B45</f>
        <v>Performance Measures</v>
      </c>
      <c r="C45" s="78" t="s">
        <v>158</v>
      </c>
      <c r="D45" s="40">
        <f t="shared" si="76"/>
        <v>80</v>
      </c>
      <c r="E45" s="41">
        <v>1</v>
      </c>
      <c r="F45" s="42">
        <f>SUM(D45*E45)</f>
        <v>80</v>
      </c>
      <c r="G45" s="41">
        <v>0.75</v>
      </c>
      <c r="H45" s="48">
        <f t="shared" ref="H45" si="77">SUM(G45*F45)</f>
        <v>60</v>
      </c>
      <c r="I45" s="59">
        <v>60</v>
      </c>
      <c r="J45" s="59">
        <f>(H45)*(I45)</f>
        <v>3600</v>
      </c>
      <c r="L45" s="35"/>
    </row>
    <row r="46" spans="1:25">
      <c r="A46" s="37" t="str">
        <f>'6022-total and 3 yr ave'!A46</f>
        <v>320(a)(1)(i)</v>
      </c>
      <c r="B46" s="114" t="str">
        <f>'6022-total and 3 yr ave'!B46</f>
        <v>Activity Based Expenditures</v>
      </c>
      <c r="C46" s="78" t="s">
        <v>159</v>
      </c>
      <c r="D46" s="40">
        <f t="shared" si="76"/>
        <v>80</v>
      </c>
      <c r="E46" s="41">
        <v>1</v>
      </c>
      <c r="F46" s="42">
        <f t="shared" ref="F46" si="78">SUM(D46*E46)</f>
        <v>80</v>
      </c>
      <c r="G46" s="41">
        <v>0.33</v>
      </c>
      <c r="H46" s="48">
        <v>26</v>
      </c>
      <c r="I46" s="59">
        <v>60</v>
      </c>
      <c r="J46" s="59">
        <f t="shared" ref="J46" si="79">(H46)*(I46)</f>
        <v>1560</v>
      </c>
      <c r="K46" s="96"/>
      <c r="L46" s="35"/>
    </row>
    <row r="47" spans="1:25">
      <c r="B47" s="62" t="s">
        <v>38</v>
      </c>
      <c r="C47" s="63"/>
      <c r="D47" s="75">
        <f>SUM(D41)</f>
        <v>81</v>
      </c>
      <c r="E47" s="35"/>
      <c r="F47" s="75">
        <v>483</v>
      </c>
      <c r="G47" s="81"/>
      <c r="H47" s="76">
        <v>464</v>
      </c>
      <c r="I47" s="35"/>
      <c r="J47" s="69">
        <v>29096</v>
      </c>
      <c r="L47" s="52">
        <v>0</v>
      </c>
      <c r="M47" s="52">
        <v>0.75</v>
      </c>
      <c r="N47" s="52">
        <v>0.25</v>
      </c>
      <c r="O47" s="52">
        <v>0.66669999999999996</v>
      </c>
      <c r="V47" s="54">
        <f t="shared" si="75"/>
        <v>0</v>
      </c>
      <c r="W47" s="95">
        <f t="shared" si="75"/>
        <v>60.75</v>
      </c>
      <c r="X47" s="95">
        <f t="shared" si="75"/>
        <v>20.25</v>
      </c>
      <c r="Y47" s="55">
        <f t="shared" si="75"/>
        <v>54.002699999999997</v>
      </c>
    </row>
    <row r="48" spans="1:25">
      <c r="B48" s="62"/>
      <c r="C48" s="63"/>
      <c r="D48" s="77"/>
      <c r="E48" s="35"/>
      <c r="F48" s="75"/>
      <c r="G48" s="81"/>
      <c r="H48" s="75"/>
      <c r="I48" s="35"/>
      <c r="J48" s="69"/>
      <c r="L48" s="35"/>
      <c r="M48" s="52"/>
      <c r="N48" s="52"/>
      <c r="O48" s="52"/>
      <c r="R48" s="82">
        <f>SUM(R7:R47)</f>
        <v>180400.01249999995</v>
      </c>
      <c r="S48" s="82">
        <f>SUM(S7:S47)</f>
        <v>60133.337500000001</v>
      </c>
      <c r="T48" s="82">
        <f>SUM(T7:T43)</f>
        <v>160363.58444499996</v>
      </c>
      <c r="W48" s="83"/>
      <c r="X48" s="83"/>
      <c r="Y48" s="84"/>
    </row>
    <row r="49" spans="1:15">
      <c r="B49" s="116" t="s">
        <v>168</v>
      </c>
      <c r="C49" s="63"/>
      <c r="D49" s="66">
        <f>SUM(D47)</f>
        <v>81</v>
      </c>
      <c r="E49" s="35"/>
      <c r="F49" s="76">
        <v>2082</v>
      </c>
      <c r="G49" s="81"/>
      <c r="H49" s="76">
        <v>3477</v>
      </c>
      <c r="I49" s="97"/>
      <c r="J49" s="69">
        <v>221310</v>
      </c>
      <c r="L49" s="35"/>
      <c r="M49" s="52"/>
      <c r="N49" s="52"/>
      <c r="O49" s="52"/>
    </row>
    <row r="50" spans="1:15">
      <c r="A50" s="35"/>
      <c r="J50" s="37"/>
      <c r="L50" s="35"/>
    </row>
    <row r="51" spans="1:15">
      <c r="A51" s="45"/>
      <c r="B51" s="87"/>
      <c r="C51" s="96"/>
      <c r="D51" s="96"/>
      <c r="E51" s="96"/>
      <c r="F51" s="96"/>
      <c r="G51" s="96"/>
      <c r="H51" s="96"/>
      <c r="I51" s="96"/>
      <c r="J51" s="96"/>
      <c r="K51" s="96"/>
      <c r="L51" s="35"/>
    </row>
    <row r="52" spans="1:15">
      <c r="A52" s="45"/>
      <c r="B52" s="87"/>
      <c r="C52" s="36"/>
      <c r="G52" s="36"/>
      <c r="L52" s="35"/>
    </row>
    <row r="53" spans="1:15">
      <c r="A53" s="88"/>
      <c r="B53" s="35"/>
      <c r="C53" s="143" t="s">
        <v>76</v>
      </c>
      <c r="D53" s="144"/>
      <c r="E53" s="145" t="s">
        <v>77</v>
      </c>
      <c r="F53" s="145"/>
      <c r="G53" s="146" t="s">
        <v>78</v>
      </c>
      <c r="H53" s="144"/>
      <c r="I53" s="35"/>
      <c r="J53" s="90"/>
      <c r="K53" s="64"/>
      <c r="L53" s="35"/>
    </row>
    <row r="54" spans="1:15">
      <c r="A54" s="45"/>
      <c r="B54" s="35" t="s">
        <v>74</v>
      </c>
      <c r="C54" s="112" t="s">
        <v>56</v>
      </c>
      <c r="D54" s="35" t="s">
        <v>75</v>
      </c>
      <c r="E54" s="112" t="s">
        <v>56</v>
      </c>
      <c r="F54" s="35" t="s">
        <v>75</v>
      </c>
      <c r="G54" s="112" t="s">
        <v>56</v>
      </c>
      <c r="H54" s="35" t="s">
        <v>75</v>
      </c>
      <c r="I54" s="35"/>
      <c r="J54" s="90"/>
      <c r="K54" s="64"/>
      <c r="L54" s="35"/>
    </row>
    <row r="55" spans="1:15">
      <c r="A55" s="45"/>
      <c r="B55" s="35" t="s">
        <v>109</v>
      </c>
      <c r="C55" s="112">
        <v>48</v>
      </c>
      <c r="D55" s="113">
        <v>43</v>
      </c>
      <c r="E55" s="113">
        <f>43+2</f>
        <v>45</v>
      </c>
      <c r="F55" s="113">
        <v>45</v>
      </c>
      <c r="G55" s="98">
        <f>45+10</f>
        <v>55</v>
      </c>
      <c r="H55" s="91">
        <v>55</v>
      </c>
      <c r="I55" s="35"/>
      <c r="J55" s="90"/>
      <c r="K55" s="64"/>
      <c r="L55" s="35"/>
    </row>
    <row r="56" spans="1:15">
      <c r="A56" s="45"/>
      <c r="B56" s="35" t="s">
        <v>108</v>
      </c>
      <c r="C56" s="37">
        <v>12</v>
      </c>
      <c r="D56" s="37">
        <v>10</v>
      </c>
      <c r="E56" s="37">
        <f>11+8</f>
        <v>19</v>
      </c>
      <c r="F56" s="37">
        <v>18</v>
      </c>
      <c r="G56" s="85">
        <v>19</v>
      </c>
      <c r="H56" s="37">
        <v>18</v>
      </c>
      <c r="I56" s="35"/>
      <c r="J56" s="90"/>
      <c r="K56" s="64"/>
      <c r="L56" s="35"/>
    </row>
    <row r="57" spans="1:15">
      <c r="A57" s="45"/>
      <c r="B57" s="35" t="s">
        <v>79</v>
      </c>
      <c r="C57" s="37">
        <f t="shared" ref="C57:H57" si="80">SUM(C55:C56)</f>
        <v>60</v>
      </c>
      <c r="D57" s="37">
        <f t="shared" si="80"/>
        <v>53</v>
      </c>
      <c r="E57" s="37">
        <f t="shared" si="80"/>
        <v>64</v>
      </c>
      <c r="F57" s="37">
        <f t="shared" si="80"/>
        <v>63</v>
      </c>
      <c r="G57" s="37">
        <f t="shared" si="80"/>
        <v>74</v>
      </c>
      <c r="H57" s="37">
        <f t="shared" si="80"/>
        <v>73</v>
      </c>
      <c r="I57" s="35"/>
      <c r="J57" s="90"/>
      <c r="K57" s="64"/>
      <c r="L57" s="35"/>
    </row>
    <row r="58" spans="1:15">
      <c r="A58" s="45"/>
      <c r="B58" s="35"/>
      <c r="D58" s="37"/>
      <c r="E58" s="37"/>
      <c r="F58" s="37"/>
      <c r="G58" s="37"/>
      <c r="H58" s="37"/>
      <c r="I58" s="35"/>
      <c r="J58" s="90"/>
      <c r="K58" s="64"/>
      <c r="L58" s="35"/>
    </row>
    <row r="59" spans="1:15">
      <c r="A59" s="45"/>
      <c r="B59" s="87"/>
      <c r="C59" s="112"/>
      <c r="D59" s="113"/>
      <c r="E59" s="113"/>
      <c r="F59" s="113"/>
      <c r="G59" s="98"/>
      <c r="H59" s="91"/>
      <c r="I59" s="35"/>
      <c r="J59" s="90"/>
      <c r="K59" s="64"/>
      <c r="L59" s="35"/>
    </row>
    <row r="60" spans="1:15">
      <c r="A60" s="45"/>
      <c r="B60" s="87" t="s">
        <v>167</v>
      </c>
      <c r="C60" s="112">
        <v>7</v>
      </c>
      <c r="D60" s="113">
        <v>7</v>
      </c>
      <c r="E60" s="113">
        <v>7</v>
      </c>
      <c r="F60" s="113">
        <v>7</v>
      </c>
      <c r="G60" s="98">
        <v>7</v>
      </c>
      <c r="H60" s="91">
        <v>7</v>
      </c>
      <c r="L60" s="35"/>
    </row>
    <row r="61" spans="1:15">
      <c r="B61" s="92"/>
      <c r="C61" s="37" t="s">
        <v>79</v>
      </c>
      <c r="D61" s="37" t="s">
        <v>119</v>
      </c>
      <c r="F61" s="37"/>
      <c r="H61" s="37"/>
      <c r="L61" s="35"/>
    </row>
    <row r="62" spans="1:15">
      <c r="B62" s="103" t="s">
        <v>120</v>
      </c>
      <c r="C62" s="85">
        <f>+C57+C60+E57+E60+G57+G60</f>
        <v>219</v>
      </c>
      <c r="D62" s="37">
        <f>+C62/3</f>
        <v>73</v>
      </c>
      <c r="L62" s="35"/>
    </row>
    <row r="63" spans="1:15">
      <c r="B63" s="103" t="s">
        <v>121</v>
      </c>
      <c r="C63" s="115">
        <f>+D57+D60+F57+F60+H57+H60</f>
        <v>210</v>
      </c>
      <c r="D63" s="37">
        <f>+C63/3</f>
        <v>70</v>
      </c>
      <c r="L63" s="35"/>
    </row>
    <row r="64" spans="1:15">
      <c r="L64" s="35"/>
    </row>
    <row r="65" spans="3:12">
      <c r="L65" s="35"/>
    </row>
    <row r="66" spans="3:12">
      <c r="L66" s="35"/>
    </row>
    <row r="67" spans="3:12">
      <c r="L67" s="35"/>
    </row>
    <row r="68" spans="3:12">
      <c r="L68" s="35"/>
    </row>
    <row r="69" spans="3:12">
      <c r="L69" s="35"/>
    </row>
    <row r="70" spans="3:12">
      <c r="L70" s="35"/>
    </row>
    <row r="71" spans="3:12">
      <c r="L71" s="35"/>
    </row>
    <row r="72" spans="3:12">
      <c r="L72" s="35"/>
    </row>
    <row r="73" spans="3:12">
      <c r="L73" s="35"/>
    </row>
    <row r="74" spans="3:12">
      <c r="L74" s="35"/>
    </row>
    <row r="75" spans="3:12">
      <c r="L75" s="35"/>
    </row>
    <row r="76" spans="3:12">
      <c r="C76" s="36"/>
      <c r="G76" s="36"/>
      <c r="L76" s="35"/>
    </row>
    <row r="77" spans="3:12">
      <c r="C77" s="36"/>
      <c r="G77" s="36"/>
      <c r="L77" s="35"/>
    </row>
    <row r="78" spans="3:12">
      <c r="C78" s="36"/>
      <c r="G78" s="36"/>
      <c r="L78" s="35"/>
    </row>
    <row r="79" spans="3:12">
      <c r="C79" s="36"/>
      <c r="G79" s="36"/>
      <c r="L79" s="35"/>
    </row>
    <row r="80" spans="3:12">
      <c r="C80" s="36"/>
      <c r="G80" s="36"/>
      <c r="L80" s="35"/>
    </row>
    <row r="81" spans="3:12">
      <c r="C81" s="36"/>
      <c r="G81" s="36"/>
      <c r="L81" s="35"/>
    </row>
    <row r="82" spans="3:12">
      <c r="C82" s="36"/>
      <c r="G82" s="36"/>
      <c r="L82" s="35"/>
    </row>
    <row r="83" spans="3:12">
      <c r="C83" s="36"/>
      <c r="G83" s="36"/>
      <c r="L83" s="35"/>
    </row>
    <row r="84" spans="3:12">
      <c r="C84" s="36"/>
      <c r="G84" s="36"/>
      <c r="L84" s="35"/>
    </row>
    <row r="85" spans="3:12">
      <c r="C85" s="36"/>
      <c r="G85" s="36"/>
      <c r="L85" s="35"/>
    </row>
    <row r="86" spans="3:12">
      <c r="C86" s="36"/>
      <c r="G86" s="36"/>
      <c r="L86" s="35"/>
    </row>
    <row r="87" spans="3:12">
      <c r="C87" s="36"/>
      <c r="G87" s="36"/>
      <c r="L87" s="35"/>
    </row>
    <row r="88" spans="3:12">
      <c r="C88" s="36"/>
      <c r="G88" s="36"/>
      <c r="L88" s="35"/>
    </row>
    <row r="89" spans="3:12">
      <c r="C89" s="36"/>
      <c r="G89" s="36"/>
      <c r="L89" s="35"/>
    </row>
    <row r="90" spans="3:12">
      <c r="C90" s="36"/>
      <c r="G90" s="36"/>
      <c r="L90" s="35"/>
    </row>
    <row r="91" spans="3:12">
      <c r="C91" s="36"/>
      <c r="G91" s="36"/>
      <c r="L91" s="35"/>
    </row>
    <row r="92" spans="3:12">
      <c r="C92" s="36"/>
      <c r="G92" s="36"/>
      <c r="L92" s="35"/>
    </row>
    <row r="93" spans="3:12">
      <c r="C93" s="36"/>
      <c r="G93" s="36"/>
      <c r="L93" s="35"/>
    </row>
    <row r="94" spans="3:12">
      <c r="C94" s="36"/>
      <c r="G94" s="36"/>
      <c r="L94" s="35"/>
    </row>
    <row r="95" spans="3:12">
      <c r="C95" s="36"/>
      <c r="G95" s="36"/>
      <c r="L95" s="35"/>
    </row>
    <row r="96" spans="3:12">
      <c r="C96" s="36"/>
      <c r="G96" s="36"/>
      <c r="L96" s="35"/>
    </row>
    <row r="97" spans="3:12">
      <c r="C97" s="36"/>
      <c r="G97" s="36"/>
      <c r="L97" s="35"/>
    </row>
    <row r="98" spans="3:12">
      <c r="C98" s="36"/>
      <c r="G98" s="36"/>
      <c r="L98" s="35"/>
    </row>
    <row r="99" spans="3:12">
      <c r="C99" s="36"/>
      <c r="G99" s="36"/>
      <c r="L99" s="35"/>
    </row>
    <row r="100" spans="3:12">
      <c r="C100" s="36"/>
      <c r="G100" s="36"/>
      <c r="L100" s="35"/>
    </row>
    <row r="101" spans="3:12">
      <c r="C101" s="36"/>
      <c r="G101" s="36"/>
      <c r="L101" s="35"/>
    </row>
    <row r="102" spans="3:12">
      <c r="C102" s="36"/>
      <c r="G102" s="36"/>
      <c r="L102" s="35"/>
    </row>
    <row r="103" spans="3:12">
      <c r="C103" s="36"/>
      <c r="G103" s="36"/>
      <c r="L103" s="35"/>
    </row>
    <row r="104" spans="3:12">
      <c r="C104" s="36"/>
      <c r="G104" s="36"/>
      <c r="L104" s="35"/>
    </row>
    <row r="105" spans="3:12">
      <c r="C105" s="36"/>
      <c r="G105" s="36"/>
      <c r="L105" s="35"/>
    </row>
    <row r="106" spans="3:12">
      <c r="C106" s="36"/>
      <c r="G106" s="36"/>
      <c r="L106" s="35"/>
    </row>
    <row r="107" spans="3:12">
      <c r="C107" s="36"/>
      <c r="G107" s="36"/>
      <c r="L107" s="35"/>
    </row>
    <row r="108" spans="3:12">
      <c r="C108" s="36"/>
      <c r="G108" s="36"/>
      <c r="L108" s="35"/>
    </row>
    <row r="109" spans="3:12">
      <c r="C109" s="36"/>
      <c r="G109" s="36"/>
      <c r="L109" s="35"/>
    </row>
    <row r="110" spans="3:12">
      <c r="C110" s="36"/>
      <c r="G110" s="36"/>
      <c r="L110" s="35"/>
    </row>
    <row r="111" spans="3:12">
      <c r="C111" s="36"/>
      <c r="G111" s="36"/>
      <c r="L111" s="35"/>
    </row>
    <row r="112" spans="3:12">
      <c r="C112" s="36"/>
      <c r="G112" s="36"/>
      <c r="L112" s="35"/>
    </row>
    <row r="113" spans="3:12">
      <c r="C113" s="36"/>
      <c r="G113" s="36"/>
      <c r="L113" s="35"/>
    </row>
    <row r="114" spans="3:12">
      <c r="C114" s="36"/>
      <c r="G114" s="36"/>
      <c r="L114" s="35"/>
    </row>
    <row r="115" spans="3:12">
      <c r="C115" s="36"/>
      <c r="G115" s="36"/>
      <c r="L115" s="35"/>
    </row>
    <row r="116" spans="3:12">
      <c r="C116" s="36"/>
      <c r="G116" s="36"/>
      <c r="L116" s="35"/>
    </row>
    <row r="117" spans="3:12">
      <c r="C117" s="36"/>
      <c r="G117" s="36"/>
      <c r="L117" s="35"/>
    </row>
    <row r="118" spans="3:12">
      <c r="C118" s="36"/>
      <c r="G118" s="36"/>
      <c r="L118" s="35"/>
    </row>
    <row r="119" spans="3:12">
      <c r="C119" s="36"/>
      <c r="G119" s="36"/>
      <c r="L119" s="35"/>
    </row>
    <row r="120" spans="3:12">
      <c r="C120" s="36"/>
      <c r="G120" s="36"/>
      <c r="L120" s="35"/>
    </row>
    <row r="121" spans="3:12">
      <c r="C121" s="36"/>
      <c r="G121" s="36"/>
      <c r="L121" s="35"/>
    </row>
    <row r="122" spans="3:12">
      <c r="C122" s="36"/>
      <c r="G122" s="36"/>
      <c r="L122" s="35"/>
    </row>
    <row r="123" spans="3:12">
      <c r="C123" s="36"/>
      <c r="G123" s="36"/>
      <c r="L123" s="35"/>
    </row>
    <row r="124" spans="3:12">
      <c r="C124" s="36"/>
      <c r="G124" s="36"/>
      <c r="L124" s="35"/>
    </row>
    <row r="125" spans="3:12">
      <c r="C125" s="36"/>
      <c r="G125" s="36"/>
      <c r="L125" s="35"/>
    </row>
    <row r="126" spans="3:12">
      <c r="C126" s="36"/>
      <c r="G126" s="36"/>
      <c r="L126" s="35"/>
    </row>
    <row r="127" spans="3:12">
      <c r="C127" s="36"/>
      <c r="G127" s="36"/>
      <c r="L127" s="35"/>
    </row>
    <row r="128" spans="3:12">
      <c r="C128" s="36"/>
      <c r="G128" s="36"/>
      <c r="L128" s="35"/>
    </row>
    <row r="129" spans="3:12">
      <c r="C129" s="36"/>
      <c r="G129" s="36"/>
      <c r="L129" s="35"/>
    </row>
    <row r="130" spans="3:12">
      <c r="C130" s="36"/>
      <c r="G130" s="36"/>
      <c r="L130" s="35"/>
    </row>
  </sheetData>
  <customSheetViews>
    <customSheetView guid="{C3053AD8-900F-4045-B60E-43CCFD9EF7DD}" scale="90" fitToPage="1" topLeftCell="A13">
      <selection activeCell="D45" sqref="D45"/>
      <pageMargins left="0.7" right="0.7" top="0.75" bottom="0.75" header="0.3" footer="0.3"/>
      <pageSetup scale="55" fitToWidth="2" orientation="landscape" r:id="rId1"/>
    </customSheetView>
    <customSheetView guid="{855078B0-1E21-4B25-9C5A-4782BC11700B}" scale="90" showPageBreaks="1" fitToPage="1" topLeftCell="G16">
      <selection activeCell="D16" sqref="D16"/>
      <pageMargins left="0.7" right="0.7" top="0.75" bottom="0.75" header="0.3" footer="0.3"/>
      <pageSetup scale="55" fitToWidth="2" orientation="landscape" r:id="rId2"/>
    </customSheetView>
  </customSheetViews>
  <mergeCells count="9">
    <mergeCell ref="V2:Y2"/>
    <mergeCell ref="B5:C5"/>
    <mergeCell ref="A1:D1"/>
    <mergeCell ref="A2:D2"/>
    <mergeCell ref="L2:O2"/>
    <mergeCell ref="Q2:T2"/>
    <mergeCell ref="C53:D53"/>
    <mergeCell ref="E53:F53"/>
    <mergeCell ref="G53:H53"/>
  </mergeCells>
  <phoneticPr fontId="0" type="noConversion"/>
  <pageMargins left="0.7" right="0.7" top="0.75" bottom="0.75" header="0.3" footer="0.3"/>
  <pageSetup scale="48" fitToWidth="2" orientation="landscape" r:id="rId3"/>
  <colBreaks count="1" manualBreakCount="1">
    <brk id="11" max="1048575" man="1"/>
  </colBreaks>
</worksheet>
</file>

<file path=xl/worksheets/sheet5.xml><?xml version="1.0" encoding="utf-8"?>
<worksheet xmlns="http://schemas.openxmlformats.org/spreadsheetml/2006/main" xmlns:r="http://schemas.openxmlformats.org/officeDocument/2006/relationships">
  <sheetPr>
    <pageSetUpPr fitToPage="1"/>
  </sheetPr>
  <dimension ref="A1:G67"/>
  <sheetViews>
    <sheetView topLeftCell="A22" zoomScale="90" zoomScaleNormal="90" workbookViewId="0">
      <selection activeCell="H12" sqref="H12"/>
    </sheetView>
  </sheetViews>
  <sheetFormatPr defaultRowHeight="12.75"/>
  <cols>
    <col min="1" max="1" width="49.85546875" customWidth="1"/>
    <col min="2" max="2" width="15.5703125" customWidth="1"/>
    <col min="3" max="3" width="11.7109375" customWidth="1"/>
    <col min="4" max="4" width="15" customWidth="1"/>
    <col min="5" max="5" width="16.42578125" customWidth="1"/>
    <col min="6" max="6" width="14" customWidth="1"/>
    <col min="7" max="7" width="14.7109375" customWidth="1"/>
    <col min="8" max="8" width="21.7109375" customWidth="1"/>
    <col min="9" max="9" width="36.28515625" customWidth="1"/>
    <col min="10" max="10" width="11.42578125" customWidth="1"/>
    <col min="11" max="11" width="11.7109375" customWidth="1"/>
    <col min="12" max="12" width="9.85546875" customWidth="1"/>
    <col min="13" max="15" width="10.28515625" customWidth="1"/>
    <col min="16" max="16" width="10" customWidth="1"/>
    <col min="17" max="17" width="12.85546875" bestFit="1" customWidth="1"/>
    <col min="18" max="18" width="10.85546875" bestFit="1" customWidth="1"/>
    <col min="26" max="26" width="10.85546875" bestFit="1" customWidth="1"/>
  </cols>
  <sheetData>
    <row r="1" spans="1:6">
      <c r="A1" s="147" t="s">
        <v>95</v>
      </c>
      <c r="B1" s="147"/>
      <c r="C1" s="147"/>
      <c r="D1" s="147"/>
      <c r="E1" s="147"/>
    </row>
    <row r="2" spans="1:6">
      <c r="A2" s="148" t="s">
        <v>54</v>
      </c>
      <c r="B2" s="148"/>
      <c r="C2" s="148"/>
      <c r="D2" s="148"/>
      <c r="E2" s="148"/>
      <c r="F2" t="s">
        <v>86</v>
      </c>
    </row>
    <row r="3" spans="1:6" ht="30">
      <c r="A3" s="10" t="s">
        <v>55</v>
      </c>
      <c r="B3" s="10" t="s">
        <v>92</v>
      </c>
      <c r="C3" s="10" t="s">
        <v>93</v>
      </c>
      <c r="D3" s="11" t="s">
        <v>61</v>
      </c>
      <c r="E3" s="11" t="s">
        <v>21</v>
      </c>
      <c r="F3" s="1"/>
    </row>
    <row r="4" spans="1:6" ht="14.25">
      <c r="A4" s="12" t="s">
        <v>22</v>
      </c>
      <c r="B4" s="13">
        <f t="shared" ref="B4:B11" si="0">+B21+B37+B53</f>
        <v>219</v>
      </c>
      <c r="C4" s="122">
        <v>5.49</v>
      </c>
      <c r="D4" s="15">
        <v>41</v>
      </c>
      <c r="E4" s="14">
        <v>49282</v>
      </c>
      <c r="F4" s="3">
        <f>+E4/3</f>
        <v>16427.333333333332</v>
      </c>
    </row>
    <row r="5" spans="1:6" ht="14.25">
      <c r="A5" s="12" t="s">
        <v>23</v>
      </c>
      <c r="B5" s="13">
        <f t="shared" si="0"/>
        <v>219</v>
      </c>
      <c r="C5" s="121">
        <f t="shared" ref="C5:C11" si="1">((+C22*B22)+(C38*B38)+(C54*B54))/(B22+B38+B54)</f>
        <v>9.3228310502283112</v>
      </c>
      <c r="D5" s="15">
        <v>41</v>
      </c>
      <c r="E5" s="14">
        <v>83517</v>
      </c>
      <c r="F5" s="3">
        <f t="shared" ref="F5:F13" si="2">+E5/3</f>
        <v>27839</v>
      </c>
    </row>
    <row r="6" spans="1:6" ht="14.25">
      <c r="A6" s="12" t="s">
        <v>24</v>
      </c>
      <c r="B6" s="13">
        <f t="shared" si="0"/>
        <v>219</v>
      </c>
      <c r="C6" s="121">
        <f t="shared" si="1"/>
        <v>2</v>
      </c>
      <c r="D6" s="15">
        <v>41</v>
      </c>
      <c r="E6" s="14">
        <f t="shared" ref="E6:E11" si="3">+E23+E39+E55</f>
        <v>17958</v>
      </c>
      <c r="F6" s="3">
        <f t="shared" si="2"/>
        <v>5986</v>
      </c>
    </row>
    <row r="7" spans="1:6" ht="14.25">
      <c r="A7" s="12" t="s">
        <v>25</v>
      </c>
      <c r="B7" s="13">
        <f t="shared" si="0"/>
        <v>210</v>
      </c>
      <c r="C7" s="122">
        <f t="shared" si="1"/>
        <v>5.0095238095238095</v>
      </c>
      <c r="D7" s="15">
        <v>41</v>
      </c>
      <c r="E7" s="14">
        <f t="shared" si="3"/>
        <v>43132</v>
      </c>
      <c r="F7" s="3">
        <f t="shared" si="2"/>
        <v>14377.333333333334</v>
      </c>
    </row>
    <row r="8" spans="1:6" ht="14.25">
      <c r="A8" s="12" t="s">
        <v>26</v>
      </c>
      <c r="B8" s="13">
        <f t="shared" si="0"/>
        <v>210</v>
      </c>
      <c r="C8" s="121">
        <f t="shared" si="1"/>
        <v>4</v>
      </c>
      <c r="D8" s="15">
        <v>41</v>
      </c>
      <c r="E8" s="14">
        <f t="shared" si="3"/>
        <v>34440</v>
      </c>
      <c r="F8" s="3">
        <f t="shared" si="2"/>
        <v>11480</v>
      </c>
    </row>
    <row r="9" spans="1:6" ht="14.25">
      <c r="A9" s="12" t="s">
        <v>90</v>
      </c>
      <c r="B9" s="13">
        <f t="shared" si="0"/>
        <v>840</v>
      </c>
      <c r="C9" s="121">
        <f t="shared" si="1"/>
        <v>4</v>
      </c>
      <c r="D9" s="15">
        <v>41</v>
      </c>
      <c r="E9" s="14">
        <f t="shared" si="3"/>
        <v>137760</v>
      </c>
      <c r="F9" s="3">
        <f t="shared" si="2"/>
        <v>45920</v>
      </c>
    </row>
    <row r="10" spans="1:6" ht="14.25">
      <c r="A10" s="12" t="s">
        <v>91</v>
      </c>
      <c r="B10" s="13">
        <f t="shared" si="0"/>
        <v>6</v>
      </c>
      <c r="C10" s="121">
        <f t="shared" si="1"/>
        <v>1</v>
      </c>
      <c r="D10" s="15">
        <v>41</v>
      </c>
      <c r="E10" s="14">
        <f t="shared" si="3"/>
        <v>246</v>
      </c>
      <c r="F10" s="3">
        <f t="shared" si="2"/>
        <v>82</v>
      </c>
    </row>
    <row r="11" spans="1:6" ht="14.25">
      <c r="A11" s="12" t="s">
        <v>94</v>
      </c>
      <c r="B11" s="13">
        <f t="shared" si="0"/>
        <v>210</v>
      </c>
      <c r="C11" s="121">
        <f t="shared" si="1"/>
        <v>1</v>
      </c>
      <c r="D11" s="15">
        <v>41</v>
      </c>
      <c r="E11" s="14">
        <f t="shared" si="3"/>
        <v>8610</v>
      </c>
      <c r="F11" s="3">
        <f t="shared" si="2"/>
        <v>2870</v>
      </c>
    </row>
    <row r="12" spans="1:6" ht="14.25">
      <c r="A12" s="12" t="s">
        <v>11</v>
      </c>
      <c r="B12" s="149" t="s">
        <v>100</v>
      </c>
      <c r="C12" s="150"/>
      <c r="D12" s="151"/>
      <c r="E12" s="14">
        <v>197355</v>
      </c>
      <c r="F12" s="3">
        <f t="shared" si="2"/>
        <v>65785</v>
      </c>
    </row>
    <row r="13" spans="1:6" ht="14.25">
      <c r="A13" s="12"/>
      <c r="B13" s="12"/>
      <c r="C13" s="12"/>
      <c r="D13" s="12"/>
      <c r="E13" s="14">
        <f>SUM(E4:E12)</f>
        <v>572300</v>
      </c>
      <c r="F13" s="3">
        <f t="shared" si="2"/>
        <v>190766.66666666666</v>
      </c>
    </row>
    <row r="14" spans="1:6">
      <c r="A14" s="1"/>
      <c r="B14" s="1"/>
      <c r="C14" s="1"/>
      <c r="D14" s="1"/>
      <c r="E14" s="1"/>
      <c r="F14" s="3"/>
    </row>
    <row r="15" spans="1:6" ht="14.25">
      <c r="A15" s="16" t="s">
        <v>62</v>
      </c>
      <c r="B15" s="1"/>
      <c r="C15" s="1"/>
      <c r="D15" s="1"/>
      <c r="E15" s="1"/>
      <c r="F15" s="3"/>
    </row>
    <row r="16" spans="1:6" ht="64.5" customHeight="1">
      <c r="A16" s="20" t="s">
        <v>101</v>
      </c>
      <c r="B16" s="152" t="s">
        <v>102</v>
      </c>
      <c r="C16" s="153"/>
      <c r="D16" s="153"/>
      <c r="E16" s="153"/>
      <c r="F16" s="1"/>
    </row>
    <row r="17" spans="1:7" ht="18" customHeight="1">
      <c r="F17" s="1"/>
      <c r="G17" s="9"/>
    </row>
    <row r="18" spans="1:7">
      <c r="A18" s="147" t="s">
        <v>103</v>
      </c>
      <c r="B18" s="147"/>
      <c r="C18" s="147"/>
      <c r="D18" s="147"/>
      <c r="E18" s="147"/>
    </row>
    <row r="19" spans="1:7">
      <c r="A19" s="148" t="s">
        <v>54</v>
      </c>
      <c r="B19" s="148"/>
      <c r="C19" s="148"/>
      <c r="D19" s="148"/>
      <c r="E19" s="148"/>
    </row>
    <row r="20" spans="1:7" ht="30">
      <c r="A20" s="10" t="s">
        <v>55</v>
      </c>
      <c r="B20" s="10" t="s">
        <v>92</v>
      </c>
      <c r="C20" s="10" t="s">
        <v>93</v>
      </c>
      <c r="D20" s="11" t="s">
        <v>61</v>
      </c>
      <c r="E20" s="11" t="s">
        <v>21</v>
      </c>
      <c r="F20" s="1"/>
    </row>
    <row r="21" spans="1:7" ht="14.25">
      <c r="A21" s="12" t="s">
        <v>22</v>
      </c>
      <c r="B21" s="13">
        <f>'6022-total and 3 yr ave'!C$57+'6022-total and 3 yr ave'!C$59+'6022-total and 3 yr ave'!C$60</f>
        <v>67</v>
      </c>
      <c r="C21" s="13">
        <v>8</v>
      </c>
      <c r="D21" s="15">
        <v>41</v>
      </c>
      <c r="E21" s="14">
        <f t="shared" ref="E21:E26" si="4">+B21*C21*D21</f>
        <v>21976</v>
      </c>
      <c r="F21" s="1"/>
    </row>
    <row r="22" spans="1:7" ht="14.25">
      <c r="A22" s="12" t="s">
        <v>23</v>
      </c>
      <c r="B22" s="13">
        <f>'6022-total and 3 yr ave'!C$57+'6022-total and 3 yr ave'!C$59+'6022-total and 3 yr ave'!C$60</f>
        <v>67</v>
      </c>
      <c r="C22" s="13">
        <v>16</v>
      </c>
      <c r="D22" s="15">
        <v>41</v>
      </c>
      <c r="E22" s="14">
        <f t="shared" si="4"/>
        <v>43952</v>
      </c>
      <c r="F22" s="1"/>
    </row>
    <row r="23" spans="1:7" ht="14.25">
      <c r="A23" s="12" t="s">
        <v>24</v>
      </c>
      <c r="B23" s="13">
        <f>'6022-total and 3 yr ave'!C$57+'6022-total and 3 yr ave'!C$59+'6022-total and 3 yr ave'!C$60</f>
        <v>67</v>
      </c>
      <c r="C23" s="13">
        <v>2</v>
      </c>
      <c r="D23" s="15">
        <v>41</v>
      </c>
      <c r="E23" s="14">
        <f t="shared" si="4"/>
        <v>5494</v>
      </c>
      <c r="F23" s="3"/>
    </row>
    <row r="24" spans="1:7" ht="14.25">
      <c r="A24" s="12" t="s">
        <v>25</v>
      </c>
      <c r="B24" s="13">
        <f>'6022-total and 3 yr ave'!D$57+'6022-total and 3 yr ave'!D$59+'6022-total and 3 yr ave'!D$60</f>
        <v>60</v>
      </c>
      <c r="C24" s="13">
        <v>8</v>
      </c>
      <c r="D24" s="15">
        <v>41</v>
      </c>
      <c r="E24" s="14">
        <f t="shared" si="4"/>
        <v>19680</v>
      </c>
      <c r="F24" s="3"/>
    </row>
    <row r="25" spans="1:7" ht="14.25">
      <c r="A25" s="12" t="s">
        <v>26</v>
      </c>
      <c r="B25" s="13">
        <f>'6022-total and 3 yr ave'!D$57+'6022-total and 3 yr ave'!D$59+'6022-total and 3 yr ave'!D$60</f>
        <v>60</v>
      </c>
      <c r="C25" s="13">
        <v>4</v>
      </c>
      <c r="D25" s="15">
        <v>41</v>
      </c>
      <c r="E25" s="14">
        <f t="shared" si="4"/>
        <v>9840</v>
      </c>
      <c r="F25" s="3"/>
    </row>
    <row r="26" spans="1:7" ht="14.25">
      <c r="A26" s="12" t="s">
        <v>90</v>
      </c>
      <c r="B26" s="13">
        <f>+B24*4</f>
        <v>240</v>
      </c>
      <c r="C26" s="13">
        <v>4</v>
      </c>
      <c r="D26" s="15">
        <v>41</v>
      </c>
      <c r="E26" s="14">
        <f t="shared" si="4"/>
        <v>39360</v>
      </c>
      <c r="F26" s="3"/>
    </row>
    <row r="27" spans="1:7" ht="14.25">
      <c r="A27" s="12" t="s">
        <v>91</v>
      </c>
      <c r="B27" s="13">
        <v>2</v>
      </c>
      <c r="C27" s="13">
        <v>1</v>
      </c>
      <c r="D27" s="15">
        <v>41</v>
      </c>
      <c r="E27" s="14">
        <f>+B27*C27*D27</f>
        <v>82</v>
      </c>
      <c r="F27" s="3"/>
    </row>
    <row r="28" spans="1:7" ht="14.25">
      <c r="A28" s="12" t="s">
        <v>94</v>
      </c>
      <c r="B28" s="13">
        <f>'6022-total and 3 yr ave'!D$57+'6022-total and 3 yr ave'!D$59+'6022-total and 3 yr ave'!D$60</f>
        <v>60</v>
      </c>
      <c r="C28" s="13">
        <v>1</v>
      </c>
      <c r="D28" s="15">
        <v>41</v>
      </c>
      <c r="E28" s="14">
        <f>+B28*C28*D28</f>
        <v>2460</v>
      </c>
      <c r="F28" s="3"/>
    </row>
    <row r="29" spans="1:7" ht="14.25">
      <c r="A29" s="12"/>
      <c r="B29" s="12"/>
      <c r="C29" s="12"/>
      <c r="D29" s="12"/>
      <c r="E29" s="14">
        <f>SUM(E21:E27)</f>
        <v>140384</v>
      </c>
      <c r="F29" s="3"/>
    </row>
    <row r="30" spans="1:7">
      <c r="A30" s="1"/>
      <c r="B30" s="1"/>
      <c r="C30" s="1"/>
      <c r="D30" s="1"/>
      <c r="E30" s="1"/>
      <c r="F30" s="3"/>
    </row>
    <row r="31" spans="1:7" ht="14.25">
      <c r="A31" s="16" t="s">
        <v>62</v>
      </c>
      <c r="B31" s="1"/>
      <c r="C31" s="1"/>
      <c r="D31" s="1"/>
      <c r="E31" s="1"/>
      <c r="F31" s="3"/>
    </row>
    <row r="34" spans="1:6">
      <c r="A34" s="147" t="s">
        <v>104</v>
      </c>
      <c r="B34" s="147"/>
      <c r="C34" s="147"/>
      <c r="D34" s="147"/>
      <c r="E34" s="147"/>
    </row>
    <row r="35" spans="1:6">
      <c r="A35" s="148" t="s">
        <v>54</v>
      </c>
      <c r="B35" s="148"/>
      <c r="C35" s="148"/>
      <c r="D35" s="148"/>
      <c r="E35" s="148"/>
    </row>
    <row r="36" spans="1:6" ht="30">
      <c r="A36" s="10" t="s">
        <v>55</v>
      </c>
      <c r="B36" s="10" t="s">
        <v>92</v>
      </c>
      <c r="C36" s="10" t="s">
        <v>93</v>
      </c>
      <c r="D36" s="11" t="s">
        <v>61</v>
      </c>
      <c r="E36" s="11" t="s">
        <v>21</v>
      </c>
      <c r="F36" s="1"/>
    </row>
    <row r="37" spans="1:6" ht="14.25">
      <c r="A37" s="12" t="s">
        <v>22</v>
      </c>
      <c r="B37" s="13">
        <f>'6022-total and 3 yr ave'!E$57+'6022-total and 3 yr ave'!E$59+'6022-total and 3 yr ave'!E$60</f>
        <v>71</v>
      </c>
      <c r="C37" s="13">
        <v>3.7</v>
      </c>
      <c r="D37" s="15">
        <v>41</v>
      </c>
      <c r="E37" s="14">
        <v>10783</v>
      </c>
      <c r="F37" s="1" t="s">
        <v>186</v>
      </c>
    </row>
    <row r="38" spans="1:6" ht="14.25">
      <c r="A38" s="12" t="s">
        <v>23</v>
      </c>
      <c r="B38" s="13">
        <f>'6022-total and 3 yr ave'!E$57+'6022-total and 3 yr ave'!E$59+'6022-total and 3 yr ave'!E$60</f>
        <v>71</v>
      </c>
      <c r="C38" s="13">
        <v>5.9</v>
      </c>
      <c r="D38" s="15">
        <v>41</v>
      </c>
      <c r="E38" s="14">
        <v>17179</v>
      </c>
      <c r="F38" s="1" t="s">
        <v>187</v>
      </c>
    </row>
    <row r="39" spans="1:6" ht="14.25">
      <c r="A39" s="12" t="s">
        <v>24</v>
      </c>
      <c r="B39" s="13">
        <f>'6022-total and 3 yr ave'!E$57+'6022-total and 3 yr ave'!E$59+'6022-total and 3 yr ave'!E$60</f>
        <v>71</v>
      </c>
      <c r="C39" s="13">
        <v>2</v>
      </c>
      <c r="D39" s="15">
        <v>41</v>
      </c>
      <c r="E39" s="14">
        <f t="shared" ref="E39:E44" si="5">+B39*C39*D39</f>
        <v>5822</v>
      </c>
      <c r="F39" s="3"/>
    </row>
    <row r="40" spans="1:6" ht="14.25">
      <c r="A40" s="12" t="s">
        <v>25</v>
      </c>
      <c r="B40" s="13">
        <f>'6022-total and 3 yr ave'!F$57+'6022-total and 3 yr ave'!F$59+'6022-total and 3 yr ave'!F$60</f>
        <v>70</v>
      </c>
      <c r="C40" s="13">
        <v>3.6</v>
      </c>
      <c r="D40" s="15">
        <v>41</v>
      </c>
      <c r="E40" s="14">
        <f t="shared" si="5"/>
        <v>10332</v>
      </c>
      <c r="F40" s="110" t="s">
        <v>188</v>
      </c>
    </row>
    <row r="41" spans="1:6" ht="14.25">
      <c r="A41" s="12" t="s">
        <v>26</v>
      </c>
      <c r="B41" s="13">
        <f>'6022-total and 3 yr ave'!F$57+'6022-total and 3 yr ave'!F$59+'6022-total and 3 yr ave'!F$60</f>
        <v>70</v>
      </c>
      <c r="C41" s="13">
        <v>4</v>
      </c>
      <c r="D41" s="15">
        <v>41</v>
      </c>
      <c r="E41" s="14">
        <f t="shared" si="5"/>
        <v>11480</v>
      </c>
      <c r="F41" s="3"/>
    </row>
    <row r="42" spans="1:6" ht="14.25">
      <c r="A42" s="12" t="s">
        <v>90</v>
      </c>
      <c r="B42" s="13">
        <f>+B40*4</f>
        <v>280</v>
      </c>
      <c r="C42" s="13">
        <v>4</v>
      </c>
      <c r="D42" s="15">
        <v>41</v>
      </c>
      <c r="E42" s="14">
        <f t="shared" si="5"/>
        <v>45920</v>
      </c>
      <c r="F42" s="3"/>
    </row>
    <row r="43" spans="1:6" ht="14.25">
      <c r="A43" s="12" t="s">
        <v>91</v>
      </c>
      <c r="B43" s="13">
        <v>2</v>
      </c>
      <c r="C43" s="13">
        <v>1</v>
      </c>
      <c r="D43" s="15">
        <v>41</v>
      </c>
      <c r="E43" s="14">
        <f t="shared" si="5"/>
        <v>82</v>
      </c>
      <c r="F43" s="3"/>
    </row>
    <row r="44" spans="1:6" ht="14.25">
      <c r="A44" s="12" t="s">
        <v>94</v>
      </c>
      <c r="B44" s="13">
        <f>'6022-total and 3 yr ave'!F$57+'6022-total and 3 yr ave'!F$59+'6022-total and 3 yr ave'!F$60</f>
        <v>70</v>
      </c>
      <c r="C44" s="13">
        <v>1</v>
      </c>
      <c r="D44" s="15">
        <v>41</v>
      </c>
      <c r="E44" s="14">
        <f t="shared" si="5"/>
        <v>2870</v>
      </c>
      <c r="F44" s="3"/>
    </row>
    <row r="45" spans="1:6" ht="14.25">
      <c r="A45" s="12"/>
      <c r="B45" s="12"/>
      <c r="C45" s="12"/>
      <c r="D45" s="12"/>
      <c r="E45" s="14">
        <f>SUM(E37:E44)</f>
        <v>104468</v>
      </c>
      <c r="F45" s="3"/>
    </row>
    <row r="46" spans="1:6">
      <c r="A46" s="1"/>
      <c r="B46" s="1"/>
      <c r="C46" s="1"/>
      <c r="D46" s="1"/>
      <c r="E46" s="1"/>
      <c r="F46" s="3"/>
    </row>
    <row r="47" spans="1:6" ht="14.25">
      <c r="A47" s="16" t="s">
        <v>62</v>
      </c>
      <c r="B47" s="1"/>
      <c r="C47" s="1"/>
      <c r="D47" s="1"/>
      <c r="E47" s="1"/>
      <c r="F47" s="3"/>
    </row>
    <row r="48" spans="1:6">
      <c r="F48" s="1"/>
    </row>
    <row r="49" spans="1:6">
      <c r="F49" s="1"/>
    </row>
    <row r="50" spans="1:6">
      <c r="A50" s="147" t="s">
        <v>105</v>
      </c>
      <c r="B50" s="147"/>
      <c r="C50" s="147"/>
      <c r="D50" s="147"/>
      <c r="E50" s="147"/>
      <c r="F50" s="1"/>
    </row>
    <row r="51" spans="1:6">
      <c r="A51" s="148" t="s">
        <v>54</v>
      </c>
      <c r="B51" s="148"/>
      <c r="C51" s="148"/>
      <c r="D51" s="148"/>
      <c r="E51" s="148"/>
      <c r="F51" s="1"/>
    </row>
    <row r="52" spans="1:6" ht="30">
      <c r="A52" s="10" t="s">
        <v>55</v>
      </c>
      <c r="B52" s="10" t="s">
        <v>92</v>
      </c>
      <c r="C52" s="10" t="s">
        <v>93</v>
      </c>
      <c r="D52" s="11" t="s">
        <v>61</v>
      </c>
      <c r="E52" s="11" t="s">
        <v>21</v>
      </c>
      <c r="F52" s="1"/>
    </row>
    <row r="53" spans="1:6" ht="14.25">
      <c r="A53" s="12" t="s">
        <v>22</v>
      </c>
      <c r="B53" s="19">
        <f>'6022-total and 3 yr ave'!G$57+'6022-total and 3 yr ave'!G$59+'6022-total and 3 yr ave'!G$60</f>
        <v>81</v>
      </c>
      <c r="C53" s="13">
        <v>4.0999999999999996</v>
      </c>
      <c r="D53" s="15">
        <v>41</v>
      </c>
      <c r="E53" s="14">
        <v>13612</v>
      </c>
      <c r="F53" s="1" t="s">
        <v>189</v>
      </c>
    </row>
    <row r="54" spans="1:6" ht="14.25">
      <c r="A54" s="12" t="s">
        <v>23</v>
      </c>
      <c r="B54" s="19">
        <f>'6022-total and 3 yr ave'!G$57+'6022-total and 3 yr ave'!G$59+'6022-total and 3 yr ave'!G$60</f>
        <v>81</v>
      </c>
      <c r="C54" s="13">
        <v>6.8</v>
      </c>
      <c r="D54" s="15">
        <v>41</v>
      </c>
      <c r="E54" s="14">
        <v>22591</v>
      </c>
      <c r="F54" s="1" t="s">
        <v>190</v>
      </c>
    </row>
    <row r="55" spans="1:6" ht="14.25">
      <c r="A55" s="12" t="s">
        <v>24</v>
      </c>
      <c r="B55" s="19">
        <f>'6022-total and 3 yr ave'!G$57+'6022-total and 3 yr ave'!G$59+'6022-total and 3 yr ave'!G$60</f>
        <v>81</v>
      </c>
      <c r="C55" s="13">
        <v>2</v>
      </c>
      <c r="D55" s="15">
        <v>41</v>
      </c>
      <c r="E55" s="14">
        <f t="shared" ref="E55:E58" si="6">+B55*C55*D55</f>
        <v>6642</v>
      </c>
      <c r="F55" s="3"/>
    </row>
    <row r="56" spans="1:6" ht="14.25">
      <c r="A56" s="12" t="s">
        <v>25</v>
      </c>
      <c r="B56" s="19">
        <f>'6022-total and 3 yr ave'!H$57+'6022-total and 3 yr ave'!H$59+'6022-total and 3 yr ave'!H$60</f>
        <v>80</v>
      </c>
      <c r="C56" s="13">
        <v>4</v>
      </c>
      <c r="D56" s="15">
        <v>41</v>
      </c>
      <c r="E56" s="14">
        <f t="shared" si="6"/>
        <v>13120</v>
      </c>
      <c r="F56" s="110" t="s">
        <v>191</v>
      </c>
    </row>
    <row r="57" spans="1:6" ht="14.25">
      <c r="A57" s="12" t="s">
        <v>26</v>
      </c>
      <c r="B57" s="19">
        <f>'6022-total and 3 yr ave'!H$57+'6022-total and 3 yr ave'!H$59+'6022-total and 3 yr ave'!H$60</f>
        <v>80</v>
      </c>
      <c r="C57" s="13">
        <v>4</v>
      </c>
      <c r="D57" s="15">
        <v>41</v>
      </c>
      <c r="E57" s="14">
        <f t="shared" si="6"/>
        <v>13120</v>
      </c>
      <c r="F57" s="3"/>
    </row>
    <row r="58" spans="1:6" ht="14.25">
      <c r="A58" s="12" t="s">
        <v>90</v>
      </c>
      <c r="B58" s="13">
        <f>+B56*4</f>
        <v>320</v>
      </c>
      <c r="C58" s="13">
        <v>4</v>
      </c>
      <c r="D58" s="15">
        <v>41</v>
      </c>
      <c r="E58" s="14">
        <f t="shared" si="6"/>
        <v>52480</v>
      </c>
      <c r="F58" s="3"/>
    </row>
    <row r="59" spans="1:6" ht="14.25">
      <c r="A59" s="12" t="s">
        <v>91</v>
      </c>
      <c r="B59" s="13">
        <v>2</v>
      </c>
      <c r="C59" s="13">
        <v>1</v>
      </c>
      <c r="D59" s="15">
        <v>41</v>
      </c>
      <c r="E59" s="14">
        <f>+B59*C59*D59</f>
        <v>82</v>
      </c>
      <c r="F59" s="3"/>
    </row>
    <row r="60" spans="1:6" ht="14.25">
      <c r="A60" s="12" t="s">
        <v>94</v>
      </c>
      <c r="B60" s="19">
        <f>'6022-total and 3 yr ave'!H$57+'6022-total and 3 yr ave'!H$59+'6022-total and 3 yr ave'!H$60</f>
        <v>80</v>
      </c>
      <c r="C60" s="13">
        <v>1</v>
      </c>
      <c r="D60" s="15">
        <v>41</v>
      </c>
      <c r="E60" s="14">
        <f>+B60*C60*D60</f>
        <v>3280</v>
      </c>
      <c r="F60" s="3"/>
    </row>
    <row r="61" spans="1:6" ht="14.25">
      <c r="A61" s="12"/>
      <c r="B61" s="12"/>
      <c r="C61" s="12"/>
      <c r="D61" s="12"/>
      <c r="E61" s="14">
        <f>SUM(E53:E60)</f>
        <v>124927</v>
      </c>
      <c r="F61" s="3"/>
    </row>
    <row r="62" spans="1:6">
      <c r="A62" s="1"/>
      <c r="B62" s="1"/>
      <c r="C62" s="1"/>
      <c r="D62" s="1"/>
      <c r="E62" s="1"/>
      <c r="F62" s="3"/>
    </row>
    <row r="63" spans="1:6" ht="14.25">
      <c r="A63" s="16" t="s">
        <v>62</v>
      </c>
      <c r="B63" s="1"/>
      <c r="C63" s="1"/>
      <c r="D63" s="1"/>
      <c r="E63" s="1"/>
      <c r="F63" s="3"/>
    </row>
    <row r="67" spans="1:1">
      <c r="A67" s="110"/>
    </row>
  </sheetData>
  <customSheetViews>
    <customSheetView guid="{C3053AD8-900F-4045-B60E-43CCFD9EF7DD}" scale="90" showPageBreaks="1" fitToPage="1">
      <selection activeCell="G17" sqref="G17"/>
      <pageMargins left="0.75" right="0.75" top="1" bottom="1" header="0.5" footer="0.5"/>
      <printOptions gridLines="1"/>
      <pageSetup scale="57" orientation="portrait" horizontalDpi="300" verticalDpi="300" r:id="rId1"/>
      <headerFooter alignWithMargins="0"/>
    </customSheetView>
    <customSheetView guid="{855078B0-1E21-4B25-9C5A-4782BC11700B}" scale="90" showPageBreaks="1" fitToPage="1">
      <selection activeCell="H22" sqref="H22"/>
      <pageMargins left="0.75" right="0.75" top="1" bottom="1" header="0.5" footer="0.5"/>
      <printOptions gridLines="1"/>
      <pageSetup scale="45" orientation="landscape" horizontalDpi="300" verticalDpi="300" r:id="rId2"/>
      <headerFooter alignWithMargins="0"/>
    </customSheetView>
  </customSheetViews>
  <mergeCells count="10">
    <mergeCell ref="A50:E50"/>
    <mergeCell ref="A51:E51"/>
    <mergeCell ref="A1:E1"/>
    <mergeCell ref="A2:E2"/>
    <mergeCell ref="A18:E18"/>
    <mergeCell ref="A19:E19"/>
    <mergeCell ref="A34:E34"/>
    <mergeCell ref="A35:E35"/>
    <mergeCell ref="B12:D12"/>
    <mergeCell ref="B16:E16"/>
  </mergeCells>
  <phoneticPr fontId="2" type="noConversion"/>
  <printOptions gridLines="1"/>
  <pageMargins left="0.75" right="0.75" top="1" bottom="1" header="0.5" footer="0.5"/>
  <pageSetup scale="48" orientation="landscape" horizontalDpi="300" verticalDpi="300" r:id="rId3"/>
  <headerFooter alignWithMargins="0"/>
  <legacy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6022-total and 3 yr ave</vt:lpstr>
      <vt:lpstr>6022-yr1</vt:lpstr>
      <vt:lpstr>6022-yr2</vt:lpstr>
      <vt:lpstr>6022-yr3</vt:lpstr>
      <vt:lpstr>FedGov Cost</vt:lpstr>
      <vt:lpstr>'6022-total and 3 yr ave'!Print_Area</vt:lpstr>
      <vt:lpstr>'6022-yr1'!Print_Area</vt:lpstr>
      <vt:lpstr>'6022-yr2'!Print_Area</vt:lpstr>
      <vt:lpstr>'6022-yr3'!Print_Area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Thompson</dc:creator>
  <cp:lastModifiedBy>cheryl.thompson</cp:lastModifiedBy>
  <cp:lastPrinted>2010-05-26T17:44:12Z</cp:lastPrinted>
  <dcterms:created xsi:type="dcterms:W3CDTF">2006-10-02T11:05:56Z</dcterms:created>
  <dcterms:modified xsi:type="dcterms:W3CDTF">2010-05-26T20:02:55Z</dcterms:modified>
</cp:coreProperties>
</file>