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85" yWindow="90" windowWidth="21075" windowHeight="9795" tabRatio="889" firstSheet="2" activeTab="2"/>
  </bookViews>
  <sheets>
    <sheet name="Summary 2" sheetId="150" state="hidden" r:id="rId1"/>
    <sheet name="Capital vs. O&amp;M" sheetId="173" state="hidden" r:id="rId2"/>
    <sheet name="BURDEN SUMMARY" sheetId="175" r:id="rId3"/>
    <sheet name="Responses" sheetId="174" state="hidden" r:id="rId4"/>
    <sheet name="Avg-Yr1-3" sheetId="3" state="hidden" r:id="rId5"/>
    <sheet name="Testing Costs" sheetId="136" state="hidden" r:id="rId6"/>
    <sheet name="Monitors" sheetId="137" state="hidden" r:id="rId7"/>
    <sheet name="Base Data" sheetId="49" state="hidden" r:id="rId8"/>
    <sheet name="Fac-ExistLrgSolid-Yr1" sheetId="10" r:id="rId9"/>
    <sheet name="Fac-ExistLrgSolid-Yr2" sheetId="103" r:id="rId10"/>
    <sheet name="Fac-ExistLrgSolid-Yr3" sheetId="104" r:id="rId11"/>
    <sheet name="Fac-ExistLrgLiquid-Yr1" sheetId="105" r:id="rId12"/>
    <sheet name="Fac-ExistLrgLiquid-Yr2" sheetId="106" r:id="rId13"/>
    <sheet name="Fac-ExistLrgLiquid-Yr3" sheetId="107" r:id="rId14"/>
    <sheet name="Fac-ExistLrgGas-Yr1" sheetId="108" r:id="rId15"/>
    <sheet name="Fac-ExistLrgGas-Yr2" sheetId="109" r:id="rId16"/>
    <sheet name="Fac-ExistLrgGas-Yr3" sheetId="110" r:id="rId17"/>
    <sheet name="Fac-NewLrgSolid-Yr1" sheetId="111" r:id="rId18"/>
    <sheet name="Fac-NewLrgSolid-Yr2" sheetId="138" r:id="rId19"/>
    <sheet name="Fac-NewLrgSolid-Yr3" sheetId="139" r:id="rId20"/>
    <sheet name="Fac-NewLrgLiquid-Yr1" sheetId="114" r:id="rId21"/>
    <sheet name="Fac-NewLrgLiquid-Yr2" sheetId="140" r:id="rId22"/>
    <sheet name="Fac-NewLrgLiquid-Yr3" sheetId="141" r:id="rId23"/>
    <sheet name="Fac-NewLrgGas-Yr1" sheetId="170" r:id="rId24"/>
    <sheet name="Fac-NewLrgGas-Yr2" sheetId="171" r:id="rId25"/>
    <sheet name="Fac-NewLrgGas-Yr3" sheetId="172" r:id="rId26"/>
    <sheet name="Fac - ExistSmlSolid-Yr1" sheetId="51" r:id="rId27"/>
    <sheet name="Fac - ExistSmlSolid-Yr2" sheetId="88" r:id="rId28"/>
    <sheet name="Fac - ExistSmlSolid-Yr3" sheetId="89" r:id="rId29"/>
    <sheet name="Fac - ExistSmlLiquid-Yr1" sheetId="90" r:id="rId30"/>
    <sheet name="Fac - ExistSmlLiquid-Yr2" sheetId="91" r:id="rId31"/>
    <sheet name="Fac - ExistSmlLiquid-Yr3" sheetId="92" r:id="rId32"/>
    <sheet name="Fac - ExistSmlGas-Yr1" sheetId="123" r:id="rId33"/>
    <sheet name="Fac - ExistSmlGas-Yr2" sheetId="126" r:id="rId34"/>
    <sheet name="Fac - ExistSmlGas-Yr3" sheetId="127" r:id="rId35"/>
    <sheet name="Fac-NewSmlSolid-Yr1" sheetId="156" r:id="rId36"/>
    <sheet name="Fac-NewSmlSolid-Yr2" sheetId="157" r:id="rId37"/>
    <sheet name="Fac-NewSmlSolid-Yr3" sheetId="158" r:id="rId38"/>
    <sheet name="Fac-NewSmlLiquid-Yr1" sheetId="159" r:id="rId39"/>
    <sheet name="Fac-NewSmlLiquid-Yr2" sheetId="162" r:id="rId40"/>
    <sheet name="Fac-NewSmlLiquid-Yr3" sheetId="163" r:id="rId41"/>
    <sheet name="Fac-NewSmlGas-Yr1" sheetId="164" r:id="rId42"/>
    <sheet name="Fac-NewSmlGas-Yr2" sheetId="165" r:id="rId43"/>
    <sheet name="Fac-NewSmlGas-Yr3" sheetId="166" r:id="rId44"/>
    <sheet name="Agency Base Data" sheetId="152" r:id="rId45"/>
    <sheet name="AgencyYR1" sheetId="167" r:id="rId46"/>
    <sheet name="AgencyYR2" sheetId="168" r:id="rId47"/>
    <sheet name="AgencyYR3" sheetId="169" r:id="rId48"/>
  </sheets>
  <externalReferences>
    <externalReference r:id="rId49"/>
  </externalReferences>
  <definedNames>
    <definedName name="_xlnm._FilterDatabase" localSheetId="28" hidden="1">'Fac - ExistSmlSolid-Yr3'!$A$3:$S$3</definedName>
    <definedName name="_xlnm._FilterDatabase" localSheetId="8" hidden="1">'Fac-ExistLrgSolid-Yr1'!$A$3:$S$3</definedName>
    <definedName name="cler">[1]basis!$C$26</definedName>
    <definedName name="comptime" localSheetId="45">AgencyYR1!#REF!</definedName>
    <definedName name="comptime" localSheetId="46">AgencyYR2!#REF!</definedName>
    <definedName name="comptime" localSheetId="47">AgencyYR3!#REF!</definedName>
    <definedName name="excd">[1]basis!$C$19</definedName>
    <definedName name="lit">[1]basis!$C$13</definedName>
    <definedName name="mang">[1]basis!$C$25</definedName>
    <definedName name="new_respondents">[1]basis!$C$17</definedName>
    <definedName name="noexcd">[1]basis!$C$20</definedName>
    <definedName name="_xlnm.Print_Area" localSheetId="45">AgencyYR1!$A$1:$N$38</definedName>
    <definedName name="_xlnm.Print_Area" localSheetId="46">AgencyYR2!$A$1:$N$38</definedName>
    <definedName name="_xlnm.Print_Area" localSheetId="47">AgencyYR3!$A$1:$N$38</definedName>
    <definedName name="_xlnm.Print_Area" localSheetId="23">'Fac-NewLrgGas-Yr1'!$A$1:$Q$74</definedName>
    <definedName name="_xlnm.Print_Area" localSheetId="17">'Fac-NewLrgSolid-Yr1'!$A$1:$Q$66</definedName>
    <definedName name="_xlnm.Print_Titles" localSheetId="32">'Fac - ExistSmlGas-Yr1'!$1:$3</definedName>
    <definedName name="_xlnm.Print_Titles" localSheetId="33">'Fac - ExistSmlGas-Yr2'!$1:$3</definedName>
    <definedName name="_xlnm.Print_Titles" localSheetId="34">'Fac - ExistSmlGas-Yr3'!$1:$3</definedName>
    <definedName name="_xlnm.Print_Titles" localSheetId="29">'Fac - ExistSmlLiquid-Yr1'!$1:$3</definedName>
    <definedName name="_xlnm.Print_Titles" localSheetId="30">'Fac - ExistSmlLiquid-Yr2'!$1:$3</definedName>
    <definedName name="_xlnm.Print_Titles" localSheetId="31">'Fac - ExistSmlLiquid-Yr3'!$1:$3</definedName>
    <definedName name="_xlnm.Print_Titles" localSheetId="26">'Fac - ExistSmlSolid-Yr1'!$1:$3</definedName>
    <definedName name="_xlnm.Print_Titles" localSheetId="27">'Fac - ExistSmlSolid-Yr2'!$1:$3</definedName>
    <definedName name="_xlnm.Print_Titles" localSheetId="28">'Fac - ExistSmlSolid-Yr3'!$1:$3</definedName>
    <definedName name="_xlnm.Print_Titles" localSheetId="14">'Fac-ExistLrgGas-Yr1'!$1:$3</definedName>
    <definedName name="_xlnm.Print_Titles" localSheetId="15">'Fac-ExistLrgGas-Yr2'!$1:$3</definedName>
    <definedName name="_xlnm.Print_Titles" localSheetId="16">'Fac-ExistLrgGas-Yr3'!$1:$3</definedName>
    <definedName name="_xlnm.Print_Titles" localSheetId="11">'Fac-ExistLrgLiquid-Yr1'!$1:$3</definedName>
    <definedName name="_xlnm.Print_Titles" localSheetId="12">'Fac-ExistLrgLiquid-Yr2'!$1:$3</definedName>
    <definedName name="_xlnm.Print_Titles" localSheetId="13">'Fac-ExistLrgLiquid-Yr3'!$1:$3</definedName>
    <definedName name="_xlnm.Print_Titles" localSheetId="8">'Fac-ExistLrgSolid-Yr1'!$1:$3</definedName>
    <definedName name="_xlnm.Print_Titles" localSheetId="9">'Fac-ExistLrgSolid-Yr2'!$1:$3</definedName>
    <definedName name="_xlnm.Print_Titles" localSheetId="10">'Fac-ExistLrgSolid-Yr3'!$1:$3</definedName>
    <definedName name="_xlnm.Print_Titles" localSheetId="23">'Fac-NewLrgGas-Yr1'!$1:$3</definedName>
    <definedName name="_xlnm.Print_Titles" localSheetId="24">'Fac-NewLrgGas-Yr2'!$1:$3</definedName>
    <definedName name="_xlnm.Print_Titles" localSheetId="25">'Fac-NewLrgGas-Yr3'!$1:$3</definedName>
    <definedName name="_xlnm.Print_Titles" localSheetId="20">'Fac-NewLrgLiquid-Yr1'!$1:$3</definedName>
    <definedName name="_xlnm.Print_Titles" localSheetId="21">'Fac-NewLrgLiquid-Yr2'!$1:$3</definedName>
    <definedName name="_xlnm.Print_Titles" localSheetId="22">'Fac-NewLrgLiquid-Yr3'!$1:$3</definedName>
    <definedName name="_xlnm.Print_Titles" localSheetId="17">'Fac-NewLrgSolid-Yr1'!$1:$3</definedName>
    <definedName name="_xlnm.Print_Titles" localSheetId="18">'Fac-NewLrgSolid-Yr2'!$1:$3</definedName>
    <definedName name="_xlnm.Print_Titles" localSheetId="19">'Fac-NewLrgSolid-Yr3'!$1:$3</definedName>
    <definedName name="_xlnm.Print_Titles" localSheetId="41">'Fac-NewSmlGas-Yr1'!$1:$2</definedName>
    <definedName name="_xlnm.Print_Titles" localSheetId="42">'Fac-NewSmlGas-Yr2'!$1:$2</definedName>
    <definedName name="_xlnm.Print_Titles" localSheetId="43">'Fac-NewSmlGas-Yr3'!$1:$2</definedName>
    <definedName name="_xlnm.Print_Titles" localSheetId="38">'Fac-NewSmlLiquid-Yr1'!$1:$2</definedName>
    <definedName name="_xlnm.Print_Titles" localSheetId="39">'Fac-NewSmlLiquid-Yr2'!$1:$2</definedName>
    <definedName name="_xlnm.Print_Titles" localSheetId="40">'Fac-NewSmlLiquid-Yr3'!$1:$2</definedName>
    <definedName name="_xlnm.Print_Titles" localSheetId="35">'Fac-NewSmlSolid-Yr1'!$1:$3</definedName>
    <definedName name="_xlnm.Print_Titles" localSheetId="36">'Fac-NewSmlSolid-Yr2'!$1:$2</definedName>
    <definedName name="_xlnm.Print_Titles" localSheetId="37">'Fac-NewSmlSolid-Yr3'!$1:$3</definedName>
    <definedName name="read1">#REF!</definedName>
    <definedName name="respondents" localSheetId="45">AgencyYR1!#REF!</definedName>
    <definedName name="respondents" localSheetId="46">AgencyYR2!#REF!</definedName>
    <definedName name="respondents" localSheetId="47">AgencyYR3!#REF!</definedName>
    <definedName name="retest" localSheetId="45">AgencyYR1!#REF!</definedName>
    <definedName name="retest" localSheetId="46">AgencyYR2!#REF!</definedName>
    <definedName name="retest" localSheetId="47">AgencyYR3!#REF!</definedName>
    <definedName name="sperfac" localSheetId="45">AgencyYR1!#REF!</definedName>
    <definedName name="sperfac" localSheetId="46">AgencyYR2!#REF!</definedName>
    <definedName name="sperfac" localSheetId="47">AgencyYR3!#REF!</definedName>
    <definedName name="ssmalf">[1]basis!$C$21</definedName>
    <definedName name="tech">[1]basis!$C$24</definedName>
  </definedNames>
  <calcPr calcId="125725"/>
</workbook>
</file>

<file path=xl/calcChain.xml><?xml version="1.0" encoding="utf-8"?>
<calcChain xmlns="http://schemas.openxmlformats.org/spreadsheetml/2006/main">
  <c r="D15" i="175"/>
  <c r="E12"/>
  <c r="D9"/>
  <c r="H19" i="49"/>
  <c r="H40"/>
  <c r="H45"/>
  <c r="H44"/>
  <c r="H43"/>
  <c r="H42"/>
  <c r="H41"/>
  <c r="E48"/>
  <c r="O51" i="109"/>
  <c r="H51"/>
  <c r="J51" s="1"/>
  <c r="P52"/>
  <c r="P50"/>
  <c r="P49"/>
  <c r="P48"/>
  <c r="P47"/>
  <c r="E20" i="49"/>
  <c r="J24"/>
  <c r="J25" s="1"/>
  <c r="K51" i="109" l="1"/>
  <c r="N51"/>
  <c r="L51"/>
  <c r="P51"/>
  <c r="P53" s="1"/>
  <c r="P70" s="1"/>
  <c r="M51"/>
  <c r="I22" i="104" l="1"/>
  <c r="D46" i="49"/>
  <c r="I9" i="164"/>
  <c r="I39" i="171"/>
  <c r="I61" s="1"/>
  <c r="I7" i="141"/>
  <c r="I23" i="114"/>
  <c r="I20"/>
  <c r="I13"/>
  <c r="I12"/>
  <c r="I9"/>
  <c r="H9" i="167" s="1"/>
  <c r="I7" i="114"/>
  <c r="I52" i="110"/>
  <c r="B52" i="49"/>
  <c r="H8" i="167" l="1"/>
  <c r="H15"/>
  <c r="I39" i="172"/>
  <c r="I59" i="171"/>
  <c r="I62"/>
  <c r="I46"/>
  <c r="I38" i="114"/>
  <c r="I37"/>
  <c r="I40" i="141"/>
  <c r="I35" i="114"/>
  <c r="I34"/>
  <c r="I31" i="141"/>
  <c r="I31" i="140"/>
  <c r="I32" i="114"/>
  <c r="I32" i="140" s="1"/>
  <c r="I31" i="114"/>
  <c r="I35" i="110"/>
  <c r="I34"/>
  <c r="I35" i="109"/>
  <c r="I34"/>
  <c r="I35" i="107"/>
  <c r="I34"/>
  <c r="I35" i="106"/>
  <c r="I34"/>
  <c r="I35" i="104"/>
  <c r="I34"/>
  <c r="I35" i="103"/>
  <c r="I34"/>
  <c r="H32" i="172"/>
  <c r="J32" s="1"/>
  <c r="F32"/>
  <c r="O32" s="1"/>
  <c r="H31"/>
  <c r="J31" s="1"/>
  <c r="L31" s="1"/>
  <c r="F31"/>
  <c r="O31" s="1"/>
  <c r="H32" i="171"/>
  <c r="J32" s="1"/>
  <c r="F32"/>
  <c r="O32" s="1"/>
  <c r="H31"/>
  <c r="J31" s="1"/>
  <c r="F31"/>
  <c r="O31" s="1"/>
  <c r="H32" i="170"/>
  <c r="J32" s="1"/>
  <c r="F32"/>
  <c r="O32" s="1"/>
  <c r="H31"/>
  <c r="J31" s="1"/>
  <c r="L31" s="1"/>
  <c r="F31"/>
  <c r="O31" s="1"/>
  <c r="H32" i="141"/>
  <c r="F32"/>
  <c r="H31"/>
  <c r="F31"/>
  <c r="O31" s="1"/>
  <c r="H32" i="140"/>
  <c r="F32"/>
  <c r="H31"/>
  <c r="F31"/>
  <c r="O31" s="1"/>
  <c r="H32" i="114"/>
  <c r="J32" s="1"/>
  <c r="F32"/>
  <c r="O32" s="1"/>
  <c r="H31"/>
  <c r="J31" s="1"/>
  <c r="F31"/>
  <c r="H32" i="139"/>
  <c r="J32" s="1"/>
  <c r="F32"/>
  <c r="O32" s="1"/>
  <c r="H31"/>
  <c r="J31" s="1"/>
  <c r="F31"/>
  <c r="O31" s="1"/>
  <c r="H32" i="138"/>
  <c r="J32" s="1"/>
  <c r="F32"/>
  <c r="O32" s="1"/>
  <c r="J31"/>
  <c r="L31" s="1"/>
  <c r="H31"/>
  <c r="F31"/>
  <c r="O31" s="1"/>
  <c r="H32" i="111"/>
  <c r="J32" s="1"/>
  <c r="F32"/>
  <c r="O32" s="1"/>
  <c r="J31"/>
  <c r="H31"/>
  <c r="F31"/>
  <c r="O31" s="1"/>
  <c r="H35" i="110"/>
  <c r="J35" s="1"/>
  <c r="F35"/>
  <c r="O35" s="1"/>
  <c r="H34"/>
  <c r="J34" s="1"/>
  <c r="L34" s="1"/>
  <c r="F34"/>
  <c r="O34" s="1"/>
  <c r="H35" i="109"/>
  <c r="J35" s="1"/>
  <c r="F35"/>
  <c r="O35" s="1"/>
  <c r="H34"/>
  <c r="F34"/>
  <c r="O34" s="1"/>
  <c r="H35" i="108"/>
  <c r="J35" s="1"/>
  <c r="F35"/>
  <c r="O35" s="1"/>
  <c r="H34"/>
  <c r="J34" s="1"/>
  <c r="F34"/>
  <c r="O34" s="1"/>
  <c r="H35" i="107"/>
  <c r="J35" s="1"/>
  <c r="F35"/>
  <c r="O35" s="1"/>
  <c r="H34"/>
  <c r="J34" s="1"/>
  <c r="F34"/>
  <c r="O34" s="1"/>
  <c r="H35" i="106"/>
  <c r="J35" s="1"/>
  <c r="F35"/>
  <c r="O35" s="1"/>
  <c r="H34"/>
  <c r="J34" s="1"/>
  <c r="L34" s="1"/>
  <c r="F34"/>
  <c r="O34" s="1"/>
  <c r="H35" i="105"/>
  <c r="J35" s="1"/>
  <c r="F35"/>
  <c r="O35" s="1"/>
  <c r="H34"/>
  <c r="J34" s="1"/>
  <c r="L34" s="1"/>
  <c r="F34"/>
  <c r="O34" s="1"/>
  <c r="H35" i="104"/>
  <c r="F35"/>
  <c r="O35" s="1"/>
  <c r="H34"/>
  <c r="J34" s="1"/>
  <c r="F34"/>
  <c r="O34" s="1"/>
  <c r="H35" i="103"/>
  <c r="J35" s="1"/>
  <c r="F35"/>
  <c r="O35" s="1"/>
  <c r="H34"/>
  <c r="J34" s="1"/>
  <c r="F34"/>
  <c r="O34" s="1"/>
  <c r="F35" i="10"/>
  <c r="F34"/>
  <c r="D45" i="49"/>
  <c r="D44"/>
  <c r="D43"/>
  <c r="D40"/>
  <c r="D39"/>
  <c r="D38"/>
  <c r="H38" s="1"/>
  <c r="D35"/>
  <c r="D34"/>
  <c r="H34" s="1"/>
  <c r="D33"/>
  <c r="D29"/>
  <c r="H29" s="1"/>
  <c r="D30"/>
  <c r="D28"/>
  <c r="H28" s="1"/>
  <c r="D24"/>
  <c r="D25"/>
  <c r="H25" s="1"/>
  <c r="D23"/>
  <c r="D19"/>
  <c r="D20"/>
  <c r="D18"/>
  <c r="D16"/>
  <c r="D41"/>
  <c r="D36"/>
  <c r="H36" s="1"/>
  <c r="D31"/>
  <c r="H31" s="1"/>
  <c r="D26"/>
  <c r="H26" s="1"/>
  <c r="D21"/>
  <c r="H21" s="1"/>
  <c r="R46"/>
  <c r="N46"/>
  <c r="I61" i="172" l="1"/>
  <c r="I46"/>
  <c r="I62"/>
  <c r="I59"/>
  <c r="J31" i="140"/>
  <c r="L31" s="1"/>
  <c r="J35" i="104"/>
  <c r="H17" i="49"/>
  <c r="H22"/>
  <c r="H32"/>
  <c r="H27"/>
  <c r="H37"/>
  <c r="H20"/>
  <c r="H23"/>
  <c r="H24"/>
  <c r="H30"/>
  <c r="H33"/>
  <c r="H35"/>
  <c r="H39"/>
  <c r="E25"/>
  <c r="H18"/>
  <c r="H16"/>
  <c r="I46" s="1"/>
  <c r="I32" i="141"/>
  <c r="J32" s="1"/>
  <c r="L32" s="1"/>
  <c r="J32" i="140"/>
  <c r="K32" s="1"/>
  <c r="O32"/>
  <c r="J31" i="141"/>
  <c r="L31" s="1"/>
  <c r="O31" i="114"/>
  <c r="J34" i="109"/>
  <c r="K32" i="172"/>
  <c r="L32"/>
  <c r="K31"/>
  <c r="N31" s="1"/>
  <c r="L31" i="171"/>
  <c r="K31"/>
  <c r="N31" s="1"/>
  <c r="K32"/>
  <c r="L32"/>
  <c r="N32" s="1"/>
  <c r="K32" i="170"/>
  <c r="L32"/>
  <c r="K31"/>
  <c r="N31" s="1"/>
  <c r="K31" i="140"/>
  <c r="L31" i="114"/>
  <c r="K31"/>
  <c r="K32"/>
  <c r="L32"/>
  <c r="L31" i="139"/>
  <c r="N31"/>
  <c r="K31"/>
  <c r="K32"/>
  <c r="L32"/>
  <c r="N32" s="1"/>
  <c r="K32" i="138"/>
  <c r="N32" s="1"/>
  <c r="L32"/>
  <c r="K31"/>
  <c r="N31" s="1"/>
  <c r="L32" i="111"/>
  <c r="K32"/>
  <c r="N32" s="1"/>
  <c r="L31"/>
  <c r="K31"/>
  <c r="N31" s="1"/>
  <c r="K35" i="110"/>
  <c r="L35"/>
  <c r="K34"/>
  <c r="K35" i="109"/>
  <c r="L35"/>
  <c r="L34" i="108"/>
  <c r="K34"/>
  <c r="N34" s="1"/>
  <c r="K35"/>
  <c r="L35"/>
  <c r="N35" s="1"/>
  <c r="L34" i="107"/>
  <c r="K34"/>
  <c r="K35"/>
  <c r="L35"/>
  <c r="K35" i="106"/>
  <c r="L35"/>
  <c r="K34"/>
  <c r="N34" s="1"/>
  <c r="K35" i="105"/>
  <c r="N35" s="1"/>
  <c r="L35"/>
  <c r="K34"/>
  <c r="N34" s="1"/>
  <c r="L34" i="104"/>
  <c r="K34"/>
  <c r="K35"/>
  <c r="L35"/>
  <c r="L34" i="103"/>
  <c r="K34"/>
  <c r="L35"/>
  <c r="K35"/>
  <c r="J57" i="49"/>
  <c r="I5" i="3"/>
  <c r="H5"/>
  <c r="E5"/>
  <c r="H21" i="168"/>
  <c r="I21" s="1"/>
  <c r="J21" s="1"/>
  <c r="H21" i="167"/>
  <c r="P31" i="127"/>
  <c r="P29" i="123"/>
  <c r="P31" i="92"/>
  <c r="P20" i="126"/>
  <c r="H19" i="127"/>
  <c r="P19" i="126"/>
  <c r="O19"/>
  <c r="M19"/>
  <c r="H19"/>
  <c r="J19" s="1"/>
  <c r="P19" i="123"/>
  <c r="O19"/>
  <c r="M19"/>
  <c r="H19"/>
  <c r="J19" s="1"/>
  <c r="P20" i="91"/>
  <c r="H19" i="92"/>
  <c r="P19" i="91"/>
  <c r="O19"/>
  <c r="M19"/>
  <c r="H19"/>
  <c r="J19" s="1"/>
  <c r="P19" i="90"/>
  <c r="O19"/>
  <c r="M19"/>
  <c r="H19"/>
  <c r="J19" s="1"/>
  <c r="H19" i="89"/>
  <c r="P20" i="88"/>
  <c r="P19"/>
  <c r="O19"/>
  <c r="M19"/>
  <c r="H19"/>
  <c r="J19" s="1"/>
  <c r="P19" i="51"/>
  <c r="O19"/>
  <c r="M19"/>
  <c r="H19"/>
  <c r="J19" s="1"/>
  <c r="H19" i="167"/>
  <c r="P69" i="108"/>
  <c r="C5" i="175"/>
  <c r="I9" i="166"/>
  <c r="I9" i="165"/>
  <c r="O9" s="1"/>
  <c r="I23" i="164"/>
  <c r="H24" i="166"/>
  <c r="H23"/>
  <c r="H22"/>
  <c r="S16"/>
  <c r="H15"/>
  <c r="H14"/>
  <c r="H13"/>
  <c r="O9"/>
  <c r="H9"/>
  <c r="H7"/>
  <c r="H24" i="165"/>
  <c r="H23"/>
  <c r="H22"/>
  <c r="S16"/>
  <c r="H15"/>
  <c r="H14"/>
  <c r="H13"/>
  <c r="H9"/>
  <c r="H7"/>
  <c r="H24" i="164"/>
  <c r="H23"/>
  <c r="H22"/>
  <c r="S16"/>
  <c r="H15"/>
  <c r="H14"/>
  <c r="H13"/>
  <c r="H9"/>
  <c r="H7"/>
  <c r="I23" i="163"/>
  <c r="I22"/>
  <c r="I23" i="162"/>
  <c r="I22"/>
  <c r="I9" i="159"/>
  <c r="I23" s="1"/>
  <c r="O24" i="163"/>
  <c r="J24"/>
  <c r="L24" s="1"/>
  <c r="H24"/>
  <c r="O23"/>
  <c r="M23"/>
  <c r="J23"/>
  <c r="H23"/>
  <c r="P26"/>
  <c r="O22"/>
  <c r="M22"/>
  <c r="M26" s="1"/>
  <c r="J22"/>
  <c r="H22"/>
  <c r="S16"/>
  <c r="H15"/>
  <c r="P14"/>
  <c r="O14"/>
  <c r="M14"/>
  <c r="H14"/>
  <c r="J14" s="1"/>
  <c r="P13"/>
  <c r="O13"/>
  <c r="M13"/>
  <c r="H13"/>
  <c r="J13" s="1"/>
  <c r="O9"/>
  <c r="H9"/>
  <c r="J9" s="1"/>
  <c r="O7"/>
  <c r="R16" s="1"/>
  <c r="M7"/>
  <c r="J7"/>
  <c r="H7"/>
  <c r="O24" i="162"/>
  <c r="J24"/>
  <c r="L24" s="1"/>
  <c r="H24"/>
  <c r="O23"/>
  <c r="M23"/>
  <c r="H23"/>
  <c r="J23" s="1"/>
  <c r="P26"/>
  <c r="O22"/>
  <c r="M22"/>
  <c r="M26" s="1"/>
  <c r="H22"/>
  <c r="J22" s="1"/>
  <c r="S16"/>
  <c r="H15"/>
  <c r="P14"/>
  <c r="O14"/>
  <c r="M14"/>
  <c r="H14"/>
  <c r="J14" s="1"/>
  <c r="P13"/>
  <c r="O13"/>
  <c r="M13"/>
  <c r="H13"/>
  <c r="J13" s="1"/>
  <c r="O9"/>
  <c r="H9"/>
  <c r="J9" s="1"/>
  <c r="O7"/>
  <c r="M7"/>
  <c r="H7"/>
  <c r="J7" s="1"/>
  <c r="H24" i="159"/>
  <c r="H23"/>
  <c r="H22"/>
  <c r="S16"/>
  <c r="D10" i="173" s="1"/>
  <c r="H15" i="159"/>
  <c r="H14"/>
  <c r="H13"/>
  <c r="O9"/>
  <c r="H9"/>
  <c r="J9" s="1"/>
  <c r="H7"/>
  <c r="O24" i="158"/>
  <c r="H24"/>
  <c r="J24" s="1"/>
  <c r="L24" s="1"/>
  <c r="P23"/>
  <c r="O23"/>
  <c r="M23"/>
  <c r="J23"/>
  <c r="H23"/>
  <c r="P22"/>
  <c r="P26" s="1"/>
  <c r="O22"/>
  <c r="M22"/>
  <c r="M26" s="1"/>
  <c r="H22"/>
  <c r="J22" s="1"/>
  <c r="S16"/>
  <c r="P15"/>
  <c r="O15"/>
  <c r="M15"/>
  <c r="H15"/>
  <c r="J15" s="1"/>
  <c r="P14"/>
  <c r="O14"/>
  <c r="M14"/>
  <c r="H14"/>
  <c r="J14" s="1"/>
  <c r="P13"/>
  <c r="P16" s="1"/>
  <c r="O13"/>
  <c r="M13"/>
  <c r="H13"/>
  <c r="J13" s="1"/>
  <c r="O9"/>
  <c r="H9"/>
  <c r="J9" s="1"/>
  <c r="O7"/>
  <c r="R16" s="1"/>
  <c r="M7"/>
  <c r="H7"/>
  <c r="J7" s="1"/>
  <c r="O24" i="157"/>
  <c r="H24"/>
  <c r="J24" s="1"/>
  <c r="L24" s="1"/>
  <c r="P23"/>
  <c r="O23"/>
  <c r="M23"/>
  <c r="J23"/>
  <c r="H23"/>
  <c r="P22"/>
  <c r="P26" s="1"/>
  <c r="O22"/>
  <c r="M22"/>
  <c r="M26" s="1"/>
  <c r="H22"/>
  <c r="J22" s="1"/>
  <c r="S16"/>
  <c r="P15"/>
  <c r="O15"/>
  <c r="M15"/>
  <c r="H15"/>
  <c r="J15" s="1"/>
  <c r="P14"/>
  <c r="O14"/>
  <c r="M14"/>
  <c r="H14"/>
  <c r="J14" s="1"/>
  <c r="P13"/>
  <c r="P16" s="1"/>
  <c r="P27" s="1"/>
  <c r="O13"/>
  <c r="M13"/>
  <c r="H13"/>
  <c r="J13" s="1"/>
  <c r="O9"/>
  <c r="H9"/>
  <c r="J9" s="1"/>
  <c r="O7"/>
  <c r="R16" s="1"/>
  <c r="M7"/>
  <c r="J7"/>
  <c r="H7"/>
  <c r="O24" i="156"/>
  <c r="H24"/>
  <c r="J24" s="1"/>
  <c r="L24" s="1"/>
  <c r="P23"/>
  <c r="O23"/>
  <c r="M23"/>
  <c r="H23"/>
  <c r="J23" s="1"/>
  <c r="P22"/>
  <c r="P26" s="1"/>
  <c r="O22"/>
  <c r="M22"/>
  <c r="M26" s="1"/>
  <c r="H22"/>
  <c r="J22" s="1"/>
  <c r="S16"/>
  <c r="D6" i="173" s="1"/>
  <c r="P15" i="156"/>
  <c r="O15"/>
  <c r="M15"/>
  <c r="H15"/>
  <c r="J15" s="1"/>
  <c r="P14"/>
  <c r="O14"/>
  <c r="M14"/>
  <c r="H14"/>
  <c r="J14" s="1"/>
  <c r="O13"/>
  <c r="H13"/>
  <c r="J13" s="1"/>
  <c r="O9"/>
  <c r="J9"/>
  <c r="L9" s="1"/>
  <c r="H9"/>
  <c r="O7"/>
  <c r="H7"/>
  <c r="J7" s="1"/>
  <c r="I28" i="127"/>
  <c r="I26"/>
  <c r="I12"/>
  <c r="I12" i="126"/>
  <c r="I26" i="92"/>
  <c r="I28"/>
  <c r="I12"/>
  <c r="I12" i="91"/>
  <c r="I28" i="89"/>
  <c r="I26"/>
  <c r="I12"/>
  <c r="I12" i="88"/>
  <c r="P31" i="89"/>
  <c r="P16"/>
  <c r="P31" i="88"/>
  <c r="P18"/>
  <c r="P17"/>
  <c r="P16"/>
  <c r="P32" s="1"/>
  <c r="P31" i="51"/>
  <c r="O29"/>
  <c r="O31" s="1"/>
  <c r="R31" s="1"/>
  <c r="F107" i="49"/>
  <c r="F106"/>
  <c r="O40" i="172"/>
  <c r="H40"/>
  <c r="J40" s="1"/>
  <c r="O40" i="171"/>
  <c r="H40"/>
  <c r="J40" s="1"/>
  <c r="I45"/>
  <c r="I44"/>
  <c r="I63"/>
  <c r="I61" i="170"/>
  <c r="I59"/>
  <c r="H62" i="172"/>
  <c r="H62" i="171"/>
  <c r="I62" i="170"/>
  <c r="O62" s="1"/>
  <c r="H62"/>
  <c r="J62" s="1"/>
  <c r="I60"/>
  <c r="I60" i="171" s="1"/>
  <c r="I58" i="170"/>
  <c r="I58" i="171" s="1"/>
  <c r="I57" i="170"/>
  <c r="I57" i="171" s="1"/>
  <c r="I56" i="170"/>
  <c r="I56" i="171" s="1"/>
  <c r="I55" i="170"/>
  <c r="I55" i="171" s="1"/>
  <c r="I46" i="170"/>
  <c r="P48" i="172"/>
  <c r="P48" i="171"/>
  <c r="P62" i="141"/>
  <c r="P62" i="140"/>
  <c r="O40" i="170"/>
  <c r="H40"/>
  <c r="J40" s="1"/>
  <c r="I20" i="141"/>
  <c r="I12"/>
  <c r="I12" i="140"/>
  <c r="I66" i="110"/>
  <c r="I43"/>
  <c r="O43" s="1"/>
  <c r="I16"/>
  <c r="I15"/>
  <c r="I14"/>
  <c r="I13"/>
  <c r="I12"/>
  <c r="I38" i="109"/>
  <c r="I37"/>
  <c r="I23" i="107"/>
  <c r="I24"/>
  <c r="I15"/>
  <c r="I16"/>
  <c r="I12"/>
  <c r="P66"/>
  <c r="P48"/>
  <c r="P7"/>
  <c r="P66" i="106"/>
  <c r="P51"/>
  <c r="P50"/>
  <c r="P49"/>
  <c r="P48"/>
  <c r="P7"/>
  <c r="P66" i="105"/>
  <c r="P51"/>
  <c r="P50"/>
  <c r="P49"/>
  <c r="I41" i="107"/>
  <c r="I40"/>
  <c r="I38"/>
  <c r="I37"/>
  <c r="I32"/>
  <c r="I31"/>
  <c r="I32" i="106"/>
  <c r="I31"/>
  <c r="I29" i="107"/>
  <c r="I28"/>
  <c r="I15" i="106"/>
  <c r="P66" i="103"/>
  <c r="O64" i="108"/>
  <c r="H64"/>
  <c r="J64" s="1"/>
  <c r="O63"/>
  <c r="H63"/>
  <c r="J63" s="1"/>
  <c r="O64" i="109"/>
  <c r="H64"/>
  <c r="J64" s="1"/>
  <c r="O63"/>
  <c r="H63"/>
  <c r="J63" s="1"/>
  <c r="O48" i="172"/>
  <c r="M48"/>
  <c r="H48"/>
  <c r="J48" s="1"/>
  <c r="O48" i="171"/>
  <c r="M48"/>
  <c r="H48"/>
  <c r="J48" s="1"/>
  <c r="P48" i="170"/>
  <c r="O48"/>
  <c r="M48"/>
  <c r="H48"/>
  <c r="J48" s="1"/>
  <c r="H29" i="127"/>
  <c r="H29" i="126"/>
  <c r="O29" i="123"/>
  <c r="H29"/>
  <c r="J29" s="1"/>
  <c r="H29" i="92"/>
  <c r="H29" i="91"/>
  <c r="O29" i="90"/>
  <c r="H29"/>
  <c r="J29" s="1"/>
  <c r="H29" i="89"/>
  <c r="H29" i="88"/>
  <c r="H29" i="51"/>
  <c r="H63" i="172"/>
  <c r="O63" i="171"/>
  <c r="H63"/>
  <c r="H63" i="170"/>
  <c r="H60" i="141"/>
  <c r="H60" i="140"/>
  <c r="H60" i="114"/>
  <c r="O60" i="139"/>
  <c r="H60"/>
  <c r="J60" s="1"/>
  <c r="O60" i="138"/>
  <c r="H60"/>
  <c r="J60" s="1"/>
  <c r="O60" i="111"/>
  <c r="H60"/>
  <c r="J60" s="1"/>
  <c r="H67" i="110"/>
  <c r="H67" i="109"/>
  <c r="O67" i="108"/>
  <c r="H67"/>
  <c r="J67" s="1"/>
  <c r="H64" i="107"/>
  <c r="H64" i="106"/>
  <c r="O64" i="105"/>
  <c r="H64"/>
  <c r="J64" s="1"/>
  <c r="H64" i="103"/>
  <c r="H19" i="172"/>
  <c r="J19" s="1"/>
  <c r="H19" i="171"/>
  <c r="J19" s="1"/>
  <c r="H19" i="170"/>
  <c r="J19" s="1"/>
  <c r="H19" i="141"/>
  <c r="J19" s="1"/>
  <c r="H19" i="140"/>
  <c r="J19" s="1"/>
  <c r="H19" i="114"/>
  <c r="J19" s="1"/>
  <c r="H19" i="139"/>
  <c r="J19" s="1"/>
  <c r="H19" i="138"/>
  <c r="J19" s="1"/>
  <c r="H19" i="111"/>
  <c r="J19" s="1"/>
  <c r="H22" i="110"/>
  <c r="J22" s="1"/>
  <c r="H22" i="109"/>
  <c r="H22" i="108"/>
  <c r="J22" s="1"/>
  <c r="H22" i="107"/>
  <c r="J22" s="1"/>
  <c r="H22" i="106"/>
  <c r="J22" s="1"/>
  <c r="H22" i="105"/>
  <c r="J22" s="1"/>
  <c r="H22" i="104"/>
  <c r="H22" i="103"/>
  <c r="H22" i="10"/>
  <c r="J22" s="1"/>
  <c r="I43" i="109"/>
  <c r="E35" i="49"/>
  <c r="I22" i="103"/>
  <c r="J22" s="1"/>
  <c r="H52" i="110"/>
  <c r="P52" i="108"/>
  <c r="O52"/>
  <c r="M52"/>
  <c r="H52"/>
  <c r="J52" s="1"/>
  <c r="H52" i="109"/>
  <c r="H43" i="110"/>
  <c r="O43" i="108"/>
  <c r="H43"/>
  <c r="J43" s="1"/>
  <c r="O43" i="109"/>
  <c r="H43"/>
  <c r="I42"/>
  <c r="I42" i="110" s="1"/>
  <c r="I15" i="104"/>
  <c r="I16"/>
  <c r="I14"/>
  <c r="I13"/>
  <c r="I44"/>
  <c r="I43"/>
  <c r="I44" i="103"/>
  <c r="I43"/>
  <c r="I41" i="104"/>
  <c r="I40"/>
  <c r="I41" i="103"/>
  <c r="I40"/>
  <c r="I38" i="104"/>
  <c r="I37"/>
  <c r="I38" i="103"/>
  <c r="I37"/>
  <c r="I29" i="104"/>
  <c r="I28"/>
  <c r="I32"/>
  <c r="I31"/>
  <c r="I32" i="103"/>
  <c r="I31"/>
  <c r="O31" s="1"/>
  <c r="O64" i="10"/>
  <c r="H64"/>
  <c r="J64" s="1"/>
  <c r="I29" i="103"/>
  <c r="I28"/>
  <c r="I16"/>
  <c r="I15"/>
  <c r="I20" i="104" s="1"/>
  <c r="I14" i="103"/>
  <c r="I13"/>
  <c r="I12" i="104"/>
  <c r="I12" i="103"/>
  <c r="E11" i="49"/>
  <c r="H64" i="104"/>
  <c r="P50" i="108"/>
  <c r="H50"/>
  <c r="J50" s="1"/>
  <c r="H50" i="109"/>
  <c r="J50" s="1"/>
  <c r="E40" i="49"/>
  <c r="I21" i="110"/>
  <c r="I20"/>
  <c r="I19"/>
  <c r="I18"/>
  <c r="I17"/>
  <c r="E42" i="49"/>
  <c r="I15" i="109"/>
  <c r="J18" i="49"/>
  <c r="D82"/>
  <c r="D100"/>
  <c r="D101"/>
  <c r="I18" i="140"/>
  <c r="I21"/>
  <c r="I26" i="114"/>
  <c r="O26" s="1"/>
  <c r="O35"/>
  <c r="O38"/>
  <c r="I41"/>
  <c r="O41" s="1"/>
  <c r="I9" i="140"/>
  <c r="I13"/>
  <c r="I14"/>
  <c r="I17"/>
  <c r="I20"/>
  <c r="O20" s="1"/>
  <c r="I35"/>
  <c r="O35" s="1"/>
  <c r="I38"/>
  <c r="O38" s="1"/>
  <c r="I41"/>
  <c r="O29" i="103"/>
  <c r="O38"/>
  <c r="O41"/>
  <c r="O44"/>
  <c r="I29" i="106"/>
  <c r="O29" s="1"/>
  <c r="I38"/>
  <c r="O38" s="1"/>
  <c r="I41"/>
  <c r="O41" s="1"/>
  <c r="I44"/>
  <c r="O44" s="1"/>
  <c r="I29" i="109"/>
  <c r="O29" s="1"/>
  <c r="O38"/>
  <c r="I41"/>
  <c r="O41" s="1"/>
  <c r="I34" i="171"/>
  <c r="I34" i="170"/>
  <c r="I37"/>
  <c r="I38" i="171" s="1"/>
  <c r="O38" s="1"/>
  <c r="I9" i="141"/>
  <c r="I13"/>
  <c r="O20"/>
  <c r="I35"/>
  <c r="O35" s="1"/>
  <c r="I38"/>
  <c r="O38" s="1"/>
  <c r="I37" i="172"/>
  <c r="I37" i="171"/>
  <c r="I34" i="172"/>
  <c r="I35" s="1"/>
  <c r="O35" s="1"/>
  <c r="O29" i="104"/>
  <c r="O38"/>
  <c r="O41"/>
  <c r="O44"/>
  <c r="O29" i="107"/>
  <c r="O38"/>
  <c r="O41"/>
  <c r="I44"/>
  <c r="O44" s="1"/>
  <c r="I29" i="110"/>
  <c r="O29" s="1"/>
  <c r="O38"/>
  <c r="I41"/>
  <c r="O41" s="1"/>
  <c r="I58" i="104"/>
  <c r="I59"/>
  <c r="I60"/>
  <c r="I61"/>
  <c r="I62"/>
  <c r="I63"/>
  <c r="I12" i="106"/>
  <c r="I16"/>
  <c r="I23"/>
  <c r="O23" s="1"/>
  <c r="I28"/>
  <c r="I37"/>
  <c r="I40"/>
  <c r="I43"/>
  <c r="O32" i="107"/>
  <c r="I17"/>
  <c r="I21"/>
  <c r="I20"/>
  <c r="I43"/>
  <c r="I58"/>
  <c r="I59"/>
  <c r="I60"/>
  <c r="I61"/>
  <c r="I62"/>
  <c r="I63"/>
  <c r="I28" i="109"/>
  <c r="I40"/>
  <c r="I28" i="110"/>
  <c r="I40"/>
  <c r="I59"/>
  <c r="I60"/>
  <c r="I61"/>
  <c r="I62"/>
  <c r="I63"/>
  <c r="O63" s="1"/>
  <c r="I64"/>
  <c r="I65"/>
  <c r="O12" i="91"/>
  <c r="O12" i="127"/>
  <c r="I25" i="114"/>
  <c r="I40"/>
  <c r="I25" i="140"/>
  <c r="I34"/>
  <c r="I37"/>
  <c r="I40"/>
  <c r="I25" i="141"/>
  <c r="I34"/>
  <c r="I37"/>
  <c r="I25" i="170"/>
  <c r="I35"/>
  <c r="I38"/>
  <c r="P44" i="171"/>
  <c r="P45"/>
  <c r="H7" i="10"/>
  <c r="H10"/>
  <c r="J10"/>
  <c r="H11"/>
  <c r="J11"/>
  <c r="H12"/>
  <c r="J12"/>
  <c r="H13"/>
  <c r="J13"/>
  <c r="H14"/>
  <c r="J14"/>
  <c r="H15"/>
  <c r="J15"/>
  <c r="H16"/>
  <c r="J16"/>
  <c r="H17"/>
  <c r="J17"/>
  <c r="H18"/>
  <c r="J18"/>
  <c r="H19"/>
  <c r="J19"/>
  <c r="H20"/>
  <c r="J20"/>
  <c r="H21"/>
  <c r="J21"/>
  <c r="H23"/>
  <c r="J23"/>
  <c r="H24"/>
  <c r="J24"/>
  <c r="H26"/>
  <c r="J26"/>
  <c r="H28"/>
  <c r="J28"/>
  <c r="H29"/>
  <c r="J29"/>
  <c r="H31"/>
  <c r="J31"/>
  <c r="H32"/>
  <c r="J32"/>
  <c r="H34"/>
  <c r="J34"/>
  <c r="H35"/>
  <c r="J35"/>
  <c r="H37"/>
  <c r="J37"/>
  <c r="H38"/>
  <c r="J38"/>
  <c r="H40"/>
  <c r="J40"/>
  <c r="H41"/>
  <c r="J41"/>
  <c r="H43"/>
  <c r="J43"/>
  <c r="H44"/>
  <c r="J44"/>
  <c r="H48"/>
  <c r="H49"/>
  <c r="J49" s="1"/>
  <c r="H50"/>
  <c r="J50" s="1"/>
  <c r="H51"/>
  <c r="J51" s="1"/>
  <c r="K10"/>
  <c r="K11"/>
  <c r="K12"/>
  <c r="K13"/>
  <c r="K14"/>
  <c r="K15"/>
  <c r="K16"/>
  <c r="K17"/>
  <c r="K18"/>
  <c r="K19"/>
  <c r="K20"/>
  <c r="K21"/>
  <c r="K23"/>
  <c r="K24"/>
  <c r="K26"/>
  <c r="K28"/>
  <c r="K29"/>
  <c r="K31"/>
  <c r="K32"/>
  <c r="K34"/>
  <c r="K35"/>
  <c r="K37"/>
  <c r="K38"/>
  <c r="K40"/>
  <c r="K41"/>
  <c r="K43"/>
  <c r="K44"/>
  <c r="L10"/>
  <c r="L11"/>
  <c r="L12"/>
  <c r="L13"/>
  <c r="L14"/>
  <c r="L15"/>
  <c r="L16"/>
  <c r="L17"/>
  <c r="L18"/>
  <c r="L19"/>
  <c r="L20"/>
  <c r="L21"/>
  <c r="L23"/>
  <c r="L24"/>
  <c r="L26"/>
  <c r="L28"/>
  <c r="L29"/>
  <c r="L31"/>
  <c r="L32"/>
  <c r="L34"/>
  <c r="L35"/>
  <c r="L37"/>
  <c r="L38"/>
  <c r="L40"/>
  <c r="L41"/>
  <c r="L43"/>
  <c r="L44"/>
  <c r="H7" i="105"/>
  <c r="H10"/>
  <c r="J10"/>
  <c r="H11"/>
  <c r="J11"/>
  <c r="H12"/>
  <c r="J12"/>
  <c r="H13"/>
  <c r="J13"/>
  <c r="H14"/>
  <c r="J14"/>
  <c r="H15"/>
  <c r="J15"/>
  <c r="H16"/>
  <c r="J16"/>
  <c r="H17"/>
  <c r="J17"/>
  <c r="H18"/>
  <c r="J18"/>
  <c r="H19"/>
  <c r="J19"/>
  <c r="H20"/>
  <c r="J20"/>
  <c r="H21"/>
  <c r="J21"/>
  <c r="H23"/>
  <c r="J23"/>
  <c r="H24"/>
  <c r="J24"/>
  <c r="H26"/>
  <c r="J26"/>
  <c r="H28"/>
  <c r="J28"/>
  <c r="H29"/>
  <c r="J29"/>
  <c r="H31"/>
  <c r="J31"/>
  <c r="H32"/>
  <c r="J32"/>
  <c r="H37"/>
  <c r="J37"/>
  <c r="H38"/>
  <c r="J38"/>
  <c r="H40"/>
  <c r="J40"/>
  <c r="H41"/>
  <c r="J41"/>
  <c r="H43"/>
  <c r="J43"/>
  <c r="H44"/>
  <c r="J44"/>
  <c r="H48"/>
  <c r="H49"/>
  <c r="J49" s="1"/>
  <c r="H50"/>
  <c r="J50" s="1"/>
  <c r="H51"/>
  <c r="J51" s="1"/>
  <c r="K10"/>
  <c r="K11"/>
  <c r="K12"/>
  <c r="K13"/>
  <c r="K14"/>
  <c r="K15"/>
  <c r="K16"/>
  <c r="K17"/>
  <c r="K18"/>
  <c r="K19"/>
  <c r="K20"/>
  <c r="K21"/>
  <c r="K23"/>
  <c r="K24"/>
  <c r="K26"/>
  <c r="K28"/>
  <c r="K29"/>
  <c r="K31"/>
  <c r="K32"/>
  <c r="K37"/>
  <c r="K38"/>
  <c r="K40"/>
  <c r="K41"/>
  <c r="K43"/>
  <c r="K44"/>
  <c r="L10"/>
  <c r="L11"/>
  <c r="L12"/>
  <c r="L13"/>
  <c r="L14"/>
  <c r="L15"/>
  <c r="L16"/>
  <c r="L17"/>
  <c r="L18"/>
  <c r="L19"/>
  <c r="L20"/>
  <c r="L21"/>
  <c r="L23"/>
  <c r="L24"/>
  <c r="L26"/>
  <c r="L28"/>
  <c r="L29"/>
  <c r="L31"/>
  <c r="L32"/>
  <c r="L37"/>
  <c r="L38"/>
  <c r="L40"/>
  <c r="L41"/>
  <c r="L43"/>
  <c r="L44"/>
  <c r="H7" i="114"/>
  <c r="H9"/>
  <c r="J9" s="1"/>
  <c r="H10"/>
  <c r="J10"/>
  <c r="H11"/>
  <c r="J11"/>
  <c r="H12"/>
  <c r="J12" s="1"/>
  <c r="H13"/>
  <c r="J13" s="1"/>
  <c r="H14"/>
  <c r="J14"/>
  <c r="H15"/>
  <c r="J15"/>
  <c r="H16"/>
  <c r="J16"/>
  <c r="H17"/>
  <c r="J17"/>
  <c r="H18"/>
  <c r="J18"/>
  <c r="H20"/>
  <c r="J20" s="1"/>
  <c r="H21"/>
  <c r="J21" s="1"/>
  <c r="H23"/>
  <c r="H25"/>
  <c r="J25" s="1"/>
  <c r="H26"/>
  <c r="J26" s="1"/>
  <c r="H28"/>
  <c r="J28" s="1"/>
  <c r="H29"/>
  <c r="J29" s="1"/>
  <c r="H34"/>
  <c r="H35"/>
  <c r="J35" s="1"/>
  <c r="H37"/>
  <c r="J37" s="1"/>
  <c r="H38"/>
  <c r="J38" s="1"/>
  <c r="H40"/>
  <c r="H41"/>
  <c r="J41" s="1"/>
  <c r="H45"/>
  <c r="H46"/>
  <c r="H47"/>
  <c r="K10"/>
  <c r="K11"/>
  <c r="K14"/>
  <c r="K15"/>
  <c r="K16"/>
  <c r="K17"/>
  <c r="K18"/>
  <c r="L10"/>
  <c r="L11"/>
  <c r="L14"/>
  <c r="L15"/>
  <c r="L16"/>
  <c r="L17"/>
  <c r="L18"/>
  <c r="H7" i="170"/>
  <c r="H9"/>
  <c r="J9"/>
  <c r="H10"/>
  <c r="J10"/>
  <c r="H11"/>
  <c r="J11"/>
  <c r="H12"/>
  <c r="J12"/>
  <c r="H13"/>
  <c r="J13"/>
  <c r="H14"/>
  <c r="J14"/>
  <c r="H15"/>
  <c r="J15"/>
  <c r="H16"/>
  <c r="J16"/>
  <c r="H17"/>
  <c r="J17"/>
  <c r="H18"/>
  <c r="J18"/>
  <c r="H20"/>
  <c r="J20"/>
  <c r="H21"/>
  <c r="J21"/>
  <c r="H23"/>
  <c r="J23"/>
  <c r="H25"/>
  <c r="H26"/>
  <c r="J26" s="1"/>
  <c r="H28"/>
  <c r="J28" s="1"/>
  <c r="H29"/>
  <c r="J29" s="1"/>
  <c r="H34"/>
  <c r="J34" s="1"/>
  <c r="H35"/>
  <c r="J35" s="1"/>
  <c r="H37"/>
  <c r="J37" s="1"/>
  <c r="H38"/>
  <c r="H39"/>
  <c r="J39" s="1"/>
  <c r="H44"/>
  <c r="H45"/>
  <c r="H46"/>
  <c r="J46" s="1"/>
  <c r="H47"/>
  <c r="J47" s="1"/>
  <c r="K9"/>
  <c r="K10"/>
  <c r="K11"/>
  <c r="K12"/>
  <c r="K13"/>
  <c r="K14"/>
  <c r="K15"/>
  <c r="K16"/>
  <c r="K17"/>
  <c r="K18"/>
  <c r="K20"/>
  <c r="K21"/>
  <c r="K23"/>
  <c r="L9"/>
  <c r="L10"/>
  <c r="L11"/>
  <c r="L12"/>
  <c r="L13"/>
  <c r="L14"/>
  <c r="L15"/>
  <c r="L16"/>
  <c r="L17"/>
  <c r="L18"/>
  <c r="L20"/>
  <c r="L21"/>
  <c r="L23"/>
  <c r="H7" i="108"/>
  <c r="H10"/>
  <c r="J10"/>
  <c r="H11"/>
  <c r="J11"/>
  <c r="H12"/>
  <c r="J12"/>
  <c r="H13"/>
  <c r="J13"/>
  <c r="H14"/>
  <c r="J14"/>
  <c r="H15"/>
  <c r="J15"/>
  <c r="H16"/>
  <c r="J16"/>
  <c r="H17"/>
  <c r="J17"/>
  <c r="H18"/>
  <c r="J18"/>
  <c r="H19"/>
  <c r="J19"/>
  <c r="H20"/>
  <c r="J20"/>
  <c r="H21"/>
  <c r="J21"/>
  <c r="H23"/>
  <c r="J23"/>
  <c r="H24"/>
  <c r="J24"/>
  <c r="H26"/>
  <c r="J26"/>
  <c r="H28"/>
  <c r="J28"/>
  <c r="H29"/>
  <c r="J29"/>
  <c r="H31"/>
  <c r="J31"/>
  <c r="H32"/>
  <c r="J32"/>
  <c r="H37"/>
  <c r="J37"/>
  <c r="H38"/>
  <c r="J38"/>
  <c r="H40"/>
  <c r="J40"/>
  <c r="H41"/>
  <c r="J41"/>
  <c r="H42"/>
  <c r="J42"/>
  <c r="H47"/>
  <c r="H48"/>
  <c r="J48" s="1"/>
  <c r="H49"/>
  <c r="J49" s="1"/>
  <c r="H51"/>
  <c r="J51" s="1"/>
  <c r="K10"/>
  <c r="K11"/>
  <c r="K12"/>
  <c r="K13"/>
  <c r="K14"/>
  <c r="K15"/>
  <c r="K16"/>
  <c r="K17"/>
  <c r="K18"/>
  <c r="K19"/>
  <c r="K20"/>
  <c r="K21"/>
  <c r="K23"/>
  <c r="K24"/>
  <c r="K26"/>
  <c r="K28"/>
  <c r="K29"/>
  <c r="K31"/>
  <c r="K32"/>
  <c r="K37"/>
  <c r="K38"/>
  <c r="K40"/>
  <c r="K41"/>
  <c r="K42"/>
  <c r="L10"/>
  <c r="L11"/>
  <c r="L12"/>
  <c r="L13"/>
  <c r="L14"/>
  <c r="L15"/>
  <c r="L16"/>
  <c r="L17"/>
  <c r="L18"/>
  <c r="L19"/>
  <c r="L20"/>
  <c r="L21"/>
  <c r="L23"/>
  <c r="L24"/>
  <c r="L26"/>
  <c r="L28"/>
  <c r="L29"/>
  <c r="L31"/>
  <c r="L32"/>
  <c r="L37"/>
  <c r="L38"/>
  <c r="L40"/>
  <c r="L41"/>
  <c r="L42"/>
  <c r="H7" i="111"/>
  <c r="J7"/>
  <c r="H9"/>
  <c r="J9"/>
  <c r="H10"/>
  <c r="J10"/>
  <c r="H11"/>
  <c r="J11"/>
  <c r="H12"/>
  <c r="J12"/>
  <c r="H13"/>
  <c r="J13"/>
  <c r="H14"/>
  <c r="J14"/>
  <c r="H15"/>
  <c r="J15"/>
  <c r="H16"/>
  <c r="J16"/>
  <c r="H17"/>
  <c r="J17"/>
  <c r="H18"/>
  <c r="J18"/>
  <c r="H20"/>
  <c r="J20"/>
  <c r="H21"/>
  <c r="J21"/>
  <c r="H23"/>
  <c r="J23"/>
  <c r="H25"/>
  <c r="J25"/>
  <c r="H26"/>
  <c r="J26"/>
  <c r="H28"/>
  <c r="J28"/>
  <c r="H29"/>
  <c r="J29"/>
  <c r="H34"/>
  <c r="J34"/>
  <c r="H35"/>
  <c r="J35"/>
  <c r="H37"/>
  <c r="J37"/>
  <c r="H38"/>
  <c r="J38"/>
  <c r="H40"/>
  <c r="J40"/>
  <c r="H41"/>
  <c r="J41"/>
  <c r="H45"/>
  <c r="J45"/>
  <c r="H46"/>
  <c r="J46"/>
  <c r="H47"/>
  <c r="J47"/>
  <c r="K7"/>
  <c r="K9"/>
  <c r="K10"/>
  <c r="K11"/>
  <c r="K12"/>
  <c r="K13"/>
  <c r="K14"/>
  <c r="K15"/>
  <c r="K16"/>
  <c r="K17"/>
  <c r="K18"/>
  <c r="K20"/>
  <c r="K21"/>
  <c r="K23"/>
  <c r="K25"/>
  <c r="K26"/>
  <c r="K28"/>
  <c r="K29"/>
  <c r="K34"/>
  <c r="K35"/>
  <c r="K37"/>
  <c r="K38"/>
  <c r="K40"/>
  <c r="K41"/>
  <c r="K45"/>
  <c r="K46"/>
  <c r="K47"/>
  <c r="L7"/>
  <c r="L9"/>
  <c r="L10"/>
  <c r="L11"/>
  <c r="L12"/>
  <c r="L13"/>
  <c r="L14"/>
  <c r="L15"/>
  <c r="L16"/>
  <c r="L17"/>
  <c r="L18"/>
  <c r="L20"/>
  <c r="L21"/>
  <c r="L23"/>
  <c r="L25"/>
  <c r="L26"/>
  <c r="L28"/>
  <c r="L29"/>
  <c r="L34"/>
  <c r="L35"/>
  <c r="L37"/>
  <c r="L38"/>
  <c r="L40"/>
  <c r="L41"/>
  <c r="L45"/>
  <c r="L46"/>
  <c r="L47"/>
  <c r="H7" i="51"/>
  <c r="H10"/>
  <c r="J10"/>
  <c r="H11"/>
  <c r="J11"/>
  <c r="H12"/>
  <c r="J12"/>
  <c r="H16"/>
  <c r="H17"/>
  <c r="J17"/>
  <c r="H18"/>
  <c r="J18"/>
  <c r="K10"/>
  <c r="K11"/>
  <c r="K12"/>
  <c r="K17"/>
  <c r="K18"/>
  <c r="L10"/>
  <c r="L11"/>
  <c r="L12"/>
  <c r="L17"/>
  <c r="L18"/>
  <c r="H7" i="90"/>
  <c r="H10"/>
  <c r="J10"/>
  <c r="H11"/>
  <c r="J11"/>
  <c r="H12"/>
  <c r="J12"/>
  <c r="H16"/>
  <c r="H17"/>
  <c r="J17"/>
  <c r="H18"/>
  <c r="J18"/>
  <c r="K10"/>
  <c r="K11"/>
  <c r="K12"/>
  <c r="K17"/>
  <c r="K18"/>
  <c r="L10"/>
  <c r="L11"/>
  <c r="L12"/>
  <c r="L17"/>
  <c r="L18"/>
  <c r="H7" i="123"/>
  <c r="H10"/>
  <c r="J10"/>
  <c r="H11"/>
  <c r="J11"/>
  <c r="H12"/>
  <c r="J12"/>
  <c r="H16"/>
  <c r="H17"/>
  <c r="J17"/>
  <c r="H18"/>
  <c r="J18"/>
  <c r="K10"/>
  <c r="K11"/>
  <c r="K12"/>
  <c r="K17"/>
  <c r="K18"/>
  <c r="L10"/>
  <c r="L11"/>
  <c r="L12"/>
  <c r="L17"/>
  <c r="L18"/>
  <c r="H7" i="103"/>
  <c r="J7" s="1"/>
  <c r="H10"/>
  <c r="C22" i="136"/>
  <c r="H11" i="103"/>
  <c r="C23" i="136"/>
  <c r="H12" i="103"/>
  <c r="H13"/>
  <c r="J13"/>
  <c r="L13" s="1"/>
  <c r="H14"/>
  <c r="H15"/>
  <c r="J15" s="1"/>
  <c r="H16"/>
  <c r="J16" s="1"/>
  <c r="H17"/>
  <c r="J17" s="1"/>
  <c r="H18"/>
  <c r="J18" s="1"/>
  <c r="H19"/>
  <c r="J19" s="1"/>
  <c r="H20"/>
  <c r="J20" s="1"/>
  <c r="H21"/>
  <c r="J21" s="1"/>
  <c r="H23"/>
  <c r="J23" s="1"/>
  <c r="H24"/>
  <c r="J24" s="1"/>
  <c r="H26"/>
  <c r="H28"/>
  <c r="H29"/>
  <c r="J29" s="1"/>
  <c r="H31"/>
  <c r="J31"/>
  <c r="L31" s="1"/>
  <c r="H32"/>
  <c r="H37"/>
  <c r="J37" s="1"/>
  <c r="H38"/>
  <c r="J38" s="1"/>
  <c r="H40"/>
  <c r="H41"/>
  <c r="J41" s="1"/>
  <c r="H43"/>
  <c r="J43" s="1"/>
  <c r="H44"/>
  <c r="J44" s="1"/>
  <c r="H48"/>
  <c r="J48" s="1"/>
  <c r="H49"/>
  <c r="J49" s="1"/>
  <c r="H50"/>
  <c r="J50" s="1"/>
  <c r="H51"/>
  <c r="J51" s="1"/>
  <c r="H7" i="106"/>
  <c r="J7" s="1"/>
  <c r="H10"/>
  <c r="H11"/>
  <c r="H12"/>
  <c r="J12" s="1"/>
  <c r="H13"/>
  <c r="J13" s="1"/>
  <c r="H14"/>
  <c r="J14" s="1"/>
  <c r="H15"/>
  <c r="J15" s="1"/>
  <c r="H16"/>
  <c r="J16" s="1"/>
  <c r="H17"/>
  <c r="J17" s="1"/>
  <c r="H18"/>
  <c r="J18" s="1"/>
  <c r="H19"/>
  <c r="J19" s="1"/>
  <c r="H20"/>
  <c r="J20" s="1"/>
  <c r="H21"/>
  <c r="J21" s="1"/>
  <c r="H23"/>
  <c r="H24"/>
  <c r="J24" s="1"/>
  <c r="H26"/>
  <c r="H28"/>
  <c r="J28" s="1"/>
  <c r="H29"/>
  <c r="J29" s="1"/>
  <c r="H31"/>
  <c r="H32"/>
  <c r="J32" s="1"/>
  <c r="H37"/>
  <c r="J37" s="1"/>
  <c r="H38"/>
  <c r="J38" s="1"/>
  <c r="H40"/>
  <c r="J40" s="1"/>
  <c r="H41"/>
  <c r="J41" s="1"/>
  <c r="H43"/>
  <c r="J43" s="1"/>
  <c r="H44"/>
  <c r="J44" s="1"/>
  <c r="H48"/>
  <c r="J48"/>
  <c r="H49"/>
  <c r="J49"/>
  <c r="H50"/>
  <c r="J50"/>
  <c r="H51"/>
  <c r="J51"/>
  <c r="K48"/>
  <c r="K49"/>
  <c r="K50"/>
  <c r="K51"/>
  <c r="L48"/>
  <c r="L49"/>
  <c r="L50"/>
  <c r="L51"/>
  <c r="H7" i="109"/>
  <c r="J7" s="1"/>
  <c r="H10"/>
  <c r="H11"/>
  <c r="H12"/>
  <c r="I12"/>
  <c r="H13"/>
  <c r="I13"/>
  <c r="J13" s="1"/>
  <c r="L13" s="1"/>
  <c r="H14"/>
  <c r="I14"/>
  <c r="H15"/>
  <c r="J15" s="1"/>
  <c r="H16"/>
  <c r="I16"/>
  <c r="H17"/>
  <c r="J17" s="1"/>
  <c r="H18"/>
  <c r="J18" s="1"/>
  <c r="H19"/>
  <c r="J19" s="1"/>
  <c r="H20"/>
  <c r="J20" s="1"/>
  <c r="H21"/>
  <c r="J21" s="1"/>
  <c r="H23"/>
  <c r="J23" s="1"/>
  <c r="H24"/>
  <c r="J24" s="1"/>
  <c r="H26"/>
  <c r="H28"/>
  <c r="J28" s="1"/>
  <c r="H29"/>
  <c r="J29" s="1"/>
  <c r="H31"/>
  <c r="J31" s="1"/>
  <c r="K31" s="1"/>
  <c r="H32"/>
  <c r="J32" s="1"/>
  <c r="H37"/>
  <c r="J37" s="1"/>
  <c r="H38"/>
  <c r="J38" s="1"/>
  <c r="H40"/>
  <c r="J40" s="1"/>
  <c r="H41"/>
  <c r="J41" s="1"/>
  <c r="H42"/>
  <c r="J42" s="1"/>
  <c r="H47"/>
  <c r="J47" s="1"/>
  <c r="H48"/>
  <c r="J48" s="1"/>
  <c r="H49"/>
  <c r="J49" s="1"/>
  <c r="H7" i="138"/>
  <c r="J7"/>
  <c r="H9"/>
  <c r="J9"/>
  <c r="H10"/>
  <c r="J10"/>
  <c r="H11"/>
  <c r="J11"/>
  <c r="H12"/>
  <c r="J12"/>
  <c r="H13"/>
  <c r="J13"/>
  <c r="H14"/>
  <c r="J14"/>
  <c r="H15"/>
  <c r="J15"/>
  <c r="H16"/>
  <c r="J16"/>
  <c r="H17"/>
  <c r="J17"/>
  <c r="H18"/>
  <c r="J18"/>
  <c r="H20"/>
  <c r="J20"/>
  <c r="H21"/>
  <c r="J21"/>
  <c r="H23"/>
  <c r="J23"/>
  <c r="H25"/>
  <c r="J25"/>
  <c r="H26"/>
  <c r="J26"/>
  <c r="H28"/>
  <c r="J28"/>
  <c r="H29"/>
  <c r="J29"/>
  <c r="H34"/>
  <c r="J34"/>
  <c r="H35"/>
  <c r="J35"/>
  <c r="H37"/>
  <c r="J37"/>
  <c r="H38"/>
  <c r="J38"/>
  <c r="H40"/>
  <c r="J40"/>
  <c r="H41"/>
  <c r="J41"/>
  <c r="H45"/>
  <c r="J45"/>
  <c r="H46"/>
  <c r="J46"/>
  <c r="H47"/>
  <c r="J47"/>
  <c r="K7"/>
  <c r="K9"/>
  <c r="K10"/>
  <c r="K11"/>
  <c r="K12"/>
  <c r="K13"/>
  <c r="K14"/>
  <c r="K15"/>
  <c r="K16"/>
  <c r="K17"/>
  <c r="K18"/>
  <c r="K20"/>
  <c r="K21"/>
  <c r="K23"/>
  <c r="K25"/>
  <c r="K26"/>
  <c r="K28"/>
  <c r="K29"/>
  <c r="K34"/>
  <c r="K35"/>
  <c r="K37"/>
  <c r="K38"/>
  <c r="K40"/>
  <c r="K41"/>
  <c r="K45"/>
  <c r="K46"/>
  <c r="K47"/>
  <c r="L7"/>
  <c r="L9"/>
  <c r="L10"/>
  <c r="L11"/>
  <c r="L12"/>
  <c r="L13"/>
  <c r="L14"/>
  <c r="L15"/>
  <c r="L16"/>
  <c r="L17"/>
  <c r="L18"/>
  <c r="L20"/>
  <c r="L21"/>
  <c r="L23"/>
  <c r="L25"/>
  <c r="L26"/>
  <c r="L28"/>
  <c r="L29"/>
  <c r="L34"/>
  <c r="L35"/>
  <c r="L37"/>
  <c r="L38"/>
  <c r="L40"/>
  <c r="L41"/>
  <c r="L45"/>
  <c r="L46"/>
  <c r="L47"/>
  <c r="H14" i="140"/>
  <c r="I15"/>
  <c r="H15"/>
  <c r="J15" s="1"/>
  <c r="I16"/>
  <c r="H16"/>
  <c r="J16" s="1"/>
  <c r="H17"/>
  <c r="J17" s="1"/>
  <c r="H18"/>
  <c r="H26"/>
  <c r="I29"/>
  <c r="H29"/>
  <c r="H34"/>
  <c r="H35"/>
  <c r="J35" s="1"/>
  <c r="H37"/>
  <c r="J37" s="1"/>
  <c r="H38"/>
  <c r="J38" s="1"/>
  <c r="H40"/>
  <c r="H41"/>
  <c r="J41" s="1"/>
  <c r="H47"/>
  <c r="H7"/>
  <c r="H9"/>
  <c r="J9" s="1"/>
  <c r="H10"/>
  <c r="J10" s="1"/>
  <c r="H11"/>
  <c r="J11" s="1"/>
  <c r="H12"/>
  <c r="H13"/>
  <c r="J13" s="1"/>
  <c r="H20"/>
  <c r="J20" s="1"/>
  <c r="H21"/>
  <c r="J21" s="1"/>
  <c r="H23"/>
  <c r="H25"/>
  <c r="J25" s="1"/>
  <c r="H28"/>
  <c r="J28" s="1"/>
  <c r="H45"/>
  <c r="H46"/>
  <c r="I14" i="171"/>
  <c r="H14"/>
  <c r="J14"/>
  <c r="I15"/>
  <c r="H15"/>
  <c r="J15" s="1"/>
  <c r="I16"/>
  <c r="H16"/>
  <c r="J16" s="1"/>
  <c r="I17"/>
  <c r="H17"/>
  <c r="I18"/>
  <c r="H18"/>
  <c r="J18"/>
  <c r="H35"/>
  <c r="H37"/>
  <c r="J37" s="1"/>
  <c r="H38"/>
  <c r="H39"/>
  <c r="J39"/>
  <c r="K39" s="1"/>
  <c r="H46"/>
  <c r="P47"/>
  <c r="H47"/>
  <c r="J47"/>
  <c r="L47" s="1"/>
  <c r="H7"/>
  <c r="J7"/>
  <c r="H9"/>
  <c r="J9"/>
  <c r="H10"/>
  <c r="J10"/>
  <c r="L10" s="1"/>
  <c r="N10" s="1"/>
  <c r="H11"/>
  <c r="J11"/>
  <c r="H12"/>
  <c r="J12" s="1"/>
  <c r="H13"/>
  <c r="J13" s="1"/>
  <c r="H20"/>
  <c r="J20" s="1"/>
  <c r="H21"/>
  <c r="J21" s="1"/>
  <c r="H23"/>
  <c r="J23" s="1"/>
  <c r="H25"/>
  <c r="J25" s="1"/>
  <c r="H26"/>
  <c r="J26" s="1"/>
  <c r="H28"/>
  <c r="J28" s="1"/>
  <c r="H29"/>
  <c r="J29" s="1"/>
  <c r="H34"/>
  <c r="J34" s="1"/>
  <c r="H44"/>
  <c r="J44" s="1"/>
  <c r="H45"/>
  <c r="J45" s="1"/>
  <c r="K14"/>
  <c r="K18"/>
  <c r="K7"/>
  <c r="K10"/>
  <c r="L14"/>
  <c r="L18"/>
  <c r="L39"/>
  <c r="L7"/>
  <c r="H7" i="88"/>
  <c r="J7"/>
  <c r="H10"/>
  <c r="H11"/>
  <c r="H12"/>
  <c r="J12" s="1"/>
  <c r="H16"/>
  <c r="J16"/>
  <c r="H17"/>
  <c r="J17"/>
  <c r="H18"/>
  <c r="J18"/>
  <c r="K7"/>
  <c r="K16"/>
  <c r="K17"/>
  <c r="K18"/>
  <c r="L7"/>
  <c r="L16"/>
  <c r="L17"/>
  <c r="L18"/>
  <c r="H7" i="91"/>
  <c r="J7"/>
  <c r="H10"/>
  <c r="H11"/>
  <c r="H12"/>
  <c r="H16"/>
  <c r="J16"/>
  <c r="H17"/>
  <c r="J17"/>
  <c r="H18"/>
  <c r="J18"/>
  <c r="K7"/>
  <c r="K16"/>
  <c r="K17"/>
  <c r="K18"/>
  <c r="L7"/>
  <c r="L16"/>
  <c r="L17"/>
  <c r="L18"/>
  <c r="H7" i="126"/>
  <c r="J7"/>
  <c r="H10"/>
  <c r="H11"/>
  <c r="H12"/>
  <c r="J12" s="1"/>
  <c r="H16"/>
  <c r="J16"/>
  <c r="H17"/>
  <c r="J17"/>
  <c r="H18"/>
  <c r="J18"/>
  <c r="K7"/>
  <c r="K16"/>
  <c r="K17"/>
  <c r="K18"/>
  <c r="L7"/>
  <c r="L16"/>
  <c r="L17"/>
  <c r="L18"/>
  <c r="H7" i="104"/>
  <c r="J7" s="1"/>
  <c r="H10"/>
  <c r="H11"/>
  <c r="H12"/>
  <c r="H13"/>
  <c r="J13" s="1"/>
  <c r="H14"/>
  <c r="H15"/>
  <c r="J15" s="1"/>
  <c r="H16"/>
  <c r="H17"/>
  <c r="H18"/>
  <c r="I18"/>
  <c r="H19"/>
  <c r="H20"/>
  <c r="H21"/>
  <c r="I21"/>
  <c r="H23"/>
  <c r="J23" s="1"/>
  <c r="H24"/>
  <c r="J24" s="1"/>
  <c r="H26"/>
  <c r="H28"/>
  <c r="H29"/>
  <c r="J29" s="1"/>
  <c r="H31"/>
  <c r="J31"/>
  <c r="L31" s="1"/>
  <c r="H32"/>
  <c r="J32"/>
  <c r="K32" s="1"/>
  <c r="H37"/>
  <c r="J37" s="1"/>
  <c r="H38"/>
  <c r="J38" s="1"/>
  <c r="H40"/>
  <c r="H41"/>
  <c r="J41" s="1"/>
  <c r="H43"/>
  <c r="J43" s="1"/>
  <c r="H44"/>
  <c r="J44" s="1"/>
  <c r="H48"/>
  <c r="J48"/>
  <c r="H49"/>
  <c r="H50"/>
  <c r="H51"/>
  <c r="K31"/>
  <c r="K48"/>
  <c r="L32"/>
  <c r="L48"/>
  <c r="H17" i="107"/>
  <c r="J17" s="1"/>
  <c r="I18"/>
  <c r="H18"/>
  <c r="J18" s="1"/>
  <c r="I19"/>
  <c r="H19"/>
  <c r="J19" s="1"/>
  <c r="H20"/>
  <c r="H21"/>
  <c r="J21" s="1"/>
  <c r="H7"/>
  <c r="J7"/>
  <c r="H10"/>
  <c r="H11"/>
  <c r="H12"/>
  <c r="H13"/>
  <c r="J13" s="1"/>
  <c r="H14"/>
  <c r="J14" s="1"/>
  <c r="H15"/>
  <c r="J15" s="1"/>
  <c r="H16"/>
  <c r="J16" s="1"/>
  <c r="H23"/>
  <c r="J23" s="1"/>
  <c r="H24"/>
  <c r="J24"/>
  <c r="K24" s="1"/>
  <c r="H26"/>
  <c r="H28"/>
  <c r="J28" s="1"/>
  <c r="H29"/>
  <c r="H31"/>
  <c r="J31" s="1"/>
  <c r="H32"/>
  <c r="H37"/>
  <c r="J37" s="1"/>
  <c r="H38"/>
  <c r="H40"/>
  <c r="J40" s="1"/>
  <c r="H41"/>
  <c r="H43"/>
  <c r="J43" s="1"/>
  <c r="H44"/>
  <c r="H48"/>
  <c r="J48" s="1"/>
  <c r="H49"/>
  <c r="H50"/>
  <c r="H51"/>
  <c r="K7"/>
  <c r="L7"/>
  <c r="L24"/>
  <c r="H7" i="110"/>
  <c r="J7" s="1"/>
  <c r="H10"/>
  <c r="H11"/>
  <c r="H12"/>
  <c r="H13"/>
  <c r="J13" s="1"/>
  <c r="H14"/>
  <c r="H15"/>
  <c r="J15" s="1"/>
  <c r="H16"/>
  <c r="H17"/>
  <c r="J17"/>
  <c r="H18"/>
  <c r="J18" s="1"/>
  <c r="H19"/>
  <c r="J19" s="1"/>
  <c r="H20"/>
  <c r="J20" s="1"/>
  <c r="H21"/>
  <c r="J21" s="1"/>
  <c r="H23"/>
  <c r="J23" s="1"/>
  <c r="H24"/>
  <c r="J24" s="1"/>
  <c r="H26"/>
  <c r="H28"/>
  <c r="J28" s="1"/>
  <c r="H29"/>
  <c r="J29" s="1"/>
  <c r="H31"/>
  <c r="J31" s="1"/>
  <c r="H32"/>
  <c r="J32" s="1"/>
  <c r="H37"/>
  <c r="H38"/>
  <c r="J38" s="1"/>
  <c r="H40"/>
  <c r="J40" s="1"/>
  <c r="H41"/>
  <c r="J41" s="1"/>
  <c r="H42"/>
  <c r="H47"/>
  <c r="J47" s="1"/>
  <c r="H48"/>
  <c r="H49"/>
  <c r="H50"/>
  <c r="H51"/>
  <c r="K17"/>
  <c r="L17"/>
  <c r="H7" i="139"/>
  <c r="J7"/>
  <c r="H9"/>
  <c r="J9"/>
  <c r="H10"/>
  <c r="J10"/>
  <c r="H11"/>
  <c r="J11"/>
  <c r="H12"/>
  <c r="J12"/>
  <c r="H13"/>
  <c r="J13"/>
  <c r="H14"/>
  <c r="J14"/>
  <c r="H15"/>
  <c r="J15"/>
  <c r="H16"/>
  <c r="J16"/>
  <c r="H17"/>
  <c r="J17"/>
  <c r="H18"/>
  <c r="J18"/>
  <c r="H20"/>
  <c r="J20"/>
  <c r="H21"/>
  <c r="J21"/>
  <c r="H23"/>
  <c r="J23"/>
  <c r="H25"/>
  <c r="J25"/>
  <c r="H26"/>
  <c r="J26"/>
  <c r="H28"/>
  <c r="J28"/>
  <c r="H29"/>
  <c r="J29"/>
  <c r="H34"/>
  <c r="J34"/>
  <c r="H35"/>
  <c r="J35"/>
  <c r="H37"/>
  <c r="J37"/>
  <c r="H38"/>
  <c r="J38"/>
  <c r="H40"/>
  <c r="J40"/>
  <c r="H41"/>
  <c r="J41"/>
  <c r="H45"/>
  <c r="J45"/>
  <c r="H46"/>
  <c r="J46"/>
  <c r="H47"/>
  <c r="J47"/>
  <c r="K7"/>
  <c r="K9"/>
  <c r="K10"/>
  <c r="K11"/>
  <c r="K12"/>
  <c r="K13"/>
  <c r="K14"/>
  <c r="K15"/>
  <c r="K16"/>
  <c r="K17"/>
  <c r="K18"/>
  <c r="K20"/>
  <c r="K21"/>
  <c r="K23"/>
  <c r="K25"/>
  <c r="K26"/>
  <c r="K28"/>
  <c r="K29"/>
  <c r="K34"/>
  <c r="K35"/>
  <c r="K37"/>
  <c r="K38"/>
  <c r="K40"/>
  <c r="K41"/>
  <c r="K45"/>
  <c r="K46"/>
  <c r="K47"/>
  <c r="L7"/>
  <c r="L9"/>
  <c r="L10"/>
  <c r="L11"/>
  <c r="L12"/>
  <c r="L13"/>
  <c r="L14"/>
  <c r="L15"/>
  <c r="L16"/>
  <c r="L17"/>
  <c r="L18"/>
  <c r="L20"/>
  <c r="L21"/>
  <c r="L23"/>
  <c r="L25"/>
  <c r="L26"/>
  <c r="L28"/>
  <c r="L29"/>
  <c r="L34"/>
  <c r="L35"/>
  <c r="L37"/>
  <c r="L38"/>
  <c r="L40"/>
  <c r="L41"/>
  <c r="L45"/>
  <c r="L46"/>
  <c r="L47"/>
  <c r="H14" i="141"/>
  <c r="I15"/>
  <c r="H15"/>
  <c r="I16"/>
  <c r="H16"/>
  <c r="H17"/>
  <c r="H18"/>
  <c r="H26"/>
  <c r="I29"/>
  <c r="H29"/>
  <c r="J29" s="1"/>
  <c r="H34"/>
  <c r="J34" s="1"/>
  <c r="H35"/>
  <c r="H37"/>
  <c r="J37" s="1"/>
  <c r="H38"/>
  <c r="H40"/>
  <c r="J40" s="1"/>
  <c r="H41"/>
  <c r="H47"/>
  <c r="H7"/>
  <c r="H9"/>
  <c r="J9" s="1"/>
  <c r="H10"/>
  <c r="J10"/>
  <c r="H11"/>
  <c r="J11"/>
  <c r="K11" s="1"/>
  <c r="N11" s="1"/>
  <c r="H12"/>
  <c r="H13"/>
  <c r="J13" s="1"/>
  <c r="H20"/>
  <c r="J20" s="1"/>
  <c r="H21"/>
  <c r="H23"/>
  <c r="H25"/>
  <c r="H28"/>
  <c r="J28" s="1"/>
  <c r="H45"/>
  <c r="H46"/>
  <c r="K10"/>
  <c r="L10"/>
  <c r="L11"/>
  <c r="H7" i="89"/>
  <c r="J7"/>
  <c r="H10"/>
  <c r="H11"/>
  <c r="H12"/>
  <c r="J12" s="1"/>
  <c r="H16"/>
  <c r="J16"/>
  <c r="H17"/>
  <c r="H18"/>
  <c r="K7"/>
  <c r="K16"/>
  <c r="L7"/>
  <c r="L16"/>
  <c r="H7" i="172"/>
  <c r="H9"/>
  <c r="J9"/>
  <c r="H10"/>
  <c r="J10"/>
  <c r="H11"/>
  <c r="J11"/>
  <c r="H12"/>
  <c r="J12"/>
  <c r="H13"/>
  <c r="H14"/>
  <c r="I14"/>
  <c r="J14" s="1"/>
  <c r="H15"/>
  <c r="I15"/>
  <c r="J15" s="1"/>
  <c r="H16"/>
  <c r="I16"/>
  <c r="J16" s="1"/>
  <c r="H17"/>
  <c r="I17"/>
  <c r="H18"/>
  <c r="I18"/>
  <c r="J18" s="1"/>
  <c r="H20"/>
  <c r="J20"/>
  <c r="H21"/>
  <c r="J21"/>
  <c r="H23"/>
  <c r="J23"/>
  <c r="L23" s="1"/>
  <c r="N23" s="1"/>
  <c r="H25"/>
  <c r="J25"/>
  <c r="H26"/>
  <c r="J26"/>
  <c r="H28"/>
  <c r="J28"/>
  <c r="H29"/>
  <c r="J29"/>
  <c r="H34"/>
  <c r="J34" s="1"/>
  <c r="H35"/>
  <c r="H37"/>
  <c r="J37" s="1"/>
  <c r="H38"/>
  <c r="H39"/>
  <c r="J39"/>
  <c r="H44"/>
  <c r="H45"/>
  <c r="H46"/>
  <c r="H47"/>
  <c r="P47"/>
  <c r="K20"/>
  <c r="K21"/>
  <c r="K23"/>
  <c r="K25"/>
  <c r="K26"/>
  <c r="K28"/>
  <c r="K29"/>
  <c r="L20"/>
  <c r="L21"/>
  <c r="L25"/>
  <c r="L26"/>
  <c r="L28"/>
  <c r="L29"/>
  <c r="H7" i="92"/>
  <c r="J7"/>
  <c r="H10"/>
  <c r="H11"/>
  <c r="H12"/>
  <c r="J12" s="1"/>
  <c r="H16"/>
  <c r="J16"/>
  <c r="H17"/>
  <c r="H18"/>
  <c r="K7"/>
  <c r="K16"/>
  <c r="L7"/>
  <c r="L16"/>
  <c r="H7" i="127"/>
  <c r="J7"/>
  <c r="H10"/>
  <c r="H11"/>
  <c r="H12"/>
  <c r="J12" s="1"/>
  <c r="H16"/>
  <c r="J16"/>
  <c r="H17"/>
  <c r="H18"/>
  <c r="K7"/>
  <c r="K16"/>
  <c r="L7"/>
  <c r="L16"/>
  <c r="H58" i="10"/>
  <c r="J58" s="1"/>
  <c r="H59"/>
  <c r="J59" s="1"/>
  <c r="H60"/>
  <c r="J60" s="1"/>
  <c r="H61"/>
  <c r="J61" s="1"/>
  <c r="H62"/>
  <c r="J62" s="1"/>
  <c r="H63"/>
  <c r="J63" s="1"/>
  <c r="H58" i="105"/>
  <c r="J58" s="1"/>
  <c r="H59"/>
  <c r="J59" s="1"/>
  <c r="H60"/>
  <c r="J60" s="1"/>
  <c r="H61"/>
  <c r="J61" s="1"/>
  <c r="H62"/>
  <c r="J62" s="1"/>
  <c r="H63"/>
  <c r="J63" s="1"/>
  <c r="H54" i="114"/>
  <c r="H55"/>
  <c r="H56"/>
  <c r="H57"/>
  <c r="H58"/>
  <c r="H59"/>
  <c r="H55" i="170"/>
  <c r="J55" s="1"/>
  <c r="H56"/>
  <c r="J56" s="1"/>
  <c r="H57"/>
  <c r="J57" s="1"/>
  <c r="H58"/>
  <c r="J58" s="1"/>
  <c r="H59"/>
  <c r="J59" s="1"/>
  <c r="H60"/>
  <c r="J60" s="1"/>
  <c r="H61"/>
  <c r="J61" s="1"/>
  <c r="H59" i="108"/>
  <c r="J59" s="1"/>
  <c r="H60"/>
  <c r="J60" s="1"/>
  <c r="H61"/>
  <c r="J61" s="1"/>
  <c r="H62"/>
  <c r="J62" s="1"/>
  <c r="H65"/>
  <c r="J65" s="1"/>
  <c r="H66"/>
  <c r="J66" s="1"/>
  <c r="H54" i="111"/>
  <c r="J54"/>
  <c r="H55"/>
  <c r="J55"/>
  <c r="H56"/>
  <c r="J56"/>
  <c r="H57"/>
  <c r="J57"/>
  <c r="H58"/>
  <c r="J58"/>
  <c r="H59"/>
  <c r="J59"/>
  <c r="K54"/>
  <c r="K55"/>
  <c r="K56"/>
  <c r="K57"/>
  <c r="K58"/>
  <c r="K59"/>
  <c r="L54"/>
  <c r="L55"/>
  <c r="L56"/>
  <c r="L57"/>
  <c r="L58"/>
  <c r="L59"/>
  <c r="H26" i="51"/>
  <c r="J26"/>
  <c r="H27"/>
  <c r="J27"/>
  <c r="H28"/>
  <c r="J28"/>
  <c r="K26"/>
  <c r="K27"/>
  <c r="K28"/>
  <c r="L26"/>
  <c r="L27"/>
  <c r="L28"/>
  <c r="H26" i="90"/>
  <c r="J26"/>
  <c r="H27"/>
  <c r="J27"/>
  <c r="H28"/>
  <c r="J28"/>
  <c r="K26"/>
  <c r="K27"/>
  <c r="K28"/>
  <c r="L26"/>
  <c r="L27"/>
  <c r="L28"/>
  <c r="H26" i="123"/>
  <c r="J26"/>
  <c r="H27"/>
  <c r="J27"/>
  <c r="H28"/>
  <c r="J28"/>
  <c r="K26"/>
  <c r="K27"/>
  <c r="K28"/>
  <c r="L26"/>
  <c r="L27"/>
  <c r="L28"/>
  <c r="H58" i="103"/>
  <c r="J58" s="1"/>
  <c r="H59"/>
  <c r="J59" s="1"/>
  <c r="H60"/>
  <c r="J60" s="1"/>
  <c r="H61"/>
  <c r="J61" s="1"/>
  <c r="H62"/>
  <c r="J62" s="1"/>
  <c r="H63"/>
  <c r="J63" s="1"/>
  <c r="H58" i="106"/>
  <c r="J58" s="1"/>
  <c r="H59"/>
  <c r="J59" s="1"/>
  <c r="H60"/>
  <c r="J60" s="1"/>
  <c r="H61"/>
  <c r="J61" s="1"/>
  <c r="H62"/>
  <c r="J62" s="1"/>
  <c r="H63"/>
  <c r="J63" s="1"/>
  <c r="H59" i="109"/>
  <c r="J59" s="1"/>
  <c r="H60"/>
  <c r="J60" s="1"/>
  <c r="H61"/>
  <c r="J61" s="1"/>
  <c r="H62"/>
  <c r="J62" s="1"/>
  <c r="H65"/>
  <c r="J65" s="1"/>
  <c r="H66"/>
  <c r="J66" s="1"/>
  <c r="H54" i="138"/>
  <c r="J54"/>
  <c r="H55"/>
  <c r="J55"/>
  <c r="H56"/>
  <c r="J56"/>
  <c r="H57"/>
  <c r="J57"/>
  <c r="H58"/>
  <c r="J58"/>
  <c r="H59"/>
  <c r="J59"/>
  <c r="K54"/>
  <c r="K55"/>
  <c r="K56"/>
  <c r="K57"/>
  <c r="K58"/>
  <c r="K59"/>
  <c r="L54"/>
  <c r="L55"/>
  <c r="L56"/>
  <c r="L57"/>
  <c r="L58"/>
  <c r="L59"/>
  <c r="H54" i="140"/>
  <c r="H55"/>
  <c r="H56"/>
  <c r="H57"/>
  <c r="H58"/>
  <c r="H59"/>
  <c r="H55" i="171"/>
  <c r="H56"/>
  <c r="H57"/>
  <c r="H58"/>
  <c r="H59"/>
  <c r="H60"/>
  <c r="H61"/>
  <c r="H26" i="88"/>
  <c r="J26"/>
  <c r="H27"/>
  <c r="J27"/>
  <c r="H28"/>
  <c r="J28"/>
  <c r="K26"/>
  <c r="K27"/>
  <c r="K28"/>
  <c r="L26"/>
  <c r="L27"/>
  <c r="L28"/>
  <c r="H26" i="91"/>
  <c r="J26"/>
  <c r="H27"/>
  <c r="J27"/>
  <c r="H28"/>
  <c r="J28"/>
  <c r="K26"/>
  <c r="K27"/>
  <c r="K28"/>
  <c r="L26"/>
  <c r="L27"/>
  <c r="L28"/>
  <c r="H26" i="126"/>
  <c r="J26"/>
  <c r="H27"/>
  <c r="J27"/>
  <c r="H28"/>
  <c r="J28"/>
  <c r="K26"/>
  <c r="K27"/>
  <c r="K28"/>
  <c r="L26"/>
  <c r="L27"/>
  <c r="L28"/>
  <c r="H58" i="104"/>
  <c r="J58" s="1"/>
  <c r="H59"/>
  <c r="J59" s="1"/>
  <c r="H60"/>
  <c r="J60" s="1"/>
  <c r="H61"/>
  <c r="J61" s="1"/>
  <c r="H62"/>
  <c r="J62" s="1"/>
  <c r="H63"/>
  <c r="J63" s="1"/>
  <c r="H58" i="107"/>
  <c r="J58" s="1"/>
  <c r="H59"/>
  <c r="J59" s="1"/>
  <c r="H60"/>
  <c r="J60" s="1"/>
  <c r="H61"/>
  <c r="J61" s="1"/>
  <c r="H62"/>
  <c r="J62" s="1"/>
  <c r="H63"/>
  <c r="J63" s="1"/>
  <c r="H59" i="110"/>
  <c r="J59" s="1"/>
  <c r="H60"/>
  <c r="J60" s="1"/>
  <c r="H61"/>
  <c r="J61" s="1"/>
  <c r="H62"/>
  <c r="J62" s="1"/>
  <c r="H63"/>
  <c r="H64"/>
  <c r="J64" s="1"/>
  <c r="H65"/>
  <c r="H66"/>
  <c r="J66" s="1"/>
  <c r="H54" i="139"/>
  <c r="J54"/>
  <c r="H55"/>
  <c r="J55"/>
  <c r="H56"/>
  <c r="J56"/>
  <c r="H57"/>
  <c r="J57"/>
  <c r="H58"/>
  <c r="J58"/>
  <c r="H59"/>
  <c r="J59"/>
  <c r="K54"/>
  <c r="K55"/>
  <c r="K56"/>
  <c r="K57"/>
  <c r="K58"/>
  <c r="K59"/>
  <c r="L54"/>
  <c r="L55"/>
  <c r="L56"/>
  <c r="L57"/>
  <c r="L58"/>
  <c r="L59"/>
  <c r="H54" i="141"/>
  <c r="H55"/>
  <c r="H56"/>
  <c r="H57"/>
  <c r="H58"/>
  <c r="H59"/>
  <c r="H26" i="89"/>
  <c r="J26"/>
  <c r="K26" s="1"/>
  <c r="H27"/>
  <c r="J27"/>
  <c r="H28"/>
  <c r="J28"/>
  <c r="K28" s="1"/>
  <c r="K27"/>
  <c r="L27"/>
  <c r="H55" i="172"/>
  <c r="H56"/>
  <c r="H57"/>
  <c r="H58"/>
  <c r="H59"/>
  <c r="H60"/>
  <c r="H61"/>
  <c r="H26" i="92"/>
  <c r="H27"/>
  <c r="J27"/>
  <c r="H28"/>
  <c r="J28" s="1"/>
  <c r="K27"/>
  <c r="L27"/>
  <c r="H26" i="127"/>
  <c r="J26" s="1"/>
  <c r="H27"/>
  <c r="J27"/>
  <c r="H28"/>
  <c r="K27"/>
  <c r="L27"/>
  <c r="P49" i="10"/>
  <c r="P50"/>
  <c r="P51"/>
  <c r="P46" i="170"/>
  <c r="P47"/>
  <c r="P48" i="108"/>
  <c r="P49"/>
  <c r="P51"/>
  <c r="P45" i="111"/>
  <c r="P46"/>
  <c r="P47"/>
  <c r="P48"/>
  <c r="P17" i="51"/>
  <c r="P18"/>
  <c r="P17" i="90"/>
  <c r="P18"/>
  <c r="P17" i="123"/>
  <c r="P18"/>
  <c r="P48" i="103"/>
  <c r="P49"/>
  <c r="P50"/>
  <c r="P51"/>
  <c r="P7" i="138"/>
  <c r="P9"/>
  <c r="P10"/>
  <c r="P11"/>
  <c r="P12"/>
  <c r="P13"/>
  <c r="P14"/>
  <c r="P15"/>
  <c r="P16"/>
  <c r="P17"/>
  <c r="P18"/>
  <c r="P20"/>
  <c r="P21"/>
  <c r="P23"/>
  <c r="P25"/>
  <c r="P26"/>
  <c r="P28"/>
  <c r="P29"/>
  <c r="P34"/>
  <c r="P35"/>
  <c r="P37"/>
  <c r="P38"/>
  <c r="P40"/>
  <c r="P41"/>
  <c r="P45"/>
  <c r="P46"/>
  <c r="P47"/>
  <c r="P48"/>
  <c r="P63" s="1"/>
  <c r="P16" i="91"/>
  <c r="P17"/>
  <c r="P18"/>
  <c r="P16" i="126"/>
  <c r="P17"/>
  <c r="P18"/>
  <c r="P48" i="104"/>
  <c r="P47" i="110"/>
  <c r="P16" i="92"/>
  <c r="P16" i="127"/>
  <c r="E12" i="10"/>
  <c r="O12" s="1"/>
  <c r="E13"/>
  <c r="O13" s="1"/>
  <c r="E14"/>
  <c r="O14" s="1"/>
  <c r="E15"/>
  <c r="O15" s="1"/>
  <c r="E16"/>
  <c r="O16" s="1"/>
  <c r="E17"/>
  <c r="O17" s="1"/>
  <c r="E18"/>
  <c r="O18" s="1"/>
  <c r="E19"/>
  <c r="O19" s="1"/>
  <c r="E20"/>
  <c r="O20" s="1"/>
  <c r="E21"/>
  <c r="O21" s="1"/>
  <c r="O10"/>
  <c r="O11"/>
  <c r="O23"/>
  <c r="O24"/>
  <c r="O29"/>
  <c r="O32"/>
  <c r="O35"/>
  <c r="O38"/>
  <c r="O41"/>
  <c r="O44"/>
  <c r="E12" i="103"/>
  <c r="E13"/>
  <c r="O13" s="1"/>
  <c r="E14"/>
  <c r="O14" s="1"/>
  <c r="E15"/>
  <c r="O15" s="1"/>
  <c r="E16"/>
  <c r="O16" s="1"/>
  <c r="E17"/>
  <c r="O17" s="1"/>
  <c r="E18"/>
  <c r="O18" s="1"/>
  <c r="E19"/>
  <c r="O19" s="1"/>
  <c r="E20"/>
  <c r="O20" s="1"/>
  <c r="E21"/>
  <c r="O21" s="1"/>
  <c r="O7"/>
  <c r="O23"/>
  <c r="O24"/>
  <c r="E12" i="104"/>
  <c r="E13"/>
  <c r="O13" s="1"/>
  <c r="E14"/>
  <c r="E15"/>
  <c r="O15" s="1"/>
  <c r="E16"/>
  <c r="E17"/>
  <c r="E18"/>
  <c r="E19"/>
  <c r="E20"/>
  <c r="E21"/>
  <c r="O23"/>
  <c r="O24"/>
  <c r="O32"/>
  <c r="O7"/>
  <c r="E9" i="111"/>
  <c r="O9" s="1"/>
  <c r="E10"/>
  <c r="O10" s="1"/>
  <c r="E11"/>
  <c r="O11" s="1"/>
  <c r="E12"/>
  <c r="O12" s="1"/>
  <c r="E13"/>
  <c r="O13" s="1"/>
  <c r="E14"/>
  <c r="O14" s="1"/>
  <c r="E15"/>
  <c r="O15" s="1"/>
  <c r="E16"/>
  <c r="O16" s="1"/>
  <c r="E17"/>
  <c r="O17" s="1"/>
  <c r="E18"/>
  <c r="O18" s="1"/>
  <c r="O7"/>
  <c r="O20"/>
  <c r="O21"/>
  <c r="O26"/>
  <c r="O29"/>
  <c r="O35"/>
  <c r="O38"/>
  <c r="O41"/>
  <c r="E9" i="138"/>
  <c r="O9" s="1"/>
  <c r="E10"/>
  <c r="O10" s="1"/>
  <c r="E11"/>
  <c r="O11" s="1"/>
  <c r="E12"/>
  <c r="O12" s="1"/>
  <c r="E13"/>
  <c r="O13" s="1"/>
  <c r="E14"/>
  <c r="O14" s="1"/>
  <c r="E15"/>
  <c r="O15" s="1"/>
  <c r="E16"/>
  <c r="O16" s="1"/>
  <c r="E17"/>
  <c r="O17" s="1"/>
  <c r="E18"/>
  <c r="O18" s="1"/>
  <c r="O7"/>
  <c r="O20"/>
  <c r="O21"/>
  <c r="O26"/>
  <c r="O29"/>
  <c r="O35"/>
  <c r="O38"/>
  <c r="O41"/>
  <c r="E9" i="139"/>
  <c r="O9" s="1"/>
  <c r="E10"/>
  <c r="O10" s="1"/>
  <c r="E11"/>
  <c r="O11" s="1"/>
  <c r="E12"/>
  <c r="O12" s="1"/>
  <c r="E13"/>
  <c r="O13" s="1"/>
  <c r="E14"/>
  <c r="O14" s="1"/>
  <c r="E15"/>
  <c r="O15" s="1"/>
  <c r="E16"/>
  <c r="O16" s="1"/>
  <c r="E17"/>
  <c r="O17" s="1"/>
  <c r="E18"/>
  <c r="O18" s="1"/>
  <c r="O7"/>
  <c r="O20"/>
  <c r="O21"/>
  <c r="O26"/>
  <c r="O29"/>
  <c r="O35"/>
  <c r="O38"/>
  <c r="O41"/>
  <c r="O10" i="51"/>
  <c r="O11"/>
  <c r="O12"/>
  <c r="O12" i="88"/>
  <c r="O7"/>
  <c r="O12" i="89"/>
  <c r="O7"/>
  <c r="E12" i="105"/>
  <c r="O12" s="1"/>
  <c r="E13"/>
  <c r="E14"/>
  <c r="O14" s="1"/>
  <c r="E15"/>
  <c r="O15" s="1"/>
  <c r="E16"/>
  <c r="O16" s="1"/>
  <c r="E17"/>
  <c r="O17" s="1"/>
  <c r="E18"/>
  <c r="O18" s="1"/>
  <c r="E19"/>
  <c r="O19" s="1"/>
  <c r="E20"/>
  <c r="O20" s="1"/>
  <c r="E21"/>
  <c r="O21" s="1"/>
  <c r="O10"/>
  <c r="O11"/>
  <c r="O23"/>
  <c r="O24"/>
  <c r="O29"/>
  <c r="O32"/>
  <c r="O38"/>
  <c r="O41"/>
  <c r="O44"/>
  <c r="E12" i="106"/>
  <c r="O12" s="1"/>
  <c r="E13"/>
  <c r="E14"/>
  <c r="O14" s="1"/>
  <c r="E15"/>
  <c r="O15" s="1"/>
  <c r="E16"/>
  <c r="O16" s="1"/>
  <c r="E17"/>
  <c r="O17" s="1"/>
  <c r="E18"/>
  <c r="O18" s="1"/>
  <c r="E19"/>
  <c r="O19" s="1"/>
  <c r="E20"/>
  <c r="O20" s="1"/>
  <c r="E21"/>
  <c r="O21" s="1"/>
  <c r="O32"/>
  <c r="O7"/>
  <c r="O24"/>
  <c r="E12" i="107"/>
  <c r="E13"/>
  <c r="O13" s="1"/>
  <c r="E14"/>
  <c r="O14" s="1"/>
  <c r="E15"/>
  <c r="O15" s="1"/>
  <c r="E16"/>
  <c r="O16" s="1"/>
  <c r="E17"/>
  <c r="E18"/>
  <c r="O18" s="1"/>
  <c r="E19"/>
  <c r="O19" s="1"/>
  <c r="E20"/>
  <c r="E21"/>
  <c r="O21" s="1"/>
  <c r="O23"/>
  <c r="O7"/>
  <c r="O24"/>
  <c r="E9" i="114"/>
  <c r="E10"/>
  <c r="O10" s="1"/>
  <c r="E11"/>
  <c r="O11"/>
  <c r="E12"/>
  <c r="O12" s="1"/>
  <c r="E13"/>
  <c r="E14"/>
  <c r="O14" s="1"/>
  <c r="E15"/>
  <c r="O15"/>
  <c r="E16"/>
  <c r="O16"/>
  <c r="E17"/>
  <c r="O17"/>
  <c r="E18"/>
  <c r="O18"/>
  <c r="O21"/>
  <c r="O29"/>
  <c r="E9" i="140"/>
  <c r="O9" s="1"/>
  <c r="E10"/>
  <c r="O10" s="1"/>
  <c r="E11"/>
  <c r="O11" s="1"/>
  <c r="E12"/>
  <c r="E13"/>
  <c r="O13" s="1"/>
  <c r="E14"/>
  <c r="E15"/>
  <c r="O15" s="1"/>
  <c r="E16"/>
  <c r="O16" s="1"/>
  <c r="E17"/>
  <c r="O17" s="1"/>
  <c r="E18"/>
  <c r="O29"/>
  <c r="O21"/>
  <c r="E9" i="141"/>
  <c r="O9" s="1"/>
  <c r="E10"/>
  <c r="O10" s="1"/>
  <c r="E11"/>
  <c r="O11" s="1"/>
  <c r="E12"/>
  <c r="E13"/>
  <c r="O13" s="1"/>
  <c r="E14"/>
  <c r="E15"/>
  <c r="O15" s="1"/>
  <c r="E16"/>
  <c r="O16" s="1"/>
  <c r="E17"/>
  <c r="E18"/>
  <c r="O29"/>
  <c r="O10" i="90"/>
  <c r="O11"/>
  <c r="O12"/>
  <c r="O7" i="91"/>
  <c r="O12" i="92"/>
  <c r="O7"/>
  <c r="E12" i="108"/>
  <c r="O12" s="1"/>
  <c r="E13"/>
  <c r="O13" s="1"/>
  <c r="E14"/>
  <c r="O14" s="1"/>
  <c r="E15"/>
  <c r="O15" s="1"/>
  <c r="E16"/>
  <c r="O16" s="1"/>
  <c r="E17"/>
  <c r="O17" s="1"/>
  <c r="E18"/>
  <c r="O18" s="1"/>
  <c r="E19"/>
  <c r="O19" s="1"/>
  <c r="E20"/>
  <c r="O20" s="1"/>
  <c r="E21"/>
  <c r="O21" s="1"/>
  <c r="O10"/>
  <c r="O11"/>
  <c r="O23"/>
  <c r="O24"/>
  <c r="O29"/>
  <c r="O32"/>
  <c r="O38"/>
  <c r="O41"/>
  <c r="O42"/>
  <c r="E12" i="109"/>
  <c r="E13"/>
  <c r="O13"/>
  <c r="E14"/>
  <c r="E15"/>
  <c r="O15" s="1"/>
  <c r="E16"/>
  <c r="E17"/>
  <c r="O17" s="1"/>
  <c r="E18"/>
  <c r="O18" s="1"/>
  <c r="E19"/>
  <c r="O19" s="1"/>
  <c r="E20"/>
  <c r="O20" s="1"/>
  <c r="E21"/>
  <c r="O21" s="1"/>
  <c r="O42"/>
  <c r="O7"/>
  <c r="O23"/>
  <c r="O24"/>
  <c r="O32"/>
  <c r="E12" i="110"/>
  <c r="E13"/>
  <c r="O13"/>
  <c r="E14"/>
  <c r="E15"/>
  <c r="O15" s="1"/>
  <c r="E16"/>
  <c r="E17"/>
  <c r="O17" s="1"/>
  <c r="E18"/>
  <c r="O18" s="1"/>
  <c r="E19"/>
  <c r="O19" s="1"/>
  <c r="E20"/>
  <c r="O20" s="1"/>
  <c r="E21"/>
  <c r="O21" s="1"/>
  <c r="O7"/>
  <c r="O23"/>
  <c r="O24"/>
  <c r="O32"/>
  <c r="E9" i="170"/>
  <c r="O9" s="1"/>
  <c r="E10"/>
  <c r="O10" s="1"/>
  <c r="E11"/>
  <c r="O11" s="1"/>
  <c r="E12"/>
  <c r="O12" s="1"/>
  <c r="E13"/>
  <c r="O13" s="1"/>
  <c r="E14"/>
  <c r="O14" s="1"/>
  <c r="E15"/>
  <c r="O15" s="1"/>
  <c r="E16"/>
  <c r="O16" s="1"/>
  <c r="E17"/>
  <c r="O17" s="1"/>
  <c r="E18"/>
  <c r="O18" s="1"/>
  <c r="O35"/>
  <c r="O38"/>
  <c r="O20"/>
  <c r="O21"/>
  <c r="O26"/>
  <c r="O29"/>
  <c r="E9" i="171"/>
  <c r="O9" s="1"/>
  <c r="E10"/>
  <c r="O10" s="1"/>
  <c r="E11"/>
  <c r="O11" s="1"/>
  <c r="E12"/>
  <c r="O12" s="1"/>
  <c r="E13"/>
  <c r="O13" s="1"/>
  <c r="E14"/>
  <c r="O14" s="1"/>
  <c r="E15"/>
  <c r="O15" s="1"/>
  <c r="E16"/>
  <c r="O16" s="1"/>
  <c r="E17"/>
  <c r="O17" s="1"/>
  <c r="E18"/>
  <c r="O18" s="1"/>
  <c r="O7"/>
  <c r="O20"/>
  <c r="O21"/>
  <c r="O26"/>
  <c r="O29"/>
  <c r="E9" i="172"/>
  <c r="O9" s="1"/>
  <c r="E10"/>
  <c r="O10" s="1"/>
  <c r="E11"/>
  <c r="O11" s="1"/>
  <c r="E12"/>
  <c r="O12" s="1"/>
  <c r="E13"/>
  <c r="O13" s="1"/>
  <c r="E14"/>
  <c r="O14" s="1"/>
  <c r="E15"/>
  <c r="O15" s="1"/>
  <c r="E16"/>
  <c r="O16" s="1"/>
  <c r="E17"/>
  <c r="O17" s="1"/>
  <c r="E18"/>
  <c r="O18" s="1"/>
  <c r="O20"/>
  <c r="O21"/>
  <c r="O26"/>
  <c r="O29"/>
  <c r="O10" i="123"/>
  <c r="O11"/>
  <c r="O12"/>
  <c r="O12" i="126"/>
  <c r="O7"/>
  <c r="O7" i="127"/>
  <c r="O28" i="103"/>
  <c r="O37"/>
  <c r="F40"/>
  <c r="O40" s="1"/>
  <c r="O43"/>
  <c r="O28" i="104"/>
  <c r="O37"/>
  <c r="F40"/>
  <c r="O40" s="1"/>
  <c r="O43"/>
  <c r="O37" i="10"/>
  <c r="F40"/>
  <c r="O40"/>
  <c r="O43"/>
  <c r="O28"/>
  <c r="O31"/>
  <c r="O34"/>
  <c r="S52" s="1"/>
  <c r="O25" i="111"/>
  <c r="O28"/>
  <c r="O34"/>
  <c r="F37"/>
  <c r="O37"/>
  <c r="O40"/>
  <c r="S48"/>
  <c r="O25" i="138"/>
  <c r="O28"/>
  <c r="O34"/>
  <c r="F37"/>
  <c r="O37"/>
  <c r="O40"/>
  <c r="S48"/>
  <c r="O25" i="139"/>
  <c r="O28"/>
  <c r="O34"/>
  <c r="F37"/>
  <c r="O37"/>
  <c r="O40"/>
  <c r="S48"/>
  <c r="S20" i="51"/>
  <c r="S20" i="88"/>
  <c r="D5" i="173"/>
  <c r="O28" i="106"/>
  <c r="O31"/>
  <c r="O37"/>
  <c r="F40"/>
  <c r="O40" s="1"/>
  <c r="O43"/>
  <c r="O28" i="107"/>
  <c r="O31"/>
  <c r="O37"/>
  <c r="F40"/>
  <c r="O40"/>
  <c r="O43"/>
  <c r="S52"/>
  <c r="O28" i="105"/>
  <c r="O31"/>
  <c r="O37"/>
  <c r="F40"/>
  <c r="O40"/>
  <c r="O43"/>
  <c r="S52"/>
  <c r="O25" i="114"/>
  <c r="O34"/>
  <c r="F37"/>
  <c r="O37" s="1"/>
  <c r="S48" s="1"/>
  <c r="O40"/>
  <c r="O28"/>
  <c r="O25" i="140"/>
  <c r="O34"/>
  <c r="F37"/>
  <c r="O37" s="1"/>
  <c r="O40"/>
  <c r="O28"/>
  <c r="O25" i="141"/>
  <c r="O34"/>
  <c r="F37"/>
  <c r="O37" s="1"/>
  <c r="S48" s="1"/>
  <c r="O40"/>
  <c r="O28"/>
  <c r="S20" i="90"/>
  <c r="S20" i="91"/>
  <c r="S20" i="92"/>
  <c r="D9" i="173"/>
  <c r="O28" i="109"/>
  <c r="O37"/>
  <c r="F40"/>
  <c r="O40" s="1"/>
  <c r="O31"/>
  <c r="O28" i="108"/>
  <c r="O31"/>
  <c r="O37"/>
  <c r="F40"/>
  <c r="O40" s="1"/>
  <c r="S53" s="1"/>
  <c r="O25" i="170"/>
  <c r="O34"/>
  <c r="F37"/>
  <c r="O37" s="1"/>
  <c r="O28"/>
  <c r="O34" i="171"/>
  <c r="F37"/>
  <c r="O37"/>
  <c r="O25"/>
  <c r="O28"/>
  <c r="O34" i="172"/>
  <c r="F37"/>
  <c r="O37"/>
  <c r="O25"/>
  <c r="O28"/>
  <c r="S20" i="123"/>
  <c r="S20" i="126"/>
  <c r="S20" i="127"/>
  <c r="D13" i="173"/>
  <c r="H67" i="49"/>
  <c r="H68"/>
  <c r="H69"/>
  <c r="H63"/>
  <c r="H64"/>
  <c r="H65"/>
  <c r="H66"/>
  <c r="B9" i="150" s="1"/>
  <c r="H62" i="49"/>
  <c r="B10" i="150" s="1"/>
  <c r="S21" i="89"/>
  <c r="D4" i="174"/>
  <c r="D6"/>
  <c r="O39" i="170"/>
  <c r="I17" i="169"/>
  <c r="J17" s="1"/>
  <c r="L17" s="1"/>
  <c r="I5"/>
  <c r="J5" s="1"/>
  <c r="J12"/>
  <c r="H19" i="168"/>
  <c r="I19" s="1"/>
  <c r="J19" s="1"/>
  <c r="I19" i="167"/>
  <c r="J19" s="1"/>
  <c r="I21"/>
  <c r="J21" s="1"/>
  <c r="I17"/>
  <c r="J17" s="1"/>
  <c r="I5"/>
  <c r="J5"/>
  <c r="J12"/>
  <c r="O18" i="51"/>
  <c r="N18"/>
  <c r="M18"/>
  <c r="O18" i="88"/>
  <c r="N18"/>
  <c r="M18"/>
  <c r="O39" i="172"/>
  <c r="O39" i="171"/>
  <c r="O46" i="170"/>
  <c r="M46"/>
  <c r="O59"/>
  <c r="M59"/>
  <c r="M63" i="110"/>
  <c r="N11" i="10"/>
  <c r="N10"/>
  <c r="L12" i="169"/>
  <c r="K12"/>
  <c r="K5" i="167"/>
  <c r="N7" i="171"/>
  <c r="N14"/>
  <c r="N18"/>
  <c r="N9" i="170"/>
  <c r="N10"/>
  <c r="N11"/>
  <c r="N12"/>
  <c r="N13"/>
  <c r="N14"/>
  <c r="N15"/>
  <c r="N16"/>
  <c r="N17"/>
  <c r="N18"/>
  <c r="N20"/>
  <c r="N21"/>
  <c r="N23"/>
  <c r="N7" i="107"/>
  <c r="N28" i="172"/>
  <c r="N20"/>
  <c r="N21"/>
  <c r="N25"/>
  <c r="N26"/>
  <c r="N29"/>
  <c r="N12" i="10"/>
  <c r="N13"/>
  <c r="N14"/>
  <c r="N15"/>
  <c r="N16"/>
  <c r="N17"/>
  <c r="N18"/>
  <c r="N19"/>
  <c r="N20"/>
  <c r="N21"/>
  <c r="N23"/>
  <c r="N24"/>
  <c r="N26"/>
  <c r="N28"/>
  <c r="N29"/>
  <c r="N31"/>
  <c r="N32"/>
  <c r="N34"/>
  <c r="N35"/>
  <c r="N37"/>
  <c r="N38"/>
  <c r="N40"/>
  <c r="N41"/>
  <c r="N43"/>
  <c r="N44"/>
  <c r="N32" i="104"/>
  <c r="N48"/>
  <c r="N10" i="105"/>
  <c r="N11"/>
  <c r="N12"/>
  <c r="N13"/>
  <c r="N14"/>
  <c r="N15"/>
  <c r="N16"/>
  <c r="N17"/>
  <c r="N18"/>
  <c r="N19"/>
  <c r="N20"/>
  <c r="N21"/>
  <c r="N23"/>
  <c r="N24"/>
  <c r="N26"/>
  <c r="N28"/>
  <c r="N29"/>
  <c r="N31"/>
  <c r="N32"/>
  <c r="N37"/>
  <c r="N38"/>
  <c r="N40"/>
  <c r="N41"/>
  <c r="N43"/>
  <c r="N44"/>
  <c r="N48" i="106"/>
  <c r="N49"/>
  <c r="N50"/>
  <c r="N51"/>
  <c r="N10" i="108"/>
  <c r="N11"/>
  <c r="N12"/>
  <c r="N13"/>
  <c r="N14"/>
  <c r="N15"/>
  <c r="N16"/>
  <c r="N17"/>
  <c r="N18"/>
  <c r="N19"/>
  <c r="N20"/>
  <c r="N21"/>
  <c r="N23"/>
  <c r="N24"/>
  <c r="N26"/>
  <c r="N28"/>
  <c r="N29"/>
  <c r="N31"/>
  <c r="N32"/>
  <c r="N37"/>
  <c r="N38"/>
  <c r="N40"/>
  <c r="N41"/>
  <c r="N42"/>
  <c r="N17" i="110"/>
  <c r="N7" i="111"/>
  <c r="N9"/>
  <c r="N10"/>
  <c r="N11"/>
  <c r="N12"/>
  <c r="N13"/>
  <c r="N14"/>
  <c r="N15"/>
  <c r="N16"/>
  <c r="N17"/>
  <c r="N18"/>
  <c r="N20"/>
  <c r="N21"/>
  <c r="N23"/>
  <c r="N25"/>
  <c r="N26"/>
  <c r="N28"/>
  <c r="N29"/>
  <c r="N34"/>
  <c r="N35"/>
  <c r="N37"/>
  <c r="N38"/>
  <c r="N40"/>
  <c r="N41"/>
  <c r="N45"/>
  <c r="N46"/>
  <c r="N47"/>
  <c r="N54"/>
  <c r="N55"/>
  <c r="N56"/>
  <c r="N57"/>
  <c r="N58"/>
  <c r="N59"/>
  <c r="N7" i="138"/>
  <c r="N9"/>
  <c r="N10"/>
  <c r="N11"/>
  <c r="N12"/>
  <c r="N13"/>
  <c r="N14"/>
  <c r="N15"/>
  <c r="N16"/>
  <c r="N17"/>
  <c r="N18"/>
  <c r="N20"/>
  <c r="N21"/>
  <c r="N23"/>
  <c r="N25"/>
  <c r="N26"/>
  <c r="N28"/>
  <c r="N29"/>
  <c r="N34"/>
  <c r="N35"/>
  <c r="N37"/>
  <c r="N38"/>
  <c r="N40"/>
  <c r="N41"/>
  <c r="N45"/>
  <c r="N46"/>
  <c r="N47"/>
  <c r="N54"/>
  <c r="N55"/>
  <c r="N56"/>
  <c r="N57"/>
  <c r="N58"/>
  <c r="N59"/>
  <c r="N7" i="139"/>
  <c r="N9"/>
  <c r="N10"/>
  <c r="N11"/>
  <c r="N12"/>
  <c r="N13"/>
  <c r="N14"/>
  <c r="N15"/>
  <c r="N16"/>
  <c r="N17"/>
  <c r="N18"/>
  <c r="N20"/>
  <c r="N21"/>
  <c r="N23"/>
  <c r="N25"/>
  <c r="N26"/>
  <c r="N28"/>
  <c r="N29"/>
  <c r="N34"/>
  <c r="N35"/>
  <c r="N37"/>
  <c r="N38"/>
  <c r="N40"/>
  <c r="N41"/>
  <c r="N45"/>
  <c r="N46"/>
  <c r="N47"/>
  <c r="N54"/>
  <c r="N55"/>
  <c r="N56"/>
  <c r="N57"/>
  <c r="N58"/>
  <c r="N59"/>
  <c r="N10" i="114"/>
  <c r="N11"/>
  <c r="N14"/>
  <c r="N15"/>
  <c r="N16"/>
  <c r="N17"/>
  <c r="N18"/>
  <c r="N10" i="141"/>
  <c r="N10" i="51"/>
  <c r="N11"/>
  <c r="N12"/>
  <c r="N17"/>
  <c r="N26"/>
  <c r="N27"/>
  <c r="N28"/>
  <c r="N7" i="88"/>
  <c r="N16"/>
  <c r="N17"/>
  <c r="N26"/>
  <c r="N27"/>
  <c r="N28"/>
  <c r="N7" i="89"/>
  <c r="N16"/>
  <c r="N27"/>
  <c r="N10" i="90"/>
  <c r="N11"/>
  <c r="N12"/>
  <c r="N17"/>
  <c r="N18"/>
  <c r="N26"/>
  <c r="N27"/>
  <c r="N28"/>
  <c r="N7" i="91"/>
  <c r="N16"/>
  <c r="N17"/>
  <c r="N18"/>
  <c r="N26"/>
  <c r="N27"/>
  <c r="N28"/>
  <c r="N7" i="92"/>
  <c r="N16"/>
  <c r="N27"/>
  <c r="N10" i="123"/>
  <c r="N11"/>
  <c r="N12"/>
  <c r="N17"/>
  <c r="N18"/>
  <c r="N26"/>
  <c r="N27"/>
  <c r="N28"/>
  <c r="N7" i="126"/>
  <c r="N16"/>
  <c r="N17"/>
  <c r="N18"/>
  <c r="N26"/>
  <c r="N27"/>
  <c r="N28"/>
  <c r="N7" i="127"/>
  <c r="N16"/>
  <c r="N27"/>
  <c r="L5" i="167"/>
  <c r="M5"/>
  <c r="K12"/>
  <c r="L12"/>
  <c r="M12" s="1"/>
  <c r="I5" i="168"/>
  <c r="J5" s="1"/>
  <c r="J12"/>
  <c r="K12"/>
  <c r="L12"/>
  <c r="M12"/>
  <c r="I17"/>
  <c r="J17" s="1"/>
  <c r="K17" s="1"/>
  <c r="M12" i="169"/>
  <c r="M7" i="127"/>
  <c r="M16"/>
  <c r="O16"/>
  <c r="O17" i="51"/>
  <c r="M10"/>
  <c r="M11"/>
  <c r="M17"/>
  <c r="O16" i="88"/>
  <c r="O17"/>
  <c r="M7"/>
  <c r="M16"/>
  <c r="M17"/>
  <c r="O16" i="89"/>
  <c r="M7"/>
  <c r="M16"/>
  <c r="O17" i="90"/>
  <c r="O18"/>
  <c r="M10"/>
  <c r="M11"/>
  <c r="M17"/>
  <c r="M18"/>
  <c r="O16" i="91"/>
  <c r="O17"/>
  <c r="O18"/>
  <c r="M7"/>
  <c r="M16"/>
  <c r="M17"/>
  <c r="M18"/>
  <c r="M7" i="92"/>
  <c r="M16"/>
  <c r="O16"/>
  <c r="O17" i="123"/>
  <c r="O18"/>
  <c r="M10"/>
  <c r="M11"/>
  <c r="M17"/>
  <c r="M18"/>
  <c r="O16" i="126"/>
  <c r="O17"/>
  <c r="O18"/>
  <c r="M7"/>
  <c r="M16"/>
  <c r="M17"/>
  <c r="M18"/>
  <c r="P28" i="123"/>
  <c r="P7" i="126"/>
  <c r="P28"/>
  <c r="P7" i="104"/>
  <c r="O26" i="127"/>
  <c r="O27"/>
  <c r="O28"/>
  <c r="O26" i="126"/>
  <c r="O27"/>
  <c r="O28"/>
  <c r="O26" i="123"/>
  <c r="O27"/>
  <c r="O28"/>
  <c r="O31"/>
  <c r="R31"/>
  <c r="O26" i="92"/>
  <c r="O27"/>
  <c r="O28"/>
  <c r="O26" i="91"/>
  <c r="O27"/>
  <c r="O28"/>
  <c r="O26" i="90"/>
  <c r="O27"/>
  <c r="O28"/>
  <c r="O31"/>
  <c r="R31"/>
  <c r="O26" i="89"/>
  <c r="O27"/>
  <c r="O28"/>
  <c r="O26" i="88"/>
  <c r="O27"/>
  <c r="O28"/>
  <c r="O26" i="51"/>
  <c r="O27"/>
  <c r="O28"/>
  <c r="R62" i="141"/>
  <c r="R62" i="140"/>
  <c r="R62" i="114"/>
  <c r="R62" i="139"/>
  <c r="R62" i="138"/>
  <c r="R62" i="111"/>
  <c r="R66" i="107"/>
  <c r="R66" i="106"/>
  <c r="R66" i="105"/>
  <c r="R66" i="104"/>
  <c r="R66" i="103"/>
  <c r="O58" i="10"/>
  <c r="O59"/>
  <c r="O60"/>
  <c r="O61"/>
  <c r="O62"/>
  <c r="O63"/>
  <c r="R66"/>
  <c r="F40" i="110"/>
  <c r="O40"/>
  <c r="O37"/>
  <c r="O31"/>
  <c r="O66"/>
  <c r="O66" i="109"/>
  <c r="M66"/>
  <c r="O66" i="108"/>
  <c r="M66"/>
  <c r="P6" i="139"/>
  <c r="P7"/>
  <c r="P9"/>
  <c r="P10"/>
  <c r="P11"/>
  <c r="P12"/>
  <c r="P13"/>
  <c r="P14"/>
  <c r="P15"/>
  <c r="P16"/>
  <c r="P17"/>
  <c r="P18"/>
  <c r="P20"/>
  <c r="P21"/>
  <c r="P23"/>
  <c r="P25"/>
  <c r="P26"/>
  <c r="P28"/>
  <c r="P29"/>
  <c r="P34"/>
  <c r="P35"/>
  <c r="P37"/>
  <c r="P38"/>
  <c r="P40"/>
  <c r="P41"/>
  <c r="P45"/>
  <c r="P46"/>
  <c r="P47"/>
  <c r="P26" i="126"/>
  <c r="P27"/>
  <c r="P31"/>
  <c r="P27" i="123"/>
  <c r="P26"/>
  <c r="P31"/>
  <c r="P31" i="91"/>
  <c r="P31" i="90"/>
  <c r="M7" i="171"/>
  <c r="O23"/>
  <c r="M44"/>
  <c r="O44"/>
  <c r="M45"/>
  <c r="O45"/>
  <c r="M47"/>
  <c r="O47"/>
  <c r="O23" i="170"/>
  <c r="M47"/>
  <c r="O47"/>
  <c r="O55"/>
  <c r="M56"/>
  <c r="O56"/>
  <c r="O57"/>
  <c r="O58"/>
  <c r="M60"/>
  <c r="O60"/>
  <c r="O61"/>
  <c r="M7" i="139"/>
  <c r="O23"/>
  <c r="M45"/>
  <c r="O45"/>
  <c r="M46"/>
  <c r="O46"/>
  <c r="M47"/>
  <c r="O47"/>
  <c r="M48"/>
  <c r="O54"/>
  <c r="M55"/>
  <c r="O55"/>
  <c r="O56"/>
  <c r="O57"/>
  <c r="M58"/>
  <c r="O58"/>
  <c r="O59"/>
  <c r="M62"/>
  <c r="O62"/>
  <c r="P62"/>
  <c r="M63"/>
  <c r="P63"/>
  <c r="M7" i="138"/>
  <c r="O23"/>
  <c r="M45"/>
  <c r="O45"/>
  <c r="M46"/>
  <c r="O46"/>
  <c r="M47"/>
  <c r="O47"/>
  <c r="M48"/>
  <c r="M63" s="1"/>
  <c r="O54"/>
  <c r="M55"/>
  <c r="O55"/>
  <c r="O56"/>
  <c r="O57"/>
  <c r="M58"/>
  <c r="O58"/>
  <c r="O59"/>
  <c r="M62"/>
  <c r="O62"/>
  <c r="P63" i="111"/>
  <c r="O23"/>
  <c r="O45"/>
  <c r="O46"/>
  <c r="O47"/>
  <c r="O54"/>
  <c r="O55"/>
  <c r="O56"/>
  <c r="O57"/>
  <c r="O58"/>
  <c r="O59"/>
  <c r="O62"/>
  <c r="M7"/>
  <c r="M45"/>
  <c r="M46"/>
  <c r="M47"/>
  <c r="M48"/>
  <c r="M55"/>
  <c r="M58"/>
  <c r="M62"/>
  <c r="M63"/>
  <c r="B30" i="136"/>
  <c r="C29"/>
  <c r="C28"/>
  <c r="B24"/>
  <c r="O28" i="110"/>
  <c r="O47"/>
  <c r="O59"/>
  <c r="O60"/>
  <c r="O61"/>
  <c r="O62"/>
  <c r="O64"/>
  <c r="O65"/>
  <c r="M7"/>
  <c r="M47"/>
  <c r="M60"/>
  <c r="M64"/>
  <c r="O47" i="109"/>
  <c r="O48"/>
  <c r="O49"/>
  <c r="O59"/>
  <c r="O60"/>
  <c r="O61"/>
  <c r="O62"/>
  <c r="O65"/>
  <c r="M7"/>
  <c r="M47"/>
  <c r="M48"/>
  <c r="M49"/>
  <c r="M60"/>
  <c r="O26" i="108"/>
  <c r="O48"/>
  <c r="O49"/>
  <c r="O51"/>
  <c r="O59"/>
  <c r="O60"/>
  <c r="O61"/>
  <c r="O62"/>
  <c r="O65"/>
  <c r="M10"/>
  <c r="M11"/>
  <c r="M48"/>
  <c r="M49"/>
  <c r="M51"/>
  <c r="M60"/>
  <c r="O48" i="107"/>
  <c r="O58"/>
  <c r="O59"/>
  <c r="O60"/>
  <c r="O61"/>
  <c r="O62"/>
  <c r="O63"/>
  <c r="M7"/>
  <c r="M48"/>
  <c r="M59"/>
  <c r="M62"/>
  <c r="O48" i="106"/>
  <c r="O49"/>
  <c r="O50"/>
  <c r="O51"/>
  <c r="O58"/>
  <c r="O59"/>
  <c r="O60"/>
  <c r="O61"/>
  <c r="O62"/>
  <c r="O63"/>
  <c r="M7"/>
  <c r="M48"/>
  <c r="M49"/>
  <c r="M50"/>
  <c r="M51"/>
  <c r="M59"/>
  <c r="M62"/>
  <c r="M66" s="1"/>
  <c r="O26" i="105"/>
  <c r="O49"/>
  <c r="O50"/>
  <c r="O51"/>
  <c r="O58"/>
  <c r="O59"/>
  <c r="O60"/>
  <c r="O61"/>
  <c r="O62"/>
  <c r="O63"/>
  <c r="O66"/>
  <c r="M10"/>
  <c r="M11"/>
  <c r="M49"/>
  <c r="M50"/>
  <c r="M51"/>
  <c r="M59"/>
  <c r="M62"/>
  <c r="M66"/>
  <c r="P66" i="104"/>
  <c r="M11" i="10"/>
  <c r="M10"/>
  <c r="M48" i="104"/>
  <c r="O48"/>
  <c r="M28" i="127"/>
  <c r="M26"/>
  <c r="M27"/>
  <c r="M28" i="126"/>
  <c r="M26"/>
  <c r="M27"/>
  <c r="M31"/>
  <c r="M28" i="123"/>
  <c r="M26"/>
  <c r="M27"/>
  <c r="M31"/>
  <c r="O23" i="172"/>
  <c r="M47"/>
  <c r="O47"/>
  <c r="M7" i="104"/>
  <c r="O58"/>
  <c r="M59"/>
  <c r="O59"/>
  <c r="O60"/>
  <c r="O61"/>
  <c r="M62"/>
  <c r="O62"/>
  <c r="O63"/>
  <c r="M7" i="103"/>
  <c r="M48"/>
  <c r="O48"/>
  <c r="M49"/>
  <c r="O49"/>
  <c r="M50"/>
  <c r="O50"/>
  <c r="M51"/>
  <c r="O51"/>
  <c r="O58"/>
  <c r="M59"/>
  <c r="O59"/>
  <c r="O60"/>
  <c r="O61"/>
  <c r="M62"/>
  <c r="O62"/>
  <c r="O63"/>
  <c r="M66"/>
  <c r="M28" i="90"/>
  <c r="M26"/>
  <c r="M27"/>
  <c r="M31"/>
  <c r="M28" i="91"/>
  <c r="M26"/>
  <c r="M27"/>
  <c r="M31"/>
  <c r="M26" i="92"/>
  <c r="M27"/>
  <c r="M28"/>
  <c r="M26" i="89"/>
  <c r="M27"/>
  <c r="M28"/>
  <c r="M28" i="88"/>
  <c r="M26"/>
  <c r="M27"/>
  <c r="M31"/>
  <c r="M28" i="51"/>
  <c r="M26"/>
  <c r="M27"/>
  <c r="M31"/>
  <c r="O26" i="10"/>
  <c r="O49"/>
  <c r="O50"/>
  <c r="O51"/>
  <c r="M49"/>
  <c r="M50"/>
  <c r="M51"/>
  <c r="M59"/>
  <c r="M62"/>
  <c r="M66" s="1"/>
  <c r="F5" i="3"/>
  <c r="E6"/>
  <c r="F6"/>
  <c r="E7"/>
  <c r="F7"/>
  <c r="E8"/>
  <c r="J5"/>
  <c r="J6"/>
  <c r="J7"/>
  <c r="J8"/>
  <c r="J9"/>
  <c r="I8"/>
  <c r="I9" s="1"/>
  <c r="I6"/>
  <c r="I7"/>
  <c r="K5"/>
  <c r="K8" s="1"/>
  <c r="K9" s="1"/>
  <c r="H7"/>
  <c r="H6"/>
  <c r="F8"/>
  <c r="K6"/>
  <c r="K7"/>
  <c r="P32" i="126"/>
  <c r="P32" i="91"/>
  <c r="N24" i="107" l="1"/>
  <c r="I26" i="140"/>
  <c r="N32" i="170"/>
  <c r="K47" i="110"/>
  <c r="N47"/>
  <c r="L47"/>
  <c r="K23"/>
  <c r="N23" s="1"/>
  <c r="L23"/>
  <c r="K20"/>
  <c r="N20" s="1"/>
  <c r="L20"/>
  <c r="K18"/>
  <c r="L18"/>
  <c r="K13"/>
  <c r="L13"/>
  <c r="L24"/>
  <c r="K24"/>
  <c r="N24" s="1"/>
  <c r="L21"/>
  <c r="K21"/>
  <c r="N21" s="1"/>
  <c r="L19"/>
  <c r="K19"/>
  <c r="P27" i="158"/>
  <c r="D14" i="173"/>
  <c r="J9" i="166"/>
  <c r="J9" i="165"/>
  <c r="M16" i="157"/>
  <c r="M27" s="1"/>
  <c r="O32" i="141"/>
  <c r="H15" i="169"/>
  <c r="H15" i="168"/>
  <c r="K13" i="103"/>
  <c r="N13" s="1"/>
  <c r="J22" i="104"/>
  <c r="S47" i="172"/>
  <c r="N39" i="171"/>
  <c r="K47"/>
  <c r="J63"/>
  <c r="K21" i="106"/>
  <c r="L21"/>
  <c r="N21" s="1"/>
  <c r="K19"/>
  <c r="L19"/>
  <c r="N19"/>
  <c r="K17"/>
  <c r="L17"/>
  <c r="N17" s="1"/>
  <c r="K13"/>
  <c r="L13"/>
  <c r="N13"/>
  <c r="L20"/>
  <c r="N20"/>
  <c r="K20"/>
  <c r="L18"/>
  <c r="K18"/>
  <c r="N18" s="1"/>
  <c r="L14"/>
  <c r="N14"/>
  <c r="K14"/>
  <c r="P52"/>
  <c r="P67" s="1"/>
  <c r="K19" i="107"/>
  <c r="L19"/>
  <c r="K14"/>
  <c r="L14"/>
  <c r="K18"/>
  <c r="L18"/>
  <c r="K48"/>
  <c r="N48" s="1"/>
  <c r="L48"/>
  <c r="L13"/>
  <c r="K13"/>
  <c r="N13" s="1"/>
  <c r="L51" i="103"/>
  <c r="K51"/>
  <c r="K49"/>
  <c r="L49"/>
  <c r="N49" s="1"/>
  <c r="K50"/>
  <c r="N50" s="1"/>
  <c r="L50"/>
  <c r="K48"/>
  <c r="N48" s="1"/>
  <c r="L48"/>
  <c r="O12"/>
  <c r="P52"/>
  <c r="P67" s="1"/>
  <c r="S47" i="170"/>
  <c r="J16" i="141"/>
  <c r="K16" s="1"/>
  <c r="J29" i="140"/>
  <c r="E22" i="107"/>
  <c r="O22" s="1"/>
  <c r="E19" i="139"/>
  <c r="E19" i="138"/>
  <c r="E19" i="111"/>
  <c r="J38" i="171"/>
  <c r="N34" i="103"/>
  <c r="N34" i="104"/>
  <c r="H72" i="49"/>
  <c r="H80"/>
  <c r="H78"/>
  <c r="H76"/>
  <c r="H74"/>
  <c r="H71"/>
  <c r="H81"/>
  <c r="H70"/>
  <c r="H79"/>
  <c r="H77"/>
  <c r="H75"/>
  <c r="H73"/>
  <c r="N34" i="110"/>
  <c r="L34" i="109"/>
  <c r="N35" i="110"/>
  <c r="K12" i="172"/>
  <c r="L12"/>
  <c r="N12" s="1"/>
  <c r="L10"/>
  <c r="K10"/>
  <c r="N10" s="1"/>
  <c r="J13"/>
  <c r="N32"/>
  <c r="K16" i="171"/>
  <c r="L16"/>
  <c r="K9"/>
  <c r="N9" s="1"/>
  <c r="L9"/>
  <c r="I56" i="172"/>
  <c r="M56" i="171"/>
  <c r="O56"/>
  <c r="I58" i="172"/>
  <c r="O58" s="1"/>
  <c r="O58" i="171"/>
  <c r="L60" i="170"/>
  <c r="N60" s="1"/>
  <c r="K60"/>
  <c r="I55" i="172"/>
  <c r="O55" s="1"/>
  <c r="O55" i="171"/>
  <c r="J57"/>
  <c r="K57" s="1"/>
  <c r="O57"/>
  <c r="I57" i="172"/>
  <c r="O57" s="1"/>
  <c r="I60"/>
  <c r="M60" i="171"/>
  <c r="O60"/>
  <c r="J55"/>
  <c r="O61"/>
  <c r="O61" i="172"/>
  <c r="J61"/>
  <c r="K61" s="1"/>
  <c r="J56" i="171"/>
  <c r="J59" i="172"/>
  <c r="K29" i="141"/>
  <c r="L29"/>
  <c r="E19"/>
  <c r="K32"/>
  <c r="K10" i="140"/>
  <c r="N10"/>
  <c r="L10"/>
  <c r="L11"/>
  <c r="K11"/>
  <c r="N11"/>
  <c r="L16"/>
  <c r="K16"/>
  <c r="L32"/>
  <c r="K31" i="141"/>
  <c r="N31" s="1"/>
  <c r="E19" i="140"/>
  <c r="J15" i="141"/>
  <c r="K29" i="114"/>
  <c r="L29"/>
  <c r="N29" s="1"/>
  <c r="L28"/>
  <c r="K28"/>
  <c r="N28" s="1"/>
  <c r="O41" i="140"/>
  <c r="I41" i="141"/>
  <c r="O41" s="1"/>
  <c r="E19" i="114"/>
  <c r="L32" i="110"/>
  <c r="K32"/>
  <c r="N32" s="1"/>
  <c r="K15"/>
  <c r="L15"/>
  <c r="K31"/>
  <c r="L31"/>
  <c r="K7"/>
  <c r="L7"/>
  <c r="E22"/>
  <c r="O22" s="1"/>
  <c r="S53"/>
  <c r="K34" i="109"/>
  <c r="K62" i="106"/>
  <c r="L62"/>
  <c r="N62" s="1"/>
  <c r="K60"/>
  <c r="L60"/>
  <c r="N60" s="1"/>
  <c r="K58"/>
  <c r="L58"/>
  <c r="K7"/>
  <c r="L7"/>
  <c r="N7"/>
  <c r="K63"/>
  <c r="L63"/>
  <c r="N63" s="1"/>
  <c r="K61"/>
  <c r="L61"/>
  <c r="N61" s="1"/>
  <c r="K59"/>
  <c r="L59"/>
  <c r="K24"/>
  <c r="L24"/>
  <c r="N24"/>
  <c r="E22"/>
  <c r="O22" s="1"/>
  <c r="O13"/>
  <c r="K63" i="105"/>
  <c r="L63"/>
  <c r="N63" s="1"/>
  <c r="K61"/>
  <c r="L61"/>
  <c r="N61" s="1"/>
  <c r="K59"/>
  <c r="L59"/>
  <c r="K51"/>
  <c r="L51"/>
  <c r="N51"/>
  <c r="K49"/>
  <c r="L49"/>
  <c r="N49" s="1"/>
  <c r="K62"/>
  <c r="L62"/>
  <c r="N62" s="1"/>
  <c r="K60"/>
  <c r="L60"/>
  <c r="K58"/>
  <c r="L58"/>
  <c r="N58"/>
  <c r="K50"/>
  <c r="L50"/>
  <c r="N50" s="1"/>
  <c r="E22"/>
  <c r="O22" s="1"/>
  <c r="O13"/>
  <c r="L24" i="104"/>
  <c r="K24"/>
  <c r="K23"/>
  <c r="L23"/>
  <c r="L15"/>
  <c r="K15"/>
  <c r="L13"/>
  <c r="K13"/>
  <c r="L7"/>
  <c r="K7"/>
  <c r="N7" s="1"/>
  <c r="E22"/>
  <c r="O22" s="1"/>
  <c r="K60" i="103"/>
  <c r="L60"/>
  <c r="N60"/>
  <c r="K17"/>
  <c r="L17"/>
  <c r="K62"/>
  <c r="L62"/>
  <c r="N62" s="1"/>
  <c r="K58"/>
  <c r="L58"/>
  <c r="K24"/>
  <c r="L24"/>
  <c r="K21"/>
  <c r="N21" s="1"/>
  <c r="L21"/>
  <c r="K19"/>
  <c r="L19"/>
  <c r="K15"/>
  <c r="L15"/>
  <c r="K63"/>
  <c r="L63"/>
  <c r="K61"/>
  <c r="N61" s="1"/>
  <c r="L61"/>
  <c r="K59"/>
  <c r="L59"/>
  <c r="K23"/>
  <c r="L23"/>
  <c r="K20"/>
  <c r="L20"/>
  <c r="N20"/>
  <c r="K18"/>
  <c r="L18"/>
  <c r="N18" s="1"/>
  <c r="K16"/>
  <c r="L16"/>
  <c r="K7"/>
  <c r="L7"/>
  <c r="N7" s="1"/>
  <c r="E22"/>
  <c r="N32" i="141"/>
  <c r="N32" i="140"/>
  <c r="N31"/>
  <c r="N31" i="114"/>
  <c r="N32"/>
  <c r="N35" i="109"/>
  <c r="N35" i="107"/>
  <c r="N34"/>
  <c r="N35" i="106"/>
  <c r="N35" i="104"/>
  <c r="N35" i="103"/>
  <c r="D4" i="173"/>
  <c r="K63" i="10"/>
  <c r="L63"/>
  <c r="N63" s="1"/>
  <c r="K61"/>
  <c r="L61"/>
  <c r="N61"/>
  <c r="K59"/>
  <c r="L59"/>
  <c r="N59" s="1"/>
  <c r="K50"/>
  <c r="L50"/>
  <c r="N50"/>
  <c r="K62"/>
  <c r="N62" s="1"/>
  <c r="L62"/>
  <c r="K60"/>
  <c r="L60"/>
  <c r="N60" s="1"/>
  <c r="K58"/>
  <c r="N58" s="1"/>
  <c r="L58"/>
  <c r="K51"/>
  <c r="L51"/>
  <c r="N51"/>
  <c r="K49"/>
  <c r="L49"/>
  <c r="N49" s="1"/>
  <c r="E22"/>
  <c r="O22" s="1"/>
  <c r="S48" i="140"/>
  <c r="S52" i="106"/>
  <c r="S52" i="103"/>
  <c r="M66" i="110"/>
  <c r="M69" s="1"/>
  <c r="J65"/>
  <c r="J63"/>
  <c r="M31" i="127"/>
  <c r="J43" i="110"/>
  <c r="I18" i="141"/>
  <c r="O20" i="114"/>
  <c r="B6" i="173"/>
  <c r="B11" i="150"/>
  <c r="B8"/>
  <c r="B12"/>
  <c r="B6" i="174"/>
  <c r="J26" i="49"/>
  <c r="L5" i="169"/>
  <c r="K5"/>
  <c r="M5" s="1"/>
  <c r="L5" i="168"/>
  <c r="K5"/>
  <c r="M5" s="1"/>
  <c r="K22" i="103"/>
  <c r="L22"/>
  <c r="P52" i="110"/>
  <c r="O52"/>
  <c r="M52"/>
  <c r="S47" i="171"/>
  <c r="I59" i="114"/>
  <c r="O59" s="1"/>
  <c r="I58"/>
  <c r="I57"/>
  <c r="O57" s="1"/>
  <c r="I56"/>
  <c r="O56" s="1"/>
  <c r="I55"/>
  <c r="J55" s="1"/>
  <c r="I54"/>
  <c r="H12" i="167"/>
  <c r="H10"/>
  <c r="M22"/>
  <c r="I23" i="140"/>
  <c r="O23" s="1"/>
  <c r="I23" i="141"/>
  <c r="O23" s="1"/>
  <c r="O23" i="114"/>
  <c r="I15" i="163"/>
  <c r="I15" i="162"/>
  <c r="J15" s="1"/>
  <c r="I15" i="159"/>
  <c r="J15" s="1"/>
  <c r="I14"/>
  <c r="J14" s="1"/>
  <c r="I13"/>
  <c r="P13" s="1"/>
  <c r="I7"/>
  <c r="J7" s="1"/>
  <c r="I7" i="166"/>
  <c r="I24" s="1"/>
  <c r="I7" i="165"/>
  <c r="I24" s="1"/>
  <c r="I7" i="164"/>
  <c r="O7" s="1"/>
  <c r="O23" i="159"/>
  <c r="M23"/>
  <c r="B4" i="150"/>
  <c r="B3"/>
  <c r="J58" i="114"/>
  <c r="J56"/>
  <c r="J54"/>
  <c r="I21" i="141"/>
  <c r="O21" s="1"/>
  <c r="D15" i="150"/>
  <c r="D11" s="1"/>
  <c r="J52" i="110"/>
  <c r="O22" i="103"/>
  <c r="I10" i="110"/>
  <c r="J10" s="1"/>
  <c r="J23" i="159"/>
  <c r="K23" s="1"/>
  <c r="I22"/>
  <c r="J22" s="1"/>
  <c r="J7" i="165"/>
  <c r="K7" s="1"/>
  <c r="L19" i="126"/>
  <c r="K19"/>
  <c r="N19" s="1"/>
  <c r="L19" i="123"/>
  <c r="K19"/>
  <c r="N19" s="1"/>
  <c r="L19" i="91"/>
  <c r="K19"/>
  <c r="N19" s="1"/>
  <c r="L19" i="90"/>
  <c r="K19"/>
  <c r="N19" s="1"/>
  <c r="L19" i="88"/>
  <c r="K19"/>
  <c r="N19" s="1"/>
  <c r="L19" i="51"/>
  <c r="K19"/>
  <c r="N19" s="1"/>
  <c r="O19" i="139"/>
  <c r="I13" i="166"/>
  <c r="J9" i="164"/>
  <c r="L9" s="1"/>
  <c r="J23"/>
  <c r="L23" s="1"/>
  <c r="L9" i="166"/>
  <c r="K9"/>
  <c r="L9" i="165"/>
  <c r="K9"/>
  <c r="O23" i="164"/>
  <c r="M23"/>
  <c r="O9"/>
  <c r="I22"/>
  <c r="I24"/>
  <c r="O24" s="1"/>
  <c r="M7"/>
  <c r="J15" i="163"/>
  <c r="J16" s="1"/>
  <c r="R16" i="162"/>
  <c r="K9" i="163"/>
  <c r="N9" s="1"/>
  <c r="L9"/>
  <c r="K13"/>
  <c r="N13" s="1"/>
  <c r="L13"/>
  <c r="K14"/>
  <c r="N14"/>
  <c r="L14"/>
  <c r="K7"/>
  <c r="K22"/>
  <c r="K23"/>
  <c r="K24"/>
  <c r="N24"/>
  <c r="J26"/>
  <c r="L7"/>
  <c r="L22"/>
  <c r="L23"/>
  <c r="O26"/>
  <c r="R26" s="1"/>
  <c r="L7" i="162"/>
  <c r="K7"/>
  <c r="L22"/>
  <c r="J26"/>
  <c r="K22"/>
  <c r="L23"/>
  <c r="K23"/>
  <c r="K9"/>
  <c r="L9"/>
  <c r="K13"/>
  <c r="N13"/>
  <c r="L13"/>
  <c r="K14"/>
  <c r="N14" s="1"/>
  <c r="L14"/>
  <c r="K24"/>
  <c r="N24"/>
  <c r="O26"/>
  <c r="R26" s="1"/>
  <c r="L23" i="159"/>
  <c r="K9"/>
  <c r="L9"/>
  <c r="M16" i="158"/>
  <c r="J16"/>
  <c r="L7"/>
  <c r="K7"/>
  <c r="M27"/>
  <c r="K9"/>
  <c r="L9"/>
  <c r="K13"/>
  <c r="N13" s="1"/>
  <c r="L13"/>
  <c r="K14"/>
  <c r="L14"/>
  <c r="K15"/>
  <c r="N15"/>
  <c r="L15"/>
  <c r="O16"/>
  <c r="K22"/>
  <c r="K23"/>
  <c r="N23" s="1"/>
  <c r="K24"/>
  <c r="N24"/>
  <c r="J26"/>
  <c r="L22"/>
  <c r="L26" s="1"/>
  <c r="L23"/>
  <c r="O26"/>
  <c r="R26" s="1"/>
  <c r="J16" i="157"/>
  <c r="K9"/>
  <c r="N9" s="1"/>
  <c r="L9"/>
  <c r="K13"/>
  <c r="N13" s="1"/>
  <c r="L13"/>
  <c r="K14"/>
  <c r="N14" s="1"/>
  <c r="L14"/>
  <c r="K15"/>
  <c r="L15"/>
  <c r="K7"/>
  <c r="O16"/>
  <c r="K22"/>
  <c r="K23"/>
  <c r="K24"/>
  <c r="N24"/>
  <c r="J26"/>
  <c r="L7"/>
  <c r="L16" s="1"/>
  <c r="L22"/>
  <c r="L23"/>
  <c r="O26"/>
  <c r="R26" s="1"/>
  <c r="R16" i="156"/>
  <c r="C6" i="173" s="1"/>
  <c r="O16" i="156"/>
  <c r="L22"/>
  <c r="J26"/>
  <c r="K22"/>
  <c r="N22" s="1"/>
  <c r="L23"/>
  <c r="K23"/>
  <c r="N23" s="1"/>
  <c r="J16"/>
  <c r="J27" s="1"/>
  <c r="K7"/>
  <c r="L7"/>
  <c r="K13"/>
  <c r="L13"/>
  <c r="K14"/>
  <c r="L14"/>
  <c r="K15"/>
  <c r="L15"/>
  <c r="K9"/>
  <c r="N9" s="1"/>
  <c r="P13"/>
  <c r="P16" s="1"/>
  <c r="P27" s="1"/>
  <c r="K24"/>
  <c r="N24" s="1"/>
  <c r="M7"/>
  <c r="M13"/>
  <c r="O26"/>
  <c r="R26" s="1"/>
  <c r="M31" i="92"/>
  <c r="M31" i="89"/>
  <c r="L28"/>
  <c r="N28" s="1"/>
  <c r="L26"/>
  <c r="N26" s="1"/>
  <c r="J29" i="51"/>
  <c r="K32" i="109"/>
  <c r="L32"/>
  <c r="N32"/>
  <c r="L7"/>
  <c r="K7"/>
  <c r="S53"/>
  <c r="K66"/>
  <c r="L66"/>
  <c r="K62"/>
  <c r="L62"/>
  <c r="K60"/>
  <c r="L60"/>
  <c r="K49"/>
  <c r="L49"/>
  <c r="N49" s="1"/>
  <c r="K47"/>
  <c r="L47"/>
  <c r="K23"/>
  <c r="L23"/>
  <c r="N23" s="1"/>
  <c r="K20"/>
  <c r="L20"/>
  <c r="K18"/>
  <c r="L18"/>
  <c r="L15"/>
  <c r="K15"/>
  <c r="K65"/>
  <c r="L65"/>
  <c r="N65"/>
  <c r="K61"/>
  <c r="L61"/>
  <c r="N61" s="1"/>
  <c r="K59"/>
  <c r="L59"/>
  <c r="N59" s="1"/>
  <c r="K48"/>
  <c r="L48"/>
  <c r="K24"/>
  <c r="L24"/>
  <c r="K21"/>
  <c r="L21"/>
  <c r="K19"/>
  <c r="L19"/>
  <c r="K17"/>
  <c r="L17"/>
  <c r="L31"/>
  <c r="N31" s="1"/>
  <c r="J43"/>
  <c r="K43" s="1"/>
  <c r="J22"/>
  <c r="K65" i="108"/>
  <c r="L65"/>
  <c r="N65" s="1"/>
  <c r="K61"/>
  <c r="L61"/>
  <c r="N61" s="1"/>
  <c r="K59"/>
  <c r="L59"/>
  <c r="L51"/>
  <c r="K51"/>
  <c r="N51"/>
  <c r="L48"/>
  <c r="K48"/>
  <c r="N48" s="1"/>
  <c r="K66"/>
  <c r="L66"/>
  <c r="N66" s="1"/>
  <c r="K62"/>
  <c r="L62"/>
  <c r="K60"/>
  <c r="L60"/>
  <c r="N60"/>
  <c r="K49"/>
  <c r="N49"/>
  <c r="L49"/>
  <c r="K40" i="172"/>
  <c r="N40" s="1"/>
  <c r="L40"/>
  <c r="L40" i="171"/>
  <c r="K40"/>
  <c r="N40" s="1"/>
  <c r="L57"/>
  <c r="N57" s="1"/>
  <c r="J62"/>
  <c r="O62"/>
  <c r="M62"/>
  <c r="P62"/>
  <c r="K62" i="170"/>
  <c r="N62" s="1"/>
  <c r="L62"/>
  <c r="J60" i="171"/>
  <c r="K60" s="1"/>
  <c r="P62" i="170"/>
  <c r="J17" i="171"/>
  <c r="K17" s="1"/>
  <c r="M62" i="170"/>
  <c r="J58" i="171"/>
  <c r="L58" s="1"/>
  <c r="N47"/>
  <c r="K58"/>
  <c r="L29"/>
  <c r="K29"/>
  <c r="N29" s="1"/>
  <c r="L26"/>
  <c r="K26"/>
  <c r="L23"/>
  <c r="K23"/>
  <c r="N23"/>
  <c r="L20"/>
  <c r="K20"/>
  <c r="N20" s="1"/>
  <c r="L12"/>
  <c r="K12"/>
  <c r="N12" s="1"/>
  <c r="L17"/>
  <c r="L60"/>
  <c r="K18" i="172"/>
  <c r="L18"/>
  <c r="K28" i="171"/>
  <c r="N28" s="1"/>
  <c r="L28"/>
  <c r="K25"/>
  <c r="L25"/>
  <c r="K21"/>
  <c r="N21"/>
  <c r="L21"/>
  <c r="K13"/>
  <c r="L13"/>
  <c r="N13"/>
  <c r="K11"/>
  <c r="L11"/>
  <c r="N11" s="1"/>
  <c r="K15"/>
  <c r="L15"/>
  <c r="L17" i="168"/>
  <c r="M17" s="1"/>
  <c r="I35" i="171"/>
  <c r="O35" s="1"/>
  <c r="E19"/>
  <c r="O19" s="1"/>
  <c r="R47" s="1"/>
  <c r="K16" i="172"/>
  <c r="L16"/>
  <c r="K13"/>
  <c r="L13"/>
  <c r="K9"/>
  <c r="N9" s="1"/>
  <c r="L9"/>
  <c r="K11"/>
  <c r="N11" s="1"/>
  <c r="L11"/>
  <c r="K17" i="169"/>
  <c r="M17" s="1"/>
  <c r="E19" i="172"/>
  <c r="O19" s="1"/>
  <c r="R47" s="1"/>
  <c r="J17"/>
  <c r="K17" s="1"/>
  <c r="I38"/>
  <c r="O38" s="1"/>
  <c r="L58" i="170"/>
  <c r="K58"/>
  <c r="L46"/>
  <c r="K46"/>
  <c r="N46" s="1"/>
  <c r="L29"/>
  <c r="K29"/>
  <c r="N29" s="1"/>
  <c r="L26"/>
  <c r="N26"/>
  <c r="K26"/>
  <c r="K17" i="167"/>
  <c r="L17"/>
  <c r="K57" i="170"/>
  <c r="L57"/>
  <c r="K39" i="172"/>
  <c r="L39"/>
  <c r="K15"/>
  <c r="L15"/>
  <c r="K14"/>
  <c r="L14"/>
  <c r="K47" i="170"/>
  <c r="L47"/>
  <c r="K39"/>
  <c r="N39" s="1"/>
  <c r="L39"/>
  <c r="K28"/>
  <c r="L28"/>
  <c r="L40"/>
  <c r="K40"/>
  <c r="E19"/>
  <c r="O19" s="1"/>
  <c r="J47" i="172"/>
  <c r="K28" i="141"/>
  <c r="N28" s="1"/>
  <c r="L28"/>
  <c r="K15"/>
  <c r="L15"/>
  <c r="K21" i="168"/>
  <c r="L21"/>
  <c r="L28" i="140"/>
  <c r="K28"/>
  <c r="N28"/>
  <c r="L29"/>
  <c r="K29"/>
  <c r="N29" s="1"/>
  <c r="L15"/>
  <c r="K15"/>
  <c r="L19" i="168"/>
  <c r="K19"/>
  <c r="K21" i="140"/>
  <c r="L21"/>
  <c r="I14" i="141"/>
  <c r="J14" s="1"/>
  <c r="K19" i="167"/>
  <c r="L19"/>
  <c r="L21"/>
  <c r="K21"/>
  <c r="K21" i="114"/>
  <c r="L21"/>
  <c r="N21" s="1"/>
  <c r="O19"/>
  <c r="O69" i="108"/>
  <c r="L63"/>
  <c r="K63"/>
  <c r="N63" s="1"/>
  <c r="L64"/>
  <c r="K64"/>
  <c r="N64" s="1"/>
  <c r="M63"/>
  <c r="M64"/>
  <c r="E22"/>
  <c r="O22" s="1"/>
  <c r="L63" i="109"/>
  <c r="K63"/>
  <c r="N63" s="1"/>
  <c r="L64"/>
  <c r="K64"/>
  <c r="N64" s="1"/>
  <c r="E22"/>
  <c r="O22" s="1"/>
  <c r="M63"/>
  <c r="M64"/>
  <c r="L48" i="172"/>
  <c r="K48"/>
  <c r="L48" i="171"/>
  <c r="K48"/>
  <c r="L48" i="170"/>
  <c r="K48"/>
  <c r="L43" i="109"/>
  <c r="L29" i="123"/>
  <c r="L31" s="1"/>
  <c r="K29"/>
  <c r="K31" s="1"/>
  <c r="J31"/>
  <c r="L29" i="90"/>
  <c r="L31" s="1"/>
  <c r="K29"/>
  <c r="K31" s="1"/>
  <c r="J31"/>
  <c r="L29" i="51"/>
  <c r="L31" s="1"/>
  <c r="K29"/>
  <c r="K31" s="1"/>
  <c r="J31"/>
  <c r="L63" i="171"/>
  <c r="K63"/>
  <c r="L60" i="139"/>
  <c r="L62" s="1"/>
  <c r="K60"/>
  <c r="K62" s="1"/>
  <c r="J62"/>
  <c r="L60" i="138"/>
  <c r="L62" s="1"/>
  <c r="K60"/>
  <c r="K62" s="1"/>
  <c r="J62"/>
  <c r="L60" i="111"/>
  <c r="L62" s="1"/>
  <c r="K60"/>
  <c r="K62" s="1"/>
  <c r="J62"/>
  <c r="L67" i="108"/>
  <c r="L69" s="1"/>
  <c r="K67"/>
  <c r="J69"/>
  <c r="L64" i="105"/>
  <c r="L66" s="1"/>
  <c r="K64"/>
  <c r="K66" s="1"/>
  <c r="J66"/>
  <c r="L19" i="172"/>
  <c r="K19"/>
  <c r="L19" i="171"/>
  <c r="K19"/>
  <c r="L19" i="170"/>
  <c r="K19"/>
  <c r="L19" i="141"/>
  <c r="K19"/>
  <c r="O19"/>
  <c r="L19" i="140"/>
  <c r="K19"/>
  <c r="O19"/>
  <c r="L19" i="114"/>
  <c r="K19"/>
  <c r="R48" i="139"/>
  <c r="O48"/>
  <c r="O63" s="1"/>
  <c r="L19"/>
  <c r="L48" s="1"/>
  <c r="L63" s="1"/>
  <c r="K19"/>
  <c r="K48" s="1"/>
  <c r="K63" s="1"/>
  <c r="J48"/>
  <c r="L19" i="138"/>
  <c r="K19"/>
  <c r="N19" s="1"/>
  <c r="O19"/>
  <c r="O48" s="1"/>
  <c r="O63" s="1"/>
  <c r="O19" i="111"/>
  <c r="O48" s="1"/>
  <c r="O63" s="1"/>
  <c r="L19"/>
  <c r="K19"/>
  <c r="N19" s="1"/>
  <c r="R48" i="138"/>
  <c r="L48"/>
  <c r="L63" s="1"/>
  <c r="K48"/>
  <c r="K63" s="1"/>
  <c r="J48"/>
  <c r="R48" i="111"/>
  <c r="L48"/>
  <c r="L63" s="1"/>
  <c r="K48"/>
  <c r="K63" s="1"/>
  <c r="J48"/>
  <c r="L22" i="110"/>
  <c r="K22"/>
  <c r="L22" i="109"/>
  <c r="K22"/>
  <c r="L22" i="108"/>
  <c r="K22"/>
  <c r="L22" i="107"/>
  <c r="K22"/>
  <c r="O20"/>
  <c r="O17"/>
  <c r="O12"/>
  <c r="L22" i="106"/>
  <c r="K22"/>
  <c r="L22" i="105"/>
  <c r="K22"/>
  <c r="K22" i="104"/>
  <c r="L22"/>
  <c r="K22" i="10"/>
  <c r="L22"/>
  <c r="N22"/>
  <c r="O66"/>
  <c r="L52" i="110"/>
  <c r="K52"/>
  <c r="L52" i="108"/>
  <c r="K52"/>
  <c r="N52" s="1"/>
  <c r="L43" i="110"/>
  <c r="K43"/>
  <c r="L43" i="108"/>
  <c r="K43"/>
  <c r="N43" s="1"/>
  <c r="D13" i="150"/>
  <c r="I11" i="110"/>
  <c r="H8" i="169" s="1"/>
  <c r="M66" i="107"/>
  <c r="I17" i="141"/>
  <c r="O17" s="1"/>
  <c r="L64" i="10"/>
  <c r="L66" s="1"/>
  <c r="K64"/>
  <c r="K66" s="1"/>
  <c r="J66"/>
  <c r="M66" i="104"/>
  <c r="M65" i="170"/>
  <c r="N13" i="110"/>
  <c r="O42"/>
  <c r="L50" i="108"/>
  <c r="K50"/>
  <c r="M50"/>
  <c r="O50"/>
  <c r="L50" i="109"/>
  <c r="K50"/>
  <c r="M50"/>
  <c r="O50"/>
  <c r="J14" i="110"/>
  <c r="O14"/>
  <c r="J21" i="104"/>
  <c r="O21"/>
  <c r="J20"/>
  <c r="L20" s="1"/>
  <c r="O20"/>
  <c r="J18"/>
  <c r="O18"/>
  <c r="J16"/>
  <c r="O16"/>
  <c r="J12"/>
  <c r="O12"/>
  <c r="J16" i="109"/>
  <c r="O16"/>
  <c r="J12"/>
  <c r="O12"/>
  <c r="J14" i="103"/>
  <c r="I19" i="104"/>
  <c r="I9" i="167"/>
  <c r="J9" s="1"/>
  <c r="H8" i="3"/>
  <c r="H9" s="1"/>
  <c r="N15" i="110"/>
  <c r="N31" i="104"/>
  <c r="N13"/>
  <c r="B4" i="173"/>
  <c r="O31" i="104"/>
  <c r="J55" i="172"/>
  <c r="L55" s="1"/>
  <c r="K13" i="109"/>
  <c r="N13" s="1"/>
  <c r="J16" i="110"/>
  <c r="O16"/>
  <c r="J12"/>
  <c r="O12"/>
  <c r="J14" i="104"/>
  <c r="O14"/>
  <c r="J14" i="109"/>
  <c r="O14"/>
  <c r="J32" i="103"/>
  <c r="O32"/>
  <c r="K31"/>
  <c r="N31" s="1"/>
  <c r="J12"/>
  <c r="I17" i="104"/>
  <c r="D7" i="173"/>
  <c r="O18" i="141"/>
  <c r="O14"/>
  <c r="O12"/>
  <c r="O18" i="140"/>
  <c r="O14"/>
  <c r="O12"/>
  <c r="O13" i="114"/>
  <c r="O9"/>
  <c r="J28" i="127"/>
  <c r="K28" s="1"/>
  <c r="J26" i="92"/>
  <c r="K26" s="1"/>
  <c r="J56" i="172"/>
  <c r="L56" s="1"/>
  <c r="J61" i="171"/>
  <c r="K61" s="1"/>
  <c r="J12" i="141"/>
  <c r="K12" s="1"/>
  <c r="J18"/>
  <c r="L18" s="1"/>
  <c r="J42" i="110"/>
  <c r="L42" s="1"/>
  <c r="J32" i="107"/>
  <c r="K32" s="1"/>
  <c r="J12"/>
  <c r="L12" s="1"/>
  <c r="J20"/>
  <c r="L20" s="1"/>
  <c r="J12" i="91"/>
  <c r="K12" s="1"/>
  <c r="J12" i="140"/>
  <c r="L12" s="1"/>
  <c r="J18"/>
  <c r="K18" s="1"/>
  <c r="J14"/>
  <c r="L14" s="1"/>
  <c r="J31" i="106"/>
  <c r="K31" s="1"/>
  <c r="J23"/>
  <c r="L23" s="1"/>
  <c r="D12" i="173"/>
  <c r="D11"/>
  <c r="J35" i="172"/>
  <c r="K35" s="1"/>
  <c r="J25" i="141"/>
  <c r="K25" s="1"/>
  <c r="J41"/>
  <c r="K41" s="1"/>
  <c r="J38"/>
  <c r="L38" s="1"/>
  <c r="J35"/>
  <c r="L35" s="1"/>
  <c r="J37" i="110"/>
  <c r="L37" s="1"/>
  <c r="J44" i="107"/>
  <c r="J41"/>
  <c r="J38"/>
  <c r="J29"/>
  <c r="J40" i="104"/>
  <c r="J28"/>
  <c r="J40" i="140"/>
  <c r="K40" s="1"/>
  <c r="J34"/>
  <c r="K34" s="1"/>
  <c r="J26"/>
  <c r="K26" s="1"/>
  <c r="J40" i="103"/>
  <c r="L40" s="1"/>
  <c r="J28"/>
  <c r="J38" i="170"/>
  <c r="K38" s="1"/>
  <c r="J25"/>
  <c r="J40" i="114"/>
  <c r="K40" s="1"/>
  <c r="J34"/>
  <c r="J35" i="171"/>
  <c r="K35" s="1"/>
  <c r="L61" i="172"/>
  <c r="K56" i="171"/>
  <c r="L56"/>
  <c r="K55"/>
  <c r="L55"/>
  <c r="K61" i="170"/>
  <c r="L61"/>
  <c r="K59"/>
  <c r="L59"/>
  <c r="K56"/>
  <c r="L56"/>
  <c r="K55"/>
  <c r="L55"/>
  <c r="K58" i="114"/>
  <c r="L58"/>
  <c r="K56"/>
  <c r="L56"/>
  <c r="K54"/>
  <c r="L54"/>
  <c r="K37" i="172"/>
  <c r="L37"/>
  <c r="K34"/>
  <c r="L34"/>
  <c r="L25" i="141"/>
  <c r="K20"/>
  <c r="L20"/>
  <c r="K13"/>
  <c r="L13"/>
  <c r="L12"/>
  <c r="K9"/>
  <c r="L9"/>
  <c r="L41"/>
  <c r="K40"/>
  <c r="L40"/>
  <c r="K37"/>
  <c r="L37"/>
  <c r="K35"/>
  <c r="K34"/>
  <c r="L34"/>
  <c r="K45" i="171"/>
  <c r="L45"/>
  <c r="K44"/>
  <c r="L44"/>
  <c r="K34"/>
  <c r="L34"/>
  <c r="K38"/>
  <c r="L38"/>
  <c r="K37"/>
  <c r="L37"/>
  <c r="K25" i="140"/>
  <c r="L25"/>
  <c r="K20"/>
  <c r="L20"/>
  <c r="K13"/>
  <c r="L13"/>
  <c r="K9"/>
  <c r="L9"/>
  <c r="K41"/>
  <c r="L41"/>
  <c r="L40"/>
  <c r="K38"/>
  <c r="L38"/>
  <c r="K37"/>
  <c r="L37"/>
  <c r="K35"/>
  <c r="L35"/>
  <c r="L26"/>
  <c r="K17"/>
  <c r="L17"/>
  <c r="L38" i="170"/>
  <c r="K37"/>
  <c r="L37"/>
  <c r="K35"/>
  <c r="L35"/>
  <c r="K34"/>
  <c r="L34"/>
  <c r="K25"/>
  <c r="L25"/>
  <c r="K41" i="114"/>
  <c r="L41"/>
  <c r="L40"/>
  <c r="K38"/>
  <c r="L38"/>
  <c r="K37"/>
  <c r="L37"/>
  <c r="K35"/>
  <c r="L35"/>
  <c r="K34"/>
  <c r="L34"/>
  <c r="K26"/>
  <c r="L26"/>
  <c r="K25"/>
  <c r="L25"/>
  <c r="L28" i="127"/>
  <c r="K26"/>
  <c r="L26"/>
  <c r="K28" i="92"/>
  <c r="L28"/>
  <c r="K66" i="110"/>
  <c r="L66"/>
  <c r="K65"/>
  <c r="L65"/>
  <c r="K64"/>
  <c r="L64"/>
  <c r="K63"/>
  <c r="L63"/>
  <c r="K62"/>
  <c r="L62"/>
  <c r="K61"/>
  <c r="L61"/>
  <c r="K60"/>
  <c r="L60"/>
  <c r="K59"/>
  <c r="L59"/>
  <c r="K63" i="107"/>
  <c r="L63"/>
  <c r="K62"/>
  <c r="L62"/>
  <c r="K61"/>
  <c r="L61"/>
  <c r="K60"/>
  <c r="L60"/>
  <c r="K59"/>
  <c r="L59"/>
  <c r="K58"/>
  <c r="L58"/>
  <c r="K63" i="104"/>
  <c r="L63"/>
  <c r="K62"/>
  <c r="L62"/>
  <c r="K61"/>
  <c r="L61"/>
  <c r="K60"/>
  <c r="L60"/>
  <c r="K59"/>
  <c r="L59"/>
  <c r="K58"/>
  <c r="L58"/>
  <c r="K12" i="127"/>
  <c r="L12"/>
  <c r="K12" i="92"/>
  <c r="L12"/>
  <c r="K12" i="89"/>
  <c r="L12"/>
  <c r="K41" i="110"/>
  <c r="L41"/>
  <c r="K40"/>
  <c r="L40"/>
  <c r="K38"/>
  <c r="L38"/>
  <c r="N38" s="1"/>
  <c r="K37"/>
  <c r="K29"/>
  <c r="L29"/>
  <c r="K28"/>
  <c r="L28"/>
  <c r="K44" i="107"/>
  <c r="L44"/>
  <c r="N44" s="1"/>
  <c r="K43"/>
  <c r="L43"/>
  <c r="K41"/>
  <c r="L41"/>
  <c r="K40"/>
  <c r="L40"/>
  <c r="K38"/>
  <c r="L38"/>
  <c r="N38" s="1"/>
  <c r="K37"/>
  <c r="L37"/>
  <c r="L32"/>
  <c r="K31"/>
  <c r="L31"/>
  <c r="K29"/>
  <c r="L29"/>
  <c r="K28"/>
  <c r="L28"/>
  <c r="K23"/>
  <c r="L23"/>
  <c r="K16"/>
  <c r="L16"/>
  <c r="K15"/>
  <c r="L15"/>
  <c r="K21"/>
  <c r="L21"/>
  <c r="K20"/>
  <c r="K17"/>
  <c r="L17"/>
  <c r="K44" i="104"/>
  <c r="L44"/>
  <c r="K43"/>
  <c r="L43"/>
  <c r="K41"/>
  <c r="L41"/>
  <c r="K40"/>
  <c r="L40"/>
  <c r="K38"/>
  <c r="L38"/>
  <c r="K37"/>
  <c r="L37"/>
  <c r="K29"/>
  <c r="L29"/>
  <c r="K28"/>
  <c r="L28"/>
  <c r="K12" i="126"/>
  <c r="L12"/>
  <c r="K12" i="88"/>
  <c r="L12"/>
  <c r="K42" i="109"/>
  <c r="L42"/>
  <c r="K41"/>
  <c r="L41"/>
  <c r="K40"/>
  <c r="L40"/>
  <c r="K38"/>
  <c r="L38"/>
  <c r="K37"/>
  <c r="L37"/>
  <c r="K29"/>
  <c r="L29"/>
  <c r="K28"/>
  <c r="L28"/>
  <c r="K44" i="106"/>
  <c r="L44"/>
  <c r="K43"/>
  <c r="L43"/>
  <c r="K41"/>
  <c r="L41"/>
  <c r="K40"/>
  <c r="L40"/>
  <c r="K38"/>
  <c r="L38"/>
  <c r="K37"/>
  <c r="L37"/>
  <c r="K32"/>
  <c r="L32"/>
  <c r="L31"/>
  <c r="K29"/>
  <c r="L29"/>
  <c r="K28"/>
  <c r="L28"/>
  <c r="K23"/>
  <c r="K16"/>
  <c r="L16"/>
  <c r="K15"/>
  <c r="L15"/>
  <c r="K12"/>
  <c r="L12"/>
  <c r="K44" i="103"/>
  <c r="L44"/>
  <c r="K43"/>
  <c r="L43"/>
  <c r="K41"/>
  <c r="L41"/>
  <c r="K40"/>
  <c r="K38"/>
  <c r="L38"/>
  <c r="K37"/>
  <c r="L37"/>
  <c r="K29"/>
  <c r="L29"/>
  <c r="K28"/>
  <c r="L28"/>
  <c r="I10" i="107"/>
  <c r="J10" s="1"/>
  <c r="K20" i="114"/>
  <c r="L20"/>
  <c r="K13"/>
  <c r="L13"/>
  <c r="K12"/>
  <c r="L12"/>
  <c r="K9"/>
  <c r="L9"/>
  <c r="J11" i="110"/>
  <c r="O26" i="140" l="1"/>
  <c r="I26" i="141"/>
  <c r="N41" i="110"/>
  <c r="K14" i="140"/>
  <c r="L34"/>
  <c r="N15" i="104"/>
  <c r="N24"/>
  <c r="N16" i="171"/>
  <c r="N19" i="107"/>
  <c r="N19" i="110"/>
  <c r="N18"/>
  <c r="N58" i="170"/>
  <c r="N28"/>
  <c r="N15" i="171"/>
  <c r="N37" i="110"/>
  <c r="N7"/>
  <c r="N31"/>
  <c r="I14" i="166"/>
  <c r="I15" i="164"/>
  <c r="O15" s="1"/>
  <c r="L26" i="157"/>
  <c r="N15"/>
  <c r="N23"/>
  <c r="N14" i="156"/>
  <c r="N13"/>
  <c r="N7"/>
  <c r="N16" i="140"/>
  <c r="L16" i="141"/>
  <c r="N16" s="1"/>
  <c r="H12" i="169"/>
  <c r="H9"/>
  <c r="N60" i="105"/>
  <c r="N59"/>
  <c r="N18" i="107"/>
  <c r="N40" i="106"/>
  <c r="K56" i="172"/>
  <c r="K55"/>
  <c r="L61" i="171"/>
  <c r="N59" i="106"/>
  <c r="N58"/>
  <c r="N14" i="107"/>
  <c r="N37"/>
  <c r="N23" i="103"/>
  <c r="N59"/>
  <c r="N63"/>
  <c r="N19"/>
  <c r="N24"/>
  <c r="N58"/>
  <c r="N17"/>
  <c r="N51"/>
  <c r="N29"/>
  <c r="N41"/>
  <c r="N44"/>
  <c r="N37" i="106"/>
  <c r="N38"/>
  <c r="N29" i="107"/>
  <c r="N41"/>
  <c r="N43"/>
  <c r="N40" i="110"/>
  <c r="N35" i="170"/>
  <c r="N25" i="140"/>
  <c r="N40" i="103"/>
  <c r="N29" i="141"/>
  <c r="J7" i="166"/>
  <c r="K7" s="1"/>
  <c r="J13" i="159"/>
  <c r="L13" s="1"/>
  <c r="N16" i="103"/>
  <c r="N15"/>
  <c r="N23" i="104"/>
  <c r="I82" i="49"/>
  <c r="N34" i="109"/>
  <c r="J7" i="164"/>
  <c r="K7" s="1"/>
  <c r="N48" i="172"/>
  <c r="N13"/>
  <c r="L59"/>
  <c r="K59"/>
  <c r="N45" i="171"/>
  <c r="L35" i="172"/>
  <c r="N19" i="171"/>
  <c r="N25"/>
  <c r="N26"/>
  <c r="O46" i="172"/>
  <c r="P46"/>
  <c r="M46"/>
  <c r="J46"/>
  <c r="O59" i="171"/>
  <c r="O65" s="1"/>
  <c r="J59"/>
  <c r="M59"/>
  <c r="M65" s="1"/>
  <c r="O60" i="172"/>
  <c r="J60"/>
  <c r="M60"/>
  <c r="O56"/>
  <c r="M56"/>
  <c r="N38" i="170"/>
  <c r="J58" i="172"/>
  <c r="J57"/>
  <c r="P46" i="171"/>
  <c r="P49" s="1"/>
  <c r="P66" s="1"/>
  <c r="J46"/>
  <c r="J49" s="1"/>
  <c r="O46"/>
  <c r="O49" s="1"/>
  <c r="M46"/>
  <c r="M49" s="1"/>
  <c r="O59" i="172"/>
  <c r="M59"/>
  <c r="L35" i="171"/>
  <c r="N55" i="170"/>
  <c r="N56"/>
  <c r="N59"/>
  <c r="N19"/>
  <c r="N47"/>
  <c r="K38" i="141"/>
  <c r="L14"/>
  <c r="K14"/>
  <c r="N40" i="140"/>
  <c r="N25" i="114"/>
  <c r="N34"/>
  <c r="N35"/>
  <c r="N37"/>
  <c r="N40"/>
  <c r="N41"/>
  <c r="N34" i="140"/>
  <c r="N37"/>
  <c r="N38"/>
  <c r="N15" i="141"/>
  <c r="N29" i="110"/>
  <c r="N29" i="109"/>
  <c r="N38"/>
  <c r="N41"/>
  <c r="N19"/>
  <c r="N24"/>
  <c r="N18"/>
  <c r="N20"/>
  <c r="N62"/>
  <c r="N22" i="108"/>
  <c r="K69"/>
  <c r="N62"/>
  <c r="N59"/>
  <c r="N22" i="105"/>
  <c r="N28" i="104"/>
  <c r="N29"/>
  <c r="N37"/>
  <c r="N38"/>
  <c r="N40"/>
  <c r="N41"/>
  <c r="N43"/>
  <c r="N44"/>
  <c r="N28" i="103"/>
  <c r="N38"/>
  <c r="N37"/>
  <c r="N43"/>
  <c r="N28" i="106"/>
  <c r="N29"/>
  <c r="N44"/>
  <c r="N28" i="109"/>
  <c r="N28" i="107"/>
  <c r="N40"/>
  <c r="N28" i="110"/>
  <c r="N37" i="171"/>
  <c r="N34"/>
  <c r="N35" i="141"/>
  <c r="N41"/>
  <c r="N37" i="172"/>
  <c r="N41" i="106"/>
  <c r="I49" i="110"/>
  <c r="K42"/>
  <c r="I11" i="109"/>
  <c r="I14" i="165"/>
  <c r="J14" s="1"/>
  <c r="L14" s="1"/>
  <c r="L15" i="159"/>
  <c r="K15"/>
  <c r="L7" i="164"/>
  <c r="J23" i="141"/>
  <c r="N22" i="103"/>
  <c r="M15" i="164"/>
  <c r="N32" i="106"/>
  <c r="J17" i="141"/>
  <c r="K23" i="164"/>
  <c r="L15" i="163"/>
  <c r="N9" i="165"/>
  <c r="L7"/>
  <c r="L22" i="159"/>
  <c r="K22"/>
  <c r="K7"/>
  <c r="L7"/>
  <c r="K14"/>
  <c r="L14"/>
  <c r="K12" i="107"/>
  <c r="N60"/>
  <c r="N63" i="110"/>
  <c r="K12" i="140"/>
  <c r="N12" s="1"/>
  <c r="K18" i="141"/>
  <c r="N9"/>
  <c r="K9" i="164"/>
  <c r="N43" i="109"/>
  <c r="N20" i="114"/>
  <c r="N31" i="107"/>
  <c r="N60" i="104"/>
  <c r="N58" i="107"/>
  <c r="N59"/>
  <c r="K20" i="104"/>
  <c r="N20" s="1"/>
  <c r="N9" i="166"/>
  <c r="L7"/>
  <c r="N7" s="1"/>
  <c r="J23" i="140"/>
  <c r="J16" i="162"/>
  <c r="L15"/>
  <c r="K15"/>
  <c r="L55" i="114"/>
  <c r="K55"/>
  <c r="N23" i="162"/>
  <c r="I13" i="165"/>
  <c r="J13" s="1"/>
  <c r="L13" s="1"/>
  <c r="J23" i="114"/>
  <c r="J57"/>
  <c r="J59"/>
  <c r="N12"/>
  <c r="N13"/>
  <c r="N15" i="106"/>
  <c r="N16"/>
  <c r="N31"/>
  <c r="N42" i="109"/>
  <c r="N12" i="126"/>
  <c r="N20" i="107"/>
  <c r="N21"/>
  <c r="N59" i="110"/>
  <c r="N61"/>
  <c r="N62"/>
  <c r="N14" i="140"/>
  <c r="N9"/>
  <c r="N20"/>
  <c r="N13" i="141"/>
  <c r="N20"/>
  <c r="N56" i="114"/>
  <c r="N14" i="141"/>
  <c r="N22" i="104"/>
  <c r="N22" i="106"/>
  <c r="N16" i="107"/>
  <c r="N23"/>
  <c r="N58" i="104"/>
  <c r="N59"/>
  <c r="N62" i="107"/>
  <c r="N63"/>
  <c r="N28" i="92"/>
  <c r="N26" i="127"/>
  <c r="N28"/>
  <c r="N12" i="92"/>
  <c r="I26" i="106"/>
  <c r="O26" s="1"/>
  <c r="I67" i="109"/>
  <c r="O67" s="1"/>
  <c r="O69" s="1"/>
  <c r="D7" i="150"/>
  <c r="I11" i="107"/>
  <c r="J11" s="1"/>
  <c r="I26" i="109"/>
  <c r="I51" i="110"/>
  <c r="D8" i="150"/>
  <c r="I26" i="110"/>
  <c r="N12" i="127"/>
  <c r="I10" i="104"/>
  <c r="J10" s="1"/>
  <c r="I26" i="107"/>
  <c r="J26" s="1"/>
  <c r="I48" i="110"/>
  <c r="P48" s="1"/>
  <c r="O26" i="107"/>
  <c r="I10" i="109"/>
  <c r="J10" s="1"/>
  <c r="I10" i="106"/>
  <c r="J10" s="1"/>
  <c r="I11"/>
  <c r="J11" s="1"/>
  <c r="I40" i="49"/>
  <c r="I50" i="110"/>
  <c r="P50" s="1"/>
  <c r="I64" i="106"/>
  <c r="O64" s="1"/>
  <c r="O66" s="1"/>
  <c r="J67" i="109"/>
  <c r="N12" i="88"/>
  <c r="B14" i="173"/>
  <c r="B14" i="174"/>
  <c r="B6" i="150"/>
  <c r="B12" i="174" s="1"/>
  <c r="I7" i="170"/>
  <c r="I7" i="140"/>
  <c r="B5" i="150"/>
  <c r="B4" i="174"/>
  <c r="B12" i="173"/>
  <c r="B10"/>
  <c r="B10" i="174"/>
  <c r="N12" i="106"/>
  <c r="N17" i="107"/>
  <c r="N15"/>
  <c r="N61"/>
  <c r="N60" i="110"/>
  <c r="N64"/>
  <c r="N65"/>
  <c r="N66"/>
  <c r="N43"/>
  <c r="N52"/>
  <c r="N22" i="107"/>
  <c r="N22" i="110"/>
  <c r="N19" i="141"/>
  <c r="N15" i="140"/>
  <c r="N9" i="159"/>
  <c r="N23"/>
  <c r="L16" i="163"/>
  <c r="K15"/>
  <c r="N23" i="164"/>
  <c r="I67" i="110"/>
  <c r="O67" s="1"/>
  <c r="O69" s="1"/>
  <c r="N62" i="104"/>
  <c r="N63"/>
  <c r="I64" i="107"/>
  <c r="I7" i="105"/>
  <c r="I48"/>
  <c r="I49" i="107"/>
  <c r="I51"/>
  <c r="I50"/>
  <c r="D5" i="150"/>
  <c r="I7" i="108"/>
  <c r="I47"/>
  <c r="D6" i="150"/>
  <c r="N61" i="104"/>
  <c r="D3" i="150"/>
  <c r="K13" i="165"/>
  <c r="B9" i="173"/>
  <c r="B9" i="174"/>
  <c r="S52" i="104"/>
  <c r="D3" i="173" s="1"/>
  <c r="I25" i="49"/>
  <c r="D9" i="150"/>
  <c r="D14"/>
  <c r="D10" s="1"/>
  <c r="I29" i="89"/>
  <c r="I29" i="88"/>
  <c r="I16" i="51"/>
  <c r="I7"/>
  <c r="I11" i="89"/>
  <c r="I10"/>
  <c r="I11" i="88"/>
  <c r="I10"/>
  <c r="D16" i="150"/>
  <c r="D12" s="1"/>
  <c r="I19" i="127"/>
  <c r="I18"/>
  <c r="I17"/>
  <c r="I29"/>
  <c r="I11" i="126"/>
  <c r="J11" s="1"/>
  <c r="K11" s="1"/>
  <c r="I10"/>
  <c r="J10" s="1"/>
  <c r="I29"/>
  <c r="I11" i="127"/>
  <c r="J11" s="1"/>
  <c r="I10"/>
  <c r="J10" s="1"/>
  <c r="L10" s="1"/>
  <c r="I7" i="123"/>
  <c r="I16"/>
  <c r="J22" i="164"/>
  <c r="I23" i="165"/>
  <c r="I22"/>
  <c r="P15" i="164"/>
  <c r="H20" i="167"/>
  <c r="I20" s="1"/>
  <c r="J20" s="1"/>
  <c r="L20" s="1"/>
  <c r="O22" i="159"/>
  <c r="P26"/>
  <c r="M22"/>
  <c r="M26" s="1"/>
  <c r="M50" i="110"/>
  <c r="P49"/>
  <c r="O49"/>
  <c r="M49"/>
  <c r="O48"/>
  <c r="M52" i="109"/>
  <c r="O52"/>
  <c r="I14" i="164"/>
  <c r="I13"/>
  <c r="I15" i="165"/>
  <c r="I15" i="166" s="1"/>
  <c r="O7" i="165"/>
  <c r="R16" s="1"/>
  <c r="M7"/>
  <c r="O7" i="166"/>
  <c r="R16" s="1"/>
  <c r="M7"/>
  <c r="I24" i="159"/>
  <c r="O7"/>
  <c r="M7"/>
  <c r="O13"/>
  <c r="M13"/>
  <c r="P14"/>
  <c r="O14"/>
  <c r="M14"/>
  <c r="P15"/>
  <c r="O15"/>
  <c r="M15"/>
  <c r="P15" i="162"/>
  <c r="O15"/>
  <c r="O16" s="1"/>
  <c r="O27" s="1"/>
  <c r="M15"/>
  <c r="M16" s="1"/>
  <c r="M27" s="1"/>
  <c r="O15" i="163"/>
  <c r="O16" s="1"/>
  <c r="O27" s="1"/>
  <c r="P15"/>
  <c r="M15"/>
  <c r="M16" s="1"/>
  <c r="M27" s="1"/>
  <c r="I15" i="167"/>
  <c r="J15" s="1"/>
  <c r="I10"/>
  <c r="J10" s="1"/>
  <c r="H11"/>
  <c r="I11" s="1"/>
  <c r="J11" s="1"/>
  <c r="O54" i="114"/>
  <c r="O55"/>
  <c r="M55"/>
  <c r="O58"/>
  <c r="M58"/>
  <c r="N14" i="159"/>
  <c r="L26" i="163"/>
  <c r="N15"/>
  <c r="N7" i="165"/>
  <c r="I64" i="104"/>
  <c r="J52" i="109"/>
  <c r="J26" i="106"/>
  <c r="J48" i="110"/>
  <c r="J49"/>
  <c r="J50"/>
  <c r="J21" i="141"/>
  <c r="I8" i="169"/>
  <c r="J8" s="1"/>
  <c r="H10"/>
  <c r="I10" s="1"/>
  <c r="J10" s="1"/>
  <c r="K10" s="1"/>
  <c r="I9"/>
  <c r="J9" s="1"/>
  <c r="H10" i="168"/>
  <c r="I16" i="90"/>
  <c r="I7"/>
  <c r="I11" i="91"/>
  <c r="J11" s="1"/>
  <c r="K11" s="1"/>
  <c r="I11" i="92"/>
  <c r="J11" s="1"/>
  <c r="I10" i="91"/>
  <c r="J10" s="1"/>
  <c r="J20" s="1"/>
  <c r="I10" i="92"/>
  <c r="J10" s="1"/>
  <c r="I29" i="91"/>
  <c r="I29" i="92"/>
  <c r="I54" i="140"/>
  <c r="I55"/>
  <c r="I56"/>
  <c r="I57"/>
  <c r="I58"/>
  <c r="I59"/>
  <c r="I64" i="103"/>
  <c r="J63" i="139"/>
  <c r="J63" i="138"/>
  <c r="J63" i="111"/>
  <c r="C4" i="173"/>
  <c r="E4" s="1"/>
  <c r="M17" i="167"/>
  <c r="M21" i="168"/>
  <c r="P13" i="166"/>
  <c r="M13"/>
  <c r="O13"/>
  <c r="J13"/>
  <c r="O24"/>
  <c r="J24"/>
  <c r="P14"/>
  <c r="M14"/>
  <c r="O14"/>
  <c r="J14"/>
  <c r="O13" i="165"/>
  <c r="P13"/>
  <c r="M13"/>
  <c r="J24"/>
  <c r="O24"/>
  <c r="O14"/>
  <c r="P14"/>
  <c r="M14"/>
  <c r="J22"/>
  <c r="J15" i="164"/>
  <c r="N9"/>
  <c r="J24"/>
  <c r="L24" s="1"/>
  <c r="L22"/>
  <c r="J26"/>
  <c r="K22"/>
  <c r="N22" s="1"/>
  <c r="N7"/>
  <c r="R16"/>
  <c r="C14" i="173" s="1"/>
  <c r="P26" i="164"/>
  <c r="O22"/>
  <c r="M22"/>
  <c r="M26" s="1"/>
  <c r="N23" i="163"/>
  <c r="K26" i="162"/>
  <c r="N9"/>
  <c r="N7" i="163"/>
  <c r="K26"/>
  <c r="K16"/>
  <c r="N22"/>
  <c r="J27"/>
  <c r="N22" i="162"/>
  <c r="L16"/>
  <c r="J27"/>
  <c r="L26"/>
  <c r="K16"/>
  <c r="N7"/>
  <c r="L16" i="159"/>
  <c r="N7"/>
  <c r="N14" i="158"/>
  <c r="N9"/>
  <c r="K26"/>
  <c r="L16"/>
  <c r="L27" s="1"/>
  <c r="J27"/>
  <c r="O27"/>
  <c r="N22"/>
  <c r="N26" s="1"/>
  <c r="K16"/>
  <c r="N7"/>
  <c r="N7" i="157"/>
  <c r="N16" s="1"/>
  <c r="K26"/>
  <c r="K16"/>
  <c r="N22"/>
  <c r="N26" s="1"/>
  <c r="J27"/>
  <c r="L27"/>
  <c r="O27"/>
  <c r="N15" i="156"/>
  <c r="N16" s="1"/>
  <c r="N26"/>
  <c r="M16"/>
  <c r="M27" s="1"/>
  <c r="L16"/>
  <c r="L27" s="1"/>
  <c r="K16"/>
  <c r="K26"/>
  <c r="L26"/>
  <c r="O27"/>
  <c r="L12" i="91"/>
  <c r="N12" s="1"/>
  <c r="N17" i="109"/>
  <c r="N21"/>
  <c r="N48"/>
  <c r="N15"/>
  <c r="N47"/>
  <c r="N60"/>
  <c r="N66"/>
  <c r="N37"/>
  <c r="N50"/>
  <c r="N7"/>
  <c r="N40"/>
  <c r="N22"/>
  <c r="N50" i="108"/>
  <c r="N58" i="171"/>
  <c r="O62" i="172"/>
  <c r="M62"/>
  <c r="M65" s="1"/>
  <c r="P62"/>
  <c r="N34"/>
  <c r="J62"/>
  <c r="K62" i="171"/>
  <c r="L62"/>
  <c r="N61" i="172"/>
  <c r="N14"/>
  <c r="N17" i="171"/>
  <c r="N25" i="170"/>
  <c r="N34"/>
  <c r="N63" i="171"/>
  <c r="M19" i="167"/>
  <c r="L17" i="172"/>
  <c r="N18"/>
  <c r="N57" i="170"/>
  <c r="M19" i="168"/>
  <c r="N60" i="171"/>
  <c r="N35"/>
  <c r="N35" i="172"/>
  <c r="N44" i="171"/>
  <c r="N56"/>
  <c r="N61"/>
  <c r="N48"/>
  <c r="N15" i="172"/>
  <c r="N39"/>
  <c r="N16"/>
  <c r="K46"/>
  <c r="L46"/>
  <c r="N55"/>
  <c r="N56"/>
  <c r="N19"/>
  <c r="J38"/>
  <c r="N17"/>
  <c r="N59"/>
  <c r="K47"/>
  <c r="L47"/>
  <c r="N37" i="170"/>
  <c r="N38" i="171"/>
  <c r="N61" i="170"/>
  <c r="N48"/>
  <c r="M21" i="167"/>
  <c r="N40" i="170"/>
  <c r="I15" i="169"/>
  <c r="J15" s="1"/>
  <c r="K15" s="1"/>
  <c r="N21" i="140"/>
  <c r="N34" i="141"/>
  <c r="N12"/>
  <c r="N25"/>
  <c r="N13" i="140"/>
  <c r="N37" i="141"/>
  <c r="N38"/>
  <c r="N40"/>
  <c r="N19" i="140"/>
  <c r="N9" i="114"/>
  <c r="N26"/>
  <c r="N38"/>
  <c r="N26" i="140"/>
  <c r="N35"/>
  <c r="N41"/>
  <c r="N58" i="114"/>
  <c r="N19"/>
  <c r="N17" i="140"/>
  <c r="M69" i="108"/>
  <c r="M69" i="109"/>
  <c r="N29" i="123"/>
  <c r="N31" s="1"/>
  <c r="N29" i="90"/>
  <c r="N31" s="1"/>
  <c r="N29" i="51"/>
  <c r="N31" s="1"/>
  <c r="N60" i="139"/>
  <c r="N62" s="1"/>
  <c r="N60" i="138"/>
  <c r="N62" s="1"/>
  <c r="N60" i="111"/>
  <c r="N62" s="1"/>
  <c r="N67" i="108"/>
  <c r="N69" s="1"/>
  <c r="N64" i="105"/>
  <c r="N66" s="1"/>
  <c r="N19" i="139"/>
  <c r="N48" s="1"/>
  <c r="N48" i="138"/>
  <c r="N48" i="111"/>
  <c r="N43" i="106"/>
  <c r="I20" i="49"/>
  <c r="J19" s="1"/>
  <c r="D4" i="150"/>
  <c r="B3" i="174" s="1"/>
  <c r="I51" i="104"/>
  <c r="I50"/>
  <c r="I49"/>
  <c r="I48" i="10"/>
  <c r="I7"/>
  <c r="I10" i="103"/>
  <c r="M10" s="1"/>
  <c r="I11"/>
  <c r="J11" s="1"/>
  <c r="K11" s="1"/>
  <c r="I26"/>
  <c r="I26" i="104"/>
  <c r="I11"/>
  <c r="J11" s="1"/>
  <c r="L11" s="1"/>
  <c r="N23" i="106"/>
  <c r="N12" i="107"/>
  <c r="N18" i="141"/>
  <c r="D8" i="173"/>
  <c r="N64" i="10"/>
  <c r="N66" s="1"/>
  <c r="N42" i="110"/>
  <c r="K12" i="103"/>
  <c r="L12"/>
  <c r="L32"/>
  <c r="K32"/>
  <c r="K14" i="109"/>
  <c r="L14"/>
  <c r="K14" i="104"/>
  <c r="L14"/>
  <c r="K12" i="110"/>
  <c r="L12"/>
  <c r="K16"/>
  <c r="L16"/>
  <c r="I8" i="167"/>
  <c r="J8" s="1"/>
  <c r="L9"/>
  <c r="K9"/>
  <c r="O19" i="104"/>
  <c r="J19"/>
  <c r="M22" i="169"/>
  <c r="K12" i="104"/>
  <c r="L12"/>
  <c r="K16"/>
  <c r="L16"/>
  <c r="K18"/>
  <c r="L18"/>
  <c r="K21"/>
  <c r="L21"/>
  <c r="K14" i="110"/>
  <c r="L14"/>
  <c r="O17" i="104"/>
  <c r="J17"/>
  <c r="L15" i="167"/>
  <c r="K15"/>
  <c r="K14" i="103"/>
  <c r="L14"/>
  <c r="K12" i="109"/>
  <c r="L12"/>
  <c r="K16"/>
  <c r="L16"/>
  <c r="E14" i="173"/>
  <c r="N32" i="107"/>
  <c r="N12" i="89"/>
  <c r="L26" i="92"/>
  <c r="L18" i="140"/>
  <c r="N18" s="1"/>
  <c r="N54" i="114"/>
  <c r="N55" i="171"/>
  <c r="E6" i="173"/>
  <c r="K10" i="106"/>
  <c r="L10"/>
  <c r="K11"/>
  <c r="L11"/>
  <c r="K10" i="109"/>
  <c r="L10"/>
  <c r="L10" i="91"/>
  <c r="K10" i="126"/>
  <c r="L10"/>
  <c r="L11"/>
  <c r="K10" i="104"/>
  <c r="L10"/>
  <c r="K10" i="107"/>
  <c r="L10"/>
  <c r="K11"/>
  <c r="L11"/>
  <c r="K10" i="110"/>
  <c r="L10"/>
  <c r="K11"/>
  <c r="L11"/>
  <c r="K10" i="92"/>
  <c r="L10"/>
  <c r="K11"/>
  <c r="L11"/>
  <c r="K10" i="127"/>
  <c r="K11"/>
  <c r="L11"/>
  <c r="O10"/>
  <c r="O10" i="126"/>
  <c r="M10"/>
  <c r="O10" i="92"/>
  <c r="M10"/>
  <c r="O10" i="91"/>
  <c r="O10" i="110"/>
  <c r="M10"/>
  <c r="O10" i="109"/>
  <c r="M10"/>
  <c r="O10" i="107"/>
  <c r="M10"/>
  <c r="O10" i="106"/>
  <c r="M10"/>
  <c r="O10" i="104"/>
  <c r="M10"/>
  <c r="O11" i="127"/>
  <c r="M11"/>
  <c r="O11" i="126"/>
  <c r="O11" i="92"/>
  <c r="M11"/>
  <c r="O11" i="91"/>
  <c r="O11" i="110"/>
  <c r="M11"/>
  <c r="O11" i="109"/>
  <c r="M11"/>
  <c r="O11" i="107"/>
  <c r="M11"/>
  <c r="O11" i="106"/>
  <c r="M11"/>
  <c r="O11" i="103"/>
  <c r="J52" i="106"/>
  <c r="N22" i="159" l="1"/>
  <c r="N15"/>
  <c r="O26" i="141"/>
  <c r="J26"/>
  <c r="K14" i="165"/>
  <c r="N14" s="1"/>
  <c r="K20" i="167"/>
  <c r="J16" i="159"/>
  <c r="K13"/>
  <c r="N13" s="1"/>
  <c r="L10" i="169"/>
  <c r="J11" i="109"/>
  <c r="H8" i="168"/>
  <c r="H12"/>
  <c r="H9"/>
  <c r="I9" s="1"/>
  <c r="J9" s="1"/>
  <c r="L11" i="103"/>
  <c r="O66" i="171"/>
  <c r="R52" i="106"/>
  <c r="P16" i="159"/>
  <c r="P16" i="163"/>
  <c r="P27" s="1"/>
  <c r="P16" i="162"/>
  <c r="P27" s="1"/>
  <c r="M53" i="109"/>
  <c r="M48" i="110"/>
  <c r="N16" i="163"/>
  <c r="L58" i="172"/>
  <c r="K58"/>
  <c r="L60"/>
  <c r="K60"/>
  <c r="N62" i="171"/>
  <c r="M66"/>
  <c r="K46"/>
  <c r="K49" s="1"/>
  <c r="L46"/>
  <c r="L49" s="1"/>
  <c r="K57" i="172"/>
  <c r="L57"/>
  <c r="K59" i="171"/>
  <c r="L59"/>
  <c r="L65" s="1"/>
  <c r="J65"/>
  <c r="J66" s="1"/>
  <c r="L23" i="141"/>
  <c r="K23"/>
  <c r="N15" i="162"/>
  <c r="N13" i="165"/>
  <c r="K17" i="141"/>
  <c r="L17"/>
  <c r="M11" i="104"/>
  <c r="K11"/>
  <c r="N11" s="1"/>
  <c r="L11" i="91"/>
  <c r="N16" i="159"/>
  <c r="N12" i="110"/>
  <c r="N16"/>
  <c r="N63" i="111"/>
  <c r="N63" i="139"/>
  <c r="N55" i="114"/>
  <c r="L27" i="163"/>
  <c r="K23" i="140"/>
  <c r="L23"/>
  <c r="M11" i="103"/>
  <c r="M11" i="91"/>
  <c r="M11" i="126"/>
  <c r="M10" i="91"/>
  <c r="M10" i="127"/>
  <c r="K10" i="91"/>
  <c r="N26" i="162"/>
  <c r="N26" i="163"/>
  <c r="K24" i="164"/>
  <c r="J64" i="106"/>
  <c r="K57" i="114"/>
  <c r="L57"/>
  <c r="K59"/>
  <c r="L59"/>
  <c r="K23"/>
  <c r="L23"/>
  <c r="N14" i="109"/>
  <c r="N63" i="138"/>
  <c r="O26" i="109"/>
  <c r="O53" s="1"/>
  <c r="O70" s="1"/>
  <c r="J26"/>
  <c r="J53" s="1"/>
  <c r="O26" i="110"/>
  <c r="J26"/>
  <c r="P51"/>
  <c r="P53" s="1"/>
  <c r="M51"/>
  <c r="O51"/>
  <c r="J51"/>
  <c r="K67" i="109"/>
  <c r="L67"/>
  <c r="L69" s="1"/>
  <c r="J69"/>
  <c r="H19" i="169"/>
  <c r="I19" s="1"/>
  <c r="J19" s="1"/>
  <c r="O50" i="110"/>
  <c r="O11" i="104"/>
  <c r="N11" i="126"/>
  <c r="J67" i="110"/>
  <c r="L26" i="107"/>
  <c r="K26"/>
  <c r="B8" i="173"/>
  <c r="B8" i="174"/>
  <c r="M7" i="140"/>
  <c r="J7"/>
  <c r="O7"/>
  <c r="R48" s="1"/>
  <c r="I46"/>
  <c r="I60"/>
  <c r="I45"/>
  <c r="M7" i="172"/>
  <c r="J7"/>
  <c r="O7"/>
  <c r="I44"/>
  <c r="I45"/>
  <c r="I63"/>
  <c r="N11" i="107"/>
  <c r="N10" i="104"/>
  <c r="N12" i="109"/>
  <c r="N14" i="110"/>
  <c r="N21" i="104"/>
  <c r="N16"/>
  <c r="N12"/>
  <c r="N14"/>
  <c r="N16" i="162"/>
  <c r="N27" s="1"/>
  <c r="M7" i="141"/>
  <c r="O7"/>
  <c r="R48" s="1"/>
  <c r="I46"/>
  <c r="J7"/>
  <c r="I60"/>
  <c r="I45"/>
  <c r="M7" i="114"/>
  <c r="O7"/>
  <c r="R48" s="1"/>
  <c r="I47"/>
  <c r="I45"/>
  <c r="I60"/>
  <c r="I46"/>
  <c r="J7"/>
  <c r="O7" i="170"/>
  <c r="R47" s="1"/>
  <c r="C12" i="173" s="1"/>
  <c r="E12" s="1"/>
  <c r="M7" i="170"/>
  <c r="J7"/>
  <c r="I63"/>
  <c r="I44"/>
  <c r="I45"/>
  <c r="N11" i="106"/>
  <c r="N11" i="110"/>
  <c r="N10"/>
  <c r="N10" i="126"/>
  <c r="N11" i="91"/>
  <c r="N14" i="103"/>
  <c r="N12"/>
  <c r="O47" i="108"/>
  <c r="M47"/>
  <c r="P47"/>
  <c r="P53" s="1"/>
  <c r="P70" s="1"/>
  <c r="J47"/>
  <c r="B7" i="173"/>
  <c r="B7" i="174"/>
  <c r="P51" i="107"/>
  <c r="O51"/>
  <c r="M51"/>
  <c r="J51"/>
  <c r="P48" i="105"/>
  <c r="P52" s="1"/>
  <c r="O48"/>
  <c r="M48"/>
  <c r="J48"/>
  <c r="O64" i="107"/>
  <c r="O66" s="1"/>
  <c r="J64"/>
  <c r="R53" i="110"/>
  <c r="N11" i="127"/>
  <c r="N10"/>
  <c r="N11" i="92"/>
  <c r="N10" i="107"/>
  <c r="N10" i="106"/>
  <c r="N18" i="104"/>
  <c r="N32" i="103"/>
  <c r="J20" i="126"/>
  <c r="B11" i="173"/>
  <c r="B11" i="174"/>
  <c r="O7" i="108"/>
  <c r="M7"/>
  <c r="J7"/>
  <c r="P50" i="107"/>
  <c r="M50"/>
  <c r="O50"/>
  <c r="J50"/>
  <c r="P49"/>
  <c r="P52" s="1"/>
  <c r="P67" s="1"/>
  <c r="O49"/>
  <c r="M49"/>
  <c r="J49"/>
  <c r="O7" i="105"/>
  <c r="M7"/>
  <c r="P7"/>
  <c r="J7"/>
  <c r="K67" i="110"/>
  <c r="L67"/>
  <c r="L69" s="1"/>
  <c r="J69"/>
  <c r="L15" i="169"/>
  <c r="N10" i="91"/>
  <c r="L20"/>
  <c r="J64" i="103"/>
  <c r="J66" s="1"/>
  <c r="O64"/>
  <c r="O66" s="1"/>
  <c r="O59" i="140"/>
  <c r="I59" i="141"/>
  <c r="J59" i="140"/>
  <c r="M58"/>
  <c r="O58"/>
  <c r="I58" i="141"/>
  <c r="J58" i="140"/>
  <c r="O57"/>
  <c r="I57" i="141"/>
  <c r="J57" i="140"/>
  <c r="O56"/>
  <c r="I56" i="141"/>
  <c r="J56" i="140"/>
  <c r="M55"/>
  <c r="M62" s="1"/>
  <c r="O55"/>
  <c r="I55" i="141"/>
  <c r="J55" i="140"/>
  <c r="H11" i="168"/>
  <c r="I11" s="1"/>
  <c r="J11" s="1"/>
  <c r="O54" i="140"/>
  <c r="I54" i="141"/>
  <c r="J54" i="140"/>
  <c r="O29" i="92"/>
  <c r="O31" s="1"/>
  <c r="R31" s="1"/>
  <c r="J29"/>
  <c r="O29" i="91"/>
  <c r="O31" s="1"/>
  <c r="R31" s="1"/>
  <c r="J29"/>
  <c r="I18" i="92"/>
  <c r="I19"/>
  <c r="O7" i="90"/>
  <c r="M7"/>
  <c r="J7"/>
  <c r="I17" i="92"/>
  <c r="P16" i="90"/>
  <c r="P20" s="1"/>
  <c r="P32" s="1"/>
  <c r="O16"/>
  <c r="M16"/>
  <c r="J16"/>
  <c r="K8" i="169"/>
  <c r="L8"/>
  <c r="L21" i="141"/>
  <c r="K21"/>
  <c r="K50" i="110"/>
  <c r="L50"/>
  <c r="K49"/>
  <c r="L49"/>
  <c r="K48"/>
  <c r="L48"/>
  <c r="K26" i="106"/>
  <c r="L26"/>
  <c r="K52" i="109"/>
  <c r="L52"/>
  <c r="L64" i="106"/>
  <c r="L66" s="1"/>
  <c r="K64"/>
  <c r="J66"/>
  <c r="J67" s="1"/>
  <c r="L11" i="167"/>
  <c r="K11"/>
  <c r="K10"/>
  <c r="L10"/>
  <c r="R16" i="159"/>
  <c r="C10" i="173" s="1"/>
  <c r="E10" s="1"/>
  <c r="O16" i="159"/>
  <c r="O24"/>
  <c r="J24"/>
  <c r="O15" i="166"/>
  <c r="J15"/>
  <c r="P15"/>
  <c r="P16" s="1"/>
  <c r="M15"/>
  <c r="H20" i="168"/>
  <c r="I20" s="1"/>
  <c r="J20" s="1"/>
  <c r="K20" s="1"/>
  <c r="J15" i="165"/>
  <c r="P15"/>
  <c r="P16" s="1"/>
  <c r="M15"/>
  <c r="P13" i="164"/>
  <c r="J13"/>
  <c r="M13"/>
  <c r="O13"/>
  <c r="O14"/>
  <c r="J14"/>
  <c r="P14"/>
  <c r="P16" s="1"/>
  <c r="C14" i="174" s="1"/>
  <c r="M14" i="164"/>
  <c r="I23" i="166"/>
  <c r="I22"/>
  <c r="O22" i="165"/>
  <c r="M22"/>
  <c r="J23"/>
  <c r="J26" s="1"/>
  <c r="M23"/>
  <c r="O23"/>
  <c r="P16" i="123"/>
  <c r="P20" s="1"/>
  <c r="O16"/>
  <c r="M16"/>
  <c r="J16"/>
  <c r="O7"/>
  <c r="M7"/>
  <c r="J7"/>
  <c r="O29" i="126"/>
  <c r="O31" s="1"/>
  <c r="R31" s="1"/>
  <c r="J29"/>
  <c r="O29" i="127"/>
  <c r="O31" s="1"/>
  <c r="R31" s="1"/>
  <c r="J29"/>
  <c r="P17"/>
  <c r="M17"/>
  <c r="O17"/>
  <c r="J17"/>
  <c r="P18"/>
  <c r="M18"/>
  <c r="O18"/>
  <c r="J18"/>
  <c r="P19"/>
  <c r="P20" s="1"/>
  <c r="P32" s="1"/>
  <c r="O19"/>
  <c r="M19"/>
  <c r="J19"/>
  <c r="B13" i="173"/>
  <c r="B13" i="174"/>
  <c r="J10" i="88"/>
  <c r="O10"/>
  <c r="M10"/>
  <c r="J11"/>
  <c r="O11"/>
  <c r="M11"/>
  <c r="J10" i="89"/>
  <c r="O10"/>
  <c r="M10"/>
  <c r="J11"/>
  <c r="O11"/>
  <c r="M11"/>
  <c r="C3" i="175"/>
  <c r="I19" i="89"/>
  <c r="I17"/>
  <c r="P17" s="1"/>
  <c r="I18"/>
  <c r="O29" i="88"/>
  <c r="O31" s="1"/>
  <c r="R31" s="1"/>
  <c r="J29"/>
  <c r="O29" i="89"/>
  <c r="O31" s="1"/>
  <c r="R31" s="1"/>
  <c r="J29"/>
  <c r="R52" i="104"/>
  <c r="R52" i="107"/>
  <c r="R53" i="109"/>
  <c r="M20" i="91"/>
  <c r="O20"/>
  <c r="M20" i="126"/>
  <c r="O20"/>
  <c r="N20"/>
  <c r="L20"/>
  <c r="K20"/>
  <c r="K20" i="91"/>
  <c r="H21" i="169"/>
  <c r="I21" s="1"/>
  <c r="J21" s="1"/>
  <c r="M16" i="165"/>
  <c r="M16" i="166"/>
  <c r="D19" i="150"/>
  <c r="M62" i="114"/>
  <c r="M16" i="159"/>
  <c r="M27" s="1"/>
  <c r="O15" i="165"/>
  <c r="O16" s="1"/>
  <c r="O26" i="159"/>
  <c r="R26" s="1"/>
  <c r="H6" i="167"/>
  <c r="L24" i="166"/>
  <c r="K24"/>
  <c r="L13"/>
  <c r="J16"/>
  <c r="K13"/>
  <c r="L14"/>
  <c r="K14"/>
  <c r="O16"/>
  <c r="K22" i="165"/>
  <c r="L22"/>
  <c r="L24"/>
  <c r="K24"/>
  <c r="K15" i="164"/>
  <c r="J16"/>
  <c r="J27" s="1"/>
  <c r="L15"/>
  <c r="N24"/>
  <c r="N26" s="1"/>
  <c r="O26"/>
  <c r="K26"/>
  <c r="L26"/>
  <c r="K27" i="162"/>
  <c r="K27" i="163"/>
  <c r="N27"/>
  <c r="L27" i="162"/>
  <c r="N16" i="158"/>
  <c r="N27" s="1"/>
  <c r="K27"/>
  <c r="D15" i="173"/>
  <c r="K27" i="157"/>
  <c r="N27"/>
  <c r="K27" i="156"/>
  <c r="N27"/>
  <c r="N10" i="92"/>
  <c r="N10" i="109"/>
  <c r="N16"/>
  <c r="K62" i="172"/>
  <c r="L62"/>
  <c r="M10" i="169"/>
  <c r="N46" i="172"/>
  <c r="N47"/>
  <c r="K38"/>
  <c r="L38"/>
  <c r="M9" i="167"/>
  <c r="M15" i="169"/>
  <c r="M15" i="167"/>
  <c r="O10" i="103"/>
  <c r="N11"/>
  <c r="O26" i="104"/>
  <c r="J26"/>
  <c r="O26" i="103"/>
  <c r="J26"/>
  <c r="J64" i="104"/>
  <c r="O64"/>
  <c r="O66" s="1"/>
  <c r="J10" i="103"/>
  <c r="O7" i="10"/>
  <c r="M7"/>
  <c r="J7"/>
  <c r="O48"/>
  <c r="M48"/>
  <c r="J48"/>
  <c r="P48"/>
  <c r="P52" s="1"/>
  <c r="P49" i="104"/>
  <c r="M49"/>
  <c r="O49"/>
  <c r="J49"/>
  <c r="P50"/>
  <c r="M50"/>
  <c r="O50"/>
  <c r="J50"/>
  <c r="P51"/>
  <c r="M51"/>
  <c r="O51"/>
  <c r="J51"/>
  <c r="B5" i="173"/>
  <c r="B5" i="174"/>
  <c r="O18" i="89"/>
  <c r="M18"/>
  <c r="J18"/>
  <c r="O17"/>
  <c r="M17"/>
  <c r="J17"/>
  <c r="P16" i="51"/>
  <c r="O16"/>
  <c r="M16"/>
  <c r="J16"/>
  <c r="O7"/>
  <c r="M7"/>
  <c r="J7"/>
  <c r="B3" i="173"/>
  <c r="M20" i="167"/>
  <c r="N26" i="92"/>
  <c r="L17" i="104"/>
  <c r="K17"/>
  <c r="L9" i="169"/>
  <c r="K9"/>
  <c r="L8" i="167"/>
  <c r="K8"/>
  <c r="D14" i="174"/>
  <c r="L20" i="168"/>
  <c r="L19" i="104"/>
  <c r="K19"/>
  <c r="I8" i="168"/>
  <c r="J8" s="1"/>
  <c r="M22"/>
  <c r="K9"/>
  <c r="L9"/>
  <c r="I10"/>
  <c r="J10" s="1"/>
  <c r="I15"/>
  <c r="J15" s="1"/>
  <c r="O52" i="106"/>
  <c r="O67" s="1"/>
  <c r="O52" i="107"/>
  <c r="O67" s="1"/>
  <c r="R20" i="91"/>
  <c r="O32"/>
  <c r="R20" i="92"/>
  <c r="R20" i="126"/>
  <c r="O32"/>
  <c r="R20" i="127"/>
  <c r="M52" i="103"/>
  <c r="M67" s="1"/>
  <c r="M52" i="106"/>
  <c r="M67" s="1"/>
  <c r="M52" i="107"/>
  <c r="M67" s="1"/>
  <c r="M70" i="109"/>
  <c r="M53" i="110"/>
  <c r="M70" s="1"/>
  <c r="M32" i="91"/>
  <c r="M32" i="126"/>
  <c r="L52" i="106"/>
  <c r="L67" s="1"/>
  <c r="K52"/>
  <c r="N20" i="91" l="1"/>
  <c r="K26" i="141"/>
  <c r="L26"/>
  <c r="N26"/>
  <c r="P27" i="164"/>
  <c r="K16" i="159"/>
  <c r="L11" i="109"/>
  <c r="K11"/>
  <c r="N11" s="1"/>
  <c r="N23" i="141"/>
  <c r="O53" i="110"/>
  <c r="O70" s="1"/>
  <c r="C11" i="174"/>
  <c r="D11" s="1"/>
  <c r="P70" i="110"/>
  <c r="J53"/>
  <c r="L66" i="171"/>
  <c r="N46"/>
  <c r="N49" s="1"/>
  <c r="N59"/>
  <c r="N65" s="1"/>
  <c r="K65"/>
  <c r="K66" s="1"/>
  <c r="N57" i="172"/>
  <c r="N60"/>
  <c r="N58"/>
  <c r="C8" i="173"/>
  <c r="E8" s="1"/>
  <c r="N17" i="141"/>
  <c r="M52" i="104"/>
  <c r="M67" s="1"/>
  <c r="N23" i="140"/>
  <c r="N57" i="114"/>
  <c r="N23"/>
  <c r="N59"/>
  <c r="N17" i="104"/>
  <c r="N26" i="107"/>
  <c r="M52" i="105"/>
  <c r="M67" s="1"/>
  <c r="L51" i="110"/>
  <c r="K51"/>
  <c r="K26"/>
  <c r="L26"/>
  <c r="L53" s="1"/>
  <c r="J70"/>
  <c r="L26" i="109"/>
  <c r="K26"/>
  <c r="J70"/>
  <c r="O52" i="104"/>
  <c r="O67" s="1"/>
  <c r="K69" i="109"/>
  <c r="N67"/>
  <c r="N69" s="1"/>
  <c r="L19" i="169"/>
  <c r="K19"/>
  <c r="M44" i="170"/>
  <c r="O44"/>
  <c r="J44"/>
  <c r="P44"/>
  <c r="K7"/>
  <c r="L7"/>
  <c r="J46" i="114"/>
  <c r="H16" i="167"/>
  <c r="I16" s="1"/>
  <c r="J16" s="1"/>
  <c r="O46" i="114"/>
  <c r="P46"/>
  <c r="M46"/>
  <c r="J45"/>
  <c r="O45"/>
  <c r="P45"/>
  <c r="M45"/>
  <c r="J45" i="141"/>
  <c r="H14" i="169"/>
  <c r="M45" i="141"/>
  <c r="P45"/>
  <c r="O45"/>
  <c r="L7"/>
  <c r="K7"/>
  <c r="J45" i="172"/>
  <c r="P45"/>
  <c r="O45"/>
  <c r="M45"/>
  <c r="O60" i="140"/>
  <c r="J60"/>
  <c r="O62"/>
  <c r="J45" i="170"/>
  <c r="M45"/>
  <c r="M49" s="1"/>
  <c r="M66" s="1"/>
  <c r="P45"/>
  <c r="P49" s="1"/>
  <c r="P66" s="1"/>
  <c r="O45"/>
  <c r="O49" s="1"/>
  <c r="O63"/>
  <c r="O65" s="1"/>
  <c r="J63"/>
  <c r="L7" i="114"/>
  <c r="K7"/>
  <c r="O60"/>
  <c r="O62" s="1"/>
  <c r="J60"/>
  <c r="J47"/>
  <c r="H18" i="167"/>
  <c r="I18" s="1"/>
  <c r="J18" s="1"/>
  <c r="O47" i="114"/>
  <c r="P47"/>
  <c r="M47"/>
  <c r="I47" i="140"/>
  <c r="O60" i="141"/>
  <c r="J60"/>
  <c r="J46"/>
  <c r="P46"/>
  <c r="O46"/>
  <c r="M46"/>
  <c r="O63" i="172"/>
  <c r="O65" s="1"/>
  <c r="J63"/>
  <c r="J44"/>
  <c r="M44"/>
  <c r="M49" s="1"/>
  <c r="M66" s="1"/>
  <c r="P44"/>
  <c r="P49" s="1"/>
  <c r="P66" s="1"/>
  <c r="O44"/>
  <c r="O49" s="1"/>
  <c r="K7"/>
  <c r="L7"/>
  <c r="J45" i="140"/>
  <c r="H14" i="168"/>
  <c r="I14" s="1"/>
  <c r="J14" s="1"/>
  <c r="M45" i="140"/>
  <c r="P45"/>
  <c r="O45"/>
  <c r="J46"/>
  <c r="H16" i="168"/>
  <c r="M46" i="140"/>
  <c r="P46"/>
  <c r="O46"/>
  <c r="K7"/>
  <c r="L7"/>
  <c r="J20" i="51"/>
  <c r="O20"/>
  <c r="J52" i="103"/>
  <c r="J67" s="1"/>
  <c r="N24" i="165"/>
  <c r="M11" i="167"/>
  <c r="M53" i="108"/>
  <c r="M70" s="1"/>
  <c r="N49" i="110"/>
  <c r="B15" i="173"/>
  <c r="M20" i="51"/>
  <c r="M20" i="127"/>
  <c r="M32" s="1"/>
  <c r="N26" i="106"/>
  <c r="N52" s="1"/>
  <c r="N48" i="110"/>
  <c r="N67"/>
  <c r="N69" s="1"/>
  <c r="K69"/>
  <c r="O52" i="105"/>
  <c r="O67" s="1"/>
  <c r="R52"/>
  <c r="P67"/>
  <c r="C7" i="174"/>
  <c r="D7" s="1"/>
  <c r="O20" i="127"/>
  <c r="O32" s="1"/>
  <c r="N50" i="110"/>
  <c r="M8" i="169"/>
  <c r="K7" i="105"/>
  <c r="L7"/>
  <c r="J52"/>
  <c r="J67" s="1"/>
  <c r="L49" i="107"/>
  <c r="K49"/>
  <c r="J52"/>
  <c r="L50"/>
  <c r="K50"/>
  <c r="K7" i="108"/>
  <c r="L7"/>
  <c r="J53"/>
  <c r="J70" s="1"/>
  <c r="O53"/>
  <c r="O70" s="1"/>
  <c r="R53"/>
  <c r="L64" i="107"/>
  <c r="L66" s="1"/>
  <c r="J66"/>
  <c r="K64"/>
  <c r="L48" i="105"/>
  <c r="K48"/>
  <c r="K51" i="107"/>
  <c r="L51"/>
  <c r="K47" i="108"/>
  <c r="L47"/>
  <c r="N19" i="104"/>
  <c r="R52" i="103"/>
  <c r="O52"/>
  <c r="O67" s="1"/>
  <c r="P20" i="51"/>
  <c r="C10" i="174"/>
  <c r="D10" s="1"/>
  <c r="P27" i="159"/>
  <c r="C12" i="174"/>
  <c r="D12" s="1"/>
  <c r="L29" i="89"/>
  <c r="L31" s="1"/>
  <c r="K29"/>
  <c r="J31"/>
  <c r="L29" i="88"/>
  <c r="L31" s="1"/>
  <c r="K29"/>
  <c r="K31" s="1"/>
  <c r="J31"/>
  <c r="H20" i="169"/>
  <c r="I20" s="1"/>
  <c r="J20" s="1"/>
  <c r="P18" i="89"/>
  <c r="P19"/>
  <c r="O19"/>
  <c r="O20" s="1"/>
  <c r="O32" s="1"/>
  <c r="M19"/>
  <c r="M20" s="1"/>
  <c r="J19"/>
  <c r="K11"/>
  <c r="L11"/>
  <c r="K10"/>
  <c r="L10"/>
  <c r="K11" i="88"/>
  <c r="L11"/>
  <c r="O20"/>
  <c r="O32" s="1"/>
  <c r="R20"/>
  <c r="L10"/>
  <c r="J20"/>
  <c r="K10"/>
  <c r="K20" s="1"/>
  <c r="K32" s="1"/>
  <c r="J20" i="127"/>
  <c r="L19"/>
  <c r="K19"/>
  <c r="K18"/>
  <c r="L18"/>
  <c r="K17"/>
  <c r="L17"/>
  <c r="L29"/>
  <c r="L31" s="1"/>
  <c r="K29"/>
  <c r="K31" s="1"/>
  <c r="J31"/>
  <c r="L29" i="126"/>
  <c r="L31" s="1"/>
  <c r="L32" s="1"/>
  <c r="K29"/>
  <c r="K31" s="1"/>
  <c r="K32" s="1"/>
  <c r="J31"/>
  <c r="J32" s="1"/>
  <c r="K7" i="123"/>
  <c r="J20"/>
  <c r="J32" s="1"/>
  <c r="L7"/>
  <c r="M20"/>
  <c r="M32" s="1"/>
  <c r="O20"/>
  <c r="O32" s="1"/>
  <c r="R20"/>
  <c r="K16"/>
  <c r="L16"/>
  <c r="P32"/>
  <c r="C13" i="174"/>
  <c r="D13" s="1"/>
  <c r="L23" i="165"/>
  <c r="K23"/>
  <c r="O26"/>
  <c r="R26" s="1"/>
  <c r="O22" i="166"/>
  <c r="J22"/>
  <c r="M22"/>
  <c r="J23"/>
  <c r="M23"/>
  <c r="O23"/>
  <c r="K14" i="164"/>
  <c r="L14"/>
  <c r="L13"/>
  <c r="K13"/>
  <c r="K15" i="165"/>
  <c r="K16" s="1"/>
  <c r="L15"/>
  <c r="L16" s="1"/>
  <c r="J16"/>
  <c r="J27" s="1"/>
  <c r="K15" i="166"/>
  <c r="K16" s="1"/>
  <c r="L15"/>
  <c r="L24" i="159"/>
  <c r="L26" s="1"/>
  <c r="L27" s="1"/>
  <c r="J26"/>
  <c r="K24"/>
  <c r="K26" s="1"/>
  <c r="K27" s="1"/>
  <c r="K66" i="106"/>
  <c r="K67" s="1"/>
  <c r="N64"/>
  <c r="N66" s="1"/>
  <c r="N21" i="141"/>
  <c r="K16" i="90"/>
  <c r="L16"/>
  <c r="P17" i="92"/>
  <c r="M17"/>
  <c r="O17"/>
  <c r="J17"/>
  <c r="J20" i="90"/>
  <c r="J32" s="1"/>
  <c r="K7"/>
  <c r="L7"/>
  <c r="O20"/>
  <c r="O32" s="1"/>
  <c r="R20"/>
  <c r="P19" i="92"/>
  <c r="O19"/>
  <c r="M19"/>
  <c r="J19"/>
  <c r="P18"/>
  <c r="M18"/>
  <c r="O18"/>
  <c r="J18"/>
  <c r="L29" i="91"/>
  <c r="L31" s="1"/>
  <c r="L32" s="1"/>
  <c r="K29"/>
  <c r="K31" s="1"/>
  <c r="K32" s="1"/>
  <c r="J31"/>
  <c r="J32" s="1"/>
  <c r="L29" i="92"/>
  <c r="L31" s="1"/>
  <c r="K29"/>
  <c r="J31"/>
  <c r="K54" i="140"/>
  <c r="L54"/>
  <c r="J62"/>
  <c r="O54" i="141"/>
  <c r="H11" i="169"/>
  <c r="I11" s="1"/>
  <c r="J11" s="1"/>
  <c r="J54" i="141"/>
  <c r="K11" i="168"/>
  <c r="L11"/>
  <c r="K55" i="140"/>
  <c r="L55"/>
  <c r="M55" i="141"/>
  <c r="O55"/>
  <c r="J55"/>
  <c r="K56" i="140"/>
  <c r="L56"/>
  <c r="O56" i="141"/>
  <c r="J56"/>
  <c r="K57" i="140"/>
  <c r="L57"/>
  <c r="O57" i="141"/>
  <c r="J57"/>
  <c r="K58" i="140"/>
  <c r="L58"/>
  <c r="M58" i="141"/>
  <c r="O58"/>
  <c r="J58"/>
  <c r="K59" i="140"/>
  <c r="L59"/>
  <c r="O59" i="141"/>
  <c r="J59"/>
  <c r="K64" i="103"/>
  <c r="K66" s="1"/>
  <c r="L64"/>
  <c r="L66" s="1"/>
  <c r="K26" i="165"/>
  <c r="R20" i="89"/>
  <c r="E5" i="175" s="1"/>
  <c r="M20" i="88"/>
  <c r="M32" s="1"/>
  <c r="M26" i="165"/>
  <c r="M27" s="1"/>
  <c r="P26"/>
  <c r="P27" s="1"/>
  <c r="O16" i="164"/>
  <c r="O27" s="1"/>
  <c r="M16"/>
  <c r="M27" s="1"/>
  <c r="O27" i="159"/>
  <c r="M10" i="167"/>
  <c r="N52" i="109"/>
  <c r="M20" i="90"/>
  <c r="M32" s="1"/>
  <c r="H16" i="169"/>
  <c r="H6" s="1"/>
  <c r="N13" i="166"/>
  <c r="N14"/>
  <c r="L16"/>
  <c r="N24"/>
  <c r="N22" i="165"/>
  <c r="L26"/>
  <c r="L27" s="1"/>
  <c r="N15" i="164"/>
  <c r="K16"/>
  <c r="K27" s="1"/>
  <c r="R26"/>
  <c r="M32" i="89"/>
  <c r="M32" i="51"/>
  <c r="N62" i="172"/>
  <c r="N38"/>
  <c r="M9" i="168"/>
  <c r="M9" i="169"/>
  <c r="M20" i="168"/>
  <c r="M8" i="167"/>
  <c r="K7" i="51"/>
  <c r="L7"/>
  <c r="O32"/>
  <c r="R20"/>
  <c r="K16"/>
  <c r="L16"/>
  <c r="P32"/>
  <c r="K17" i="89"/>
  <c r="L17"/>
  <c r="K18"/>
  <c r="L18"/>
  <c r="K51" i="104"/>
  <c r="L51"/>
  <c r="K50"/>
  <c r="L50"/>
  <c r="L21" i="169"/>
  <c r="K21"/>
  <c r="K49" i="104"/>
  <c r="L49"/>
  <c r="H14" i="167"/>
  <c r="I14" s="1"/>
  <c r="J14" s="1"/>
  <c r="I6"/>
  <c r="J6" s="1"/>
  <c r="P67" i="10"/>
  <c r="K48"/>
  <c r="L48"/>
  <c r="L7"/>
  <c r="K7"/>
  <c r="J52"/>
  <c r="R52"/>
  <c r="O52"/>
  <c r="O67" s="1"/>
  <c r="K10" i="103"/>
  <c r="L10"/>
  <c r="K64" i="104"/>
  <c r="K66" s="1"/>
  <c r="L64"/>
  <c r="L66" s="1"/>
  <c r="J66"/>
  <c r="K26" i="103"/>
  <c r="L26"/>
  <c r="K26" i="104"/>
  <c r="L26"/>
  <c r="J52"/>
  <c r="P52"/>
  <c r="M52" i="10"/>
  <c r="M67" s="1"/>
  <c r="K20" i="169"/>
  <c r="L20"/>
  <c r="C11" i="173"/>
  <c r="E11" s="1"/>
  <c r="K15" i="168"/>
  <c r="L15"/>
  <c r="K10"/>
  <c r="L10"/>
  <c r="K8"/>
  <c r="L8"/>
  <c r="C13" i="173"/>
  <c r="E13" s="1"/>
  <c r="C9"/>
  <c r="E9" s="1"/>
  <c r="C7"/>
  <c r="E7" s="1"/>
  <c r="L16" i="164" l="1"/>
  <c r="L27" s="1"/>
  <c r="K53" i="109"/>
  <c r="K70" s="1"/>
  <c r="C3" i="173"/>
  <c r="K53" i="110"/>
  <c r="K70" s="1"/>
  <c r="L53" i="109"/>
  <c r="L70" s="1"/>
  <c r="E4" i="175"/>
  <c r="N66" i="171"/>
  <c r="N67" i="106"/>
  <c r="N51" i="110"/>
  <c r="I16" i="169"/>
  <c r="J16" s="1"/>
  <c r="L16" s="1"/>
  <c r="N23" i="165"/>
  <c r="N26" s="1"/>
  <c r="N7" i="172"/>
  <c r="O27" i="165"/>
  <c r="N59" i="140"/>
  <c r="M62" i="141"/>
  <c r="N14" i="164"/>
  <c r="N7" i="140"/>
  <c r="J48" i="114"/>
  <c r="J49" i="170"/>
  <c r="N7"/>
  <c r="M19" i="169"/>
  <c r="N26" i="109"/>
  <c r="N57" i="140"/>
  <c r="N56"/>
  <c r="N7" i="114"/>
  <c r="N58" i="140"/>
  <c r="N55"/>
  <c r="M11" i="168"/>
  <c r="N15" i="165"/>
  <c r="N16" s="1"/>
  <c r="N26" i="110"/>
  <c r="L70"/>
  <c r="K52" i="104"/>
  <c r="K67" s="1"/>
  <c r="N7" i="10"/>
  <c r="I16" i="168"/>
  <c r="J16" s="1"/>
  <c r="H6"/>
  <c r="I6" s="1"/>
  <c r="J6" s="1"/>
  <c r="L45" i="140"/>
  <c r="K45"/>
  <c r="K63" i="172"/>
  <c r="K65" s="1"/>
  <c r="L63"/>
  <c r="L65" s="1"/>
  <c r="J65"/>
  <c r="K60" i="141"/>
  <c r="L60"/>
  <c r="H18" i="168"/>
  <c r="I18" s="1"/>
  <c r="J18" s="1"/>
  <c r="I47" i="141"/>
  <c r="O47" i="140"/>
  <c r="O48" s="1"/>
  <c r="O63" s="1"/>
  <c r="P47"/>
  <c r="M47"/>
  <c r="M48" s="1"/>
  <c r="M63" s="1"/>
  <c r="J47"/>
  <c r="C4" i="175"/>
  <c r="C6" s="1"/>
  <c r="D16" s="1"/>
  <c r="L18" i="167"/>
  <c r="K18"/>
  <c r="K60" i="114"/>
  <c r="K62" s="1"/>
  <c r="J62"/>
  <c r="L60"/>
  <c r="L62" s="1"/>
  <c r="K63" i="170"/>
  <c r="J65"/>
  <c r="L63"/>
  <c r="L65" s="1"/>
  <c r="L45" i="172"/>
  <c r="K45"/>
  <c r="K46" i="114"/>
  <c r="L46"/>
  <c r="K44" i="170"/>
  <c r="L44"/>
  <c r="J67" i="104"/>
  <c r="L52" i="10"/>
  <c r="L67" s="1"/>
  <c r="J23" i="167"/>
  <c r="N24" i="159"/>
  <c r="N26" s="1"/>
  <c r="N27" s="1"/>
  <c r="N13" i="164"/>
  <c r="O66" i="172"/>
  <c r="O66" i="170"/>
  <c r="N7" i="141"/>
  <c r="M48" i="114"/>
  <c r="M63" s="1"/>
  <c r="O48"/>
  <c r="O63" s="1"/>
  <c r="L46" i="140"/>
  <c r="K46"/>
  <c r="K14" i="168"/>
  <c r="L14"/>
  <c r="L44" i="172"/>
  <c r="K44"/>
  <c r="J49"/>
  <c r="L46" i="141"/>
  <c r="K46"/>
  <c r="K47" i="114"/>
  <c r="L47"/>
  <c r="K45" i="170"/>
  <c r="L45"/>
  <c r="K60" i="140"/>
  <c r="L60"/>
  <c r="L45" i="141"/>
  <c r="K45"/>
  <c r="K45" i="114"/>
  <c r="K48" s="1"/>
  <c r="K63" s="1"/>
  <c r="L45"/>
  <c r="L16" i="167"/>
  <c r="K16"/>
  <c r="P48" i="140"/>
  <c r="P48" i="114"/>
  <c r="P63" s="1"/>
  <c r="L20" i="90"/>
  <c r="L32" s="1"/>
  <c r="N16" i="123"/>
  <c r="N17" i="127"/>
  <c r="N18"/>
  <c r="N19"/>
  <c r="N51" i="104"/>
  <c r="K20" i="127"/>
  <c r="N10" i="88"/>
  <c r="N11"/>
  <c r="N10" i="89"/>
  <c r="N47" i="108"/>
  <c r="N51" i="107"/>
  <c r="N50"/>
  <c r="J67"/>
  <c r="P20" i="89"/>
  <c r="K53" i="108"/>
  <c r="K70" s="1"/>
  <c r="N7" i="105"/>
  <c r="N26" i="103"/>
  <c r="N49" i="104"/>
  <c r="N50"/>
  <c r="N7" i="123"/>
  <c r="N64" i="104"/>
  <c r="N66" s="1"/>
  <c r="K52" i="10"/>
  <c r="K67" s="1"/>
  <c r="N48"/>
  <c r="N17" i="89"/>
  <c r="N16" i="51"/>
  <c r="N64" i="103"/>
  <c r="N66" s="1"/>
  <c r="N29" i="91"/>
  <c r="N31" s="1"/>
  <c r="N32" s="1"/>
  <c r="N7" i="90"/>
  <c r="N16"/>
  <c r="N29" i="126"/>
  <c r="N31" s="1"/>
  <c r="N32" s="1"/>
  <c r="N29" i="127"/>
  <c r="N31" s="1"/>
  <c r="L20" i="88"/>
  <c r="L32" s="1"/>
  <c r="N11" i="89"/>
  <c r="N29" i="88"/>
  <c r="N31" s="1"/>
  <c r="N48" i="105"/>
  <c r="N7" i="108"/>
  <c r="N53" s="1"/>
  <c r="N70" s="1"/>
  <c r="K52" i="107"/>
  <c r="L52" i="105"/>
  <c r="L67" s="1"/>
  <c r="N64" i="107"/>
  <c r="N66" s="1"/>
  <c r="K66"/>
  <c r="N49"/>
  <c r="L52"/>
  <c r="L67" s="1"/>
  <c r="L53" i="108"/>
  <c r="L70" s="1"/>
  <c r="K52" i="105"/>
  <c r="K67" s="1"/>
  <c r="P67" i="104"/>
  <c r="N7" i="51"/>
  <c r="L20"/>
  <c r="L32" s="1"/>
  <c r="K59" i="141"/>
  <c r="L59"/>
  <c r="L58"/>
  <c r="K58"/>
  <c r="K57"/>
  <c r="L57"/>
  <c r="K56"/>
  <c r="L56"/>
  <c r="K55"/>
  <c r="L55"/>
  <c r="L54"/>
  <c r="K54"/>
  <c r="J62"/>
  <c r="L11" i="169"/>
  <c r="K11"/>
  <c r="N54" i="140"/>
  <c r="N29" i="92"/>
  <c r="N31" s="1"/>
  <c r="K31"/>
  <c r="L18"/>
  <c r="K18"/>
  <c r="J20"/>
  <c r="J32" s="1"/>
  <c r="L19"/>
  <c r="K19"/>
  <c r="K20" i="90"/>
  <c r="K32" s="1"/>
  <c r="K17" i="92"/>
  <c r="L17"/>
  <c r="J27" i="159"/>
  <c r="K23" i="166"/>
  <c r="L23"/>
  <c r="K22"/>
  <c r="K26" s="1"/>
  <c r="K27" s="1"/>
  <c r="L22"/>
  <c r="J26"/>
  <c r="J27" s="1"/>
  <c r="O26"/>
  <c r="O27" s="1"/>
  <c r="J20" i="89"/>
  <c r="L19"/>
  <c r="L20" s="1"/>
  <c r="L32" s="1"/>
  <c r="K19"/>
  <c r="N29"/>
  <c r="N31" s="1"/>
  <c r="K31"/>
  <c r="K20" i="51"/>
  <c r="K32" s="1"/>
  <c r="O62" i="141"/>
  <c r="K62" i="140"/>
  <c r="M20" i="92"/>
  <c r="M32" s="1"/>
  <c r="O20"/>
  <c r="O32" s="1"/>
  <c r="P20"/>
  <c r="N15" i="166"/>
  <c r="N16" s="1"/>
  <c r="K27" i="165"/>
  <c r="M26" i="166"/>
  <c r="M27" s="1"/>
  <c r="P26"/>
  <c r="P27" s="1"/>
  <c r="L20" i="123"/>
  <c r="L32" s="1"/>
  <c r="K20"/>
  <c r="K32" s="1"/>
  <c r="K32" i="127"/>
  <c r="L20"/>
  <c r="L32" s="1"/>
  <c r="J32"/>
  <c r="K20" i="89"/>
  <c r="K32" s="1"/>
  <c r="J32" i="88"/>
  <c r="J32" i="89"/>
  <c r="C5" i="173"/>
  <c r="E5" s="1"/>
  <c r="E3" i="175"/>
  <c r="J32" i="51"/>
  <c r="N18" i="89"/>
  <c r="M21" i="169"/>
  <c r="M10" i="168"/>
  <c r="M15"/>
  <c r="N26" i="104"/>
  <c r="N52" s="1"/>
  <c r="N67" s="1"/>
  <c r="L52"/>
  <c r="N10" i="103"/>
  <c r="N52" s="1"/>
  <c r="K52"/>
  <c r="J67" i="10"/>
  <c r="L6" i="167"/>
  <c r="K6"/>
  <c r="K14"/>
  <c r="L14"/>
  <c r="K16" i="169"/>
  <c r="I14"/>
  <c r="J14" s="1"/>
  <c r="I6"/>
  <c r="J6" s="1"/>
  <c r="L52" i="103"/>
  <c r="L67" s="1"/>
  <c r="C3" i="174"/>
  <c r="M20" i="169"/>
  <c r="M8" i="168"/>
  <c r="E3" i="173"/>
  <c r="N53" i="110" l="1"/>
  <c r="N70" s="1"/>
  <c r="N53" i="109"/>
  <c r="N70" s="1"/>
  <c r="L49" i="170"/>
  <c r="N67" i="103"/>
  <c r="J66" i="170"/>
  <c r="E16" i="175"/>
  <c r="N52" i="10"/>
  <c r="N67" s="1"/>
  <c r="L49" i="172"/>
  <c r="L66" s="1"/>
  <c r="N16" i="164"/>
  <c r="N27" s="1"/>
  <c r="J63" i="114"/>
  <c r="N27" i="165"/>
  <c r="E15" i="175"/>
  <c r="N46" i="114"/>
  <c r="N55" i="141"/>
  <c r="M14" i="168"/>
  <c r="M18" i="167"/>
  <c r="N45" i="140"/>
  <c r="N46" i="141"/>
  <c r="K62"/>
  <c r="N58"/>
  <c r="N59"/>
  <c r="N52" i="107"/>
  <c r="N67" s="1"/>
  <c r="N52" i="105"/>
  <c r="N67" s="1"/>
  <c r="N20" i="127"/>
  <c r="N32" s="1"/>
  <c r="N20" i="123"/>
  <c r="N32" s="1"/>
  <c r="N45" i="141"/>
  <c r="N60" i="140"/>
  <c r="N47" i="114"/>
  <c r="K49" i="172"/>
  <c r="K66" s="1"/>
  <c r="B12" i="175"/>
  <c r="C12" s="1"/>
  <c r="R26" i="166"/>
  <c r="L62" i="140"/>
  <c r="F4" i="175" s="1"/>
  <c r="N57" i="141"/>
  <c r="N20" i="51"/>
  <c r="N32" s="1"/>
  <c r="L48" i="114"/>
  <c r="L63" s="1"/>
  <c r="M16" i="167"/>
  <c r="N45" i="114"/>
  <c r="N45" i="170"/>
  <c r="J66" i="172"/>
  <c r="N46" i="140"/>
  <c r="N63" i="172"/>
  <c r="N65" s="1"/>
  <c r="E15" i="173"/>
  <c r="N19" i="92"/>
  <c r="C15" i="173"/>
  <c r="N48" i="114"/>
  <c r="P63" i="140"/>
  <c r="D4" i="175"/>
  <c r="N63" i="170"/>
  <c r="N65" s="1"/>
  <c r="K65"/>
  <c r="F3" i="175" s="1"/>
  <c r="L18" i="168"/>
  <c r="K18"/>
  <c r="L6"/>
  <c r="J23"/>
  <c r="K6"/>
  <c r="B5" i="3"/>
  <c r="K49" i="170"/>
  <c r="L66"/>
  <c r="N60" i="141"/>
  <c r="K47" i="140"/>
  <c r="K48" s="1"/>
  <c r="K63" s="1"/>
  <c r="L47"/>
  <c r="L48" s="1"/>
  <c r="L63" s="1"/>
  <c r="J48"/>
  <c r="J63" s="1"/>
  <c r="H18" i="169"/>
  <c r="I18" s="1"/>
  <c r="J18" s="1"/>
  <c r="J23" s="1"/>
  <c r="P47" i="141"/>
  <c r="P48" s="1"/>
  <c r="O47"/>
  <c r="O48" s="1"/>
  <c r="O63" s="1"/>
  <c r="J47"/>
  <c r="M47"/>
  <c r="M48" s="1"/>
  <c r="M63" s="1"/>
  <c r="L16" i="168"/>
  <c r="K16"/>
  <c r="D5" i="3"/>
  <c r="D6"/>
  <c r="N19" i="89"/>
  <c r="N20" s="1"/>
  <c r="N32" s="1"/>
  <c r="N23" i="166"/>
  <c r="N18" i="92"/>
  <c r="N62" i="140"/>
  <c r="N54" i="141"/>
  <c r="L62"/>
  <c r="N56"/>
  <c r="D3" i="175"/>
  <c r="N44" i="172"/>
  <c r="N44" i="170"/>
  <c r="N49" s="1"/>
  <c r="N66" s="1"/>
  <c r="N45" i="172"/>
  <c r="N60" i="114"/>
  <c r="N62" s="1"/>
  <c r="K20" i="92"/>
  <c r="K32" s="1"/>
  <c r="K67" i="107"/>
  <c r="N20" i="88"/>
  <c r="N32" s="1"/>
  <c r="P32" i="89"/>
  <c r="C5" i="174"/>
  <c r="D5" s="1"/>
  <c r="N20" i="90"/>
  <c r="N32" s="1"/>
  <c r="B6" i="3"/>
  <c r="N17" i="92"/>
  <c r="D3" i="174"/>
  <c r="M11" i="169"/>
  <c r="P32" i="92"/>
  <c r="C9" i="174"/>
  <c r="D9" s="1"/>
  <c r="N22" i="166"/>
  <c r="L26"/>
  <c r="L20" i="92"/>
  <c r="L32" s="1"/>
  <c r="D5" i="175"/>
  <c r="B3"/>
  <c r="E6"/>
  <c r="M6" i="167"/>
  <c r="M16" i="169"/>
  <c r="L6"/>
  <c r="K6"/>
  <c r="L14"/>
  <c r="K14"/>
  <c r="K23" i="167"/>
  <c r="L24"/>
  <c r="K67" i="103"/>
  <c r="C6" i="3" s="1"/>
  <c r="L67" i="104"/>
  <c r="M14" i="167"/>
  <c r="L23"/>
  <c r="N26" i="166" l="1"/>
  <c r="N27" s="1"/>
  <c r="N62" i="141"/>
  <c r="B4" i="175"/>
  <c r="N20" i="92"/>
  <c r="N32" s="1"/>
  <c r="M18" i="168"/>
  <c r="M16"/>
  <c r="K66" i="170"/>
  <c r="C5" i="3" s="1"/>
  <c r="G5" s="1"/>
  <c r="G8" s="1"/>
  <c r="G9" s="1"/>
  <c r="J48" i="141"/>
  <c r="K47"/>
  <c r="L47"/>
  <c r="L48" s="1"/>
  <c r="L63" s="1"/>
  <c r="P63"/>
  <c r="C8" i="174"/>
  <c r="L24" i="168"/>
  <c r="K23"/>
  <c r="M6"/>
  <c r="N47" i="140"/>
  <c r="N48" s="1"/>
  <c r="N63" s="1"/>
  <c r="L23" i="168"/>
  <c r="N63" i="114"/>
  <c r="K18" i="169"/>
  <c r="K23" s="1"/>
  <c r="L18"/>
  <c r="L23" s="1"/>
  <c r="N49" i="172"/>
  <c r="N66" s="1"/>
  <c r="D6" i="175"/>
  <c r="E7" s="1"/>
  <c r="L27" i="166"/>
  <c r="F5" i="175"/>
  <c r="F6" s="1"/>
  <c r="G6" i="3"/>
  <c r="M23" i="167"/>
  <c r="M14" i="169"/>
  <c r="M6"/>
  <c r="D12" i="175"/>
  <c r="D8" i="174" l="1"/>
  <c r="C21"/>
  <c r="D7" i="3"/>
  <c r="D8" s="1"/>
  <c r="M23" i="168"/>
  <c r="L24" i="169"/>
  <c r="B20" i="175" s="1"/>
  <c r="C20" s="1"/>
  <c r="M18" i="169"/>
  <c r="J63" i="141"/>
  <c r="B7" i="3" s="1"/>
  <c r="B8" s="1"/>
  <c r="K48" i="141"/>
  <c r="K63" s="1"/>
  <c r="C7" i="3" s="1"/>
  <c r="C8" s="1"/>
  <c r="N47" i="141"/>
  <c r="N48" s="1"/>
  <c r="N63" s="1"/>
  <c r="B13" i="175" s="1"/>
  <c r="C13" s="1"/>
  <c r="E13" s="1"/>
  <c r="M23" i="169"/>
  <c r="B21" i="175" s="1"/>
  <c r="C21" s="1"/>
  <c r="B5" l="1"/>
  <c r="G7" i="3"/>
  <c r="B14" i="175"/>
  <c r="C14"/>
  <c r="D14" s="1"/>
  <c r="D13"/>
  <c r="E14" l="1"/>
  <c r="B6"/>
  <c r="E8" s="1"/>
  <c r="B11"/>
  <c r="C11" s="1"/>
  <c r="D11" l="1"/>
  <c r="E11"/>
</calcChain>
</file>

<file path=xl/comments1.xml><?xml version="1.0" encoding="utf-8"?>
<comments xmlns="http://schemas.openxmlformats.org/spreadsheetml/2006/main">
  <authors>
    <author>CMacQueen</author>
  </authors>
  <commentList>
    <comment ref="A3" authorId="0">
      <text>
        <r>
          <rPr>
            <b/>
            <sz val="8"/>
            <color indexed="81"/>
            <rFont val="Tahoma"/>
            <family val="2"/>
          </rPr>
          <t>CMacQueen:</t>
        </r>
        <r>
          <rPr>
            <sz val="8"/>
            <color indexed="81"/>
            <rFont val="Tahoma"/>
            <family val="2"/>
          </rPr>
          <t xml:space="preserve">
Update line items based on preamble info
e.g., on p. 32-34 … 135-147</t>
        </r>
      </text>
    </comment>
  </commentList>
</comments>
</file>

<file path=xl/sharedStrings.xml><?xml version="1.0" encoding="utf-8"?>
<sst xmlns="http://schemas.openxmlformats.org/spreadsheetml/2006/main" count="4472" uniqueCount="577">
  <si>
    <t>Table 6.C.  Annual Respondent Burden and Cost of Recordkeeping and Reporting Requirements for the National Emission Standards</t>
  </si>
  <si>
    <t xml:space="preserve">                for Hazardous Air Pollutants (NESHAP) for Industrial, Commercial, and Institutional Boilers  - Year 3, New Large Gas Fuel Units</t>
  </si>
  <si>
    <t>c Since existing units have three years after the publication date of the final rule to submit initial notification of compliance status, conduct compliance activities, or meet recordkeeping or reporting requirements, it is assumed that half the affected units will conduct an audit, testing and monitoring plan development in year 2 and half will conduct them in year 3 in order to be in compliance by the third year after promulgation.  Initial Notification of Compliance Reports and recordkeeping requirements will not begin until year 3 of this ICR.</t>
  </si>
  <si>
    <t>g Existing large solid units are expected to determine compliance through stack testing and not fuel analysis</t>
  </si>
  <si>
    <t>(B) Certified Energy Audit Cost per Occurrence</t>
  </si>
  <si>
    <t>(D) Other Non-Labor Costs Per Occurrence</t>
  </si>
  <si>
    <t>(C) Stack Testing and Fuel Analysis Cost Per Occurrence</t>
  </si>
  <si>
    <t>Reporting Subtotal</t>
  </si>
  <si>
    <t>(K)  Total Labor Costs Per Year</t>
  </si>
  <si>
    <t>(L) Total Non-Labor Capital Costs Per Year [(B+C+D)xExG]</t>
  </si>
  <si>
    <t xml:space="preserve">           2. Biennial Tune-Up</t>
  </si>
  <si>
    <t>3) Biennial Compliance Report</t>
  </si>
  <si>
    <t>c, f</t>
  </si>
  <si>
    <t>c, g</t>
  </si>
  <si>
    <t>Review annual compliance report</t>
  </si>
  <si>
    <t>Review biennial compliance report</t>
  </si>
  <si>
    <t>j</t>
  </si>
  <si>
    <t>L</t>
  </si>
  <si>
    <t>m</t>
  </si>
  <si>
    <t>m Total cost is based on the number of trips taken by EPA to observe performance tests in year 1 (4.A. &amp; 4.B.) multiplied by $1104 per trip.  The source for hotel and meals/incidental costs is based on FY' 10 per diem rates, averaged across all locations in the United States.  Airfares are estimated based on experience from other rulemakings. See: http://www.gsa.gov/Portal/gsa/ep/contentView.do?contentId=17943&amp;contentType=GSA_BASIC</t>
  </si>
  <si>
    <t>L Energy audits only occur at existing facilities.</t>
  </si>
  <si>
    <t>k These rates are from the Office of Personnel Management (OPM), 2010 General Schedule, which excludes locality rates of pay.  The rates have been increased by 60 percent to account for the benefit packages available to government employees. These rates can be obtained from the OPM web site, http//www.opm.gov/oca/payrates/index/htm.</t>
  </si>
  <si>
    <t>(H) Costs, $ k</t>
  </si>
  <si>
    <t>No new process gas units</t>
  </si>
  <si>
    <t>No new solid units</t>
  </si>
  <si>
    <r>
      <t xml:space="preserve">(H) Costs, $ </t>
    </r>
    <r>
      <rPr>
        <vertAlign val="superscript"/>
        <sz val="10"/>
        <rFont val="Arial"/>
        <family val="2"/>
      </rPr>
      <t>k</t>
    </r>
  </si>
  <si>
    <t>REPORTING</t>
  </si>
  <si>
    <t>Recordkeeping Subtotal</t>
  </si>
  <si>
    <t>Existing Boilers -- number of boilers with monitor</t>
  </si>
  <si>
    <t>New Boilers -- number of boilers with monitor</t>
  </si>
  <si>
    <t>Total HOURS</t>
  </si>
  <si>
    <t>3- year period</t>
  </si>
  <si>
    <t>Average per year</t>
  </si>
  <si>
    <t>Total LABOR COSTS</t>
  </si>
  <si>
    <t>TOTAL COSTS (non-labor)</t>
  </si>
  <si>
    <t>TOTAL LABOR AND NON-Labor COSTS</t>
  </si>
  <si>
    <t>Agency Labor Rates</t>
  </si>
  <si>
    <t>Per Diem Info</t>
  </si>
  <si>
    <t>Hotel</t>
  </si>
  <si>
    <t>Meals</t>
  </si>
  <si>
    <t>Airfare</t>
  </si>
  <si>
    <t>Trip Length</t>
  </si>
  <si>
    <t>Other Data</t>
  </si>
  <si>
    <t>Percent of Stack Tests Observed</t>
  </si>
  <si>
    <t>Estimated Percent Retesting</t>
  </si>
  <si>
    <t>Estimated Percent Emission Exceedences</t>
  </si>
  <si>
    <t>Table 13.A.  Annual Federal Government Burden and Cost of Recordkeeping and Reporting</t>
  </si>
  <si>
    <t>EPA hours per occurrence (A)</t>
  </si>
  <si>
    <t>Number of occurrences per year (B)</t>
  </si>
  <si>
    <t>EPA hours per occurrence per year (C=AxB)</t>
  </si>
  <si>
    <t>Technical hours per year (D=C)</t>
  </si>
  <si>
    <t>Mangmt hours per year (E=Dx0.05)</t>
  </si>
  <si>
    <t>Clerical hours per year (F=Dx0.1)</t>
  </si>
  <si>
    <t>1.</t>
  </si>
  <si>
    <t>Read and understand rule requirements</t>
  </si>
  <si>
    <t>2.</t>
  </si>
  <si>
    <t>Enter and update information into agency recordkeeping system</t>
  </si>
  <si>
    <t>3.</t>
  </si>
  <si>
    <t>Required activities</t>
  </si>
  <si>
    <t>A.</t>
  </si>
  <si>
    <t>Observe initial stack/performance test</t>
  </si>
  <si>
    <t>B.</t>
  </si>
  <si>
    <t>Observe repeat performance test</t>
  </si>
  <si>
    <t>C.</t>
  </si>
  <si>
    <t>Review operating parameters</t>
  </si>
  <si>
    <t>D.</t>
  </si>
  <si>
    <t>Review continuous parameter monitoring</t>
  </si>
  <si>
    <t>4</t>
  </si>
  <si>
    <t>Excess Emissions Enforcement Activities and Inspections</t>
  </si>
  <si>
    <t>g</t>
  </si>
  <si>
    <t>5</t>
  </si>
  <si>
    <t>Notification requirements</t>
  </si>
  <si>
    <t xml:space="preserve">Review initial notification that sources are subject to the standard </t>
  </si>
  <si>
    <t>Review notification of initial performance tests and review test plan</t>
  </si>
  <si>
    <t>Review notification of compliance status</t>
  </si>
  <si>
    <t>6.</t>
  </si>
  <si>
    <t>Reporting requirements</t>
  </si>
  <si>
    <t>Review semiannual compliance report</t>
  </si>
  <si>
    <t>h</t>
  </si>
  <si>
    <t xml:space="preserve">B. </t>
  </si>
  <si>
    <t>Review initial report on results of energy audit</t>
  </si>
  <si>
    <t>7.</t>
  </si>
  <si>
    <t>Travel Expenses for Tests Attended</t>
  </si>
  <si>
    <t>3 days * ($110 hotel + $58 meals/incidentals) + ($600 round trip) = $1104 per trip</t>
  </si>
  <si>
    <t>i</t>
  </si>
  <si>
    <t>TOTAL BURDEN AND COST (SALARY)</t>
  </si>
  <si>
    <t>TOTAL ANNUAL HOURS</t>
  </si>
  <si>
    <t>a Number of occurences is the number of states where affected sources will exist and each EPA Region (50 states + 10 EPA regions = 60 respondents).</t>
  </si>
  <si>
    <t>Table 13.B.  Annual Federal Government Burden and Cost of Recordkeeping and Reporting</t>
  </si>
  <si>
    <t>Table 13.C.  Annual Federal Government Burden and Cost of Recordkeeping and Reporting</t>
  </si>
  <si>
    <t>c,g</t>
  </si>
  <si>
    <t>c,h</t>
  </si>
  <si>
    <t>c,f</t>
  </si>
  <si>
    <t xml:space="preserve">                for Hazardous Air Pollutants (NESHAP) for Industrial, Commercial, and Institutional Boilers  - Year 3, Existing Large Solid Fuel Units</t>
  </si>
  <si>
    <t>(C) Annual Tune-Up Cost per Occurrence</t>
  </si>
  <si>
    <t xml:space="preserve">d Cost per occurrence for energy audit professionals including an phone screening to discuss the facility prior to a visit, a 2 to 4 hour site visit, and an additional 2-4 hours to prepare a follow-up report on recommendations and findings. These site visits are assumed to be conducted by certified energy professionals.   </t>
  </si>
  <si>
    <t>(L) Total Non-Labor Capital Costs Per Year ((B+C+D)xExG)</t>
  </si>
  <si>
    <t xml:space="preserve">                for Hazardous Air Pollutants (NESHAP) for Industrial, Commercial, and Institutional Boilers  - Year 2, Existing Large Solid Fuel Units</t>
  </si>
  <si>
    <t>a  Number of respondents based on number of existing large liquid fuel boilers which includes units greater than 10 mmBtu/hr (assumption of 8 units per facility).</t>
  </si>
  <si>
    <t xml:space="preserve">                for Hazardous Air Pollutants (NESHAP) for Industrial, Commercial, and Institutional Boilers  - Year 3, Existing Large Liquid Fuel Units</t>
  </si>
  <si>
    <t xml:space="preserve">                for Hazardous Air Pollutants (NESHAP) for Industrial, Commercial, and Institutional Boilers  - Year 1, Existing Large Gas Fuel Units</t>
  </si>
  <si>
    <t>a  Number of respondents based on number of existing large gas fuel boilers which includes natural, petroleum, and other gas fuel units greater than 10 mmBtu/hr (assumption of 8 units per facility).</t>
  </si>
  <si>
    <t xml:space="preserve">                for Hazardous Air Pollutants (NESHAP) for Industrial, Commercial, and Institutional Boilers  - Year 2, Existing Large Gas Fuel Units</t>
  </si>
  <si>
    <t xml:space="preserve">                for Hazardous Air Pollutants (NESHAP) for Industrial, Commercial, and Institutional Boilers  - Year 3, Existing Large Gas Fuel Units</t>
  </si>
  <si>
    <t>a  There are no new large solid units expected to be constructed/reconstructed over the next 5 years</t>
  </si>
  <si>
    <t xml:space="preserve">                for Hazardous Air Pollutants (NESHAP) for Industrial, Commercial, and Institutional Boilers  - Year 1, New Large Solid Fuel Units</t>
  </si>
  <si>
    <t>g New large liquid units are expected to determine compliance through fuel analysis not stack testing</t>
  </si>
  <si>
    <t>d Subsequent annual testing in year 2 are based on the number of sources that had an initial test in year 1 of this ICR.   Subsequent semi-annual compliance reporting and recordkeeping requirements are based on the number of new sources in years 1 and 2 of this ICR.  Since fuel analysis is only required once every five years, no burden is assigned in year 2.</t>
  </si>
  <si>
    <t xml:space="preserve">                for Hazardous Air Pollutants (NESHAP) for Industrial, Commercial, and Institutional Boilers  - Year 1, New Large Gas Fuel Units</t>
  </si>
  <si>
    <t>PM</t>
  </si>
  <si>
    <t>Hg</t>
  </si>
  <si>
    <t>HCl</t>
  </si>
  <si>
    <t>D/F</t>
  </si>
  <si>
    <t>Large Liquid</t>
  </si>
  <si>
    <t>5_AffectedSector</t>
  </si>
  <si>
    <t>CountOf5_AffectedSector</t>
  </si>
  <si>
    <t>Not-for-Profit</t>
  </si>
  <si>
    <t>Private Enterprise</t>
  </si>
  <si>
    <t>Public Sector</t>
  </si>
  <si>
    <t>8_Small Entity</t>
  </si>
  <si>
    <t/>
  </si>
  <si>
    <t>False</t>
  </si>
  <si>
    <t>True</t>
  </si>
  <si>
    <t>Unknown</t>
  </si>
  <si>
    <t>% of Total</t>
  </si>
  <si>
    <t>Assumed blank and unknown are not small entities</t>
  </si>
  <si>
    <t>Private Sector</t>
  </si>
  <si>
    <t>% Small Entity</t>
  </si>
  <si>
    <t>Table 12.A.  Annual Respondent Burden and Cost of Recordkeeping and Reporting Requirements for the National Emission Standards</t>
  </si>
  <si>
    <t>Table 12.B.  Annual Respondent Burden and Cost of Recordkeeping and Reporting Requirements for the National Emission Standards</t>
  </si>
  <si>
    <t>Table 12.C.  Annual Respondent Burden and Cost of Recordkeeping and Reporting Requirements for the National Emission Standards</t>
  </si>
  <si>
    <t>b Assumes facility must already maintain records on boiler insurance and/or maintenance schedule.  No new record system would be required.</t>
  </si>
  <si>
    <t>b</t>
  </si>
  <si>
    <t xml:space="preserve">           2.  Initial Stack Test and Report (for Hg)</t>
  </si>
  <si>
    <t xml:space="preserve">           3.  Initial Stack Test and Report (for HCl)</t>
  </si>
  <si>
    <t xml:space="preserve">           4.  Initial Stack Test and Report (for CO)</t>
  </si>
  <si>
    <t xml:space="preserve">           5.  Initial Stack Test and Report (for D/F)</t>
  </si>
  <si>
    <t>Criteria for Monitor Counts:</t>
  </si>
  <si>
    <t>1) Solid or Liquid fuel</t>
  </si>
  <si>
    <t>2) Design Capacity &gt;10</t>
  </si>
  <si>
    <t>3a) Bag Leak Detection -TCI &gt;0, HCL Control Selected not "DIFF", FF-TCI &gt;0; or</t>
  </si>
  <si>
    <t>3b) DIFF Monitoring -TCI &gt;0, HCL Control Selected = "DIFF", DIFF TCI &gt;0</t>
  </si>
  <si>
    <t>3) Opacity -TCI &gt;0</t>
  </si>
  <si>
    <t>4) HCL Control Selected not "Scrubber"</t>
  </si>
  <si>
    <t>3) HCL Control Selected = "Scrubber"</t>
  </si>
  <si>
    <t>4) WS Monitoring -TCI &gt;0</t>
  </si>
  <si>
    <t>3) FF-TCI = "ACI"</t>
  </si>
  <si>
    <t>4) ACI Carbon Rate (TCI) &gt;0</t>
  </si>
  <si>
    <t xml:space="preserve">           6.  Annual Stack Test and Report (for PM)</t>
  </si>
  <si>
    <t xml:space="preserve">           7.  Annual Stack Test and Report (for Hg)</t>
  </si>
  <si>
    <t xml:space="preserve">           8.  Annual Stack Test and Report (for HCl)</t>
  </si>
  <si>
    <t xml:space="preserve">           9.  Annual Stack Test and Report (for CO)</t>
  </si>
  <si>
    <t xml:space="preserve">           10.  Annual Stack Test and Report (for D/F)</t>
  </si>
  <si>
    <t>b Energy audits are not required for new sources.</t>
  </si>
  <si>
    <t>If greater than 100</t>
  </si>
  <si>
    <t>same</t>
  </si>
  <si>
    <t>Test Type</t>
  </si>
  <si>
    <t>Cost</t>
  </si>
  <si>
    <t>Large Solid</t>
  </si>
  <si>
    <t>assume fuel analysis for Hg</t>
  </si>
  <si>
    <t>Annualized Energy Audit Cost at 7%</t>
  </si>
  <si>
    <t>Commercial</t>
  </si>
  <si>
    <t>Industrial</t>
  </si>
  <si>
    <t>Number of Facilities</t>
  </si>
  <si>
    <t>% of Total Facilities</t>
  </si>
  <si>
    <t>b Cost includes taking an inventory of facility equipment including age, operating schedules, square feet of the facility and other details necessary for preparing for the audit pre-screening, attending the energy audit, and reviewing audit report from the audit professional.  Based on the distribution of facilities with affected boilers or process heaters, 87.4% of facilities are in the  industrial sector while the remaining 12.6% of facilities are in the commercial sector.</t>
  </si>
  <si>
    <t>Opacity vs. Bag Leak Detection vs. Wet Scrubber vs. ACI</t>
  </si>
  <si>
    <t>BLD</t>
  </si>
  <si>
    <t>Opacity</t>
  </si>
  <si>
    <t>Wet Scrubber</t>
  </si>
  <si>
    <t>Small Solid</t>
  </si>
  <si>
    <t>Small Liquid</t>
  </si>
  <si>
    <t>Small Gas</t>
  </si>
  <si>
    <t xml:space="preserve">                  Scrubber System Monitoring and Operation
                  (for units with wet scrubbers)</t>
  </si>
  <si>
    <t xml:space="preserve">                  Carbon Injection Monitoring System 
                  (all sources that use ACI to control Hg)</t>
  </si>
  <si>
    <t>(M) Total Number of Responses per Year (E X G)</t>
  </si>
  <si>
    <t>(E) Number of Occurrences Per Respondent Per Year</t>
  </si>
  <si>
    <t xml:space="preserve">                  Scrubber System Monitoring and Operation 
                  (for units with wet scrubbers)</t>
  </si>
  <si>
    <t>Table 1.A.  Annual Respondent Burden and Cost of Recordkeeping and Reporting Requirements for the National Emission Standards</t>
  </si>
  <si>
    <t>Table 1.C.  Annual Respondent Burden and Cost of Recordkeeping and Reporting Requirements for the National Emission Standards</t>
  </si>
  <si>
    <t>Table 2.A.  Annual Respondent Burden and Cost of Recordkeeping and Reporting Requirements for the National Emission Standards</t>
  </si>
  <si>
    <t>Table 2.B.  Annual Respondent Burden and Cost of Recordkeeping and Reporting Requirements for the National Emission Standards</t>
  </si>
  <si>
    <t>c,k</t>
  </si>
  <si>
    <t>Table 2.C.  Annual Respondent Burden and Cost of Recordkeeping and Reporting Requirements for the National Emission Standards</t>
  </si>
  <si>
    <t>Table 3.A.  Annual Respondent Burden and Cost of Recordkeeping and Reporting Requirements for the National Emission Standards</t>
  </si>
  <si>
    <t>Table 3.B.  Annual Respondent Burden and Cost of Recordkeeping and Reporting Requirements for the National Emission Standards</t>
  </si>
  <si>
    <t>Table 3.C.  Annual Respondent Burden and Cost of Recordkeeping and Reporting Requirements for the National Emission Standards</t>
  </si>
  <si>
    <t>Energy Audit - Existing Facilities</t>
  </si>
  <si>
    <t>Energy Audit - New Facilities</t>
  </si>
  <si>
    <t>Table 4.A.  Annual Respondent Burden and Cost of Recordkeeping and Reporting Requirements for the National Emission Standards</t>
  </si>
  <si>
    <t xml:space="preserve">                for Hazardous Air Pollutants (NESHAP) for Industrial, Commercial, and Institutional Boilers  - Year 2, New Large Solid Fuel Units</t>
  </si>
  <si>
    <t xml:space="preserve">                for Hazardous Air Pollutants (NESHAP) for Industrial, Commercial, and Institutional Boilers  - Year 3, New Large Solid Fuel Units</t>
  </si>
  <si>
    <t>Table 4.B.  Annual Respondent Burden and Cost of Recordkeeping and Reporting Requirements for the National Emission Standards</t>
  </si>
  <si>
    <t>Table 4.C.  Annual Respondent Burden and Cost of Recordkeeping and Reporting Requirements for the National Emission Standards</t>
  </si>
  <si>
    <t>Table 5.A.  Annual Respondent Burden and Cost of Recordkeeping and Reporting Requirements for the National Emission Standards</t>
  </si>
  <si>
    <t xml:space="preserve">                for Hazardous Air Pollutants (NESHAP) for Industrial, Commercial, and Institutional Boilers  - Year 1, New Large Liquid Fuel Units</t>
  </si>
  <si>
    <t>CO</t>
  </si>
  <si>
    <t>no test cost, assume CO monitor</t>
  </si>
  <si>
    <t xml:space="preserve">           5.  Initial Stack Test and Report (for CO)</t>
  </si>
  <si>
    <t xml:space="preserve">           10.  Annual Stack Test and Report (for CO)</t>
  </si>
  <si>
    <t>Tune-ups required for all units &lt;10 and all gas 1 units, regardless of size</t>
  </si>
  <si>
    <t>Unit Subcategory </t>
  </si>
  <si>
    <t>Number of Respondents (Facilities)</t>
  </si>
  <si>
    <t>Small units designed to burn Gaseous Fuels (all gases)</t>
  </si>
  <si>
    <t xml:space="preserve">                for Hazardous Air Pollutants (NESHAP) for Industrial, Commercial, and Institutional Boilers  - Year 2, New Large Liquid Fuel Units</t>
  </si>
  <si>
    <t>Table 5.B.  Annual Respondent Burden and Cost of Recordkeeping and Reporting Requirements for the National Emission Standards</t>
  </si>
  <si>
    <t xml:space="preserve">                for Hazardous Air Pollutants (NESHAP) for Industrial, Commercial, and Institutional Boilers  - Year 3, New Large Liquid Fuel Units</t>
  </si>
  <si>
    <t>Table 5.C.  Annual Respondent Burden and Cost of Recordkeeping and Reporting Requirements for the National Emission Standards</t>
  </si>
  <si>
    <t>RECORDKEEPING</t>
  </si>
  <si>
    <t>INDUSTRY</t>
  </si>
  <si>
    <t>(A)</t>
  </si>
  <si>
    <t>Number of New Respondents (Average for Years 1,2, and 3)</t>
  </si>
  <si>
    <t>(B)</t>
  </si>
  <si>
    <t>Number of Reports for New Respondents*</t>
  </si>
  <si>
    <t>(C)</t>
  </si>
  <si>
    <t>Number of Existing Respondents</t>
  </si>
  <si>
    <t>(D)*</t>
  </si>
  <si>
    <t>Number of Reports for Existing Respondents</t>
  </si>
  <si>
    <t>(F)</t>
  </si>
  <si>
    <t>Number of Existing Respondents That Keep Records but Do Not Submit Reports</t>
  </si>
  <si>
    <t>(E)</t>
  </si>
  <si>
    <t>Total Annual Responses</t>
  </si>
  <si>
    <t>Large units designed to burn Coal</t>
  </si>
  <si>
    <t>Large units designed to burn Biomass</t>
  </si>
  <si>
    <t>Large units designed to burn Liquid</t>
  </si>
  <si>
    <t>Small units designed to burn Coal</t>
  </si>
  <si>
    <t>Small units designed to burn Biomass</t>
  </si>
  <si>
    <t>Small units designed to burn Liquid</t>
  </si>
  <si>
    <t>Large units designed to burn Natural Gas</t>
  </si>
  <si>
    <t>Large units designed to burn Refinery Gas</t>
  </si>
  <si>
    <t>Large units designed to burn Other Process Gases</t>
  </si>
  <si>
    <t>Table 7.A.  Annual Respondent Burden and Cost of Recordkeeping and Reporting Requirements for the National Emission Standards</t>
  </si>
  <si>
    <t>Table 7.B.  Annual Respondent Burden and Cost of Recordkeeping and Reporting Requirements for the National Emission Standards</t>
  </si>
  <si>
    <t>Table 7.C.  Annual Respondent Burden and Cost of Recordkeeping and Reporting Requirements for the National Emission Standards</t>
  </si>
  <si>
    <t>Table 8.A.  Annual Respondent Burden and Cost of Recordkeeping and Reporting Requirements for the National Emission Standards</t>
  </si>
  <si>
    <t>Table 8.B.  Annual Respondent Burden and Cost of Recordkeeping and Reporting Requirements for the National Emission Standards</t>
  </si>
  <si>
    <t>Table 8.C.  Annual Respondent Burden and Cost of Recordkeeping and Reporting Requirements for the National Emission Standards</t>
  </si>
  <si>
    <t>g Existing large gas 2 units are expected to determine compliance through stack testing not fuel analysis</t>
  </si>
  <si>
    <t xml:space="preserve">  </t>
  </si>
  <si>
    <t>5) Semi-annual Compliance Report</t>
  </si>
  <si>
    <t>4) Annual Compliance Report</t>
  </si>
  <si>
    <t xml:space="preserve">           5) Records of All Annual Compliance Reports Submitted</t>
  </si>
  <si>
    <t>k The recordkeeping and reporting requirements for natural gas fired units is to conduct an annual tune-up and document that the tune-up was completed. The documentation does not need to be submitted as a report unless requested by the Administrator.</t>
  </si>
  <si>
    <t>g Existing large gas 2 units are expected to determine compliance through stack testing.</t>
  </si>
  <si>
    <t>L Only facilities with process gas (gas 2 units) subject to numerical emission limits are expected to be required to submit semi-annual compliance reports. Natural gas and refinery gas units are required to submit reports annually.</t>
  </si>
  <si>
    <t>h Only gas 2 units less than 250 mmBtu/hr are expected to perform stack testing for PM.  Gas 2 units greater than 250 mmBtu/hr will be equipped with a PM CEMS</t>
  </si>
  <si>
    <t xml:space="preserve">           7) Records of Monthly Fuel Use</t>
  </si>
  <si>
    <t xml:space="preserve">          7) Records of Monthly Fuel Use</t>
  </si>
  <si>
    <t>3)  Biennial Compliance Report</t>
  </si>
  <si>
    <t xml:space="preserve">           2. Biennual Tune-Up</t>
  </si>
  <si>
    <t>c Since existing units have three years after the publication date of the final rule to submit initial notification of compliance status, conduct compliance activities, or meet recordkeeping or reporting requirements, it is assumed that half the affected units will conduct an audit, testing and monitoring plan development in year 2 and half will conduct them in year 3 in order to be in compliance by the third year after promulgation.  Initial Notification of Compliance Reports and recordkeeping requirements will not begin until year 3 of this ICR. Annualized cost of $2228 for a tune-up is calculated considering a biennual schedule.</t>
  </si>
  <si>
    <t>3) Biennial Tune-Up Records</t>
  </si>
  <si>
    <t>Table 9.A.  Annual Respondent Burden and Cost of Recordkeeping and Reporting Requirements for the National Emission Standards</t>
  </si>
  <si>
    <t>Table 9.B.  Annual Respondent Burden and Cost of Recordkeeping and Reporting Requirements for the National Emission Standards</t>
  </si>
  <si>
    <t>Table 9.C.  Annual Respondent Burden and Cost of Recordkeeping and Reporting Requirements for the National Emission Standards</t>
  </si>
  <si>
    <t>c, L</t>
  </si>
  <si>
    <t>Number of Facilities with Refinery Gas Units</t>
  </si>
  <si>
    <t>c,j,k</t>
  </si>
  <si>
    <t>h Gas units are exempt from PM CEMS and opacity monitoring.</t>
  </si>
  <si>
    <t>a,h</t>
  </si>
  <si>
    <t>a,j</t>
  </si>
  <si>
    <t>a,g</t>
  </si>
  <si>
    <t>c Only one unit is greater than 250 mmBtu/hr.  This unit is counted during the first year</t>
  </si>
  <si>
    <t>a,c</t>
  </si>
  <si>
    <t xml:space="preserve">           7.  Annual Stack Test and Report (for PM)</t>
  </si>
  <si>
    <t xml:space="preserve">           8.  Annual Stack Test and Report (for Hg)</t>
  </si>
  <si>
    <t xml:space="preserve">           9.  Annual Stack Test and Report (for HCl)</t>
  </si>
  <si>
    <t xml:space="preserve">           11.  Annual Stack Test and Report (for D/F)</t>
  </si>
  <si>
    <t xml:space="preserve">           12.  Initial Fuel Analysis for Mercury and HCL Content</t>
  </si>
  <si>
    <t xml:space="preserve">           13.  Monthly Fuel Analysis for Mercury and HCL Content</t>
  </si>
  <si>
    <t xml:space="preserve">           14.  Continuous Parameter Monitoring</t>
  </si>
  <si>
    <t>d Assumes facility must already maintain records on boiler insurance and/or maintenance schedule as part of their operations.  No new record system would be required.</t>
  </si>
  <si>
    <t>d</t>
  </si>
  <si>
    <t>f</t>
  </si>
  <si>
    <t xml:space="preserve">                        a) Commerical</t>
  </si>
  <si>
    <t xml:space="preserve"> for the Industrial, Commercial, and Institutional Boiler and Process Heater Major Source NESHAP Subpart DDDDD- Year 1 - First Year After Promulgation</t>
  </si>
  <si>
    <t xml:space="preserve">                        b) Industrial</t>
  </si>
  <si>
    <t xml:space="preserve">b Cost includes taking an inventory of facility equipment including age, operating schedules, square feet of the facility and other details necessary for preparing for the audit pre-screening, attending the energy audit, and reviewing audit report from the audit professional.  Based on the distribution facility NAICS codes in the 2008 combustion unit survey database, 12.6% of facilities are in the commercial sector while the remaining 87.4% of facilities are in the industrial sector. </t>
  </si>
  <si>
    <t>b Cost includes taking an inventory of facility equipment including age, operating schedules, square feet of the facility and other details necessary for preparing for the audit pre-screening, attending the energy audit, and reviewing audit report from the audit professional.  Based on the distribution facility NAICS codes in the 2008 combustion unit survey database, 12.6% of facilities are in the commercial sector while the remaining 87.4% of facilities are in the industrial sector. The one facility with biomass boilers is expected to be at industrial facility and it will conduct the audit in year 2.</t>
  </si>
  <si>
    <t xml:space="preserve">           15. Annual Tune-up</t>
  </si>
  <si>
    <t>Large Gas (Gas 1 - NG only)</t>
  </si>
  <si>
    <t>Large Gas (Gas 1 - Other)</t>
  </si>
  <si>
    <t>Large Gas (Gas 2)</t>
  </si>
  <si>
    <t>d Cost per occurrence for energy audit professionals including an phone screening to discuss the facility prior to a visit, a 2 to 4 hour site visit, and an additional 2-4 hours to prepare a follow-up report on recommendations and findings. These site visits are assumed to be conducted by certified energy professionals.  Based on the distribution projected new fuel consumption, 75% of facilities are in the commercial sector while the remaining 25% of facilities are in the industrial sector. It is assumed that one of the five facilities will be at an industrial facility.</t>
  </si>
  <si>
    <t>Annualized Capital/Start-up and O&amp;M</t>
  </si>
  <si>
    <t>Number of Responses</t>
  </si>
  <si>
    <t>Annual Burden Hours</t>
  </si>
  <si>
    <t>Overall Average Annual Estimates</t>
  </si>
  <si>
    <t>Cost per Response</t>
  </si>
  <si>
    <t>Burden Hours per Response</t>
  </si>
  <si>
    <t>Table 6.A.  Annual Respondent Burden and Cost of Recordkeeping and Reporting Requirements for the National Emission Standards</t>
  </si>
  <si>
    <t>Table 6.B.  Annual Respondent Burden and Cost of Recordkeeping and Reporting Requirements for the National Emission Standards</t>
  </si>
  <si>
    <t>Table 11.A.  Annual Respondent Burden and Cost of Recordkeeping and Reporting Requirements for the National Emission Standards</t>
  </si>
  <si>
    <t>Table 11.B.  Annual Respondent Burden and Cost of Recordkeeping and Reporting Requirements for the National Emission Standards</t>
  </si>
  <si>
    <t>Table 11.C.  Annual Respondent Burden and Cost of Recordkeeping and Reporting Requirements for the National Emission Standards</t>
  </si>
  <si>
    <t>Table 10.A.  Annual Respondent Burden and Cost of Recordkeeping and Reporting Requirements for the National Emission Standards</t>
  </si>
  <si>
    <t xml:space="preserve">                for Hazardous Air Pollutants (NESHAP) for Industrial, Commercial, and Institutional Boilers  - Year 1, New Small Solid Fuel Units</t>
  </si>
  <si>
    <t>Table 10.B.  Annual Respondent Burden and Cost of Recordkeeping and Reporting Requirements for the National Emission Standards</t>
  </si>
  <si>
    <t xml:space="preserve">                for Hazardous Air Pollutants (NESHAP) for Industrial, Commercial, and Institutional Boilers  - Year 2, New Small Solid Fuel Units</t>
  </si>
  <si>
    <t>Table 10.C.  Annual Respondent Burden and Cost of Recordkeeping and Reporting Requirements for the National Emission Standards</t>
  </si>
  <si>
    <t xml:space="preserve">                for Hazardous Air Pollutants (NESHAP) for Industrial, Commercial, and Institutional Boilers  - Year 3, New Small Solid Fuel Units</t>
  </si>
  <si>
    <t>d Subsequent annual testing in year 3 are based on the number of sources that had an initial test in year 1 and 2 of this ICR.   Subsequent semi-annual compliance reporting and recordkeeping requirements are based on the number of new sources in years 1 -3 of this ICR.  Since fuel analysis is only required once every five years, no burden is assigned in year 2.</t>
  </si>
  <si>
    <t xml:space="preserve">                for Hazardous Air Pollutants (NESHAP) for Industrial, Commercial, and Institutional Boilers  - Year 2, New Large Gas Fuel Units</t>
  </si>
  <si>
    <t xml:space="preserve">                for Hazardous Air Pollutants (NESHAP) for Industrial, Commercial, and Institutional Boilers  - Year 1, New Small Liquid Fuel Units</t>
  </si>
  <si>
    <t xml:space="preserve">                for Hazardous Air Pollutants (NESHAP) for Industrial, Commercial, and Institutional Boilers  - Year 3, New Small Liquid Fuel Units</t>
  </si>
  <si>
    <t xml:space="preserve">                for Hazardous Air Pollutants (NESHAP) for Industrial, Commercial, and Institutional Boilers  - Year 2, New Small Liquid Fuel Units</t>
  </si>
  <si>
    <t xml:space="preserve">                for Hazardous Air Pollutants (NESHAP) for Industrial, Commercial, and Institutional Boilers  - Year 1, New Small Gas Fuel Units</t>
  </si>
  <si>
    <t>Annualized Capital/start-up O&amp;M</t>
  </si>
  <si>
    <t>Total Capital (Monitor Purchase)</t>
  </si>
  <si>
    <t>(D)</t>
  </si>
  <si>
    <t>Boiler Type</t>
  </si>
  <si>
    <t>Number of Respondents (facilities)</t>
  </si>
  <si>
    <t>Total Annualized Capital and O&amp;M over 3 years</t>
  </si>
  <si>
    <t>Total Capital/Startup Cost over 3 years</t>
  </si>
  <si>
    <t>Average Annual O&amp;M and Annualized Capital Costs per year</t>
  </si>
  <si>
    <t>Existing Large Solid Units</t>
  </si>
  <si>
    <t>New Large Solid Units</t>
  </si>
  <si>
    <t>Existing Small Solid Units</t>
  </si>
  <si>
    <t>New Small Solid Units</t>
  </si>
  <si>
    <t>Existing Large Liquid Units</t>
  </si>
  <si>
    <t>New Large Liquid Units</t>
  </si>
  <si>
    <t>Existing Small Liquid Units</t>
  </si>
  <si>
    <t>New Small Liquid Units</t>
  </si>
  <si>
    <t>Existing Large Gaseous Units</t>
  </si>
  <si>
    <t>New Large Gaseous Units</t>
  </si>
  <si>
    <t>Existing Small Gaseous Units</t>
  </si>
  <si>
    <t>New Small Gaseous Units</t>
  </si>
  <si>
    <t>Total Number Responses for 3-year Period</t>
  </si>
  <si>
    <t>Average Annual Number of Responses</t>
  </si>
  <si>
    <t xml:space="preserve">                for Hazardous Air Pollutants (NESHAP) for Industrial, Commercial, and Institutional Boilers  - Year 3, New Small Gas Fuel Units</t>
  </si>
  <si>
    <t xml:space="preserve">                for Hazardous Air Pollutants (NESHAP) for Industrial, Commercial, and Institutional Boilers  - Year 2, New Small Gas Fuel Units</t>
  </si>
  <si>
    <t>Sum of Unit Count</t>
  </si>
  <si>
    <t>Mact Floor Fuel Category</t>
  </si>
  <si>
    <t>&lt;10</t>
  </si>
  <si>
    <t>&gt;=10 to 100</t>
  </si>
  <si>
    <t>100 to 250</t>
  </si>
  <si>
    <t>&gt;250</t>
  </si>
  <si>
    <t>Notes:</t>
  </si>
  <si>
    <t>Gas 1 (NG Only)</t>
  </si>
  <si>
    <t>PM CEMS required for all units &gt;250 that are firing liquid or solid fuels</t>
  </si>
  <si>
    <t>Gas 1 (Other Gases)</t>
  </si>
  <si>
    <t>Gas 2</t>
  </si>
  <si>
    <t>FF Installed?</t>
  </si>
  <si>
    <t>ACI Installed?</t>
  </si>
  <si>
    <t>FF</t>
  </si>
  <si>
    <t>WS</t>
  </si>
  <si>
    <t>ACI</t>
  </si>
  <si>
    <t>Units per Existing Facility</t>
  </si>
  <si>
    <t>Units per New Facility</t>
  </si>
  <si>
    <t>Sum of 2013- Estimated number of new boilers</t>
  </si>
  <si>
    <t>Standard Fuel Category</t>
  </si>
  <si>
    <t>SizeCategory</t>
  </si>
  <si>
    <t>&gt;100 to 250</t>
  </si>
  <si>
    <t>Gas 1</t>
  </si>
  <si>
    <t>Note: No new units are expected to install ESPs, FF is the best control option.</t>
  </si>
  <si>
    <t>Scrubber Installed?</t>
  </si>
  <si>
    <t xml:space="preserve">                 PM (only sources greater than 250 mmBtu/hr)</t>
  </si>
  <si>
    <t xml:space="preserve">           2.  Initial Stack Test and Report (for PM)</t>
  </si>
  <si>
    <t xml:space="preserve">           3.  Initial Stack Test and Report (for Hg)</t>
  </si>
  <si>
    <t xml:space="preserve">           4.  Initial Stack Test and Report (for HCl)</t>
  </si>
  <si>
    <t>AGENCY</t>
  </si>
  <si>
    <t>Hours</t>
  </si>
  <si>
    <t>Costs (labor + travel)</t>
  </si>
  <si>
    <t>f Number of occurences begins in year 3 for existing units and in year 1 for new units and is based on the number of units maintaining records of control device parameters.</t>
  </si>
  <si>
    <t>ICRAS SUMMARY</t>
  </si>
  <si>
    <t xml:space="preserve">           6.  Initial Stack Test and Report (for D/F)</t>
  </si>
  <si>
    <t>a  Number of respondents based on number of existing large solid fuel boilers which includes biomass and coal units greater than 10 mmBtu/hr (assumption of 8 units per facility).</t>
  </si>
  <si>
    <t>h Only units less than 250 mmBtu/hr are expected to perform stack testing for PM.  Units greater than 250 mmBtu/hr will be equipped with a PM CEMS</t>
  </si>
  <si>
    <t>c,i</t>
  </si>
  <si>
    <t>Sum of Facility Count</t>
  </si>
  <si>
    <t>Sum of 2013- Estimated number of Facilities</t>
  </si>
  <si>
    <t>j No annual test and reporting burden is shown in year 1 as this is the same year as the initial test and report.</t>
  </si>
  <si>
    <t>c,j</t>
  </si>
  <si>
    <t>j Subsequent annual testing in year 2 are based on the number of sources that had an initial test in year 1 of this ICR.   Subsequent semi-annual compliance reporting and recordkeeping requirements are based on the number of new sources in years 1 and 2 of this ICR.</t>
  </si>
  <si>
    <t>c Since existing units have three years after the publication date of the final rule to submit initial notification of compliance status, conduct compliance activities, or meet recordkeeping or reporting requirements, no burden is assumed in year 1.</t>
  </si>
  <si>
    <t>1)  Records of All Notifications and Compliance Reports Submitted</t>
  </si>
  <si>
    <t>2)  Records of Startup, Shutdown, Malfunction</t>
  </si>
  <si>
    <t>2) Notification of Compliance Status</t>
  </si>
  <si>
    <t>3) Initial Report on results of Energy Audit</t>
  </si>
  <si>
    <t>Total Non-Labor O&amp;M Costs</t>
  </si>
  <si>
    <t>Energy Audit Profession Hours</t>
  </si>
  <si>
    <t>for Industrial, Commercial, and Institutional Boilers  - Years 1 through 3 for All Subcategories and Average</t>
  </si>
  <si>
    <t>Total Industry Labor Hours</t>
  </si>
  <si>
    <t>b A one-time requirement.</t>
  </si>
  <si>
    <t>Emission Test Contractor Hours</t>
  </si>
  <si>
    <t>Total Labor Costs</t>
  </si>
  <si>
    <t>Total Non-Labor Capital Costs</t>
  </si>
  <si>
    <t>a</t>
  </si>
  <si>
    <t>c</t>
  </si>
  <si>
    <t>e</t>
  </si>
  <si>
    <t>a  The burden on existing sources to read and understand rule requirements, and submit an initial notification were assumed to all occur in year 1.</t>
  </si>
  <si>
    <t>(J) Emission Testing Contractor Hours per Year @ $80 (BxDxF)</t>
  </si>
  <si>
    <t>Burden Item</t>
  </si>
  <si>
    <t>(A) Respondent Hours per Occurrence (Technical hours)</t>
  </si>
  <si>
    <t>Footnotes</t>
  </si>
  <si>
    <t>Table 1.B.  Annual Respondent Burden and Cost of Recordkeeping and Reporting Requirements for the National Emission Standards</t>
  </si>
  <si>
    <t>Year</t>
  </si>
  <si>
    <t>Year 1</t>
  </si>
  <si>
    <t>Year 2</t>
  </si>
  <si>
    <t>Year 3</t>
  </si>
  <si>
    <t>Totals</t>
  </si>
  <si>
    <t>Technical Hours</t>
  </si>
  <si>
    <t>Management Hours</t>
  </si>
  <si>
    <t>Clerical Hours</t>
  </si>
  <si>
    <t>Total Costs</t>
  </si>
  <si>
    <t>1. Applications</t>
  </si>
  <si>
    <t>2. Surveys and Studies</t>
  </si>
  <si>
    <t>3. Reporting Requirements</t>
  </si>
  <si>
    <t xml:space="preserve">    A.  Read and Understand Rule Requirements</t>
  </si>
  <si>
    <t xml:space="preserve">    B.  Required Activities</t>
  </si>
  <si>
    <t xml:space="preserve">                 Opacity</t>
  </si>
  <si>
    <t xml:space="preserve">                        a) initial</t>
  </si>
  <si>
    <t>Small Entity Respondents per year</t>
  </si>
  <si>
    <t>Total Respondents per year</t>
  </si>
  <si>
    <t xml:space="preserve">                        b) annual</t>
  </si>
  <si>
    <t xml:space="preserve">    C.  Create Information </t>
  </si>
  <si>
    <t xml:space="preserve">    D.  Gather Information</t>
  </si>
  <si>
    <t xml:space="preserve">    E.  Report Preparation</t>
  </si>
  <si>
    <t xml:space="preserve">     A.  Read Instructions</t>
  </si>
  <si>
    <t xml:space="preserve">     B.  Implement Activities</t>
  </si>
  <si>
    <t xml:space="preserve">     C.  Develop Record System</t>
  </si>
  <si>
    <t xml:space="preserve">     D.  Record Information</t>
  </si>
  <si>
    <t>Included in 3a</t>
  </si>
  <si>
    <t xml:space="preserve">           1.  Conduct Energy Audit</t>
  </si>
  <si>
    <t xml:space="preserve">                for Hazardous Air Pollutants (NESHAP) for Industrial, Commercial, and Institutional Boilers  - Year 1, Existing Large Solid Fuel Units</t>
  </si>
  <si>
    <t xml:space="preserve">           2)  Records of Startup, Shutdown, Malfunction</t>
  </si>
  <si>
    <t xml:space="preserve">           3)  Records of Stack Tests</t>
  </si>
  <si>
    <t xml:space="preserve">     E.  Personnel Training</t>
  </si>
  <si>
    <t xml:space="preserve">     F.  Time for Audits</t>
  </si>
  <si>
    <t xml:space="preserve">           1)  Records of Operating Parameter Values</t>
  </si>
  <si>
    <t>(B)           Emission Test Contractor Hours Per Occurrence</t>
  </si>
  <si>
    <t>4.  Recordkeeping Requirements</t>
  </si>
  <si>
    <t xml:space="preserve">                 Establish Site-specific monitoring plan (all)</t>
  </si>
  <si>
    <t>na</t>
  </si>
  <si>
    <t>Average Burden per year</t>
  </si>
  <si>
    <t>1) Initial Notification that Source is Subject</t>
  </si>
  <si>
    <t xml:space="preserve">           4)  Records of Monitoring Device Calibrations</t>
  </si>
  <si>
    <t xml:space="preserve">           5) Records of All Compliance Reports Submitted</t>
  </si>
  <si>
    <t xml:space="preserve">           6) Records of Monthly Fuel Use</t>
  </si>
  <si>
    <t>Table 9.  Summary of Respondent Burden for the National Emission Standards for Hazardous Air Pollutants (NESHAP)</t>
  </si>
  <si>
    <t>b, c, d</t>
  </si>
  <si>
    <t>e Assumes facility must already maintain records on boiler insurance and/or maintenance schedule.  No new record system would be required.</t>
  </si>
  <si>
    <t>Managerial</t>
  </si>
  <si>
    <t>Technical</t>
  </si>
  <si>
    <t>Clerical</t>
  </si>
  <si>
    <t>Labor Rates</t>
  </si>
  <si>
    <t>Rate</t>
  </si>
  <si>
    <t>Category</t>
  </si>
  <si>
    <t>Size Category</t>
  </si>
  <si>
    <t>Total</t>
  </si>
  <si>
    <t>Biomass</t>
  </si>
  <si>
    <t>Coal</t>
  </si>
  <si>
    <t>Liquid</t>
  </si>
  <si>
    <t>Grand Total</t>
  </si>
  <si>
    <t>Existing Boiler Data</t>
  </si>
  <si>
    <t>New Boiler Data</t>
  </si>
  <si>
    <t>4) Semi-annual Compliance Report</t>
  </si>
  <si>
    <t>General Contractor</t>
  </si>
  <si>
    <t>Certfied Energy Audit Contractor</t>
  </si>
  <si>
    <t>(F) Technical Hours per Respondent Per Year
 (A X E)</t>
  </si>
  <si>
    <t>(G) Number of Respondents Per Year</t>
  </si>
  <si>
    <t>(J)       Management Hours per Year @ $114.49 (H X .05)</t>
  </si>
  <si>
    <t>(H) Technical Hours per Year @ $98.20 (F X G)</t>
  </si>
  <si>
    <t>(I)         Clerical Hours per Year @ $48.53 (H X 0.1)</t>
  </si>
  <si>
    <t xml:space="preserve">                for Hazardous Air Pollutants (NESHAP) for Industrial, Commercial, and Institutional Boilers  - Year 1, Existing Large Liquid Fuel Units</t>
  </si>
  <si>
    <t xml:space="preserve">                for Hazardous Air Pollutants (NESHAP) for Industrial, Commercial, and Institutional Boilers  - Year 2, Existing Large Liquid Fuel Units</t>
  </si>
  <si>
    <t>a  There are no new small solid units expected to be constructed/reconstructed over the next 3 years.</t>
  </si>
  <si>
    <t>a  The total number of new small liquid fuel boilers estimated in the first 5 years of this rule is 2.  The burden for these units was accounted for in year 1.  Year 2 and 3 will not have additional burden, but annual burden for these two units will occur in years 2 and 3.</t>
  </si>
  <si>
    <t>Limited Use</t>
  </si>
  <si>
    <t>total large gas facilities</t>
  </si>
  <si>
    <t>large gas 1 (for tune-ups)</t>
  </si>
  <si>
    <t>total large gas 2 units</t>
  </si>
  <si>
    <t>6) Notification of Alternative Fuel Use</t>
  </si>
  <si>
    <t>(G)
Number of Respondents Per Year</t>
  </si>
  <si>
    <t>(A)
Respondent Hours per Occurrence (Technical hours)</t>
  </si>
  <si>
    <t xml:space="preserve">                  Bag Leak Detection System Operation 
                  (sources that have fabric filters)</t>
  </si>
  <si>
    <t>Mercury Fuel Spec Analysis (for other Gas 1 units)</t>
  </si>
  <si>
    <t>Number estimated to test</t>
  </si>
  <si>
    <t>Number which will repeat stack test due to switching fuels</t>
  </si>
  <si>
    <t>Notification of Alternative fuel use (17.8% reported the use of liquid, large gas 1 units)</t>
  </si>
  <si>
    <t xml:space="preserve">           16. Mercury and H2S Fuel Spec Analysis</t>
  </si>
  <si>
    <t xml:space="preserve">           12.  Repeat Stack Test and Report if Switch Fuels
                  (for Hg and HCl)</t>
  </si>
  <si>
    <t xml:space="preserve">           11.  Repeat Stack Test and Report if Switch Fuels
                  (for Hg and HCl)</t>
  </si>
  <si>
    <t xml:space="preserve">           13.  Initial Fuel Analysis for Mercury and HCL Content</t>
  </si>
  <si>
    <t xml:space="preserve">           14.  Monthly Fuel Analysis for Mercury and HCL Content</t>
  </si>
  <si>
    <t xml:space="preserve">           15.  Continuous Parameter Monitoring</t>
  </si>
  <si>
    <t xml:space="preserve">           1.  Initial Stack Test and Report (for PM)</t>
  </si>
  <si>
    <t xml:space="preserve">           16. Annual Tune-up</t>
  </si>
  <si>
    <t xml:space="preserve">           17. Mercury and H2S Fuel Spec Analysis</t>
  </si>
  <si>
    <t xml:space="preserve">           6) Records of All Semi-Annual Compliance Reports
                Submitted</t>
  </si>
  <si>
    <t xml:space="preserve">           8) Records of Annual Tune-up</t>
  </si>
  <si>
    <t>(applicable to solid units)</t>
  </si>
  <si>
    <t>3) Semi-annual Compliance Report</t>
  </si>
  <si>
    <t>3) Annual Compliance Report</t>
  </si>
  <si>
    <t>5) Notification of Alternative Fuel Use</t>
  </si>
  <si>
    <t>b Cost includes taking an inventory of facility equipment including age, operating schedules, square feet of the facility and other details necessary for preparing for the audit pre-screening, attending the energy audit, and reviewing audit report from the audit professional.  Based on the distribution facility NAICS codes in the 2008 combustion unit survey database, 12.6% of facilities are in the commercial sector while the remaining 87.4% of facilities are in the industrial sector.</t>
  </si>
  <si>
    <t xml:space="preserve">a  Number of respondents based on number of existing small and limited use solid fuel boilers which includes biomass and coal units less than 10 mmBtu/hr or operating less than 876 hours.  </t>
  </si>
  <si>
    <t>a  The burden on existing sources to read and understand rule requirements, and submit an initial notification were assumed to all occur in year 1.  Energy audit burdens for this unit will be accounted for in year 2.</t>
  </si>
  <si>
    <t xml:space="preserve">a  Number of respondents based on number of existing small and limited use liquid fuel boilers which includes units less than 10 mmBtu/hr or operating less than 876 hours.  </t>
  </si>
  <si>
    <t xml:space="preserve">a  Number of respondents based on number of existing small and limited use gas fuel boilers which includes units less than 10 mmBtu/hr or operating less than 876 hours.  </t>
  </si>
  <si>
    <t xml:space="preserve">           1. Biennial Tune-Up</t>
  </si>
  <si>
    <t>2) Biennial Tune-Up Records</t>
  </si>
  <si>
    <t xml:space="preserve">a  The total number of facilities with new small liquid fuel boilers estimated in the first 3 years of this rule is 1. </t>
  </si>
  <si>
    <t>c Assumes all boilers will comply during first year.</t>
  </si>
  <si>
    <t xml:space="preserve">a  In order to calculate a per year estimate of the number of new boilers required to meet these rule requirements, the number of new projected boilers online by 2013 is divided by 3. </t>
  </si>
  <si>
    <t>4) Initial Report on results of Energy Audit</t>
  </si>
  <si>
    <t>b Number of occurences is based on the total number of affected facilities that are required to submit initial notifications stated they are subject to the standard (all new boilers in the large and small solid, liquid, and gaseous subcategories, plus all existing large and small solid, liquid, and gaseous subcategories).  For initial notifications of compliance status, the number of occurences is based on all new boilers in the large and small solid, liquid, and gaseous subcategories, existing large and small solid, liquid, and gaseous units have until year 3 to submit this notification.</t>
  </si>
  <si>
    <t>c Number of occurences is based on the assumption that EPA personnel will observe 20% of the initial performance tests that occur.</t>
  </si>
  <si>
    <t>e Number of occurences is based on the number of units that will test and set/submit operating limits.</t>
  </si>
  <si>
    <t>g Number of occurences is based on the assumption that of the units that test, 10% of them will have exceedances and  need enforcement.</t>
  </si>
  <si>
    <t>h Number of occurences is the number of units that will submit these semi-annual compliance reports, 2 reports per year per respondent.</t>
  </si>
  <si>
    <t>i. Number of occurences is the number of units that will submit these annual compliance reports.</t>
  </si>
  <si>
    <t>j. Number of occurences is the number units that will submit these biennial compliance reports.</t>
  </si>
  <si>
    <t>this table is incomplete in the proposal files, so will assume not needed and won't take time to fix.</t>
  </si>
  <si>
    <t>limited use coal</t>
  </si>
  <si>
    <t>limited use biomass</t>
  </si>
  <si>
    <t>limited use liquid</t>
  </si>
  <si>
    <t>limitied use gas</t>
  </si>
  <si>
    <t>Count of Limited Use Units</t>
  </si>
  <si>
    <t>O2</t>
  </si>
  <si>
    <t>no control costs for small units</t>
  </si>
  <si>
    <t>no control costs for gas 1 units</t>
  </si>
  <si>
    <t xml:space="preserve">                 O2</t>
  </si>
  <si>
    <t>O2 monitor costs</t>
  </si>
  <si>
    <t>Initial</t>
  </si>
  <si>
    <t>Annual</t>
  </si>
  <si>
    <t>i No annual test and reporting burden is shown in year 1 as this is the same year as the initial test and report.</t>
  </si>
  <si>
    <t xml:space="preserve">                for Hazardous Air Pollutants (NESHAP) for Industrial, Commercial, and Institutional Boilers  - Year 1, Existing Small and Limited Use Solid Fuel Units</t>
  </si>
  <si>
    <t xml:space="preserve">                for Hazardous Air Pollutants (NESHAP) for Industrial, Commercial, and Institutional Boilers  - Year 2, Existing Small and Limited Use Solid Fuel Units</t>
  </si>
  <si>
    <t xml:space="preserve">                for Hazardous Air Pollutants (NESHAP) for Industrial, Commercial, and Institutional Boilers  - Year 3, Existing Small and Limited Use Solid Fuel Units</t>
  </si>
  <si>
    <t xml:space="preserve">                for Hazardous Air Pollutants (NESHAP) for Industrial, Commercial, and Institutional Boilers  - Year 1, Existing Small and Limited Use Liquid Fuel Units</t>
  </si>
  <si>
    <t xml:space="preserve">                for Hazardous Air Pollutants (NESHAP) for Industrial, Commercial, and Institutional Boilers  - Year 2, Existing Small and Limited Use Liquid Fuel Units</t>
  </si>
  <si>
    <t xml:space="preserve">                for Hazardous Air Pollutants (NESHAP) for Industrial, Commercial, and Institutional Boilers  - Year 3, Existing Small and Limited Use Liquid Fuel Units</t>
  </si>
  <si>
    <t xml:space="preserve">                for Hazardous Air Pollutants (NESHAP) for Industrial, Commercial, and Institutional Boilers  - Year 1, Existing Small and Limited Use Gas Fuel Units</t>
  </si>
  <si>
    <t xml:space="preserve">                for Hazardous Air Pollutants (NESHAP) for Industrial, Commercial, and Institutional Boilers  - Year 2, Existing Small and Limited Use Gas Fuel Units</t>
  </si>
  <si>
    <t xml:space="preserve">                for Hazardous Air Pollutants (NESHAP) for Industrial, Commercial, and Institutional Boilers  - Year 3, Existing Small and Limited Use Gas Fuel Units</t>
  </si>
  <si>
    <t xml:space="preserve">g Existing large liquid units are expected to determine compliance for Hg and HCl through fuel analysis not stack testing.  </t>
  </si>
  <si>
    <t>c, i</t>
  </si>
  <si>
    <t>i Only 1 existing large liquid fuel unit is equipped with an ACI system.  It is assumed that this unit will meet compliance in year 2.  No burden from ACI system operation is expected in year 3</t>
  </si>
  <si>
    <t>c,h,j</t>
  </si>
  <si>
    <t xml:space="preserve">a  The total number of new large liquid fuel boilers estimated in the first 3 years of this rule is 10.  In order to calculate a per year estimate of the number of boilers required to meet these rule requirements, the number of projected boilers is divided by 3, or 3 boilers per year, in the first year 4 new boilers are projected. 4 new facilities will be subject in the first 3 years.  It is assumed that 2 facilities will report in in year 1, and 1 facility per year in years 2 and 3. </t>
  </si>
  <si>
    <t xml:space="preserve">a  In order to calculate a per year estimate of the number of new boilers required to meet these rule requirements, the number of new projected boilers online by 2013 is divided by 3. There are two new facilities with six new gas boilers. A facility with 3  new large gas boilers per year is anticipated to come online in years 1 and 2. </t>
  </si>
  <si>
    <t>a, e</t>
  </si>
  <si>
    <t>f Process gas units are expected to demonstrate compliance with a stack test instead of a fuel analysis.</t>
  </si>
  <si>
    <t>b,c, d</t>
  </si>
  <si>
    <t>a  In order to calculate a per year estimate of the number of new boilers required to meet these rule requirements, the number of new projected boilers online by 2013 is divided by 3. 28 boilers and 9 facilities mean that 1 facility per year comes on line. It is estimated that the facility in year 1 has 10 boilers and the other two facilities have 9 boilers each.</t>
  </si>
  <si>
    <t>d Number of occurences is based on the assumption that of the units that test, 10% will have to retest and EPA personnel will observe all these retests. In addition solid fuel units are expected to re-test to obtain worst-case conditions for both Hg and HCl emissions.</t>
  </si>
  <si>
    <t>c Energy Audits are a requirement for existing units only.</t>
  </si>
  <si>
    <t>c,h,i</t>
  </si>
  <si>
    <t>i Subsequent annual testing in year 2 are based on the number of sources that had an initial test in year 1 of this ICR.   Subsequent semi-annual compliance reporting and recordkeeping requirements are based on the number of new sources in years 1 and 2 of this ICR.</t>
  </si>
  <si>
    <t>j Only applies to large solid fuel boilers, because solid fuel boilers may fire a mix of non-homogeneous fuels.  Assumed all solid fuel units would perform a repeat stack test.</t>
  </si>
  <si>
    <t>f Only applies to large solid fuel boilers, because solid fuel boilers may fire a mix of non-homogeneous fuels.  Assumed zero respondents for liquid and gas units.</t>
  </si>
  <si>
    <t>f For on-going training activities to keep personnel updated in order to implement compliance activities.</t>
  </si>
  <si>
    <t>j For on-going training activities to keep personnel updated in order to implement compliance activities.</t>
  </si>
  <si>
    <t>k For on-going training activities to keep personnel updated in order to implement compliance activities.</t>
  </si>
  <si>
    <t>k</t>
  </si>
  <si>
    <t xml:space="preserve">j The units firing other process gases other than natural gas, refinery gases or other on-spec gas 1 fuels have limits for PM, HCl, Hg, D/F, and CO and are subject to testing and monitoring requirements for each pollutant. </t>
  </si>
  <si>
    <t>i Number based on units which reported firing fuels other than natural or refinery gas.</t>
  </si>
  <si>
    <t>c,L</t>
  </si>
  <si>
    <t>c,m</t>
  </si>
  <si>
    <t>m Number based on 17.8% of the large gas 1 units using liquid instead of gas at some point.</t>
  </si>
  <si>
    <t>n For on-going training activities to keep personnel updated in order to implement compliance activities.</t>
  </si>
  <si>
    <t>n</t>
  </si>
  <si>
    <t>i For on-going training activities to keep personnel updated in order to implement compliance activities.</t>
  </si>
  <si>
    <t>k Only applies to large solid fuel boilers, because solid fuel boilers may fire a mix of non-homogeneous fuels.  Assumed zero respondents for liquid and gas units.</t>
  </si>
  <si>
    <t>a,f</t>
  </si>
  <si>
    <t>e Only facilities with process gas (gas 2 units) subject to numerical emission limits are expected to be required to submit semi-annual compliance reports and conduct testing and monitoring (There will not be any new process gas units). Natural gas and refinery gas units are required to submit reports annually and conduct a tune-up.</t>
  </si>
  <si>
    <t>a,e</t>
  </si>
  <si>
    <t>g For on-going training activities to keep personnel updated in order to implement compliance activities.</t>
  </si>
  <si>
    <t xml:space="preserve">d Cost per occurrence for energy audit professionals including an phone screening to discuss the facility prior to a visit, a 2 to 4 hour site visit, and an additional 2-4 hours to prepare a follow-up report on recommendations and findings. These site visits are assumed to be conducted by certified energy professionals.  There are 4 existing facilities under this category and it is assumed that all will be industrial facility since industrial is the vast majority of projected units. </t>
  </si>
  <si>
    <t>h For on-going training activities to keep personnel updated in order to implement compliance activities.</t>
  </si>
  <si>
    <t>g Small units are not required to maintain records on startup, shutdown and malfunction.</t>
  </si>
  <si>
    <t>f Since a tune-up is required biennially, every two years, the compliance reports for small units are also due every two years. Records of the tune-ups will be submitted to the Administrator upon request.</t>
  </si>
  <si>
    <t>d For on-going training activities to keep personnel updated in order to implement compliance activities.</t>
  </si>
  <si>
    <t>c For on-going training activities to keep personnel updated in order to implement compliance activities.</t>
  </si>
  <si>
    <t>h Assume all units will fire natural gas, so fuel spec analysis not necessary.</t>
  </si>
  <si>
    <t>i Assumed no units would fire an alternative fuel.</t>
  </si>
</sst>
</file>

<file path=xl/styles.xml><?xml version="1.0" encoding="utf-8"?>
<styleSheet xmlns="http://schemas.openxmlformats.org/spreadsheetml/2006/main">
  <numFmts count="7">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
    <numFmt numFmtId="168" formatCode="_(&quot;$&quot;* #,##0_);_(&quot;$&quot;* \(#,##0\);_(&quot;$&quot;* &quot;-&quot;??_);_(@_)"/>
  </numFmts>
  <fonts count="26">
    <font>
      <sz val="10"/>
      <name val="Arial"/>
    </font>
    <font>
      <sz val="10"/>
      <name val="Arial"/>
      <family val="2"/>
    </font>
    <font>
      <sz val="8"/>
      <name val="Arial"/>
      <family val="2"/>
    </font>
    <font>
      <b/>
      <sz val="8"/>
      <name val="Arial"/>
      <family val="2"/>
    </font>
    <font>
      <sz val="7"/>
      <name val="Arial"/>
      <family val="2"/>
    </font>
    <font>
      <b/>
      <sz val="7"/>
      <name val="Arial"/>
      <family val="2"/>
    </font>
    <font>
      <sz val="6.5"/>
      <name val="Arial"/>
      <family val="2"/>
    </font>
    <font>
      <sz val="8"/>
      <name val="Arial"/>
      <family val="2"/>
    </font>
    <font>
      <sz val="8"/>
      <color indexed="81"/>
      <name val="Tahoma"/>
      <family val="2"/>
    </font>
    <font>
      <b/>
      <sz val="8"/>
      <color indexed="81"/>
      <name val="Tahoma"/>
      <family val="2"/>
    </font>
    <font>
      <sz val="10"/>
      <name val="Arial"/>
      <family val="2"/>
    </font>
    <font>
      <b/>
      <sz val="10"/>
      <name val="Arial"/>
      <family val="2"/>
    </font>
    <font>
      <b/>
      <u/>
      <sz val="10"/>
      <name val="Arial"/>
      <family val="2"/>
    </font>
    <font>
      <b/>
      <sz val="7"/>
      <color indexed="10"/>
      <name val="Arial"/>
      <family val="2"/>
    </font>
    <font>
      <i/>
      <sz val="7"/>
      <name val="Arial"/>
      <family val="2"/>
    </font>
    <font>
      <sz val="8"/>
      <name val="Times New Roman"/>
      <family val="1"/>
    </font>
    <font>
      <sz val="10"/>
      <color indexed="8"/>
      <name val="Arial"/>
      <family val="2"/>
    </font>
    <font>
      <sz val="8"/>
      <color indexed="8"/>
      <name val="Arial"/>
      <family val="2"/>
    </font>
    <font>
      <vertAlign val="superscript"/>
      <sz val="10"/>
      <name val="Arial"/>
      <family val="2"/>
    </font>
    <font>
      <b/>
      <sz val="10"/>
      <name val="Arial"/>
      <family val="2"/>
    </font>
    <font>
      <b/>
      <sz val="8"/>
      <color indexed="10"/>
      <name val="Arial"/>
      <family val="2"/>
    </font>
    <font>
      <sz val="10"/>
      <color indexed="8"/>
      <name val="Times New Roman"/>
      <family val="1"/>
    </font>
    <font>
      <sz val="10"/>
      <name val="Times New Roman"/>
      <family val="1"/>
    </font>
    <font>
      <i/>
      <sz val="8"/>
      <name val="Arial"/>
      <family val="2"/>
    </font>
    <font>
      <sz val="7"/>
      <color rgb="FFFF0000"/>
      <name val="Arial"/>
      <family val="2"/>
    </font>
    <font>
      <sz val="9"/>
      <color rgb="FFFF0000"/>
      <name val="Arial"/>
      <family val="2"/>
    </font>
  </fonts>
  <fills count="17">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22"/>
        <bgColor indexed="0"/>
      </patternFill>
    </fill>
    <fill>
      <patternFill patternType="solid">
        <fgColor indexed="8"/>
        <bgColor indexed="64"/>
      </patternFill>
    </fill>
    <fill>
      <patternFill patternType="solid">
        <fgColor indexed="13"/>
        <bgColor indexed="64"/>
      </patternFill>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rgb="FFFF0000"/>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hair">
        <color indexed="64"/>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16" fillId="0" borderId="0"/>
    <xf numFmtId="0" fontId="16" fillId="0" borderId="0"/>
    <xf numFmtId="9" fontId="1" fillId="0" borderId="0" applyFont="0" applyFill="0" applyBorder="0" applyAlignment="0" applyProtection="0"/>
  </cellStyleXfs>
  <cellXfs count="419">
    <xf numFmtId="0" fontId="0" fillId="0" borderId="0" xfId="0"/>
    <xf numFmtId="0" fontId="2" fillId="0" borderId="0" xfId="0" applyFont="1"/>
    <xf numFmtId="0" fontId="3" fillId="0" borderId="0" xfId="0" applyFont="1"/>
    <xf numFmtId="0" fontId="4" fillId="0" borderId="0" xfId="0" applyFont="1" applyAlignment="1">
      <alignment wrapText="1"/>
    </xf>
    <xf numFmtId="0" fontId="2" fillId="0" borderId="1" xfId="0" applyFont="1" applyBorder="1" applyAlignment="1">
      <alignment horizontal="center"/>
    </xf>
    <xf numFmtId="0" fontId="3" fillId="0" borderId="1" xfId="0" applyFont="1" applyBorder="1" applyAlignment="1">
      <alignment horizontal="center" wrapText="1"/>
    </xf>
    <xf numFmtId="0" fontId="4" fillId="0" borderId="0" xfId="0" applyFont="1"/>
    <xf numFmtId="0" fontId="2" fillId="0" borderId="0" xfId="0" applyFont="1" applyAlignment="1">
      <alignment horizontal="center"/>
    </xf>
    <xf numFmtId="3" fontId="2" fillId="0" borderId="0" xfId="0" applyNumberFormat="1" applyFont="1" applyAlignment="1">
      <alignment horizontal="center"/>
    </xf>
    <xf numFmtId="3" fontId="2" fillId="0" borderId="1" xfId="0" applyNumberFormat="1" applyFont="1" applyBorder="1" applyAlignment="1">
      <alignment horizontal="center"/>
    </xf>
    <xf numFmtId="3" fontId="3" fillId="0" borderId="1" xfId="0" applyNumberFormat="1" applyFont="1" applyBorder="1" applyAlignment="1">
      <alignment horizontal="center"/>
    </xf>
    <xf numFmtId="1" fontId="2" fillId="0" borderId="0" xfId="0" applyNumberFormat="1" applyFont="1" applyAlignment="1">
      <alignment horizontal="center"/>
    </xf>
    <xf numFmtId="0" fontId="4" fillId="0" borderId="1" xfId="0" applyFont="1" applyBorder="1" applyAlignment="1">
      <alignment horizontal="center" wrapText="1"/>
    </xf>
    <xf numFmtId="3" fontId="4" fillId="0" borderId="1" xfId="0" applyNumberFormat="1" applyFont="1" applyBorder="1" applyAlignment="1">
      <alignment horizontal="center" wrapText="1"/>
    </xf>
    <xf numFmtId="0" fontId="6" fillId="0" borderId="0" xfId="0" applyFont="1"/>
    <xf numFmtId="0" fontId="6" fillId="0" borderId="0" xfId="0" applyFont="1" applyAlignment="1">
      <alignment horizontal="center"/>
    </xf>
    <xf numFmtId="1" fontId="6" fillId="0" borderId="0" xfId="0" applyNumberFormat="1" applyFont="1" applyAlignment="1">
      <alignment horizontal="center"/>
    </xf>
    <xf numFmtId="3" fontId="6" fillId="0" borderId="0" xfId="0" applyNumberFormat="1" applyFont="1" applyAlignment="1">
      <alignment horizontal="center"/>
    </xf>
    <xf numFmtId="0" fontId="4" fillId="0" borderId="2" xfId="0" applyFont="1" applyBorder="1" applyAlignment="1">
      <alignment horizontal="center"/>
    </xf>
    <xf numFmtId="3" fontId="4" fillId="0" borderId="2" xfId="0" applyNumberFormat="1" applyFont="1" applyBorder="1" applyAlignment="1">
      <alignment horizontal="center"/>
    </xf>
    <xf numFmtId="0" fontId="4" fillId="0" borderId="3" xfId="0" applyFont="1" applyBorder="1"/>
    <xf numFmtId="0" fontId="4" fillId="0" borderId="4" xfId="0" applyFont="1" applyBorder="1"/>
    <xf numFmtId="0" fontId="4" fillId="0" borderId="5" xfId="0" applyFont="1" applyBorder="1" applyAlignment="1">
      <alignment horizontal="center"/>
    </xf>
    <xf numFmtId="3" fontId="4" fillId="0" borderId="5" xfId="0" applyNumberFormat="1" applyFont="1" applyBorder="1" applyAlignment="1">
      <alignment horizontal="center"/>
    </xf>
    <xf numFmtId="0" fontId="5" fillId="0" borderId="6" xfId="0" applyFont="1" applyBorder="1" applyAlignment="1">
      <alignment horizontal="center"/>
    </xf>
    <xf numFmtId="0" fontId="3" fillId="0" borderId="7" xfId="0" applyFont="1" applyBorder="1" applyAlignment="1">
      <alignment horizontal="center"/>
    </xf>
    <xf numFmtId="1" fontId="3" fillId="0" borderId="7" xfId="0" applyNumberFormat="1" applyFont="1" applyBorder="1" applyAlignment="1">
      <alignment horizontal="center"/>
    </xf>
    <xf numFmtId="3" fontId="5" fillId="0" borderId="7" xfId="0" applyNumberFormat="1" applyFont="1" applyBorder="1" applyAlignment="1">
      <alignment horizontal="center"/>
    </xf>
    <xf numFmtId="0" fontId="4" fillId="0" borderId="1" xfId="0" applyFont="1" applyBorder="1" applyAlignment="1">
      <alignment horizontal="center" textRotation="90" wrapText="1"/>
    </xf>
    <xf numFmtId="0" fontId="4" fillId="0" borderId="8" xfId="0" applyFont="1" applyBorder="1" applyAlignment="1">
      <alignment horizontal="center"/>
    </xf>
    <xf numFmtId="165" fontId="4" fillId="0" borderId="0" xfId="0" applyNumberFormat="1" applyFont="1"/>
    <xf numFmtId="0" fontId="10" fillId="0" borderId="1" xfId="0" applyFont="1" applyBorder="1"/>
    <xf numFmtId="165" fontId="10" fillId="0" borderId="1" xfId="0" applyNumberFormat="1" applyFont="1" applyBorder="1"/>
    <xf numFmtId="0" fontId="11" fillId="2" borderId="1" xfId="0" applyFont="1" applyFill="1" applyBorder="1"/>
    <xf numFmtId="0" fontId="12" fillId="0" borderId="0" xfId="0" applyFont="1"/>
    <xf numFmtId="0" fontId="0" fillId="0" borderId="1" xfId="0" applyBorder="1"/>
    <xf numFmtId="0" fontId="0" fillId="0" borderId="1" xfId="0" applyBorder="1" applyAlignment="1">
      <alignment horizontal="center"/>
    </xf>
    <xf numFmtId="0" fontId="4" fillId="0" borderId="0" xfId="0" applyFont="1" applyAlignment="1">
      <alignment horizontal="right"/>
    </xf>
    <xf numFmtId="166" fontId="4" fillId="0" borderId="5" xfId="0" applyNumberFormat="1" applyFont="1" applyBorder="1" applyAlignment="1">
      <alignment horizontal="center"/>
    </xf>
    <xf numFmtId="166" fontId="4" fillId="0" borderId="2" xfId="0" applyNumberFormat="1" applyFont="1" applyBorder="1" applyAlignment="1">
      <alignment horizontal="center"/>
    </xf>
    <xf numFmtId="166" fontId="5" fillId="0" borderId="7" xfId="0" applyNumberFormat="1" applyFont="1" applyBorder="1" applyAlignment="1">
      <alignment horizontal="center"/>
    </xf>
    <xf numFmtId="165" fontId="0" fillId="0" borderId="1" xfId="0" applyNumberFormat="1" applyBorder="1"/>
    <xf numFmtId="0" fontId="0" fillId="0" borderId="0" xfId="0" applyFill="1" applyBorder="1"/>
    <xf numFmtId="0" fontId="11" fillId="0" borderId="0" xfId="0" applyFont="1" applyFill="1" applyBorder="1"/>
    <xf numFmtId="0" fontId="4" fillId="0" borderId="2" xfId="0" applyFont="1" applyFill="1" applyBorder="1" applyAlignment="1">
      <alignment horizontal="center"/>
    </xf>
    <xf numFmtId="0" fontId="4" fillId="0" borderId="1" xfId="0" applyFont="1" applyFill="1" applyBorder="1" applyAlignment="1">
      <alignment horizontal="center" wrapText="1"/>
    </xf>
    <xf numFmtId="164" fontId="4" fillId="0" borderId="2" xfId="1" applyNumberFormat="1" applyFont="1" applyBorder="1" applyAlignment="1">
      <alignment horizontal="center"/>
    </xf>
    <xf numFmtId="0" fontId="3" fillId="0" borderId="9" xfId="0" applyFont="1" applyBorder="1" applyAlignment="1">
      <alignment horizontal="center"/>
    </xf>
    <xf numFmtId="0" fontId="0" fillId="0" borderId="1" xfId="0" applyBorder="1" applyAlignment="1">
      <alignment vertical="center" wrapText="1"/>
    </xf>
    <xf numFmtId="165" fontId="0" fillId="0" borderId="1" xfId="0" applyNumberFormat="1" applyBorder="1" applyAlignment="1">
      <alignment vertical="center"/>
    </xf>
    <xf numFmtId="166" fontId="3" fillId="0" borderId="7" xfId="0" applyNumberFormat="1" applyFont="1" applyBorder="1" applyAlignment="1">
      <alignment horizontal="center"/>
    </xf>
    <xf numFmtId="3" fontId="4" fillId="0" borderId="2" xfId="1" applyNumberFormat="1" applyFont="1" applyBorder="1" applyAlignment="1">
      <alignment horizontal="center"/>
    </xf>
    <xf numFmtId="166" fontId="4" fillId="0" borderId="2" xfId="0" applyNumberFormat="1" applyFont="1" applyFill="1" applyBorder="1" applyAlignment="1">
      <alignment horizontal="center"/>
    </xf>
    <xf numFmtId="0" fontId="6" fillId="0" borderId="0" xfId="0" applyFont="1" applyFill="1"/>
    <xf numFmtId="0" fontId="2" fillId="0" borderId="0" xfId="0" applyFont="1" applyFill="1" applyAlignment="1">
      <alignment horizontal="center"/>
    </xf>
    <xf numFmtId="1" fontId="2" fillId="0" borderId="0" xfId="0" applyNumberFormat="1" applyFont="1" applyFill="1" applyAlignment="1">
      <alignment horizontal="center"/>
    </xf>
    <xf numFmtId="0" fontId="6" fillId="0" borderId="0" xfId="0" applyFont="1" applyFill="1" applyAlignment="1">
      <alignment horizontal="center"/>
    </xf>
    <xf numFmtId="1" fontId="6" fillId="0" borderId="0" xfId="0" applyNumberFormat="1" applyFont="1" applyFill="1" applyAlignment="1">
      <alignment horizontal="center"/>
    </xf>
    <xf numFmtId="0" fontId="11" fillId="0" borderId="1" xfId="0" applyFont="1" applyBorder="1"/>
    <xf numFmtId="166" fontId="13" fillId="0" borderId="2" xfId="0" applyNumberFormat="1" applyFont="1" applyBorder="1" applyAlignment="1">
      <alignment horizontal="center"/>
    </xf>
    <xf numFmtId="1" fontId="4" fillId="0" borderId="1" xfId="0" applyNumberFormat="1" applyFont="1" applyFill="1" applyBorder="1" applyAlignment="1">
      <alignment horizontal="center" wrapText="1"/>
    </xf>
    <xf numFmtId="0" fontId="14" fillId="0" borderId="10" xfId="0" applyFont="1" applyBorder="1"/>
    <xf numFmtId="0" fontId="6" fillId="0" borderId="0" xfId="0" applyFont="1" applyAlignment="1">
      <alignment horizontal="left" wrapText="1"/>
    </xf>
    <xf numFmtId="3" fontId="13" fillId="0" borderId="2" xfId="1" applyNumberFormat="1" applyFont="1" applyBorder="1" applyAlignment="1">
      <alignment horizontal="center"/>
    </xf>
    <xf numFmtId="1" fontId="0" fillId="0" borderId="0" xfId="0" applyNumberFormat="1" applyFill="1" applyBorder="1"/>
    <xf numFmtId="0" fontId="0" fillId="0" borderId="0" xfId="0" applyFill="1" applyBorder="1" applyAlignment="1">
      <alignment horizontal="center"/>
    </xf>
    <xf numFmtId="0" fontId="0" fillId="0" borderId="0" xfId="0" applyFill="1" applyBorder="1" applyAlignment="1">
      <alignment vertical="center"/>
    </xf>
    <xf numFmtId="0" fontId="0" fillId="0" borderId="0" xfId="0" applyFill="1" applyBorder="1" applyAlignment="1">
      <alignment horizontal="left"/>
    </xf>
    <xf numFmtId="0" fontId="10" fillId="0" borderId="0" xfId="0" applyFont="1" applyFill="1" applyBorder="1"/>
    <xf numFmtId="0" fontId="0" fillId="0" borderId="1" xfId="0" applyFill="1" applyBorder="1"/>
    <xf numFmtId="0" fontId="0" fillId="0" borderId="1" xfId="0" applyFill="1" applyBorder="1" applyAlignment="1">
      <alignment horizontal="center"/>
    </xf>
    <xf numFmtId="0" fontId="10" fillId="0" borderId="1" xfId="0" applyFont="1" applyFill="1" applyBorder="1" applyAlignment="1">
      <alignment horizontal="center"/>
    </xf>
    <xf numFmtId="0" fontId="10" fillId="0" borderId="1" xfId="0" applyFont="1" applyFill="1" applyBorder="1"/>
    <xf numFmtId="0" fontId="0" fillId="0" borderId="1" xfId="0" applyFill="1" applyBorder="1" applyAlignment="1"/>
    <xf numFmtId="0" fontId="11" fillId="2" borderId="1" xfId="0" applyFont="1" applyFill="1" applyBorder="1" applyAlignment="1">
      <alignment vertical="center" wrapText="1"/>
    </xf>
    <xf numFmtId="1" fontId="0" fillId="0" borderId="1" xfId="0" applyNumberFormat="1" applyFill="1" applyBorder="1"/>
    <xf numFmtId="0" fontId="6" fillId="0" borderId="0" xfId="0" applyNumberFormat="1" applyFont="1"/>
    <xf numFmtId="0" fontId="6" fillId="0" borderId="0" xfId="0" applyFont="1" applyAlignment="1">
      <alignment horizontal="left"/>
    </xf>
    <xf numFmtId="0" fontId="11" fillId="0" borderId="0" xfId="0" applyFont="1"/>
    <xf numFmtId="0" fontId="10" fillId="0" borderId="0" xfId="0" applyFont="1"/>
    <xf numFmtId="0" fontId="7" fillId="0" borderId="0" xfId="0" applyFont="1"/>
    <xf numFmtId="167" fontId="7" fillId="0" borderId="0" xfId="5" applyNumberFormat="1" applyFont="1"/>
    <xf numFmtId="0" fontId="7" fillId="0" borderId="0" xfId="0" applyFont="1" applyAlignment="1">
      <alignment wrapText="1"/>
    </xf>
    <xf numFmtId="0" fontId="0" fillId="0" borderId="0" xfId="0" applyAlignment="1">
      <alignment wrapText="1"/>
    </xf>
    <xf numFmtId="0" fontId="4" fillId="3" borderId="2" xfId="0" applyFont="1" applyFill="1" applyBorder="1" applyAlignment="1">
      <alignment horizontal="center"/>
    </xf>
    <xf numFmtId="0" fontId="0" fillId="2" borderId="0" xfId="0" applyFill="1"/>
    <xf numFmtId="0" fontId="0" fillId="0" borderId="0" xfId="0" applyFill="1"/>
    <xf numFmtId="0" fontId="11" fillId="4" borderId="0" xfId="0" applyFont="1" applyFill="1"/>
    <xf numFmtId="0" fontId="11" fillId="3" borderId="0" xfId="0" applyFont="1" applyFill="1"/>
    <xf numFmtId="0" fontId="11" fillId="5" borderId="0" xfId="0" applyFont="1" applyFill="1"/>
    <xf numFmtId="0" fontId="11" fillId="6" borderId="0" xfId="0" applyFont="1" applyFill="1"/>
    <xf numFmtId="3" fontId="4" fillId="0" borderId="2" xfId="1" applyNumberFormat="1" applyFont="1" applyFill="1" applyBorder="1" applyAlignment="1">
      <alignment horizontal="center"/>
    </xf>
    <xf numFmtId="3" fontId="4" fillId="0" borderId="2" xfId="0" applyNumberFormat="1" applyFont="1" applyFill="1" applyBorder="1" applyAlignment="1">
      <alignment horizontal="center"/>
    </xf>
    <xf numFmtId="164" fontId="4" fillId="0" borderId="2" xfId="1" applyNumberFormat="1" applyFont="1" applyFill="1" applyBorder="1" applyAlignment="1">
      <alignment horizontal="center"/>
    </xf>
    <xf numFmtId="0" fontId="4" fillId="0" borderId="8" xfId="0" applyFont="1" applyFill="1" applyBorder="1" applyAlignment="1">
      <alignment horizontal="center"/>
    </xf>
    <xf numFmtId="166" fontId="13" fillId="0" borderId="2" xfId="0" applyNumberFormat="1" applyFont="1" applyFill="1" applyBorder="1" applyAlignment="1">
      <alignment horizontal="center"/>
    </xf>
    <xf numFmtId="3" fontId="13" fillId="0" borderId="2" xfId="1" applyNumberFormat="1" applyFont="1" applyFill="1" applyBorder="1" applyAlignment="1">
      <alignment horizontal="center"/>
    </xf>
    <xf numFmtId="0" fontId="6" fillId="0" borderId="0" xfId="0" applyFont="1" applyFill="1" applyBorder="1" applyAlignment="1">
      <alignment horizontal="left" wrapText="1"/>
    </xf>
    <xf numFmtId="0" fontId="6" fillId="0" borderId="0" xfId="0" applyNumberFormat="1" applyFont="1" applyFill="1"/>
    <xf numFmtId="166" fontId="4" fillId="0" borderId="0" xfId="0" applyNumberFormat="1" applyFont="1" applyAlignment="1">
      <alignment horizontal="right"/>
    </xf>
    <xf numFmtId="3" fontId="4" fillId="0" borderId="1" xfId="0" applyNumberFormat="1" applyFont="1" applyFill="1" applyBorder="1" applyAlignment="1">
      <alignment horizontal="center" wrapText="1"/>
    </xf>
    <xf numFmtId="166" fontId="4" fillId="0" borderId="0" xfId="0" applyNumberFormat="1" applyFont="1"/>
    <xf numFmtId="164" fontId="7" fillId="0" borderId="0" xfId="1" applyNumberFormat="1" applyFont="1" applyBorder="1"/>
    <xf numFmtId="164" fontId="7" fillId="0" borderId="12" xfId="1" applyNumberFormat="1" applyFont="1" applyBorder="1"/>
    <xf numFmtId="0" fontId="15" fillId="0" borderId="13" xfId="0" applyFont="1" applyBorder="1" applyAlignment="1">
      <alignment wrapText="1"/>
    </xf>
    <xf numFmtId="1" fontId="7" fillId="0" borderId="0" xfId="0" applyNumberFormat="1" applyFont="1"/>
    <xf numFmtId="0" fontId="16" fillId="7" borderId="16" xfId="4" applyFont="1" applyFill="1" applyBorder="1" applyAlignment="1">
      <alignment horizontal="center"/>
    </xf>
    <xf numFmtId="0" fontId="16" fillId="0" borderId="17" xfId="4" applyFont="1" applyFill="1" applyBorder="1" applyAlignment="1">
      <alignment wrapText="1"/>
    </xf>
    <xf numFmtId="0" fontId="16" fillId="7" borderId="16" xfId="3" applyFont="1" applyFill="1" applyBorder="1" applyAlignment="1">
      <alignment horizontal="center"/>
    </xf>
    <xf numFmtId="0" fontId="16" fillId="0" borderId="17" xfId="3" applyFont="1" applyFill="1" applyBorder="1" applyAlignment="1">
      <alignment wrapText="1"/>
    </xf>
    <xf numFmtId="0" fontId="17" fillId="0" borderId="0" xfId="3" applyFont="1" applyFill="1" applyBorder="1" applyAlignment="1">
      <alignment horizontal="left"/>
    </xf>
    <xf numFmtId="0" fontId="6" fillId="0" borderId="0" xfId="0" applyFont="1" applyFill="1" applyBorder="1" applyAlignment="1">
      <alignment horizontal="center"/>
    </xf>
    <xf numFmtId="166" fontId="0" fillId="0" borderId="1" xfId="0" applyNumberFormat="1" applyBorder="1"/>
    <xf numFmtId="9" fontId="0" fillId="0" borderId="1" xfId="0" applyNumberFormat="1" applyBorder="1"/>
    <xf numFmtId="0" fontId="2" fillId="0" borderId="0" xfId="0" applyFont="1" applyFill="1"/>
    <xf numFmtId="0" fontId="2" fillId="0" borderId="0" xfId="0" applyFont="1" applyFill="1" applyAlignment="1">
      <alignment horizontal="center" wrapText="1"/>
    </xf>
    <xf numFmtId="3" fontId="2" fillId="0" borderId="0" xfId="0" applyNumberFormat="1" applyFont="1" applyFill="1" applyAlignment="1">
      <alignment horizontal="center" wrapText="1"/>
    </xf>
    <xf numFmtId="3" fontId="0" fillId="0" borderId="0" xfId="0" applyNumberFormat="1" applyFill="1" applyBorder="1" applyAlignment="1">
      <alignment horizontal="center" wrapText="1"/>
    </xf>
    <xf numFmtId="0" fontId="6" fillId="0" borderId="0" xfId="0" applyFont="1" applyAlignment="1"/>
    <xf numFmtId="0" fontId="6" fillId="0" borderId="0" xfId="0" applyFont="1" applyFill="1" applyAlignment="1">
      <alignment wrapText="1"/>
    </xf>
    <xf numFmtId="0" fontId="6" fillId="0" borderId="0" xfId="0" applyFont="1" applyFill="1" applyAlignment="1"/>
    <xf numFmtId="0" fontId="7" fillId="0" borderId="13" xfId="0" applyFont="1" applyBorder="1"/>
    <xf numFmtId="0" fontId="7" fillId="0" borderId="18" xfId="0" applyFont="1" applyBorder="1"/>
    <xf numFmtId="168" fontId="7" fillId="0" borderId="19" xfId="2" applyNumberFormat="1" applyFont="1" applyBorder="1"/>
    <xf numFmtId="168" fontId="7" fillId="0" borderId="20" xfId="2" applyNumberFormat="1" applyFont="1" applyBorder="1"/>
    <xf numFmtId="0" fontId="2" fillId="0" borderId="0" xfId="0" applyFont="1" applyFill="1" applyBorder="1"/>
    <xf numFmtId="164" fontId="7" fillId="0" borderId="0" xfId="0" applyNumberFormat="1" applyFont="1" applyBorder="1"/>
    <xf numFmtId="164" fontId="7" fillId="0" borderId="21" xfId="1" applyNumberFormat="1" applyFont="1" applyBorder="1"/>
    <xf numFmtId="164" fontId="7" fillId="0" borderId="22" xfId="1" applyNumberFormat="1" applyFont="1" applyBorder="1"/>
    <xf numFmtId="164" fontId="7" fillId="0" borderId="23" xfId="1" applyNumberFormat="1" applyFont="1" applyBorder="1"/>
    <xf numFmtId="0" fontId="11" fillId="0" borderId="0" xfId="0" applyFont="1" applyFill="1"/>
    <xf numFmtId="0" fontId="7" fillId="0" borderId="0" xfId="0" applyFont="1" applyFill="1"/>
    <xf numFmtId="0" fontId="16" fillId="0" borderId="17" xfId="4" applyFont="1" applyFill="1" applyBorder="1" applyAlignment="1">
      <alignment horizontal="right" wrapText="1"/>
    </xf>
    <xf numFmtId="0" fontId="16" fillId="0" borderId="17" xfId="3" applyFont="1" applyFill="1" applyBorder="1" applyAlignment="1">
      <alignment horizontal="right" wrapText="1"/>
    </xf>
    <xf numFmtId="0" fontId="0" fillId="4" borderId="0" xfId="0" applyFill="1"/>
    <xf numFmtId="0" fontId="0" fillId="3" borderId="0" xfId="0" applyFill="1"/>
    <xf numFmtId="0" fontId="0" fillId="5" borderId="0" xfId="0" applyFill="1"/>
    <xf numFmtId="0" fontId="0" fillId="6" borderId="0" xfId="0" applyFill="1"/>
    <xf numFmtId="0" fontId="20" fillId="0" borderId="0" xfId="0" applyFont="1"/>
    <xf numFmtId="0" fontId="6" fillId="0" borderId="0" xfId="0" applyFont="1" applyFill="1" applyBorder="1"/>
    <xf numFmtId="1" fontId="6" fillId="0" borderId="0" xfId="0" applyNumberFormat="1" applyFont="1" applyFill="1" applyBorder="1" applyAlignment="1">
      <alignment horizontal="center"/>
    </xf>
    <xf numFmtId="3" fontId="6" fillId="0" borderId="0" xfId="0" applyNumberFormat="1" applyFont="1" applyFill="1" applyBorder="1" applyAlignment="1">
      <alignment horizontal="center"/>
    </xf>
    <xf numFmtId="0" fontId="4" fillId="0" borderId="3" xfId="0" applyFont="1" applyFill="1" applyBorder="1"/>
    <xf numFmtId="0" fontId="4" fillId="0" borderId="3" xfId="0" applyFont="1" applyFill="1" applyBorder="1" applyAlignment="1">
      <alignment wrapText="1"/>
    </xf>
    <xf numFmtId="0" fontId="4" fillId="0" borderId="3" xfId="0" applyFont="1" applyFill="1" applyBorder="1" applyAlignment="1">
      <alignment horizontal="left" indent="2"/>
    </xf>
    <xf numFmtId="0" fontId="14" fillId="0" borderId="3" xfId="0" applyFont="1" applyFill="1" applyBorder="1" applyAlignment="1"/>
    <xf numFmtId="0" fontId="4" fillId="0" borderId="24" xfId="0" applyFont="1" applyFill="1" applyBorder="1"/>
    <xf numFmtId="0" fontId="4" fillId="0" borderId="0" xfId="0" applyFont="1" applyFill="1"/>
    <xf numFmtId="0" fontId="14" fillId="0" borderId="3" xfId="0" applyFont="1" applyFill="1" applyBorder="1" applyAlignment="1">
      <alignment wrapText="1"/>
    </xf>
    <xf numFmtId="166" fontId="4" fillId="0" borderId="0" xfId="0" applyNumberFormat="1" applyFont="1" applyFill="1"/>
    <xf numFmtId="166" fontId="4" fillId="0" borderId="0" xfId="0" applyNumberFormat="1" applyFont="1" applyFill="1" applyAlignment="1">
      <alignment horizontal="right"/>
    </xf>
    <xf numFmtId="0" fontId="21" fillId="0" borderId="14" xfId="0" applyFont="1" applyBorder="1" applyAlignment="1">
      <alignment horizontal="center" wrapText="1"/>
    </xf>
    <xf numFmtId="0" fontId="21" fillId="0" borderId="23" xfId="0" applyFont="1" applyBorder="1" applyAlignment="1">
      <alignment horizontal="center" wrapText="1"/>
    </xf>
    <xf numFmtId="1" fontId="22" fillId="0" borderId="15" xfId="1" applyNumberFormat="1" applyFont="1" applyBorder="1"/>
    <xf numFmtId="1" fontId="22" fillId="0" borderId="22" xfId="1" applyNumberFormat="1" applyFont="1" applyBorder="1"/>
    <xf numFmtId="0" fontId="21" fillId="0" borderId="25" xfId="0" applyFont="1" applyBorder="1" applyAlignment="1">
      <alignment horizontal="center" wrapText="1"/>
    </xf>
    <xf numFmtId="168" fontId="21" fillId="0" borderId="25" xfId="2" applyNumberFormat="1" applyFont="1" applyBorder="1" applyAlignment="1">
      <alignment horizontal="center" wrapText="1"/>
    </xf>
    <xf numFmtId="0" fontId="21" fillId="0" borderId="26" xfId="0" applyFont="1" applyBorder="1" applyAlignment="1">
      <alignment horizontal="center" wrapText="1"/>
    </xf>
    <xf numFmtId="0" fontId="22" fillId="0" borderId="27" xfId="0" applyFont="1" applyBorder="1" applyAlignment="1">
      <alignment horizontal="center" wrapText="1"/>
    </xf>
    <xf numFmtId="0" fontId="21" fillId="0" borderId="27" xfId="0" applyFont="1" applyBorder="1" applyAlignment="1">
      <alignment horizontal="center" wrapText="1"/>
    </xf>
    <xf numFmtId="0" fontId="21" fillId="0" borderId="28" xfId="0" applyFont="1" applyBorder="1" applyAlignment="1">
      <alignment horizontal="center" wrapText="1"/>
    </xf>
    <xf numFmtId="0" fontId="21" fillId="0" borderId="29" xfId="0" applyFont="1" applyBorder="1" applyAlignment="1">
      <alignment horizontal="center" wrapText="1"/>
    </xf>
    <xf numFmtId="0" fontId="21" fillId="0" borderId="32" xfId="0" applyFont="1" applyBorder="1" applyAlignment="1">
      <alignment horizontal="center" wrapText="1"/>
    </xf>
    <xf numFmtId="0" fontId="22" fillId="0" borderId="33" xfId="0" applyFont="1" applyBorder="1" applyAlignment="1">
      <alignment horizontal="center" wrapText="1"/>
    </xf>
    <xf numFmtId="0" fontId="21" fillId="0" borderId="33" xfId="0" applyFont="1" applyBorder="1" applyAlignment="1">
      <alignment horizontal="center" wrapText="1"/>
    </xf>
    <xf numFmtId="0" fontId="21" fillId="0" borderId="34" xfId="0" applyFont="1" applyFill="1" applyBorder="1" applyAlignment="1">
      <alignment horizontal="center" wrapText="1"/>
    </xf>
    <xf numFmtId="3" fontId="0" fillId="0" borderId="25" xfId="0" applyNumberFormat="1" applyBorder="1"/>
    <xf numFmtId="0" fontId="22" fillId="0" borderId="28" xfId="0" applyFont="1" applyBorder="1" applyAlignment="1">
      <alignment horizontal="center" wrapText="1"/>
    </xf>
    <xf numFmtId="1" fontId="22" fillId="0" borderId="31" xfId="1" applyNumberFormat="1" applyFont="1" applyBorder="1"/>
    <xf numFmtId="0" fontId="22" fillId="0" borderId="34" xfId="0" applyFont="1" applyBorder="1" applyAlignment="1">
      <alignment horizontal="center" wrapText="1"/>
    </xf>
    <xf numFmtId="0" fontId="7" fillId="0" borderId="35" xfId="0" applyFont="1" applyBorder="1"/>
    <xf numFmtId="0" fontId="7" fillId="0" borderId="36" xfId="0" applyFont="1" applyBorder="1" applyAlignment="1">
      <alignment wrapText="1"/>
    </xf>
    <xf numFmtId="0" fontId="7" fillId="0" borderId="37" xfId="0" applyFont="1" applyBorder="1"/>
    <xf numFmtId="0" fontId="7" fillId="0" borderId="18" xfId="0" applyFont="1" applyBorder="1" applyAlignment="1">
      <alignment wrapText="1"/>
    </xf>
    <xf numFmtId="0" fontId="7" fillId="0" borderId="20" xfId="0" applyFont="1" applyBorder="1"/>
    <xf numFmtId="0" fontId="6" fillId="0" borderId="0" xfId="0" applyFont="1" applyFill="1" applyAlignment="1">
      <alignment horizontal="left" wrapText="1"/>
    </xf>
    <xf numFmtId="0" fontId="4" fillId="0" borderId="3" xfId="0" applyFont="1" applyFill="1" applyBorder="1" applyAlignment="1">
      <alignment horizontal="left" vertical="center" wrapText="1"/>
    </xf>
    <xf numFmtId="0" fontId="4" fillId="0" borderId="3" xfId="0" applyFont="1" applyFill="1" applyBorder="1" applyAlignment="1">
      <alignment horizontal="left" wrapText="1" indent="2"/>
    </xf>
    <xf numFmtId="0" fontId="4" fillId="0" borderId="4" xfId="0" applyFont="1" applyFill="1" applyBorder="1"/>
    <xf numFmtId="0" fontId="4" fillId="0" borderId="5" xfId="0" applyFont="1" applyFill="1" applyBorder="1" applyAlignment="1">
      <alignment horizontal="center"/>
    </xf>
    <xf numFmtId="0" fontId="14" fillId="0" borderId="10" xfId="0" applyFont="1" applyFill="1" applyBorder="1"/>
    <xf numFmtId="166" fontId="4" fillId="0" borderId="5" xfId="0" applyNumberFormat="1" applyFont="1" applyFill="1" applyBorder="1" applyAlignment="1">
      <alignment horizontal="center"/>
    </xf>
    <xf numFmtId="0" fontId="4" fillId="0" borderId="1" xfId="0" applyFont="1" applyFill="1" applyBorder="1" applyAlignment="1">
      <alignment horizontal="center" textRotation="90" wrapText="1"/>
    </xf>
    <xf numFmtId="3" fontId="4" fillId="0" borderId="5" xfId="0" applyNumberFormat="1" applyFont="1" applyFill="1" applyBorder="1" applyAlignment="1">
      <alignment horizontal="center"/>
    </xf>
    <xf numFmtId="0" fontId="4" fillId="0" borderId="0" xfId="0" applyFont="1" applyFill="1" applyAlignment="1">
      <alignment horizontal="right"/>
    </xf>
    <xf numFmtId="0" fontId="3" fillId="0" borderId="0" xfId="0" applyFont="1" applyFill="1"/>
    <xf numFmtId="0" fontId="5" fillId="0" borderId="6" xfId="0" applyFont="1" applyFill="1" applyBorder="1" applyAlignment="1">
      <alignment horizontal="center"/>
    </xf>
    <xf numFmtId="0" fontId="3" fillId="0" borderId="7" xfId="0" applyFont="1" applyFill="1" applyBorder="1" applyAlignment="1">
      <alignment horizontal="center"/>
    </xf>
    <xf numFmtId="166" fontId="3" fillId="0" borderId="7" xfId="0" applyNumberFormat="1" applyFont="1" applyFill="1" applyBorder="1" applyAlignment="1">
      <alignment horizontal="center"/>
    </xf>
    <xf numFmtId="1" fontId="3" fillId="0" borderId="7" xfId="0" applyNumberFormat="1" applyFont="1" applyFill="1" applyBorder="1" applyAlignment="1">
      <alignment horizontal="center"/>
    </xf>
    <xf numFmtId="3" fontId="5" fillId="0" borderId="7" xfId="0" applyNumberFormat="1" applyFont="1" applyFill="1" applyBorder="1" applyAlignment="1">
      <alignment horizontal="center"/>
    </xf>
    <xf numFmtId="166" fontId="5" fillId="0" borderId="7" xfId="0" applyNumberFormat="1" applyFont="1" applyFill="1" applyBorder="1" applyAlignment="1">
      <alignment horizontal="center"/>
    </xf>
    <xf numFmtId="0" fontId="3" fillId="0" borderId="9" xfId="0" applyFont="1" applyFill="1" applyBorder="1" applyAlignment="1">
      <alignment horizontal="center"/>
    </xf>
    <xf numFmtId="0" fontId="4" fillId="0" borderId="0" xfId="0" applyFont="1" applyFill="1" applyAlignment="1">
      <alignment wrapText="1"/>
    </xf>
    <xf numFmtId="0" fontId="4" fillId="0" borderId="4" xfId="0" applyFont="1" applyFill="1" applyBorder="1" applyAlignment="1">
      <alignment wrapText="1"/>
    </xf>
    <xf numFmtId="165" fontId="4" fillId="0" borderId="0" xfId="0" applyNumberFormat="1" applyFont="1" applyFill="1"/>
    <xf numFmtId="3" fontId="2" fillId="0" borderId="0" xfId="0" applyNumberFormat="1" applyFont="1" applyFill="1" applyAlignment="1">
      <alignment horizontal="center"/>
    </xf>
    <xf numFmtId="3" fontId="6" fillId="0" borderId="0" xfId="0" applyNumberFormat="1" applyFont="1" applyFill="1" applyAlignment="1">
      <alignment horizontal="center"/>
    </xf>
    <xf numFmtId="0" fontId="0" fillId="0" borderId="0" xfId="0" applyFill="1" applyAlignment="1">
      <alignment horizontal="center" wrapText="1"/>
    </xf>
    <xf numFmtId="3" fontId="0" fillId="0" borderId="0" xfId="0" applyNumberFormat="1" applyFill="1" applyAlignment="1">
      <alignment horizontal="center" wrapText="1"/>
    </xf>
    <xf numFmtId="0" fontId="0" fillId="0" borderId="0" xfId="0" applyFill="1" applyAlignment="1">
      <alignment horizontal="center"/>
    </xf>
    <xf numFmtId="0" fontId="10" fillId="0" borderId="38" xfId="0" applyFont="1" applyFill="1" applyBorder="1"/>
    <xf numFmtId="0" fontId="10" fillId="0" borderId="39" xfId="0" applyFont="1" applyFill="1" applyBorder="1"/>
    <xf numFmtId="0" fontId="10" fillId="0" borderId="40" xfId="0" applyFont="1" applyFill="1" applyBorder="1" applyAlignment="1">
      <alignment horizontal="center" wrapText="1"/>
    </xf>
    <xf numFmtId="3" fontId="10" fillId="0" borderId="40" xfId="0" applyNumberFormat="1" applyFont="1" applyFill="1" applyBorder="1" applyAlignment="1">
      <alignment horizontal="center" wrapText="1"/>
    </xf>
    <xf numFmtId="0" fontId="10" fillId="0" borderId="41" xfId="0" applyFont="1" applyFill="1" applyBorder="1" applyAlignment="1">
      <alignment horizontal="center" textRotation="90"/>
    </xf>
    <xf numFmtId="0" fontId="0" fillId="0" borderId="0" xfId="0" applyFill="1" applyBorder="1" applyAlignment="1">
      <alignment horizontal="center" vertical="top" wrapText="1"/>
    </xf>
    <xf numFmtId="0" fontId="19" fillId="0" borderId="0" xfId="0" applyFont="1" applyFill="1" applyBorder="1" applyAlignment="1">
      <alignment horizontal="center" vertical="top" wrapText="1"/>
    </xf>
    <xf numFmtId="0" fontId="19" fillId="0" borderId="0" xfId="0" applyFont="1" applyFill="1" applyBorder="1" applyAlignment="1">
      <alignment horizontal="centerContinuous" vertical="center"/>
    </xf>
    <xf numFmtId="0" fontId="19" fillId="0" borderId="0" xfId="0" applyFont="1" applyFill="1" applyBorder="1" applyAlignment="1">
      <alignment horizontal="centerContinuous" vertical="center" wrapText="1"/>
    </xf>
    <xf numFmtId="3" fontId="0" fillId="0" borderId="0" xfId="0" quotePrefix="1" applyNumberFormat="1" applyFill="1" applyAlignment="1">
      <alignment horizontal="center" wrapText="1"/>
    </xf>
    <xf numFmtId="166" fontId="0" fillId="0" borderId="0" xfId="0" applyNumberFormat="1" applyFill="1" applyAlignment="1">
      <alignment horizontal="center" wrapText="1"/>
    </xf>
    <xf numFmtId="164" fontId="7" fillId="8" borderId="13" xfId="1" applyNumberFormat="1" applyFont="1" applyFill="1" applyBorder="1"/>
    <xf numFmtId="164" fontId="7" fillId="8" borderId="0" xfId="1" applyNumberFormat="1" applyFont="1" applyFill="1" applyBorder="1"/>
    <xf numFmtId="164" fontId="7" fillId="8" borderId="12" xfId="1" applyNumberFormat="1" applyFont="1" applyFill="1" applyBorder="1"/>
    <xf numFmtId="43" fontId="7" fillId="8" borderId="18" xfId="1" applyNumberFormat="1" applyFont="1" applyFill="1" applyBorder="1"/>
    <xf numFmtId="164" fontId="7" fillId="8" borderId="19" xfId="1" applyNumberFormat="1" applyFont="1" applyFill="1" applyBorder="1"/>
    <xf numFmtId="0" fontId="7" fillId="8" borderId="20" xfId="1" applyNumberFormat="1" applyFont="1" applyFill="1" applyBorder="1"/>
    <xf numFmtId="164" fontId="7" fillId="8" borderId="20" xfId="1" applyNumberFormat="1" applyFont="1" applyFill="1" applyBorder="1"/>
    <xf numFmtId="168" fontId="7" fillId="0" borderId="0" xfId="2" applyNumberFormat="1" applyFont="1" applyBorder="1"/>
    <xf numFmtId="168" fontId="7" fillId="0" borderId="12" xfId="2" applyNumberFormat="1" applyFont="1" applyBorder="1"/>
    <xf numFmtId="168" fontId="7" fillId="0" borderId="42" xfId="2" applyNumberFormat="1" applyFont="1" applyBorder="1"/>
    <xf numFmtId="164" fontId="7" fillId="0" borderId="43" xfId="1" applyNumberFormat="1" applyFont="1" applyBorder="1"/>
    <xf numFmtId="164" fontId="7" fillId="0" borderId="44" xfId="1" applyNumberFormat="1" applyFont="1" applyBorder="1"/>
    <xf numFmtId="164" fontId="7" fillId="0" borderId="45" xfId="1" applyNumberFormat="1" applyFont="1" applyBorder="1"/>
    <xf numFmtId="164" fontId="7" fillId="0" borderId="46" xfId="1" applyNumberFormat="1" applyFont="1" applyBorder="1"/>
    <xf numFmtId="168" fontId="7" fillId="0" borderId="47" xfId="2" applyNumberFormat="1" applyFont="1" applyBorder="1"/>
    <xf numFmtId="168" fontId="7" fillId="0" borderId="14" xfId="2" applyNumberFormat="1" applyFont="1" applyBorder="1"/>
    <xf numFmtId="168" fontId="7" fillId="0" borderId="23" xfId="2" applyNumberFormat="1" applyFont="1" applyBorder="1"/>
    <xf numFmtId="0" fontId="7" fillId="2" borderId="32" xfId="0" applyFont="1" applyFill="1" applyBorder="1" applyAlignment="1">
      <alignment horizontal="center"/>
    </xf>
    <xf numFmtId="0" fontId="7" fillId="2" borderId="34" xfId="0" applyFont="1" applyFill="1" applyBorder="1" applyAlignment="1">
      <alignment horizontal="center"/>
    </xf>
    <xf numFmtId="0" fontId="11" fillId="2" borderId="25" xfId="0" applyFont="1" applyFill="1" applyBorder="1" applyAlignment="1">
      <alignment horizontal="center"/>
    </xf>
    <xf numFmtId="0" fontId="23" fillId="0" borderId="13" xfId="0" applyFont="1" applyBorder="1"/>
    <xf numFmtId="0" fontId="23" fillId="0" borderId="18" xfId="0" applyFont="1" applyBorder="1"/>
    <xf numFmtId="166" fontId="4" fillId="0" borderId="48" xfId="0" applyNumberFormat="1" applyFont="1" applyBorder="1" applyAlignment="1">
      <alignment horizontal="center"/>
    </xf>
    <xf numFmtId="3" fontId="5" fillId="0" borderId="49" xfId="0" applyNumberFormat="1" applyFont="1" applyBorder="1" applyAlignment="1">
      <alignment horizontal="center"/>
    </xf>
    <xf numFmtId="0" fontId="3" fillId="0" borderId="50" xfId="0" applyFont="1" applyBorder="1" applyAlignment="1">
      <alignment horizontal="center"/>
    </xf>
    <xf numFmtId="0" fontId="4" fillId="0" borderId="51" xfId="0" applyFont="1" applyBorder="1" applyAlignment="1">
      <alignment horizontal="center"/>
    </xf>
    <xf numFmtId="0" fontId="4" fillId="0" borderId="2" xfId="0" applyFont="1" applyFill="1" applyBorder="1"/>
    <xf numFmtId="0" fontId="4" fillId="0" borderId="52" xfId="0" applyFont="1" applyFill="1" applyBorder="1" applyAlignment="1">
      <alignment horizontal="center"/>
    </xf>
    <xf numFmtId="166" fontId="4" fillId="0" borderId="52" xfId="0" applyNumberFormat="1" applyFont="1" applyFill="1" applyBorder="1" applyAlignment="1">
      <alignment horizontal="center"/>
    </xf>
    <xf numFmtId="3" fontId="4" fillId="0" borderId="52" xfId="0" applyNumberFormat="1" applyFont="1" applyFill="1" applyBorder="1" applyAlignment="1">
      <alignment horizontal="center"/>
    </xf>
    <xf numFmtId="0" fontId="4" fillId="0" borderId="53" xfId="0" applyFont="1" applyFill="1" applyBorder="1" applyAlignment="1">
      <alignment horizontal="center"/>
    </xf>
    <xf numFmtId="0" fontId="4" fillId="0" borderId="2" xfId="0" applyFont="1" applyBorder="1"/>
    <xf numFmtId="0" fontId="4" fillId="0" borderId="8" xfId="0" applyFont="1" applyBorder="1"/>
    <xf numFmtId="0" fontId="4" fillId="0" borderId="52" xfId="0" applyFont="1" applyBorder="1" applyAlignment="1">
      <alignment horizontal="center"/>
    </xf>
    <xf numFmtId="166" fontId="4" fillId="0" borderId="52" xfId="0" applyNumberFormat="1" applyFont="1" applyBorder="1" applyAlignment="1">
      <alignment horizontal="center"/>
    </xf>
    <xf numFmtId="3" fontId="4" fillId="0" borderId="52" xfId="0" applyNumberFormat="1" applyFont="1" applyBorder="1" applyAlignment="1">
      <alignment horizontal="center"/>
    </xf>
    <xf numFmtId="0" fontId="4" fillId="0" borderId="53" xfId="0" applyFont="1" applyBorder="1" applyAlignment="1">
      <alignment horizontal="center"/>
    </xf>
    <xf numFmtId="0" fontId="4" fillId="0" borderId="51" xfId="0" applyFont="1" applyFill="1" applyBorder="1" applyAlignment="1">
      <alignment horizontal="center"/>
    </xf>
    <xf numFmtId="0" fontId="14" fillId="0" borderId="54" xfId="0" applyFont="1" applyBorder="1"/>
    <xf numFmtId="0" fontId="4" fillId="0" borderId="55" xfId="0" applyFont="1" applyFill="1" applyBorder="1" applyAlignment="1">
      <alignment horizontal="center" wrapText="1"/>
    </xf>
    <xf numFmtId="0" fontId="5" fillId="0" borderId="55" xfId="0" applyFont="1" applyBorder="1" applyAlignment="1">
      <alignment horizontal="center"/>
    </xf>
    <xf numFmtId="0" fontId="3" fillId="0" borderId="6" xfId="0" applyFont="1" applyBorder="1" applyAlignment="1">
      <alignment horizontal="center"/>
    </xf>
    <xf numFmtId="0" fontId="14" fillId="0" borderId="54" xfId="0" applyFont="1" applyFill="1" applyBorder="1"/>
    <xf numFmtId="0" fontId="6" fillId="0" borderId="0" xfId="0" applyFont="1" applyFill="1" applyBorder="1" applyAlignment="1">
      <alignment horizontal="left"/>
    </xf>
    <xf numFmtId="0" fontId="14" fillId="0" borderId="54" xfId="0" applyFont="1" applyFill="1" applyBorder="1" applyAlignment="1">
      <alignment wrapText="1"/>
    </xf>
    <xf numFmtId="49" fontId="10" fillId="0" borderId="56" xfId="0" applyNumberFormat="1" applyFont="1" applyFill="1" applyBorder="1"/>
    <xf numFmtId="0" fontId="10" fillId="0" borderId="5" xfId="0" applyFont="1" applyFill="1" applyBorder="1"/>
    <xf numFmtId="0" fontId="19" fillId="0" borderId="5" xfId="0" applyFont="1" applyFill="1" applyBorder="1"/>
    <xf numFmtId="0" fontId="0" fillId="0" borderId="5" xfId="0" applyFill="1" applyBorder="1" applyAlignment="1">
      <alignment horizontal="center" wrapText="1"/>
    </xf>
    <xf numFmtId="3" fontId="0" fillId="0" borderId="5" xfId="0" applyNumberFormat="1" applyFill="1" applyBorder="1" applyAlignment="1">
      <alignment horizontal="center" wrapText="1"/>
    </xf>
    <xf numFmtId="166" fontId="0" fillId="0" borderId="5" xfId="0" applyNumberFormat="1" applyFill="1" applyBorder="1" applyAlignment="1">
      <alignment horizontal="center" wrapText="1"/>
    </xf>
    <xf numFmtId="0" fontId="0" fillId="0" borderId="57" xfId="0" applyFill="1" applyBorder="1" applyAlignment="1">
      <alignment horizontal="center"/>
    </xf>
    <xf numFmtId="49" fontId="10" fillId="0" borderId="58" xfId="0" applyNumberFormat="1" applyFont="1" applyFill="1" applyBorder="1" applyAlignment="1">
      <alignment vertical="top"/>
    </xf>
    <xf numFmtId="0" fontId="0" fillId="0" borderId="2" xfId="0" applyFill="1" applyBorder="1" applyAlignment="1">
      <alignment horizontal="center" wrapText="1"/>
    </xf>
    <xf numFmtId="3" fontId="0" fillId="0" borderId="2" xfId="0" applyNumberFormat="1" applyFill="1" applyBorder="1" applyAlignment="1">
      <alignment horizontal="center" wrapText="1"/>
    </xf>
    <xf numFmtId="166" fontId="0" fillId="0" borderId="2" xfId="0" applyNumberFormat="1" applyFill="1" applyBorder="1" applyAlignment="1">
      <alignment horizontal="center" wrapText="1"/>
    </xf>
    <xf numFmtId="0" fontId="0" fillId="0" borderId="59" xfId="0" applyFill="1" applyBorder="1" applyAlignment="1">
      <alignment horizontal="center"/>
    </xf>
    <xf numFmtId="49" fontId="10" fillId="0" borderId="2" xfId="0" applyNumberFormat="1" applyFont="1" applyFill="1" applyBorder="1" applyAlignment="1">
      <alignment vertical="top"/>
    </xf>
    <xf numFmtId="49" fontId="10" fillId="0" borderId="2" xfId="0" applyNumberFormat="1" applyFont="1" applyFill="1" applyBorder="1"/>
    <xf numFmtId="3" fontId="10" fillId="0" borderId="2" xfId="0" applyNumberFormat="1" applyFont="1" applyFill="1" applyBorder="1" applyAlignment="1">
      <alignment vertical="top"/>
    </xf>
    <xf numFmtId="0" fontId="0" fillId="0" borderId="2" xfId="0" applyFill="1" applyBorder="1"/>
    <xf numFmtId="3" fontId="10" fillId="0" borderId="2" xfId="0" applyNumberFormat="1" applyFont="1" applyFill="1" applyBorder="1"/>
    <xf numFmtId="3" fontId="10" fillId="0" borderId="2" xfId="0" quotePrefix="1" applyNumberFormat="1" applyFont="1" applyFill="1" applyBorder="1" applyAlignment="1">
      <alignment vertical="top"/>
    </xf>
    <xf numFmtId="0" fontId="10" fillId="0" borderId="2" xfId="0" applyFont="1" applyFill="1" applyBorder="1"/>
    <xf numFmtId="49" fontId="10" fillId="0" borderId="60" xfId="0" applyNumberFormat="1" applyFont="1" applyFill="1" applyBorder="1" applyAlignment="1">
      <alignment vertical="top"/>
    </xf>
    <xf numFmtId="3" fontId="10" fillId="0" borderId="61" xfId="0" applyNumberFormat="1" applyFont="1" applyFill="1" applyBorder="1" applyAlignment="1">
      <alignment vertical="top"/>
    </xf>
    <xf numFmtId="49" fontId="10" fillId="0" borderId="61" xfId="0" applyNumberFormat="1" applyFont="1" applyFill="1" applyBorder="1" applyAlignment="1">
      <alignment vertical="top"/>
    </xf>
    <xf numFmtId="0" fontId="10" fillId="0" borderId="61" xfId="0" applyFont="1" applyFill="1" applyBorder="1"/>
    <xf numFmtId="0" fontId="0" fillId="0" borderId="61" xfId="0" applyFill="1" applyBorder="1" applyAlignment="1">
      <alignment horizontal="center"/>
    </xf>
    <xf numFmtId="39" fontId="0" fillId="0" borderId="61" xfId="0" applyNumberFormat="1" applyFill="1" applyBorder="1" applyAlignment="1">
      <alignment horizontal="center" wrapText="1"/>
    </xf>
    <xf numFmtId="3" fontId="0" fillId="0" borderId="61" xfId="0" applyNumberFormat="1" applyFill="1" applyBorder="1" applyAlignment="1">
      <alignment horizontal="center"/>
    </xf>
    <xf numFmtId="166" fontId="0" fillId="0" borderId="61" xfId="0" applyNumberFormat="1" applyFill="1" applyBorder="1" applyAlignment="1">
      <alignment horizontal="center" wrapText="1"/>
    </xf>
    <xf numFmtId="0" fontId="0" fillId="0" borderId="62" xfId="0" applyFill="1" applyBorder="1" applyAlignment="1">
      <alignment horizontal="center"/>
    </xf>
    <xf numFmtId="3" fontId="19" fillId="0" borderId="63" xfId="0" applyNumberFormat="1" applyFont="1" applyFill="1" applyBorder="1" applyAlignment="1">
      <alignment vertical="top"/>
    </xf>
    <xf numFmtId="49" fontId="19" fillId="0" borderId="63" xfId="0" applyNumberFormat="1" applyFont="1" applyFill="1" applyBorder="1" applyAlignment="1">
      <alignment vertical="top"/>
    </xf>
    <xf numFmtId="3" fontId="0" fillId="0" borderId="63" xfId="0" applyNumberFormat="1" applyFill="1" applyBorder="1"/>
    <xf numFmtId="0" fontId="0" fillId="0" borderId="63" xfId="0" applyFill="1" applyBorder="1"/>
    <xf numFmtId="0" fontId="0" fillId="0" borderId="63" xfId="0" applyFill="1" applyBorder="1" applyAlignment="1">
      <alignment horizontal="center" wrapText="1"/>
    </xf>
    <xf numFmtId="3" fontId="0" fillId="0" borderId="63" xfId="0" applyNumberFormat="1" applyFill="1" applyBorder="1" applyAlignment="1">
      <alignment horizontal="center" wrapText="1"/>
    </xf>
    <xf numFmtId="166" fontId="11" fillId="0" borderId="63" xfId="0" applyNumberFormat="1" applyFont="1" applyFill="1" applyBorder="1" applyAlignment="1">
      <alignment horizontal="center" wrapText="1"/>
    </xf>
    <xf numFmtId="0" fontId="0" fillId="0" borderId="64" xfId="0" applyFill="1" applyBorder="1" applyAlignment="1">
      <alignment horizontal="center"/>
    </xf>
    <xf numFmtId="0" fontId="0" fillId="0" borderId="61" xfId="0" applyFill="1" applyBorder="1"/>
    <xf numFmtId="3" fontId="0" fillId="0" borderId="61" xfId="0" applyNumberFormat="1" applyFill="1" applyBorder="1" applyAlignment="1">
      <alignment horizontal="center" wrapText="1"/>
    </xf>
    <xf numFmtId="49" fontId="19" fillId="0" borderId="65" xfId="0" applyNumberFormat="1" applyFont="1" applyFill="1" applyBorder="1" applyAlignment="1">
      <alignment vertical="center"/>
    </xf>
    <xf numFmtId="164" fontId="7" fillId="0" borderId="66" xfId="0" applyNumberFormat="1" applyFont="1" applyBorder="1"/>
    <xf numFmtId="168" fontId="7" fillId="0" borderId="13" xfId="2" applyNumberFormat="1" applyFont="1" applyBorder="1"/>
    <xf numFmtId="168" fontId="7" fillId="0" borderId="18" xfId="2" applyNumberFormat="1" applyFont="1" applyBorder="1"/>
    <xf numFmtId="0" fontId="7" fillId="0" borderId="66" xfId="0" applyFont="1" applyBorder="1"/>
    <xf numFmtId="0" fontId="7" fillId="0" borderId="42" xfId="0" applyFont="1" applyBorder="1" applyAlignment="1">
      <alignment horizontal="right"/>
    </xf>
    <xf numFmtId="164" fontId="7" fillId="0" borderId="26" xfId="1" applyNumberFormat="1" applyFont="1" applyBorder="1"/>
    <xf numFmtId="164" fontId="7" fillId="0" borderId="67" xfId="1" applyNumberFormat="1" applyFont="1" applyBorder="1"/>
    <xf numFmtId="0" fontId="7" fillId="0" borderId="46" xfId="0" applyFont="1" applyBorder="1" applyAlignment="1">
      <alignment horizontal="right"/>
    </xf>
    <xf numFmtId="164" fontId="7" fillId="0" borderId="35" xfId="1" applyNumberFormat="1" applyFont="1" applyBorder="1"/>
    <xf numFmtId="164" fontId="7" fillId="0" borderId="20" xfId="1" applyNumberFormat="1" applyFont="1" applyBorder="1"/>
    <xf numFmtId="0" fontId="2" fillId="2" borderId="32" xfId="0" applyFont="1" applyFill="1" applyBorder="1" applyAlignment="1">
      <alignment horizontal="center"/>
    </xf>
    <xf numFmtId="0" fontId="2" fillId="2" borderId="34" xfId="0" applyFont="1" applyFill="1" applyBorder="1" applyAlignment="1">
      <alignment horizontal="center"/>
    </xf>
    <xf numFmtId="0" fontId="0" fillId="9" borderId="1" xfId="0" applyFill="1" applyBorder="1"/>
    <xf numFmtId="1" fontId="0" fillId="9" borderId="1" xfId="0" applyNumberFormat="1" applyFill="1" applyBorder="1"/>
    <xf numFmtId="0" fontId="1" fillId="10" borderId="0" xfId="0" applyFont="1" applyFill="1"/>
    <xf numFmtId="0" fontId="1" fillId="10" borderId="0" xfId="0" applyFont="1" applyFill="1" applyAlignment="1">
      <alignment wrapText="1"/>
    </xf>
    <xf numFmtId="0" fontId="4" fillId="13" borderId="1" xfId="0" applyFont="1" applyFill="1" applyBorder="1" applyAlignment="1">
      <alignment horizontal="center" wrapText="1"/>
    </xf>
    <xf numFmtId="1" fontId="0" fillId="0" borderId="0" xfId="0" applyNumberFormat="1" applyFill="1" applyBorder="1" applyAlignment="1">
      <alignment horizontal="left"/>
    </xf>
    <xf numFmtId="0" fontId="24" fillId="0" borderId="0" xfId="0" applyFont="1"/>
    <xf numFmtId="3" fontId="4" fillId="0" borderId="0" xfId="0" applyNumberFormat="1" applyFont="1"/>
    <xf numFmtId="0" fontId="10" fillId="11" borderId="1" xfId="0" applyFont="1" applyFill="1" applyBorder="1"/>
    <xf numFmtId="0" fontId="0" fillId="11" borderId="1" xfId="0" applyFill="1" applyBorder="1" applyAlignment="1">
      <alignment horizontal="center"/>
    </xf>
    <xf numFmtId="0" fontId="0" fillId="11" borderId="1" xfId="0" applyFill="1" applyBorder="1"/>
    <xf numFmtId="0" fontId="10" fillId="11" borderId="76" xfId="0" applyFont="1" applyFill="1" applyBorder="1" applyAlignment="1">
      <alignment horizontal="left"/>
    </xf>
    <xf numFmtId="0" fontId="0" fillId="11" borderId="72" xfId="0" applyFill="1" applyBorder="1" applyAlignment="1">
      <alignment horizontal="center"/>
    </xf>
    <xf numFmtId="1" fontId="0" fillId="11" borderId="77" xfId="0" applyNumberFormat="1" applyFill="1" applyBorder="1"/>
    <xf numFmtId="0" fontId="0" fillId="0" borderId="71" xfId="0" applyFill="1" applyBorder="1" applyAlignment="1">
      <alignment horizontal="center"/>
    </xf>
    <xf numFmtId="1" fontId="0" fillId="0" borderId="79" xfId="0" applyNumberFormat="1" applyFill="1" applyBorder="1"/>
    <xf numFmtId="0" fontId="10" fillId="11" borderId="76" xfId="0" applyFont="1" applyFill="1" applyBorder="1"/>
    <xf numFmtId="0" fontId="0" fillId="11" borderId="72" xfId="0" applyFill="1" applyBorder="1"/>
    <xf numFmtId="0" fontId="0" fillId="11" borderId="77" xfId="0" applyFill="1" applyBorder="1"/>
    <xf numFmtId="0" fontId="0" fillId="0" borderId="78" xfId="0" applyFill="1" applyBorder="1" applyAlignment="1">
      <alignment vertical="center"/>
    </xf>
    <xf numFmtId="0" fontId="0" fillId="0" borderId="71" xfId="0" applyFill="1" applyBorder="1"/>
    <xf numFmtId="0" fontId="0" fillId="0" borderId="79" xfId="0" applyFill="1" applyBorder="1"/>
    <xf numFmtId="0" fontId="6" fillId="0" borderId="0" xfId="0" applyFont="1" applyAlignment="1">
      <alignment horizontal="left" wrapText="1"/>
    </xf>
    <xf numFmtId="0" fontId="24" fillId="0" borderId="75" xfId="0" applyFont="1" applyFill="1" applyBorder="1" applyAlignment="1"/>
    <xf numFmtId="0" fontId="4" fillId="0" borderId="3" xfId="0" applyFont="1" applyFill="1" applyBorder="1" applyAlignment="1">
      <alignment horizontal="left" wrapText="1"/>
    </xf>
    <xf numFmtId="0" fontId="4" fillId="0" borderId="3" xfId="0" applyFont="1" applyFill="1" applyBorder="1" applyAlignment="1">
      <alignment horizontal="left"/>
    </xf>
    <xf numFmtId="0" fontId="0" fillId="0" borderId="71" xfId="0" applyFill="1" applyBorder="1" applyAlignment="1">
      <alignment horizontal="left"/>
    </xf>
    <xf numFmtId="166" fontId="4" fillId="14" borderId="0" xfId="0" applyNumberFormat="1" applyFont="1" applyFill="1" applyAlignment="1">
      <alignment horizontal="right"/>
    </xf>
    <xf numFmtId="166" fontId="4" fillId="14" borderId="0" xfId="0" applyNumberFormat="1" applyFont="1" applyFill="1"/>
    <xf numFmtId="3" fontId="7" fillId="0" borderId="0" xfId="0" applyNumberFormat="1" applyFont="1"/>
    <xf numFmtId="3" fontId="2" fillId="0" borderId="1" xfId="0" applyNumberFormat="1" applyFont="1" applyFill="1" applyBorder="1" applyAlignment="1">
      <alignment horizontal="center"/>
    </xf>
    <xf numFmtId="0" fontId="25" fillId="0" borderId="0" xfId="0" applyFont="1"/>
    <xf numFmtId="1" fontId="0" fillId="0" borderId="0" xfId="0" applyNumberFormat="1"/>
    <xf numFmtId="0" fontId="11" fillId="0" borderId="60" xfId="0" applyFont="1" applyFill="1" applyBorder="1" applyAlignment="1">
      <alignment vertical="center"/>
    </xf>
    <xf numFmtId="0" fontId="0" fillId="0" borderId="61" xfId="0" applyFill="1" applyBorder="1" applyAlignment="1">
      <alignment horizontal="center" wrapText="1"/>
    </xf>
    <xf numFmtId="3" fontId="11" fillId="0" borderId="61" xfId="0" applyNumberFormat="1" applyFont="1" applyFill="1" applyBorder="1" applyAlignment="1">
      <alignment horizontal="center" wrapText="1"/>
    </xf>
    <xf numFmtId="168" fontId="7" fillId="0" borderId="0" xfId="0" applyNumberFormat="1" applyFont="1"/>
    <xf numFmtId="0" fontId="7" fillId="0" borderId="0" xfId="0" applyNumberFormat="1" applyFont="1"/>
    <xf numFmtId="4" fontId="0" fillId="0" borderId="0" xfId="0" applyNumberFormat="1"/>
    <xf numFmtId="0" fontId="1" fillId="0" borderId="1" xfId="0" applyFont="1" applyFill="1" applyBorder="1"/>
    <xf numFmtId="0" fontId="1" fillId="0" borderId="1" xfId="0" applyFont="1" applyFill="1" applyBorder="1" applyAlignment="1">
      <alignment horizontal="center"/>
    </xf>
    <xf numFmtId="0" fontId="11" fillId="15" borderId="0" xfId="0" applyFont="1" applyFill="1"/>
    <xf numFmtId="0" fontId="0" fillId="15" borderId="0" xfId="0" applyFill="1"/>
    <xf numFmtId="0" fontId="0" fillId="15" borderId="1" xfId="0" applyFill="1" applyBorder="1"/>
    <xf numFmtId="0" fontId="6" fillId="0" borderId="0" xfId="0" applyFont="1" applyFill="1" applyBorder="1" applyAlignment="1">
      <alignment horizontal="left" wrapText="1"/>
    </xf>
    <xf numFmtId="0" fontId="6" fillId="0" borderId="0" xfId="0" applyFont="1" applyAlignment="1">
      <alignment horizontal="left"/>
    </xf>
    <xf numFmtId="1" fontId="7" fillId="0" borderId="0" xfId="0" applyNumberFormat="1" applyFont="1" applyFill="1"/>
    <xf numFmtId="1" fontId="0" fillId="0" borderId="30" xfId="0" applyNumberFormat="1" applyFill="1" applyBorder="1"/>
    <xf numFmtId="168" fontId="21" fillId="0" borderId="30" xfId="2" applyNumberFormat="1" applyFont="1" applyFill="1" applyBorder="1" applyAlignment="1">
      <alignment horizontal="center" wrapText="1"/>
    </xf>
    <xf numFmtId="168" fontId="21" fillId="0" borderId="31" xfId="2" applyNumberFormat="1" applyFont="1" applyFill="1" applyBorder="1" applyAlignment="1">
      <alignment horizontal="center" wrapText="1"/>
    </xf>
    <xf numFmtId="168" fontId="21" fillId="0" borderId="1" xfId="2" applyNumberFormat="1" applyFont="1" applyFill="1" applyBorder="1" applyAlignment="1">
      <alignment horizontal="center" wrapText="1"/>
    </xf>
    <xf numFmtId="168" fontId="21" fillId="0" borderId="15" xfId="2" applyNumberFormat="1" applyFont="1" applyFill="1" applyBorder="1" applyAlignment="1">
      <alignment horizontal="center" wrapText="1"/>
    </xf>
    <xf numFmtId="1" fontId="0" fillId="0" borderId="21" xfId="0" applyNumberFormat="1" applyFill="1" applyBorder="1"/>
    <xf numFmtId="168" fontId="21" fillId="0" borderId="21" xfId="2" applyNumberFormat="1" applyFont="1" applyFill="1" applyBorder="1" applyAlignment="1">
      <alignment horizontal="center" wrapText="1"/>
    </xf>
    <xf numFmtId="168" fontId="21" fillId="0" borderId="22" xfId="2" applyNumberFormat="1" applyFont="1" applyFill="1" applyBorder="1" applyAlignment="1">
      <alignment horizontal="center" wrapText="1"/>
    </xf>
    <xf numFmtId="164" fontId="7" fillId="0" borderId="29" xfId="1" applyNumberFormat="1" applyFont="1" applyFill="1" applyBorder="1"/>
    <xf numFmtId="164" fontId="7" fillId="0" borderId="30" xfId="1" applyNumberFormat="1" applyFont="1" applyFill="1" applyBorder="1"/>
    <xf numFmtId="164" fontId="7" fillId="0" borderId="31" xfId="1" applyNumberFormat="1" applyFont="1" applyFill="1" applyBorder="1"/>
    <xf numFmtId="164" fontId="7" fillId="0" borderId="14" xfId="1" applyNumberFormat="1" applyFont="1" applyFill="1" applyBorder="1"/>
    <xf numFmtId="164" fontId="7" fillId="0" borderId="1" xfId="1" applyNumberFormat="1" applyFont="1" applyFill="1" applyBorder="1"/>
    <xf numFmtId="164" fontId="7" fillId="0" borderId="15" xfId="1" applyNumberFormat="1" applyFont="1" applyFill="1" applyBorder="1"/>
    <xf numFmtId="3" fontId="0" fillId="0" borderId="30" xfId="0" applyNumberFormat="1" applyFill="1" applyBorder="1"/>
    <xf numFmtId="3" fontId="0" fillId="0" borderId="1" xfId="0" applyNumberFormat="1" applyFill="1" applyBorder="1"/>
    <xf numFmtId="3" fontId="0" fillId="0" borderId="21" xfId="0" applyNumberFormat="1" applyFill="1" applyBorder="1"/>
    <xf numFmtId="167" fontId="7" fillId="0" borderId="0" xfId="5" applyNumberFormat="1" applyFont="1" applyFill="1"/>
    <xf numFmtId="0" fontId="0" fillId="0" borderId="55" xfId="0" applyFill="1" applyBorder="1" applyAlignment="1">
      <alignment horizontal="center"/>
    </xf>
    <xf numFmtId="0" fontId="0" fillId="0" borderId="9" xfId="0" applyFill="1" applyBorder="1" applyAlignment="1"/>
    <xf numFmtId="0" fontId="6" fillId="0" borderId="0" xfId="0" applyFont="1" applyFill="1" applyAlignment="1">
      <alignment horizontal="center" wrapText="1"/>
    </xf>
    <xf numFmtId="0" fontId="6" fillId="0" borderId="0" xfId="0" applyFont="1" applyAlignment="1">
      <alignment horizontal="left"/>
    </xf>
    <xf numFmtId="0" fontId="6" fillId="0" borderId="0" xfId="0" applyFont="1" applyAlignment="1">
      <alignment horizontal="left" wrapText="1"/>
    </xf>
    <xf numFmtId="0" fontId="6" fillId="0" borderId="0" xfId="0" applyFont="1" applyFill="1" applyAlignment="1">
      <alignment horizontal="left" wrapText="1"/>
    </xf>
    <xf numFmtId="0" fontId="0" fillId="16" borderId="78" xfId="0" applyFill="1" applyBorder="1" applyAlignment="1">
      <alignment horizontal="center"/>
    </xf>
    <xf numFmtId="0" fontId="2" fillId="16" borderId="0" xfId="0" applyFont="1" applyFill="1"/>
    <xf numFmtId="0" fontId="2" fillId="16" borderId="0" xfId="0" applyFont="1" applyFill="1" applyAlignment="1">
      <alignment horizontal="center" wrapText="1"/>
    </xf>
    <xf numFmtId="3" fontId="2" fillId="16" borderId="0" xfId="0" applyNumberFormat="1" applyFont="1" applyFill="1" applyAlignment="1">
      <alignment horizontal="center" wrapText="1"/>
    </xf>
    <xf numFmtId="0" fontId="2" fillId="16" borderId="0" xfId="0" applyFont="1" applyFill="1" applyAlignment="1">
      <alignment horizontal="center"/>
    </xf>
    <xf numFmtId="0" fontId="6" fillId="0" borderId="0" xfId="0" applyFont="1" applyFill="1" applyAlignment="1">
      <alignment horizontal="left"/>
    </xf>
    <xf numFmtId="164" fontId="7" fillId="0" borderId="12" xfId="0" applyNumberFormat="1" applyFont="1" applyBorder="1"/>
    <xf numFmtId="164" fontId="7" fillId="0" borderId="67" xfId="0" applyNumberFormat="1" applyFont="1" applyBorder="1"/>
    <xf numFmtId="0" fontId="11" fillId="2" borderId="68" xfId="0" applyFont="1" applyFill="1" applyBorder="1" applyAlignment="1">
      <alignment horizontal="center"/>
    </xf>
    <xf numFmtId="0" fontId="11" fillId="2" borderId="69" xfId="0" applyFont="1" applyFill="1" applyBorder="1" applyAlignment="1">
      <alignment horizontal="center"/>
    </xf>
    <xf numFmtId="0" fontId="11" fillId="2" borderId="70" xfId="0" applyFont="1" applyFill="1" applyBorder="1" applyAlignment="1">
      <alignment horizontal="center"/>
    </xf>
    <xf numFmtId="0" fontId="11" fillId="2" borderId="42" xfId="0" applyFont="1" applyFill="1" applyBorder="1" applyAlignment="1">
      <alignment horizontal="center" vertical="center"/>
    </xf>
    <xf numFmtId="0" fontId="11" fillId="2" borderId="46" xfId="0" applyFont="1" applyFill="1" applyBorder="1" applyAlignment="1">
      <alignment horizontal="center" vertical="center"/>
    </xf>
    <xf numFmtId="0" fontId="3" fillId="0" borderId="55" xfId="0" applyFont="1" applyBorder="1" applyAlignment="1">
      <alignment horizontal="right" wrapText="1"/>
    </xf>
    <xf numFmtId="0" fontId="0" fillId="0" borderId="11" xfId="0" applyBorder="1" applyAlignment="1">
      <alignment horizontal="right" wrapText="1"/>
    </xf>
    <xf numFmtId="0" fontId="0" fillId="0" borderId="9" xfId="0" applyBorder="1" applyAlignment="1">
      <alignment horizontal="right" wrapText="1"/>
    </xf>
    <xf numFmtId="0" fontId="3" fillId="0" borderId="0" xfId="0" applyFont="1" applyAlignment="1">
      <alignment horizontal="center"/>
    </xf>
    <xf numFmtId="165" fontId="0" fillId="0" borderId="73" xfId="0" applyNumberFormat="1" applyFill="1" applyBorder="1" applyAlignment="1">
      <alignment horizontal="center" vertical="center"/>
    </xf>
    <xf numFmtId="165" fontId="0" fillId="0" borderId="74" xfId="0" applyNumberFormat="1" applyFill="1" applyBorder="1" applyAlignment="1">
      <alignment horizontal="center" vertical="center"/>
    </xf>
    <xf numFmtId="165" fontId="0" fillId="0" borderId="30" xfId="0" applyNumberFormat="1" applyFill="1" applyBorder="1" applyAlignment="1">
      <alignment horizontal="center" vertical="center"/>
    </xf>
    <xf numFmtId="165" fontId="0" fillId="12" borderId="73" xfId="0" applyNumberFormat="1" applyFill="1" applyBorder="1" applyAlignment="1">
      <alignment horizontal="center" vertical="center"/>
    </xf>
    <xf numFmtId="165" fontId="0" fillId="12" borderId="74" xfId="0" applyNumberFormat="1" applyFill="1" applyBorder="1" applyAlignment="1">
      <alignment horizontal="center" vertical="center"/>
    </xf>
    <xf numFmtId="165" fontId="0" fillId="12" borderId="30" xfId="0" applyNumberFormat="1" applyFill="1" applyBorder="1" applyAlignment="1">
      <alignment horizontal="center" vertical="center"/>
    </xf>
    <xf numFmtId="0" fontId="10" fillId="0" borderId="1" xfId="0" applyFont="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165" fontId="0" fillId="0" borderId="1" xfId="0" applyNumberFormat="1" applyFill="1" applyBorder="1" applyAlignment="1">
      <alignment horizontal="center" vertical="center"/>
    </xf>
    <xf numFmtId="0" fontId="6" fillId="0" borderId="0" xfId="0" applyFont="1" applyAlignment="1">
      <alignment horizontal="left"/>
    </xf>
    <xf numFmtId="0" fontId="3" fillId="0" borderId="71" xfId="0" applyFont="1" applyBorder="1" applyAlignment="1">
      <alignment horizontal="center"/>
    </xf>
    <xf numFmtId="0" fontId="6" fillId="0" borderId="0" xfId="0" applyFont="1" applyAlignment="1">
      <alignment horizontal="left" wrapText="1"/>
    </xf>
    <xf numFmtId="0" fontId="6" fillId="0" borderId="0" xfId="0" applyFont="1" applyFill="1" applyAlignment="1">
      <alignment horizontal="left" wrapText="1"/>
    </xf>
    <xf numFmtId="0" fontId="3" fillId="0" borderId="0" xfId="0" applyFont="1" applyFill="1" applyAlignment="1">
      <alignment horizontal="center"/>
    </xf>
    <xf numFmtId="0" fontId="3" fillId="0" borderId="71" xfId="0" applyFont="1" applyFill="1" applyBorder="1" applyAlignment="1">
      <alignment horizontal="center"/>
    </xf>
    <xf numFmtId="0" fontId="6" fillId="0" borderId="0" xfId="0" applyFont="1" applyFill="1" applyBorder="1" applyAlignment="1">
      <alignment horizontal="left" wrapText="1"/>
    </xf>
    <xf numFmtId="0" fontId="0" fillId="0" borderId="1" xfId="0" applyBorder="1" applyAlignment="1">
      <alignment horizontal="center"/>
    </xf>
    <xf numFmtId="0" fontId="2" fillId="0" borderId="0" xfId="0" applyFont="1" applyFill="1" applyAlignment="1">
      <alignment horizontal="left" wrapText="1"/>
    </xf>
    <xf numFmtId="0" fontId="0" fillId="0" borderId="61" xfId="0" applyFill="1" applyBorder="1" applyAlignment="1">
      <alignment horizontal="left" wrapText="1"/>
    </xf>
    <xf numFmtId="0" fontId="11" fillId="0" borderId="0" xfId="0" applyFont="1" applyFill="1" applyAlignment="1">
      <alignment horizontal="center"/>
    </xf>
    <xf numFmtId="49" fontId="10" fillId="0" borderId="2" xfId="0" applyNumberFormat="1" applyFont="1" applyFill="1" applyBorder="1" applyAlignment="1">
      <alignment horizontal="left" vertical="top" wrapText="1"/>
    </xf>
    <xf numFmtId="43" fontId="7" fillId="0" borderId="0" xfId="0" applyNumberFormat="1" applyFont="1"/>
  </cellXfs>
  <cellStyles count="6">
    <cellStyle name="Comma" xfId="1" builtinId="3"/>
    <cellStyle name="Currency" xfId="2" builtinId="4"/>
    <cellStyle name="Normal" xfId="0" builtinId="0"/>
    <cellStyle name="Normal_Base Data" xfId="3"/>
    <cellStyle name="Normal_Sheet1" xfId="4"/>
    <cellStyle name="Percent" xfId="5"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OATS/SURVEY/COST/MRR/MRRBOAT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RRcost-ref"/>
      <sheetName val="MRRCostbyFac"/>
      <sheetName val="basis"/>
      <sheetName val="process"/>
      <sheetName val="IndustryTotalYR1"/>
      <sheetName val="IndustryTotalYR2"/>
      <sheetName val="IndustryTotalYR3"/>
      <sheetName val="AgencyTotal"/>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sheetData sheetId="2">
        <row r="13">
          <cell r="C13">
            <v>1</v>
          </cell>
        </row>
        <row r="17">
          <cell r="C17">
            <v>5</v>
          </cell>
        </row>
        <row r="19">
          <cell r="C19">
            <v>0.2</v>
          </cell>
        </row>
        <row r="20">
          <cell r="C20">
            <v>0.8</v>
          </cell>
        </row>
        <row r="21">
          <cell r="C21">
            <v>1</v>
          </cell>
        </row>
        <row r="24">
          <cell r="C24">
            <v>33</v>
          </cell>
        </row>
        <row r="25">
          <cell r="C25">
            <v>49</v>
          </cell>
        </row>
        <row r="26">
          <cell r="C26">
            <v>15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H19"/>
  <sheetViews>
    <sheetView workbookViewId="0">
      <selection activeCell="A2" sqref="A2:Q2"/>
    </sheetView>
  </sheetViews>
  <sheetFormatPr defaultRowHeight="11.25"/>
  <cols>
    <col min="1" max="1" width="45.5703125" style="80" customWidth="1"/>
    <col min="2" max="2" width="12.140625" style="80" customWidth="1"/>
    <col min="3" max="16384" width="9.140625" style="80"/>
  </cols>
  <sheetData>
    <row r="1" spans="1:8" ht="21" customHeight="1">
      <c r="A1" s="104"/>
      <c r="B1" s="104" t="s">
        <v>210</v>
      </c>
      <c r="C1" s="104" t="s">
        <v>212</v>
      </c>
      <c r="D1" s="104" t="s">
        <v>214</v>
      </c>
      <c r="E1" s="104" t="s">
        <v>216</v>
      </c>
      <c r="F1" s="104" t="s">
        <v>218</v>
      </c>
      <c r="G1" s="104" t="s">
        <v>220</v>
      </c>
      <c r="H1" s="104"/>
    </row>
    <row r="2" spans="1:8" ht="54.75" customHeight="1">
      <c r="A2" s="104" t="s">
        <v>201</v>
      </c>
      <c r="B2" s="104" t="s">
        <v>211</v>
      </c>
      <c r="C2" s="104" t="s">
        <v>213</v>
      </c>
      <c r="D2" s="104" t="s">
        <v>215</v>
      </c>
      <c r="E2" s="104" t="s">
        <v>217</v>
      </c>
      <c r="F2" s="104" t="s">
        <v>219</v>
      </c>
      <c r="G2" s="104" t="s">
        <v>221</v>
      </c>
      <c r="H2" s="104"/>
    </row>
    <row r="3" spans="1:8">
      <c r="A3" s="80" t="s">
        <v>222</v>
      </c>
      <c r="B3" s="354">
        <f>SUM('Base Data'!H67:H69)</f>
        <v>0</v>
      </c>
      <c r="C3" s="131"/>
      <c r="D3" s="354">
        <f>SUM('Base Data'!H23:H25)</f>
        <v>65</v>
      </c>
    </row>
    <row r="4" spans="1:8">
      <c r="A4" s="80" t="s">
        <v>223</v>
      </c>
      <c r="B4" s="354">
        <f>SUM('Base Data'!H63:H65)</f>
        <v>0</v>
      </c>
      <c r="C4" s="131"/>
      <c r="D4" s="354">
        <f>SUM('Base Data'!H18:H20)</f>
        <v>54</v>
      </c>
    </row>
    <row r="5" spans="1:8">
      <c r="A5" s="80" t="s">
        <v>224</v>
      </c>
      <c r="B5" s="354">
        <f>SUM('Base Data'!H79:H81)</f>
        <v>4</v>
      </c>
      <c r="C5" s="131"/>
      <c r="D5" s="354">
        <f>SUM('Base Data'!H43:H45)</f>
        <v>58</v>
      </c>
    </row>
    <row r="6" spans="1:8">
      <c r="A6" s="80" t="s">
        <v>228</v>
      </c>
      <c r="B6" s="354">
        <f>SUM('Base Data'!H71:H73)</f>
        <v>2</v>
      </c>
      <c r="C6" s="131"/>
      <c r="D6" s="354">
        <f>SUM('Base Data'!H28:H30)</f>
        <v>291</v>
      </c>
    </row>
    <row r="7" spans="1:8" ht="12" customHeight="1">
      <c r="A7" s="80" t="s">
        <v>229</v>
      </c>
      <c r="B7" s="131">
        <v>0</v>
      </c>
      <c r="C7" s="131"/>
      <c r="D7" s="354">
        <f>SUM('Base Data'!H33:H35)</f>
        <v>230</v>
      </c>
    </row>
    <row r="8" spans="1:8" ht="12" customHeight="1">
      <c r="A8" s="80" t="s">
        <v>230</v>
      </c>
      <c r="B8" s="354">
        <f>SUM('Base Data'!H75:H77)</f>
        <v>0</v>
      </c>
      <c r="C8" s="131"/>
      <c r="D8" s="354">
        <f>SUM('Base Data'!H38:H40)</f>
        <v>8</v>
      </c>
    </row>
    <row r="9" spans="1:8">
      <c r="A9" s="80" t="s">
        <v>225</v>
      </c>
      <c r="B9" s="354">
        <f>'Base Data'!H66</f>
        <v>0</v>
      </c>
      <c r="C9" s="131"/>
      <c r="D9" s="354">
        <f>'Base Data'!H22+D13</f>
        <v>2</v>
      </c>
      <c r="E9" s="80">
        <v>1</v>
      </c>
    </row>
    <row r="10" spans="1:8">
      <c r="A10" s="80" t="s">
        <v>226</v>
      </c>
      <c r="B10" s="354">
        <f>'Base Data'!H62</f>
        <v>0</v>
      </c>
      <c r="C10" s="131"/>
      <c r="D10" s="354">
        <f>'Base Data'!H17+D14</f>
        <v>2</v>
      </c>
      <c r="E10" s="80">
        <v>1</v>
      </c>
    </row>
    <row r="11" spans="1:8">
      <c r="A11" s="80" t="s">
        <v>227</v>
      </c>
      <c r="B11" s="354">
        <f>'Base Data'!H78</f>
        <v>1</v>
      </c>
      <c r="C11" s="131"/>
      <c r="D11" s="354">
        <f>'Base Data'!H42+D15</f>
        <v>42</v>
      </c>
      <c r="E11" s="80">
        <v>1</v>
      </c>
    </row>
    <row r="12" spans="1:8">
      <c r="A12" s="80" t="s">
        <v>203</v>
      </c>
      <c r="B12" s="354">
        <f>'Base Data'!H70+'Base Data'!H74</f>
        <v>9</v>
      </c>
      <c r="C12" s="131"/>
      <c r="D12" s="354">
        <f>SUM('Base Data'!H27,'Base Data'!H32,'Base Data'!H37)+D16</f>
        <v>887</v>
      </c>
      <c r="E12" s="80">
        <v>1</v>
      </c>
    </row>
    <row r="13" spans="1:8">
      <c r="A13" s="1" t="s">
        <v>514</v>
      </c>
      <c r="B13" s="131">
        <v>0</v>
      </c>
      <c r="C13" s="131"/>
      <c r="D13" s="354">
        <f>'Base Data'!H21</f>
        <v>2</v>
      </c>
    </row>
    <row r="14" spans="1:8">
      <c r="A14" s="1" t="s">
        <v>515</v>
      </c>
      <c r="B14" s="131">
        <v>0</v>
      </c>
      <c r="C14" s="131"/>
      <c r="D14" s="354">
        <f>'Base Data'!H16</f>
        <v>0</v>
      </c>
    </row>
    <row r="15" spans="1:8">
      <c r="A15" s="1" t="s">
        <v>516</v>
      </c>
      <c r="B15" s="131">
        <v>0</v>
      </c>
      <c r="C15" s="131"/>
      <c r="D15" s="354">
        <f>'Base Data'!H41</f>
        <v>13</v>
      </c>
    </row>
    <row r="16" spans="1:8">
      <c r="A16" s="1" t="s">
        <v>517</v>
      </c>
      <c r="B16" s="131">
        <v>0</v>
      </c>
      <c r="C16" s="131"/>
      <c r="D16" s="354">
        <f>'Base Data'!H26+'Base Data'!H31+'Base Data'!H36</f>
        <v>39</v>
      </c>
    </row>
    <row r="17" spans="2:4">
      <c r="B17" s="131"/>
      <c r="C17" s="131"/>
      <c r="D17" s="131"/>
    </row>
    <row r="19" spans="2:4">
      <c r="D19" s="105">
        <f>SUM(D3:D12,B3:B16)</f>
        <v>1655</v>
      </c>
    </row>
  </sheetData>
  <phoneticPr fontId="7"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T123"/>
  <sheetViews>
    <sheetView zoomScale="110" zoomScaleNormal="110" workbookViewId="0">
      <pane xSplit="1" ySplit="3" topLeftCell="B4" activePane="bottomRight" state="frozen"/>
      <selection activeCell="P31" sqref="P31"/>
      <selection pane="topRight" activeCell="P31" sqref="P31"/>
      <selection pane="bottomLeft" activeCell="P31" sqref="P31"/>
      <selection pane="bottomRight" activeCell="I22" sqref="I22"/>
    </sheetView>
  </sheetViews>
  <sheetFormatPr defaultRowHeight="11.25"/>
  <cols>
    <col min="1" max="1" width="36.5703125" style="1" customWidth="1"/>
    <col min="2" max="2" width="8.42578125" style="7" customWidth="1"/>
    <col min="3" max="3" width="8" style="7" hidden="1" customWidth="1"/>
    <col min="4" max="4" width="8.42578125" style="7" bestFit="1" customWidth="1"/>
    <col min="5" max="5" width="8.85546875" style="7" bestFit="1" customWidth="1"/>
    <col min="6" max="6" width="7.42578125" style="7" customWidth="1"/>
    <col min="7" max="7" width="9.28515625" style="7" bestFit="1" customWidth="1"/>
    <col min="8" max="8" width="8.28515625" style="7" customWidth="1"/>
    <col min="9" max="9" width="9.42578125" style="11" bestFit="1" customWidth="1"/>
    <col min="10" max="10" width="7.5703125" style="7" customWidth="1"/>
    <col min="11" max="11" width="7.140625" style="7" customWidth="1"/>
    <col min="12" max="12" width="7.5703125" style="7" customWidth="1"/>
    <col min="13" max="13" width="7.85546875" style="7" hidden="1" customWidth="1"/>
    <col min="14" max="14" width="10.140625" style="7" customWidth="1"/>
    <col min="15" max="15" width="10.140625" style="8" bestFit="1" customWidth="1"/>
    <col min="16" max="16" width="10" style="8" bestFit="1" customWidth="1"/>
    <col min="17" max="17" width="4.28515625" style="7" bestFit="1" customWidth="1"/>
    <col min="18" max="19" width="9.140625" style="1" customWidth="1"/>
    <col min="20" max="20" width="5.85546875" style="1" customWidth="1"/>
    <col min="21" max="16384" width="9.140625" style="1"/>
  </cols>
  <sheetData>
    <row r="1" spans="1:19">
      <c r="A1" s="395" t="s">
        <v>395</v>
      </c>
      <c r="B1" s="395"/>
      <c r="C1" s="395"/>
      <c r="D1" s="395"/>
      <c r="E1" s="395"/>
      <c r="F1" s="395"/>
      <c r="G1" s="395"/>
      <c r="H1" s="395"/>
      <c r="I1" s="395"/>
      <c r="J1" s="395"/>
      <c r="K1" s="395"/>
      <c r="L1" s="395"/>
      <c r="M1" s="395"/>
      <c r="N1" s="395"/>
      <c r="O1" s="395"/>
      <c r="P1" s="395"/>
      <c r="Q1" s="395"/>
    </row>
    <row r="2" spans="1:19">
      <c r="A2" s="407" t="s">
        <v>97</v>
      </c>
      <c r="B2" s="407"/>
      <c r="C2" s="407"/>
      <c r="D2" s="407"/>
      <c r="E2" s="407"/>
      <c r="F2" s="407"/>
      <c r="G2" s="407"/>
      <c r="H2" s="407"/>
      <c r="I2" s="407"/>
      <c r="J2" s="407"/>
      <c r="K2" s="407"/>
      <c r="L2" s="407"/>
      <c r="M2" s="407"/>
      <c r="N2" s="407"/>
      <c r="O2" s="407"/>
      <c r="P2" s="407"/>
      <c r="Q2" s="407"/>
    </row>
    <row r="3" spans="1:19" s="3" customFormat="1" ht="63">
      <c r="A3" s="45" t="s">
        <v>392</v>
      </c>
      <c r="B3" s="12" t="s">
        <v>474</v>
      </c>
      <c r="C3" s="12" t="s">
        <v>430</v>
      </c>
      <c r="D3" s="12" t="s">
        <v>4</v>
      </c>
      <c r="E3" s="12" t="s">
        <v>6</v>
      </c>
      <c r="F3" s="12" t="s">
        <v>5</v>
      </c>
      <c r="G3" s="12" t="s">
        <v>176</v>
      </c>
      <c r="H3" s="12" t="s">
        <v>459</v>
      </c>
      <c r="I3" s="60" t="s">
        <v>460</v>
      </c>
      <c r="J3" s="13" t="s">
        <v>462</v>
      </c>
      <c r="K3" s="13" t="s">
        <v>463</v>
      </c>
      <c r="L3" s="13" t="s">
        <v>461</v>
      </c>
      <c r="M3" s="12" t="s">
        <v>391</v>
      </c>
      <c r="N3" s="12" t="s">
        <v>8</v>
      </c>
      <c r="O3" s="13" t="s">
        <v>9</v>
      </c>
      <c r="P3" s="13" t="s">
        <v>175</v>
      </c>
      <c r="Q3" s="28" t="s">
        <v>394</v>
      </c>
      <c r="R3" s="3" t="s">
        <v>307</v>
      </c>
      <c r="S3" s="3" t="s">
        <v>308</v>
      </c>
    </row>
    <row r="4" spans="1:19" s="6" customFormat="1" ht="9">
      <c r="A4" s="21" t="s">
        <v>405</v>
      </c>
      <c r="B4" s="22" t="s">
        <v>433</v>
      </c>
      <c r="C4" s="22"/>
      <c r="D4" s="38"/>
      <c r="E4" s="38"/>
      <c r="F4" s="38"/>
      <c r="G4" s="22"/>
      <c r="H4" s="22"/>
      <c r="I4" s="23"/>
      <c r="J4" s="23"/>
      <c r="K4" s="23"/>
      <c r="L4" s="23"/>
      <c r="M4" s="22"/>
      <c r="N4" s="38"/>
      <c r="O4" s="38"/>
      <c r="P4" s="38"/>
      <c r="Q4" s="237"/>
    </row>
    <row r="5" spans="1:19" s="6" customFormat="1" ht="9">
      <c r="A5" s="20" t="s">
        <v>406</v>
      </c>
      <c r="B5" s="18" t="s">
        <v>433</v>
      </c>
      <c r="C5" s="18"/>
      <c r="D5" s="39"/>
      <c r="E5" s="39"/>
      <c r="F5" s="39"/>
      <c r="G5" s="18"/>
      <c r="H5" s="18"/>
      <c r="I5" s="19"/>
      <c r="J5" s="19"/>
      <c r="K5" s="19"/>
      <c r="L5" s="19"/>
      <c r="M5" s="18"/>
      <c r="N5" s="39"/>
      <c r="O5" s="39"/>
      <c r="P5" s="39"/>
      <c r="Q5" s="29"/>
    </row>
    <row r="6" spans="1:19" s="6" customFormat="1" ht="9">
      <c r="A6" s="20" t="s">
        <v>407</v>
      </c>
      <c r="B6" s="18"/>
      <c r="C6" s="18"/>
      <c r="D6" s="39"/>
      <c r="E6" s="39"/>
      <c r="F6" s="39"/>
      <c r="G6" s="18"/>
      <c r="H6" s="18"/>
      <c r="I6" s="19"/>
      <c r="J6" s="19"/>
      <c r="K6" s="19"/>
      <c r="L6" s="19"/>
      <c r="M6" s="18"/>
      <c r="N6" s="39"/>
      <c r="O6" s="39"/>
      <c r="P6" s="39"/>
      <c r="Q6" s="29"/>
    </row>
    <row r="7" spans="1:19" s="6" customFormat="1" ht="9">
      <c r="A7" s="143" t="s">
        <v>408</v>
      </c>
      <c r="B7" s="44">
        <v>40</v>
      </c>
      <c r="C7" s="18"/>
      <c r="D7" s="39">
        <v>0</v>
      </c>
      <c r="E7" s="39">
        <v>0</v>
      </c>
      <c r="F7" s="39">
        <v>0</v>
      </c>
      <c r="G7" s="18">
        <v>1</v>
      </c>
      <c r="H7" s="18">
        <f>B7*G7</f>
        <v>40</v>
      </c>
      <c r="I7" s="51">
        <v>0</v>
      </c>
      <c r="J7" s="19">
        <f>H7*I7</f>
        <v>0</v>
      </c>
      <c r="K7" s="19">
        <f>J7*0.1</f>
        <v>0</v>
      </c>
      <c r="L7" s="51">
        <f>J7*0.05</f>
        <v>0</v>
      </c>
      <c r="M7" s="18">
        <f>C7*G7*I7</f>
        <v>0</v>
      </c>
      <c r="N7" s="39">
        <f>(J7*'Base Data'!$C$5)+(K7*'Base Data'!$C$6)+(L7*'Base Data'!$C$7)</f>
        <v>0</v>
      </c>
      <c r="O7" s="39">
        <f>(D7+E7+F7)*G7*I7</f>
        <v>0</v>
      </c>
      <c r="P7" s="19">
        <v>0</v>
      </c>
      <c r="Q7" s="29" t="s">
        <v>387</v>
      </c>
    </row>
    <row r="8" spans="1:19" s="6" customFormat="1" ht="9">
      <c r="A8" s="142" t="s">
        <v>409</v>
      </c>
      <c r="B8" s="44"/>
      <c r="C8" s="18"/>
      <c r="D8" s="39"/>
      <c r="E8" s="39"/>
      <c r="F8" s="39"/>
      <c r="G8" s="18"/>
      <c r="H8" s="18"/>
      <c r="I8" s="19"/>
      <c r="J8" s="19"/>
      <c r="K8" s="19"/>
      <c r="L8" s="19"/>
      <c r="M8" s="18"/>
      <c r="N8" s="39"/>
      <c r="O8" s="39"/>
      <c r="P8" s="39"/>
      <c r="Q8" s="29"/>
    </row>
    <row r="9" spans="1:19" s="6" customFormat="1" ht="9">
      <c r="A9" s="143" t="s">
        <v>423</v>
      </c>
      <c r="B9" s="44"/>
      <c r="C9" s="18"/>
      <c r="D9" s="95"/>
      <c r="E9" s="52"/>
      <c r="F9" s="52"/>
      <c r="G9" s="44"/>
      <c r="H9" s="44"/>
      <c r="I9" s="91"/>
      <c r="J9" s="19"/>
      <c r="K9" s="19"/>
      <c r="L9" s="19"/>
      <c r="M9" s="46"/>
      <c r="N9" s="39"/>
      <c r="O9" s="39"/>
      <c r="P9" s="39"/>
      <c r="Q9" s="29"/>
    </row>
    <row r="10" spans="1:19" s="6" customFormat="1" ht="9">
      <c r="A10" s="142" t="s">
        <v>274</v>
      </c>
      <c r="B10" s="44">
        <v>20</v>
      </c>
      <c r="C10" s="44"/>
      <c r="D10" s="52">
        <v>854</v>
      </c>
      <c r="E10" s="52">
        <v>0</v>
      </c>
      <c r="F10" s="52">
        <v>0</v>
      </c>
      <c r="G10" s="44">
        <v>1</v>
      </c>
      <c r="H10" s="44">
        <f>B10*G10</f>
        <v>20</v>
      </c>
      <c r="I10" s="91">
        <f>ROUND('Testing Costs'!$C$22*(SUM('Base Data'!$H$18:'Base Data'!$H$20,'Base Data'!$H$23:$H$25)/2),0)</f>
        <v>7</v>
      </c>
      <c r="J10" s="19">
        <f>H10*I10</f>
        <v>140</v>
      </c>
      <c r="K10" s="19">
        <f t="shared" ref="K10:K24" si="0">J10*0.1</f>
        <v>14</v>
      </c>
      <c r="L10" s="19">
        <f>J10*0.05</f>
        <v>7</v>
      </c>
      <c r="M10" s="46">
        <f>C10*G10*I10</f>
        <v>0</v>
      </c>
      <c r="N10" s="39">
        <f>(J10*'Base Data'!$C$5)+(K10*'Base Data'!$C$6)+(L10*'Base Data'!$C$7)</f>
        <v>15228.85</v>
      </c>
      <c r="O10" s="39">
        <f>(D10+E10+F10)*G10*I10</f>
        <v>5978</v>
      </c>
      <c r="P10" s="19">
        <v>0</v>
      </c>
      <c r="Q10" s="29" t="s">
        <v>440</v>
      </c>
    </row>
    <row r="11" spans="1:19" s="6" customFormat="1" ht="9">
      <c r="A11" s="142" t="s">
        <v>276</v>
      </c>
      <c r="B11" s="44">
        <v>20</v>
      </c>
      <c r="C11" s="44"/>
      <c r="D11" s="52">
        <v>18292</v>
      </c>
      <c r="E11" s="52">
        <v>0</v>
      </c>
      <c r="F11" s="52">
        <v>0</v>
      </c>
      <c r="G11" s="44">
        <v>1</v>
      </c>
      <c r="H11" s="44">
        <f>B11*G11</f>
        <v>20</v>
      </c>
      <c r="I11" s="91">
        <f>ROUND('Testing Costs'!$C$23*(SUM('Base Data'!$H$18:'Base Data'!$H$20,'Base Data'!$H$23:$H$25)/2),0)</f>
        <v>52</v>
      </c>
      <c r="J11" s="19">
        <f>H11*I11</f>
        <v>1040</v>
      </c>
      <c r="K11" s="19">
        <f t="shared" si="0"/>
        <v>104</v>
      </c>
      <c r="L11" s="19">
        <f>J11*0.05</f>
        <v>52</v>
      </c>
      <c r="M11" s="46">
        <f>C11*G11*I11</f>
        <v>0</v>
      </c>
      <c r="N11" s="39">
        <f>(J11*'Base Data'!$C$5)+(K11*'Base Data'!$C$6)+(L11*'Base Data'!$C$7)</f>
        <v>113128.59999999999</v>
      </c>
      <c r="O11" s="39">
        <f>(D11+E11+F11)*G11*I11</f>
        <v>951184</v>
      </c>
      <c r="P11" s="19">
        <v>0</v>
      </c>
      <c r="Q11" s="29" t="s">
        <v>440</v>
      </c>
    </row>
    <row r="12" spans="1:19" s="6" customFormat="1" ht="9">
      <c r="A12" s="143" t="s">
        <v>357</v>
      </c>
      <c r="B12" s="44">
        <v>12</v>
      </c>
      <c r="C12" s="44"/>
      <c r="D12" s="52">
        <v>0</v>
      </c>
      <c r="E12" s="52">
        <f>'Testing Costs'!$B$13</f>
        <v>5000</v>
      </c>
      <c r="F12" s="52">
        <v>0</v>
      </c>
      <c r="G12" s="44">
        <v>1</v>
      </c>
      <c r="H12" s="44">
        <f t="shared" ref="H12:H24" si="1">B12*G12</f>
        <v>12</v>
      </c>
      <c r="I12" s="91">
        <f>ROUNDUP(SUM('Base Data'!$D$18:$D$19,'Base Data'!$D$23:$D$24)/2,0)</f>
        <v>336</v>
      </c>
      <c r="J12" s="19">
        <f t="shared" ref="J12:J24" si="2">H12*I12</f>
        <v>4032</v>
      </c>
      <c r="K12" s="19">
        <f t="shared" si="0"/>
        <v>403.20000000000005</v>
      </c>
      <c r="L12" s="19">
        <f t="shared" ref="L12:L24" si="3">J12*0.05</f>
        <v>201.60000000000002</v>
      </c>
      <c r="M12" s="46"/>
      <c r="N12" s="39">
        <f>(J12*'Base Data'!$C$5)+(K12*'Base Data'!$C$6)+(L12*'Base Data'!$C$7)</f>
        <v>438590.88</v>
      </c>
      <c r="O12" s="39">
        <f t="shared" ref="O12:O24" si="4">(D12+E12+F12)*G12*I12</f>
        <v>1680000</v>
      </c>
      <c r="P12" s="19">
        <v>0</v>
      </c>
      <c r="Q12" s="94" t="s">
        <v>91</v>
      </c>
    </row>
    <row r="13" spans="1:19" s="6" customFormat="1" ht="9">
      <c r="A13" s="143" t="s">
        <v>358</v>
      </c>
      <c r="B13" s="44">
        <v>12</v>
      </c>
      <c r="C13" s="44"/>
      <c r="D13" s="52">
        <v>0</v>
      </c>
      <c r="E13" s="52">
        <f>'Testing Costs'!$B$17</f>
        <v>8000</v>
      </c>
      <c r="F13" s="52">
        <v>0</v>
      </c>
      <c r="G13" s="44">
        <v>1</v>
      </c>
      <c r="H13" s="44">
        <f t="shared" si="1"/>
        <v>12</v>
      </c>
      <c r="I13" s="91">
        <f>ROUNDUP(SUM('Base Data'!$D$18:$D$20,'Base Data'!$D$23:$D$25)/2,0)</f>
        <v>499</v>
      </c>
      <c r="J13" s="19">
        <f t="shared" si="2"/>
        <v>5988</v>
      </c>
      <c r="K13" s="19">
        <f t="shared" si="0"/>
        <v>598.80000000000007</v>
      </c>
      <c r="L13" s="19">
        <f t="shared" si="3"/>
        <v>299.40000000000003</v>
      </c>
      <c r="M13" s="46"/>
      <c r="N13" s="39">
        <f>(J13*'Base Data'!$C$5)+(K13*'Base Data'!$C$6)+(L13*'Base Data'!$C$7)</f>
        <v>651359.66999999993</v>
      </c>
      <c r="O13" s="39">
        <f t="shared" si="4"/>
        <v>3992000</v>
      </c>
      <c r="P13" s="19">
        <v>0</v>
      </c>
      <c r="Q13" s="94" t="s">
        <v>388</v>
      </c>
    </row>
    <row r="14" spans="1:19" s="6" customFormat="1" ht="9">
      <c r="A14" s="143" t="s">
        <v>359</v>
      </c>
      <c r="B14" s="44">
        <v>12</v>
      </c>
      <c r="C14" s="44"/>
      <c r="D14" s="52">
        <v>0</v>
      </c>
      <c r="E14" s="52">
        <f>'Testing Costs'!$B$15</f>
        <v>8000</v>
      </c>
      <c r="F14" s="52">
        <v>0</v>
      </c>
      <c r="G14" s="44">
        <v>1</v>
      </c>
      <c r="H14" s="44">
        <f t="shared" si="1"/>
        <v>12</v>
      </c>
      <c r="I14" s="91">
        <f>ROUNDUP(SUM('Base Data'!$D$18:$D$20,'Base Data'!$D$23:$D$25)/2,0)</f>
        <v>499</v>
      </c>
      <c r="J14" s="19">
        <f t="shared" si="2"/>
        <v>5988</v>
      </c>
      <c r="K14" s="19">
        <f t="shared" si="0"/>
        <v>598.80000000000007</v>
      </c>
      <c r="L14" s="19">
        <f t="shared" si="3"/>
        <v>299.40000000000003</v>
      </c>
      <c r="M14" s="46"/>
      <c r="N14" s="39">
        <f>(J14*'Base Data'!$C$5)+(K14*'Base Data'!$C$6)+(L14*'Base Data'!$C$7)</f>
        <v>651359.66999999993</v>
      </c>
      <c r="O14" s="39">
        <f t="shared" si="4"/>
        <v>3992000</v>
      </c>
      <c r="P14" s="19">
        <v>0</v>
      </c>
      <c r="Q14" s="94" t="s">
        <v>388</v>
      </c>
    </row>
    <row r="15" spans="1:19" s="6" customFormat="1" ht="9">
      <c r="A15" s="143" t="s">
        <v>198</v>
      </c>
      <c r="B15" s="44">
        <v>12</v>
      </c>
      <c r="C15" s="44"/>
      <c r="D15" s="52">
        <v>0</v>
      </c>
      <c r="E15" s="52">
        <f>'Testing Costs'!$B$14</f>
        <v>7000</v>
      </c>
      <c r="F15" s="52">
        <v>0</v>
      </c>
      <c r="G15" s="44">
        <v>1</v>
      </c>
      <c r="H15" s="44">
        <f t="shared" si="1"/>
        <v>12</v>
      </c>
      <c r="I15" s="91">
        <f>ROUNDUP(SUM('Base Data'!$D$18:$D$20,'Base Data'!$D$23:$D$25)/2,0)</f>
        <v>499</v>
      </c>
      <c r="J15" s="19">
        <f t="shared" si="2"/>
        <v>5988</v>
      </c>
      <c r="K15" s="19">
        <f t="shared" si="0"/>
        <v>598.80000000000007</v>
      </c>
      <c r="L15" s="19">
        <f t="shared" si="3"/>
        <v>299.40000000000003</v>
      </c>
      <c r="M15" s="46"/>
      <c r="N15" s="39">
        <f>(J15*'Base Data'!$C$5)+(K15*'Base Data'!$C$6)+(L15*'Base Data'!$C$7)</f>
        <v>651359.66999999993</v>
      </c>
      <c r="O15" s="39">
        <f t="shared" si="4"/>
        <v>3493000</v>
      </c>
      <c r="P15" s="19">
        <v>0</v>
      </c>
      <c r="Q15" s="94" t="s">
        <v>388</v>
      </c>
    </row>
    <row r="16" spans="1:19" s="6" customFormat="1" ht="9">
      <c r="A16" s="143" t="s">
        <v>365</v>
      </c>
      <c r="B16" s="44">
        <v>12</v>
      </c>
      <c r="C16" s="44"/>
      <c r="D16" s="52">
        <v>0</v>
      </c>
      <c r="E16" s="52">
        <f>'Testing Costs'!$B$16</f>
        <v>16000</v>
      </c>
      <c r="F16" s="52">
        <v>0</v>
      </c>
      <c r="G16" s="44">
        <v>1</v>
      </c>
      <c r="H16" s="44">
        <f t="shared" si="1"/>
        <v>12</v>
      </c>
      <c r="I16" s="91">
        <f>ROUNDUP(SUM('Base Data'!$D$18:$D$20,'Base Data'!$D$23:$D$25)/2,0)</f>
        <v>499</v>
      </c>
      <c r="J16" s="19">
        <f t="shared" si="2"/>
        <v>5988</v>
      </c>
      <c r="K16" s="19">
        <f t="shared" si="0"/>
        <v>598.80000000000007</v>
      </c>
      <c r="L16" s="19">
        <f t="shared" si="3"/>
        <v>299.40000000000003</v>
      </c>
      <c r="M16" s="46"/>
      <c r="N16" s="39">
        <f>(J16*'Base Data'!$C$5)+(K16*'Base Data'!$C$6)+(L16*'Base Data'!$C$7)</f>
        <v>651359.66999999993</v>
      </c>
      <c r="O16" s="39">
        <f t="shared" si="4"/>
        <v>7984000</v>
      </c>
      <c r="P16" s="19">
        <v>0</v>
      </c>
      <c r="Q16" s="94" t="s">
        <v>388</v>
      </c>
    </row>
    <row r="17" spans="1:20" s="6" customFormat="1" ht="9" customHeight="1">
      <c r="A17" s="143" t="s">
        <v>264</v>
      </c>
      <c r="B17" s="44">
        <v>12</v>
      </c>
      <c r="C17" s="44"/>
      <c r="D17" s="52">
        <v>0</v>
      </c>
      <c r="E17" s="52">
        <f>'Testing Costs'!$B$13</f>
        <v>5000</v>
      </c>
      <c r="F17" s="52">
        <v>0</v>
      </c>
      <c r="G17" s="44">
        <v>1</v>
      </c>
      <c r="H17" s="44">
        <f t="shared" si="1"/>
        <v>12</v>
      </c>
      <c r="I17" s="91">
        <v>0</v>
      </c>
      <c r="J17" s="19">
        <f t="shared" si="2"/>
        <v>0</v>
      </c>
      <c r="K17" s="19">
        <f t="shared" si="0"/>
        <v>0</v>
      </c>
      <c r="L17" s="19">
        <f t="shared" si="3"/>
        <v>0</v>
      </c>
      <c r="M17" s="46"/>
      <c r="N17" s="39">
        <f>(J17*'Base Data'!$C$5)+(K17*'Base Data'!$C$6)+(L17*'Base Data'!$C$7)</f>
        <v>0</v>
      </c>
      <c r="O17" s="39">
        <f t="shared" si="4"/>
        <v>0</v>
      </c>
      <c r="P17" s="19">
        <v>0</v>
      </c>
      <c r="Q17" s="94" t="s">
        <v>548</v>
      </c>
    </row>
    <row r="18" spans="1:20" s="6" customFormat="1" ht="9">
      <c r="A18" s="143" t="s">
        <v>265</v>
      </c>
      <c r="B18" s="44">
        <v>12</v>
      </c>
      <c r="C18" s="44"/>
      <c r="D18" s="52">
        <v>0</v>
      </c>
      <c r="E18" s="52">
        <f>'Testing Costs'!$B$17</f>
        <v>8000</v>
      </c>
      <c r="F18" s="52">
        <v>0</v>
      </c>
      <c r="G18" s="44">
        <v>1</v>
      </c>
      <c r="H18" s="44">
        <f t="shared" si="1"/>
        <v>12</v>
      </c>
      <c r="I18" s="91">
        <v>0</v>
      </c>
      <c r="J18" s="19">
        <f t="shared" si="2"/>
        <v>0</v>
      </c>
      <c r="K18" s="19">
        <f t="shared" si="0"/>
        <v>0</v>
      </c>
      <c r="L18" s="19">
        <f t="shared" si="3"/>
        <v>0</v>
      </c>
      <c r="M18" s="46"/>
      <c r="N18" s="39">
        <f>(J18*'Base Data'!$C$5)+(K18*'Base Data'!$C$6)+(L18*'Base Data'!$C$7)</f>
        <v>0</v>
      </c>
      <c r="O18" s="39">
        <f t="shared" si="4"/>
        <v>0</v>
      </c>
      <c r="P18" s="19">
        <v>0</v>
      </c>
      <c r="Q18" s="94" t="s">
        <v>537</v>
      </c>
    </row>
    <row r="19" spans="1:20" s="6" customFormat="1" ht="9">
      <c r="A19" s="143" t="s">
        <v>266</v>
      </c>
      <c r="B19" s="44">
        <v>12</v>
      </c>
      <c r="C19" s="44"/>
      <c r="D19" s="52">
        <v>0</v>
      </c>
      <c r="E19" s="52">
        <f>'Testing Costs'!$B$15</f>
        <v>8000</v>
      </c>
      <c r="F19" s="52">
        <v>0</v>
      </c>
      <c r="G19" s="44">
        <v>1</v>
      </c>
      <c r="H19" s="44">
        <f t="shared" si="1"/>
        <v>12</v>
      </c>
      <c r="I19" s="91">
        <v>0</v>
      </c>
      <c r="J19" s="19">
        <f t="shared" si="2"/>
        <v>0</v>
      </c>
      <c r="K19" s="19">
        <f t="shared" si="0"/>
        <v>0</v>
      </c>
      <c r="L19" s="19">
        <f t="shared" si="3"/>
        <v>0</v>
      </c>
      <c r="M19" s="46"/>
      <c r="N19" s="39">
        <f>(J19*'Base Data'!$C$5)+(K19*'Base Data'!$C$6)+(L19*'Base Data'!$C$7)</f>
        <v>0</v>
      </c>
      <c r="O19" s="39">
        <f t="shared" si="4"/>
        <v>0</v>
      </c>
      <c r="P19" s="19">
        <v>0</v>
      </c>
      <c r="Q19" s="94" t="s">
        <v>537</v>
      </c>
    </row>
    <row r="20" spans="1:20" s="6" customFormat="1" ht="9">
      <c r="A20" s="143" t="s">
        <v>199</v>
      </c>
      <c r="B20" s="44">
        <v>12</v>
      </c>
      <c r="C20" s="44"/>
      <c r="D20" s="52">
        <v>0</v>
      </c>
      <c r="E20" s="52">
        <f>'Testing Costs'!$B$14</f>
        <v>7000</v>
      </c>
      <c r="F20" s="52">
        <v>0</v>
      </c>
      <c r="G20" s="44">
        <v>1</v>
      </c>
      <c r="H20" s="44">
        <f t="shared" si="1"/>
        <v>12</v>
      </c>
      <c r="I20" s="91">
        <v>0</v>
      </c>
      <c r="J20" s="19">
        <f t="shared" si="2"/>
        <v>0</v>
      </c>
      <c r="K20" s="19">
        <f t="shared" si="0"/>
        <v>0</v>
      </c>
      <c r="L20" s="19">
        <f t="shared" si="3"/>
        <v>0</v>
      </c>
      <c r="M20" s="46"/>
      <c r="N20" s="39">
        <f>(J20*'Base Data'!$C$5)+(K20*'Base Data'!$C$6)+(L20*'Base Data'!$C$7)</f>
        <v>0</v>
      </c>
      <c r="O20" s="39">
        <f t="shared" si="4"/>
        <v>0</v>
      </c>
      <c r="P20" s="19">
        <v>0</v>
      </c>
      <c r="Q20" s="94" t="s">
        <v>537</v>
      </c>
    </row>
    <row r="21" spans="1:20" s="6" customFormat="1" ht="9">
      <c r="A21" s="143" t="s">
        <v>267</v>
      </c>
      <c r="B21" s="44">
        <v>12</v>
      </c>
      <c r="C21" s="44"/>
      <c r="D21" s="52">
        <v>0</v>
      </c>
      <c r="E21" s="52">
        <f>'Testing Costs'!$B$16</f>
        <v>16000</v>
      </c>
      <c r="F21" s="52">
        <v>0</v>
      </c>
      <c r="G21" s="44">
        <v>1</v>
      </c>
      <c r="H21" s="44">
        <f t="shared" si="1"/>
        <v>12</v>
      </c>
      <c r="I21" s="91">
        <v>0</v>
      </c>
      <c r="J21" s="19">
        <f t="shared" si="2"/>
        <v>0</v>
      </c>
      <c r="K21" s="19">
        <f t="shared" si="0"/>
        <v>0</v>
      </c>
      <c r="L21" s="19">
        <f t="shared" si="3"/>
        <v>0</v>
      </c>
      <c r="M21" s="46"/>
      <c r="N21" s="39">
        <f>(J21*'Base Data'!$C$5)+(K21*'Base Data'!$C$6)+(L21*'Base Data'!$C$7)</f>
        <v>0</v>
      </c>
      <c r="O21" s="39">
        <f t="shared" si="4"/>
        <v>0</v>
      </c>
      <c r="P21" s="19">
        <v>0</v>
      </c>
      <c r="Q21" s="94" t="s">
        <v>537</v>
      </c>
    </row>
    <row r="22" spans="1:20" s="6" customFormat="1" ht="18.75" customHeight="1">
      <c r="A22" s="332" t="s">
        <v>481</v>
      </c>
      <c r="B22" s="44">
        <v>24</v>
      </c>
      <c r="C22" s="331"/>
      <c r="D22" s="52">
        <v>0</v>
      </c>
      <c r="E22" s="52">
        <f>$E$13+$E$14</f>
        <v>16000</v>
      </c>
      <c r="F22" s="52">
        <v>0</v>
      </c>
      <c r="G22" s="44">
        <v>1</v>
      </c>
      <c r="H22" s="44">
        <f t="shared" si="1"/>
        <v>24</v>
      </c>
      <c r="I22" s="91">
        <f>ROUNDUP('Base Data'!F49/2,0)</f>
        <v>499</v>
      </c>
      <c r="J22" s="19">
        <f t="shared" ref="J22" si="5">H22*I22</f>
        <v>11976</v>
      </c>
      <c r="K22" s="19">
        <f t="shared" ref="K22" si="6">J22*0.1</f>
        <v>1197.6000000000001</v>
      </c>
      <c r="L22" s="19">
        <f t="shared" ref="L22" si="7">J22*0.05</f>
        <v>598.80000000000007</v>
      </c>
      <c r="M22" s="46"/>
      <c r="N22" s="39">
        <f>(J22*'Base Data'!$C$5)+(K22*'Base Data'!$C$6)+(L22*'Base Data'!$C$7)</f>
        <v>1302719.3399999999</v>
      </c>
      <c r="O22" s="39">
        <f t="shared" ref="O22" si="8">(D22+E22+F22)*G22*I22</f>
        <v>7984000</v>
      </c>
      <c r="P22" s="19">
        <v>0</v>
      </c>
      <c r="Q22" s="94" t="s">
        <v>372</v>
      </c>
    </row>
    <row r="23" spans="1:20" s="6" customFormat="1" ht="9" customHeight="1">
      <c r="A23" s="143" t="s">
        <v>483</v>
      </c>
      <c r="B23" s="44">
        <v>5</v>
      </c>
      <c r="C23" s="44"/>
      <c r="D23" s="52">
        <v>0</v>
      </c>
      <c r="E23" s="52">
        <v>400</v>
      </c>
      <c r="F23" s="52">
        <v>0</v>
      </c>
      <c r="G23" s="44">
        <v>1</v>
      </c>
      <c r="H23" s="44">
        <f t="shared" si="1"/>
        <v>5</v>
      </c>
      <c r="I23" s="91">
        <v>0</v>
      </c>
      <c r="J23" s="19">
        <f t="shared" si="2"/>
        <v>0</v>
      </c>
      <c r="K23" s="19">
        <f t="shared" si="0"/>
        <v>0</v>
      </c>
      <c r="L23" s="19">
        <f t="shared" si="3"/>
        <v>0</v>
      </c>
      <c r="M23" s="46"/>
      <c r="N23" s="39">
        <f>(J23*'Base Data'!$C$5)+(K23*'Base Data'!$C$6)+(L23*'Base Data'!$C$7)</f>
        <v>0</v>
      </c>
      <c r="O23" s="39">
        <f t="shared" si="4"/>
        <v>0</v>
      </c>
      <c r="P23" s="19">
        <v>0</v>
      </c>
      <c r="Q23" s="29" t="s">
        <v>90</v>
      </c>
    </row>
    <row r="24" spans="1:20" s="6" customFormat="1" ht="9" customHeight="1">
      <c r="A24" s="143" t="s">
        <v>484</v>
      </c>
      <c r="B24" s="44">
        <v>5</v>
      </c>
      <c r="C24" s="44"/>
      <c r="D24" s="52">
        <v>0</v>
      </c>
      <c r="E24" s="52">
        <v>400</v>
      </c>
      <c r="F24" s="52">
        <v>0</v>
      </c>
      <c r="G24" s="44">
        <v>12</v>
      </c>
      <c r="H24" s="44">
        <f t="shared" si="1"/>
        <v>60</v>
      </c>
      <c r="I24" s="91">
        <v>0</v>
      </c>
      <c r="J24" s="19">
        <f t="shared" si="2"/>
        <v>0</v>
      </c>
      <c r="K24" s="19">
        <f t="shared" si="0"/>
        <v>0</v>
      </c>
      <c r="L24" s="19">
        <f t="shared" si="3"/>
        <v>0</v>
      </c>
      <c r="M24" s="46"/>
      <c r="N24" s="39">
        <f>(J24*'Base Data'!$C$5)+(K24*'Base Data'!$C$6)+(L24*'Base Data'!$C$7)</f>
        <v>0</v>
      </c>
      <c r="O24" s="39">
        <f t="shared" si="4"/>
        <v>0</v>
      </c>
      <c r="P24" s="19">
        <v>0</v>
      </c>
      <c r="Q24" s="29" t="s">
        <v>90</v>
      </c>
    </row>
    <row r="25" spans="1:20" s="6" customFormat="1" ht="9">
      <c r="A25" s="143" t="s">
        <v>485</v>
      </c>
      <c r="B25" s="44"/>
      <c r="C25" s="44"/>
      <c r="D25" s="52"/>
      <c r="E25" s="52"/>
      <c r="F25" s="52"/>
      <c r="G25" s="44"/>
      <c r="H25" s="44"/>
      <c r="I25" s="92"/>
      <c r="J25" s="19"/>
      <c r="K25" s="19"/>
      <c r="L25" s="19"/>
      <c r="M25" s="46"/>
      <c r="N25" s="39"/>
      <c r="O25" s="39"/>
      <c r="P25" s="19"/>
      <c r="Q25" s="29"/>
    </row>
    <row r="26" spans="1:20" s="6" customFormat="1" ht="9">
      <c r="A26" s="143" t="s">
        <v>432</v>
      </c>
      <c r="B26" s="44">
        <v>40</v>
      </c>
      <c r="C26" s="44"/>
      <c r="D26" s="52">
        <v>0</v>
      </c>
      <c r="E26" s="52"/>
      <c r="F26" s="52">
        <v>0</v>
      </c>
      <c r="G26" s="44">
        <v>1</v>
      </c>
      <c r="H26" s="44">
        <f>B26*G26</f>
        <v>40</v>
      </c>
      <c r="I26" s="91">
        <f>ROUNDUP(SUM('Base Data'!$H$18:$H$20,'Base Data'!$H$23:$H$25)/2,0)</f>
        <v>60</v>
      </c>
      <c r="J26" s="19">
        <f>H26*I26</f>
        <v>2400</v>
      </c>
      <c r="K26" s="19">
        <f>J26*0.1</f>
        <v>240</v>
      </c>
      <c r="L26" s="19">
        <f>J26*0.05</f>
        <v>120</v>
      </c>
      <c r="M26" s="46"/>
      <c r="N26" s="39">
        <f>(J26*'Base Data'!$C$5)+(K26*'Base Data'!$C$6)+(L26*'Base Data'!$C$7)</f>
        <v>261066</v>
      </c>
      <c r="O26" s="39">
        <f>(D26+E26+F26)*G26*I26</f>
        <v>0</v>
      </c>
      <c r="P26" s="19">
        <v>0</v>
      </c>
      <c r="Q26" s="29" t="s">
        <v>388</v>
      </c>
    </row>
    <row r="27" spans="1:20" s="6" customFormat="1" ht="9">
      <c r="A27" s="142" t="s">
        <v>410</v>
      </c>
      <c r="B27" s="44"/>
      <c r="C27" s="44"/>
      <c r="D27" s="52"/>
      <c r="E27" s="52"/>
      <c r="F27" s="52"/>
      <c r="G27" s="44"/>
      <c r="H27" s="44"/>
      <c r="I27" s="92"/>
      <c r="J27" s="19"/>
      <c r="K27" s="19"/>
      <c r="L27" s="19"/>
      <c r="M27" s="46"/>
      <c r="N27" s="39"/>
      <c r="O27" s="39"/>
      <c r="P27" s="19"/>
      <c r="Q27" s="29"/>
    </row>
    <row r="28" spans="1:20" s="6" customFormat="1" ht="9">
      <c r="A28" s="142" t="s">
        <v>411</v>
      </c>
      <c r="B28" s="44">
        <v>10</v>
      </c>
      <c r="C28" s="44"/>
      <c r="D28" s="52">
        <v>0</v>
      </c>
      <c r="E28" s="52">
        <v>0</v>
      </c>
      <c r="F28" s="52">
        <v>43100</v>
      </c>
      <c r="G28" s="44">
        <v>1</v>
      </c>
      <c r="H28" s="44">
        <f>B28*G28</f>
        <v>10</v>
      </c>
      <c r="I28" s="91">
        <f>ROUNDUP(Monitors!$C$6/2,0)</f>
        <v>188</v>
      </c>
      <c r="J28" s="19">
        <f>H28*I28</f>
        <v>1880</v>
      </c>
      <c r="K28" s="19">
        <f>J28*0.1</f>
        <v>188</v>
      </c>
      <c r="L28" s="19">
        <f>J28*0.05</f>
        <v>94</v>
      </c>
      <c r="M28" s="46"/>
      <c r="N28" s="39">
        <f>(J28*'Base Data'!$C$5)+(K28*'Base Data'!$C$6)+(L28*'Base Data'!$C$7)</f>
        <v>204501.7</v>
      </c>
      <c r="O28" s="39">
        <f>(D28+E28+F28)*G28*I28</f>
        <v>8102800</v>
      </c>
      <c r="P28" s="19">
        <v>0</v>
      </c>
      <c r="Q28" s="29" t="s">
        <v>388</v>
      </c>
    </row>
    <row r="29" spans="1:20" s="6" customFormat="1" ht="9">
      <c r="A29" s="142" t="s">
        <v>414</v>
      </c>
      <c r="B29" s="44">
        <v>10</v>
      </c>
      <c r="C29" s="44"/>
      <c r="D29" s="52">
        <v>0</v>
      </c>
      <c r="E29" s="52">
        <v>0</v>
      </c>
      <c r="F29" s="52">
        <v>14700</v>
      </c>
      <c r="G29" s="44">
        <v>1</v>
      </c>
      <c r="H29" s="44">
        <f>B29*G29</f>
        <v>10</v>
      </c>
      <c r="I29" s="91">
        <f>ROUNDUP(Monitors!$C$6/2,0)</f>
        <v>188</v>
      </c>
      <c r="J29" s="19">
        <f>H29*I29</f>
        <v>1880</v>
      </c>
      <c r="K29" s="19">
        <f>J29*0.1</f>
        <v>188</v>
      </c>
      <c r="L29" s="19">
        <f>J29*0.05</f>
        <v>94</v>
      </c>
      <c r="M29" s="46"/>
      <c r="N29" s="39">
        <f>(J29*'Base Data'!$C$5)+(K29*'Base Data'!$C$6)+(L29*'Base Data'!$C$7)</f>
        <v>204501.7</v>
      </c>
      <c r="O29" s="39">
        <f>(D29+E29+F29)*G29*I29</f>
        <v>2763600</v>
      </c>
      <c r="P29" s="19">
        <v>0</v>
      </c>
      <c r="Q29" s="29" t="s">
        <v>388</v>
      </c>
    </row>
    <row r="30" spans="1:20" s="6" customFormat="1" ht="9">
      <c r="A30" s="142" t="s">
        <v>356</v>
      </c>
      <c r="B30" s="44"/>
      <c r="C30" s="44"/>
      <c r="D30" s="52"/>
      <c r="E30" s="52"/>
      <c r="F30" s="52"/>
      <c r="G30" s="44"/>
      <c r="H30" s="44"/>
      <c r="I30" s="92"/>
      <c r="J30" s="19"/>
      <c r="K30" s="19"/>
      <c r="L30" s="19"/>
      <c r="M30" s="46"/>
      <c r="N30" s="39"/>
      <c r="O30" s="39"/>
      <c r="P30" s="19"/>
      <c r="Q30" s="29"/>
    </row>
    <row r="31" spans="1:20" s="6" customFormat="1" ht="9">
      <c r="A31" s="142" t="s">
        <v>411</v>
      </c>
      <c r="B31" s="44">
        <v>10</v>
      </c>
      <c r="C31" s="44"/>
      <c r="D31" s="52">
        <v>0</v>
      </c>
      <c r="E31" s="52">
        <v>0</v>
      </c>
      <c r="F31" s="52">
        <v>158000</v>
      </c>
      <c r="G31" s="44">
        <v>1</v>
      </c>
      <c r="H31" s="44">
        <f>B31*G31</f>
        <v>10</v>
      </c>
      <c r="I31" s="91">
        <f>ROUNDUP(SUM('Base Data'!$D$20,'Base Data'!$D$25)/2,0)</f>
        <v>163</v>
      </c>
      <c r="J31" s="19">
        <f>H31*I31</f>
        <v>1630</v>
      </c>
      <c r="K31" s="19">
        <f>J31*0.1</f>
        <v>163</v>
      </c>
      <c r="L31" s="19">
        <f>J31*0.05</f>
        <v>81.5</v>
      </c>
      <c r="M31" s="46"/>
      <c r="N31" s="39">
        <f>(J31*'Base Data'!$C$5)+(K31*'Base Data'!$C$6)+(L31*'Base Data'!$C$7)</f>
        <v>177307.32500000001</v>
      </c>
      <c r="O31" s="39">
        <f>(D31+E31+F31)*G31*I31</f>
        <v>25754000</v>
      </c>
      <c r="P31" s="19">
        <v>0</v>
      </c>
      <c r="Q31" s="29" t="s">
        <v>92</v>
      </c>
      <c r="T31" s="315"/>
    </row>
    <row r="32" spans="1:20" s="6" customFormat="1" ht="9">
      <c r="A32" s="142" t="s">
        <v>414</v>
      </c>
      <c r="B32" s="44">
        <v>10</v>
      </c>
      <c r="C32" s="44"/>
      <c r="D32" s="52">
        <v>0</v>
      </c>
      <c r="E32" s="52">
        <v>0</v>
      </c>
      <c r="F32" s="52">
        <v>56100</v>
      </c>
      <c r="G32" s="44">
        <v>1</v>
      </c>
      <c r="H32" s="44">
        <f>B32*G32</f>
        <v>10</v>
      </c>
      <c r="I32" s="91">
        <f>ROUNDUP(SUM('Base Data'!$D$20,'Base Data'!$D$25)/2,0)</f>
        <v>163</v>
      </c>
      <c r="J32" s="19">
        <f>H32*I32</f>
        <v>1630</v>
      </c>
      <c r="K32" s="19">
        <f>J32*0.1</f>
        <v>163</v>
      </c>
      <c r="L32" s="19">
        <f>J32*0.05</f>
        <v>81.5</v>
      </c>
      <c r="M32" s="46"/>
      <c r="N32" s="39">
        <f>(J32*'Base Data'!$C$5)+(K32*'Base Data'!$C$6)+(L32*'Base Data'!$C$7)</f>
        <v>177307.32500000001</v>
      </c>
      <c r="O32" s="39">
        <f>(D32+E32+F32)*G32*I32</f>
        <v>9144300</v>
      </c>
      <c r="P32" s="19">
        <v>0</v>
      </c>
      <c r="Q32" s="29" t="s">
        <v>388</v>
      </c>
    </row>
    <row r="33" spans="1:17" s="6" customFormat="1" ht="9">
      <c r="A33" s="142" t="s">
        <v>522</v>
      </c>
      <c r="B33" s="44"/>
      <c r="C33" s="44"/>
      <c r="D33" s="52"/>
      <c r="E33" s="52"/>
      <c r="F33" s="52"/>
      <c r="G33" s="44"/>
      <c r="H33" s="44"/>
      <c r="I33" s="91"/>
      <c r="J33" s="19"/>
      <c r="K33" s="19"/>
      <c r="L33" s="19"/>
      <c r="M33" s="46"/>
      <c r="N33" s="39"/>
      <c r="O33" s="39"/>
      <c r="P33" s="19"/>
      <c r="Q33" s="29"/>
    </row>
    <row r="34" spans="1:17" s="6" customFormat="1" ht="9">
      <c r="A34" s="142" t="s">
        <v>411</v>
      </c>
      <c r="B34" s="44">
        <v>10</v>
      </c>
      <c r="C34" s="44"/>
      <c r="D34" s="52">
        <v>0</v>
      </c>
      <c r="E34" s="52">
        <v>0</v>
      </c>
      <c r="F34" s="52">
        <f>Monitors!$F$32</f>
        <v>8523</v>
      </c>
      <c r="G34" s="44">
        <v>1</v>
      </c>
      <c r="H34" s="44">
        <f t="shared" ref="H34:H35" si="9">B34*G34</f>
        <v>10</v>
      </c>
      <c r="I34" s="91">
        <f>ROUND(Monitors!$F$6/2,0)</f>
        <v>499</v>
      </c>
      <c r="J34" s="19">
        <f t="shared" ref="J34:J35" si="10">H34*I34</f>
        <v>4990</v>
      </c>
      <c r="K34" s="19">
        <f t="shared" ref="K34:K35" si="11">J34*0.1</f>
        <v>499</v>
      </c>
      <c r="L34" s="19">
        <f t="shared" ref="L34:L35" si="12">J34*0.05</f>
        <v>249.5</v>
      </c>
      <c r="M34" s="46"/>
      <c r="N34" s="39">
        <f>(J34*'Base Data'!$C$5)+(K34*'Base Data'!$C$6)+(L34*'Base Data'!$C$7)</f>
        <v>542799.72499999998</v>
      </c>
      <c r="O34" s="39">
        <f>(D34+E34+F34)*G34*I34</f>
        <v>4252977</v>
      </c>
      <c r="P34" s="19">
        <v>0</v>
      </c>
      <c r="Q34" s="29" t="s">
        <v>388</v>
      </c>
    </row>
    <row r="35" spans="1:17" s="6" customFormat="1" ht="9">
      <c r="A35" s="142" t="s">
        <v>414</v>
      </c>
      <c r="B35" s="44">
        <v>10</v>
      </c>
      <c r="C35" s="44"/>
      <c r="D35" s="52">
        <v>0</v>
      </c>
      <c r="E35" s="52">
        <v>0</v>
      </c>
      <c r="F35" s="52">
        <f>Monitors!$G$32</f>
        <v>1436</v>
      </c>
      <c r="G35" s="44">
        <v>1</v>
      </c>
      <c r="H35" s="44">
        <f t="shared" si="9"/>
        <v>10</v>
      </c>
      <c r="I35" s="91">
        <f>ROUND(Monitors!$F$6/2,0)</f>
        <v>499</v>
      </c>
      <c r="J35" s="19">
        <f t="shared" si="10"/>
        <v>4990</v>
      </c>
      <c r="K35" s="19">
        <f t="shared" si="11"/>
        <v>499</v>
      </c>
      <c r="L35" s="19">
        <f t="shared" si="12"/>
        <v>249.5</v>
      </c>
      <c r="M35" s="46"/>
      <c r="N35" s="39">
        <f>(J35*'Base Data'!$C$5)+(K35*'Base Data'!$C$6)+(L35*'Base Data'!$C$7)</f>
        <v>542799.72499999998</v>
      </c>
      <c r="O35" s="39">
        <f>(D35+E35+F35)*G35*I35</f>
        <v>716564</v>
      </c>
      <c r="P35" s="19">
        <v>0</v>
      </c>
      <c r="Q35" s="29" t="s">
        <v>388</v>
      </c>
    </row>
    <row r="36" spans="1:17" s="6" customFormat="1" ht="18">
      <c r="A36" s="143" t="s">
        <v>173</v>
      </c>
      <c r="B36" s="44"/>
      <c r="C36" s="44"/>
      <c r="D36" s="52"/>
      <c r="E36" s="52"/>
      <c r="F36" s="95"/>
      <c r="G36" s="44"/>
      <c r="H36" s="44"/>
      <c r="I36" s="96"/>
      <c r="J36" s="19"/>
      <c r="K36" s="19"/>
      <c r="L36" s="19"/>
      <c r="M36" s="46"/>
      <c r="N36" s="39"/>
      <c r="O36" s="39"/>
      <c r="P36" s="19"/>
      <c r="Q36" s="29"/>
    </row>
    <row r="37" spans="1:17" s="6" customFormat="1" ht="9">
      <c r="A37" s="142" t="s">
        <v>411</v>
      </c>
      <c r="B37" s="44">
        <v>10</v>
      </c>
      <c r="C37" s="44"/>
      <c r="D37" s="52">
        <v>0</v>
      </c>
      <c r="E37" s="52">
        <v>0</v>
      </c>
      <c r="F37" s="52">
        <v>24300</v>
      </c>
      <c r="G37" s="44">
        <v>1</v>
      </c>
      <c r="H37" s="44">
        <f>B37*G37</f>
        <v>10</v>
      </c>
      <c r="I37" s="91">
        <f>ROUNDUP(Monitors!$D$6/2,0)</f>
        <v>167</v>
      </c>
      <c r="J37" s="92">
        <f>H37*I37</f>
        <v>1670</v>
      </c>
      <c r="K37" s="92">
        <f>J37*0.1</f>
        <v>167</v>
      </c>
      <c r="L37" s="92">
        <f>J37*0.05</f>
        <v>83.5</v>
      </c>
      <c r="M37" s="93"/>
      <c r="N37" s="52">
        <f>(J37*'Base Data'!$C$5)+(K37*'Base Data'!$C$6)+(L37*'Base Data'!$C$7)</f>
        <v>181658.42500000002</v>
      </c>
      <c r="O37" s="39">
        <f>(D37+E37+F37)*G37*I37</f>
        <v>4058100</v>
      </c>
      <c r="P37" s="19">
        <v>0</v>
      </c>
      <c r="Q37" s="94" t="s">
        <v>388</v>
      </c>
    </row>
    <row r="38" spans="1:17" s="6" customFormat="1" ht="9">
      <c r="A38" s="142" t="s">
        <v>414</v>
      </c>
      <c r="B38" s="44">
        <v>10</v>
      </c>
      <c r="C38" s="44"/>
      <c r="D38" s="52">
        <v>0</v>
      </c>
      <c r="E38" s="52">
        <v>0</v>
      </c>
      <c r="F38" s="52">
        <v>5600</v>
      </c>
      <c r="G38" s="44">
        <v>1</v>
      </c>
      <c r="H38" s="44">
        <f>B38*G38</f>
        <v>10</v>
      </c>
      <c r="I38" s="91">
        <f>ROUNDUP(Monitors!$D$6/2,0)</f>
        <v>167</v>
      </c>
      <c r="J38" s="92">
        <f>H38*I38</f>
        <v>1670</v>
      </c>
      <c r="K38" s="92">
        <f>J38*0.1</f>
        <v>167</v>
      </c>
      <c r="L38" s="92">
        <f>J38*0.05</f>
        <v>83.5</v>
      </c>
      <c r="M38" s="93"/>
      <c r="N38" s="52">
        <f>(J38*'Base Data'!$C$5)+(K38*'Base Data'!$C$6)+(L38*'Base Data'!$C$7)</f>
        <v>181658.42500000002</v>
      </c>
      <c r="O38" s="39">
        <f>(D38+E38+F38)*G38*I38</f>
        <v>935200</v>
      </c>
      <c r="P38" s="19">
        <v>0</v>
      </c>
      <c r="Q38" s="94" t="s">
        <v>388</v>
      </c>
    </row>
    <row r="39" spans="1:17" s="6" customFormat="1" ht="18.75" customHeight="1">
      <c r="A39" s="143" t="s">
        <v>475</v>
      </c>
      <c r="B39" s="44"/>
      <c r="C39" s="44"/>
      <c r="D39" s="52"/>
      <c r="E39" s="52"/>
      <c r="F39" s="52"/>
      <c r="G39" s="44"/>
      <c r="H39" s="44"/>
      <c r="I39" s="91"/>
      <c r="J39" s="92"/>
      <c r="K39" s="92"/>
      <c r="L39" s="92"/>
      <c r="M39" s="93"/>
      <c r="N39" s="52"/>
      <c r="O39" s="243"/>
      <c r="P39" s="19"/>
      <c r="Q39" s="94"/>
    </row>
    <row r="40" spans="1:17" s="6" customFormat="1" ht="9">
      <c r="A40" s="142" t="s">
        <v>411</v>
      </c>
      <c r="B40" s="44">
        <v>10</v>
      </c>
      <c r="C40" s="44"/>
      <c r="D40" s="52">
        <v>0</v>
      </c>
      <c r="E40" s="52">
        <v>0</v>
      </c>
      <c r="F40" s="52">
        <f>25500</f>
        <v>25500</v>
      </c>
      <c r="G40" s="44">
        <v>1</v>
      </c>
      <c r="H40" s="44">
        <f>B40*G40</f>
        <v>10</v>
      </c>
      <c r="I40" s="91">
        <f>ROUNDUP(Monitors!$B$6/2,0)</f>
        <v>52</v>
      </c>
      <c r="J40" s="92">
        <f>H40*I40</f>
        <v>520</v>
      </c>
      <c r="K40" s="92">
        <f>J40*0.1</f>
        <v>52</v>
      </c>
      <c r="L40" s="92">
        <f>J40*0.05</f>
        <v>26</v>
      </c>
      <c r="M40" s="93"/>
      <c r="N40" s="52">
        <f>(J40*'Base Data'!$C$5)+(K40*'Base Data'!$C$6)+(L40*'Base Data'!$C$7)</f>
        <v>56564.299999999996</v>
      </c>
      <c r="O40" s="52">
        <f>(D40+E40+F40)*G40*I40</f>
        <v>1326000</v>
      </c>
      <c r="P40" s="19">
        <v>0</v>
      </c>
      <c r="Q40" s="94" t="s">
        <v>388</v>
      </c>
    </row>
    <row r="41" spans="1:17" s="6" customFormat="1" ht="9">
      <c r="A41" s="142" t="s">
        <v>414</v>
      </c>
      <c r="B41" s="44">
        <v>10</v>
      </c>
      <c r="C41" s="44"/>
      <c r="D41" s="52">
        <v>0</v>
      </c>
      <c r="E41" s="52">
        <v>0</v>
      </c>
      <c r="F41" s="52">
        <v>9700</v>
      </c>
      <c r="G41" s="44">
        <v>1</v>
      </c>
      <c r="H41" s="44">
        <f>B41*G41</f>
        <v>10</v>
      </c>
      <c r="I41" s="91">
        <f>ROUNDUP(Monitors!$B$6/2,0)</f>
        <v>52</v>
      </c>
      <c r="J41" s="92">
        <f>H41*I41</f>
        <v>520</v>
      </c>
      <c r="K41" s="92">
        <f>J41*0.1</f>
        <v>52</v>
      </c>
      <c r="L41" s="92">
        <f>J41*0.05</f>
        <v>26</v>
      </c>
      <c r="M41" s="93"/>
      <c r="N41" s="52">
        <f>(J41*'Base Data'!$C$5)+(K41*'Base Data'!$C$6)+(L41*'Base Data'!$C$7)</f>
        <v>56564.299999999996</v>
      </c>
      <c r="O41" s="52">
        <f>(D41+E41+F41)*G41*I41</f>
        <v>504400</v>
      </c>
      <c r="P41" s="19">
        <v>0</v>
      </c>
      <c r="Q41" s="94" t="s">
        <v>388</v>
      </c>
    </row>
    <row r="42" spans="1:17" s="6" customFormat="1" ht="18.75" customHeight="1">
      <c r="A42" s="143" t="s">
        <v>174</v>
      </c>
      <c r="B42" s="44"/>
      <c r="C42" s="44"/>
      <c r="D42" s="52"/>
      <c r="E42" s="52"/>
      <c r="F42" s="52"/>
      <c r="G42" s="44"/>
      <c r="H42" s="44"/>
      <c r="I42" s="96"/>
      <c r="J42" s="92"/>
      <c r="K42" s="92"/>
      <c r="L42" s="92"/>
      <c r="M42" s="93"/>
      <c r="N42" s="52"/>
      <c r="O42" s="39"/>
      <c r="P42" s="19"/>
      <c r="Q42" s="94"/>
    </row>
    <row r="43" spans="1:17" s="6" customFormat="1" ht="9">
      <c r="A43" s="142" t="s">
        <v>411</v>
      </c>
      <c r="B43" s="44">
        <v>10</v>
      </c>
      <c r="C43" s="44"/>
      <c r="D43" s="52">
        <v>0</v>
      </c>
      <c r="E43" s="52">
        <v>0</v>
      </c>
      <c r="F43" s="52">
        <v>115000</v>
      </c>
      <c r="G43" s="44">
        <v>1</v>
      </c>
      <c r="H43" s="44">
        <f>B43*G43</f>
        <v>10</v>
      </c>
      <c r="I43" s="91">
        <f>ROUNDUP(Monitors!$E$6/2,0)</f>
        <v>54</v>
      </c>
      <c r="J43" s="92">
        <f>H43*I43</f>
        <v>540</v>
      </c>
      <c r="K43" s="92">
        <f>J43*0.1</f>
        <v>54</v>
      </c>
      <c r="L43" s="92">
        <f>J43*0.05</f>
        <v>27</v>
      </c>
      <c r="M43" s="93"/>
      <c r="N43" s="52">
        <f>(J43*'Base Data'!$C$5)+(K43*'Base Data'!$C$6)+(L43*'Base Data'!$C$7)</f>
        <v>58739.850000000006</v>
      </c>
      <c r="O43" s="52">
        <f>(D43+E43+F43)*G43*I43</f>
        <v>6210000</v>
      </c>
      <c r="P43" s="19">
        <v>0</v>
      </c>
      <c r="Q43" s="94" t="s">
        <v>388</v>
      </c>
    </row>
    <row r="44" spans="1:17" s="6" customFormat="1" ht="9">
      <c r="A44" s="142" t="s">
        <v>414</v>
      </c>
      <c r="B44" s="44">
        <v>10</v>
      </c>
      <c r="C44" s="44"/>
      <c r="D44" s="52">
        <v>0</v>
      </c>
      <c r="E44" s="52">
        <v>0</v>
      </c>
      <c r="F44" s="52">
        <v>9700</v>
      </c>
      <c r="G44" s="44">
        <v>1</v>
      </c>
      <c r="H44" s="44">
        <f>B44*G44</f>
        <v>10</v>
      </c>
      <c r="I44" s="91">
        <f>ROUNDUP(Monitors!$E$6/2,0)</f>
        <v>54</v>
      </c>
      <c r="J44" s="92">
        <f>H44*I44</f>
        <v>540</v>
      </c>
      <c r="K44" s="92">
        <f>J44*0.1</f>
        <v>54</v>
      </c>
      <c r="L44" s="92">
        <f>J44*0.05</f>
        <v>27</v>
      </c>
      <c r="M44" s="93"/>
      <c r="N44" s="52">
        <f>(J44*'Base Data'!$C$5)+(K44*'Base Data'!$C$6)+(L44*'Base Data'!$C$7)</f>
        <v>58739.850000000006</v>
      </c>
      <c r="O44" s="52">
        <f>(D44+E44+F44)*G44*I44</f>
        <v>523800</v>
      </c>
      <c r="P44" s="19">
        <v>0</v>
      </c>
      <c r="Q44" s="94" t="s">
        <v>388</v>
      </c>
    </row>
    <row r="45" spans="1:17" s="6" customFormat="1" ht="9">
      <c r="A45" s="142" t="s">
        <v>415</v>
      </c>
      <c r="B45" s="44" t="s">
        <v>433</v>
      </c>
      <c r="C45" s="44"/>
      <c r="D45" s="52"/>
      <c r="E45" s="52"/>
      <c r="F45" s="52"/>
      <c r="G45" s="44"/>
      <c r="H45" s="44"/>
      <c r="I45" s="92"/>
      <c r="J45" s="19"/>
      <c r="K45" s="19"/>
      <c r="L45" s="19"/>
      <c r="M45" s="18"/>
      <c r="N45" s="39"/>
      <c r="O45" s="39"/>
      <c r="P45" s="19"/>
      <c r="Q45" s="29"/>
    </row>
    <row r="46" spans="1:17" s="6" customFormat="1" ht="9">
      <c r="A46" s="142" t="s">
        <v>416</v>
      </c>
      <c r="B46" s="44" t="s">
        <v>433</v>
      </c>
      <c r="C46" s="44"/>
      <c r="D46" s="52"/>
      <c r="E46" s="52"/>
      <c r="F46" s="52"/>
      <c r="G46" s="44"/>
      <c r="H46" s="44"/>
      <c r="I46" s="92"/>
      <c r="J46" s="19"/>
      <c r="K46" s="19"/>
      <c r="L46" s="19"/>
      <c r="M46" s="18"/>
      <c r="N46" s="39"/>
      <c r="O46" s="39"/>
      <c r="P46" s="19"/>
      <c r="Q46" s="29"/>
    </row>
    <row r="47" spans="1:17" s="6" customFormat="1" ht="9">
      <c r="A47" s="142" t="s">
        <v>417</v>
      </c>
      <c r="B47" s="44"/>
      <c r="C47" s="44"/>
      <c r="D47" s="52"/>
      <c r="E47" s="52"/>
      <c r="F47" s="52"/>
      <c r="G47" s="44"/>
      <c r="H47" s="44"/>
      <c r="I47" s="92"/>
      <c r="J47" s="19"/>
      <c r="K47" s="19"/>
      <c r="L47" s="19"/>
      <c r="M47" s="18"/>
      <c r="N47" s="39"/>
      <c r="O47" s="39"/>
      <c r="P47" s="19"/>
      <c r="Q47" s="29"/>
    </row>
    <row r="48" spans="1:17" s="6" customFormat="1" ht="9">
      <c r="A48" s="177" t="s">
        <v>435</v>
      </c>
      <c r="B48" s="44">
        <v>2</v>
      </c>
      <c r="C48" s="44"/>
      <c r="D48" s="52">
        <v>0</v>
      </c>
      <c r="E48" s="52">
        <v>0</v>
      </c>
      <c r="F48" s="52">
        <v>0</v>
      </c>
      <c r="G48" s="44">
        <v>1</v>
      </c>
      <c r="H48" s="44">
        <f>B48*G48</f>
        <v>2</v>
      </c>
      <c r="I48" s="91">
        <v>0</v>
      </c>
      <c r="J48" s="19">
        <f>H48*I48</f>
        <v>0</v>
      </c>
      <c r="K48" s="19">
        <f>J48*0.1</f>
        <v>0</v>
      </c>
      <c r="L48" s="19">
        <f>J48*0.05</f>
        <v>0</v>
      </c>
      <c r="M48" s="18">
        <f>C48*G48*I48</f>
        <v>0</v>
      </c>
      <c r="N48" s="39">
        <f>(J48*'Base Data'!$C$5)+(K48*'Base Data'!$C$6)+(L48*'Base Data'!$C$7)</f>
        <v>0</v>
      </c>
      <c r="O48" s="39">
        <f>(D48+E48+F48)*G48*I48</f>
        <v>0</v>
      </c>
      <c r="P48" s="19">
        <f>G48*I48</f>
        <v>0</v>
      </c>
      <c r="Q48" s="29" t="s">
        <v>387</v>
      </c>
    </row>
    <row r="49" spans="1:19" s="6" customFormat="1" ht="9" customHeight="1">
      <c r="A49" s="177" t="s">
        <v>377</v>
      </c>
      <c r="B49" s="44">
        <v>8</v>
      </c>
      <c r="C49" s="44"/>
      <c r="D49" s="52">
        <v>0</v>
      </c>
      <c r="E49" s="52">
        <v>0</v>
      </c>
      <c r="F49" s="52">
        <v>0</v>
      </c>
      <c r="G49" s="44">
        <v>1</v>
      </c>
      <c r="H49" s="44">
        <f>B49*G49</f>
        <v>8</v>
      </c>
      <c r="I49" s="91">
        <v>0</v>
      </c>
      <c r="J49" s="19">
        <f>H49*I49</f>
        <v>0</v>
      </c>
      <c r="K49" s="19">
        <f>J49*0.1</f>
        <v>0</v>
      </c>
      <c r="L49" s="19">
        <f>J49*0.05</f>
        <v>0</v>
      </c>
      <c r="M49" s="18">
        <f>C49*G49*I49</f>
        <v>0</v>
      </c>
      <c r="N49" s="39">
        <f>(J49*'Base Data'!$C$5)+(K49*'Base Data'!$C$6)+(L49*'Base Data'!$C$7)</f>
        <v>0</v>
      </c>
      <c r="O49" s="39">
        <f>(D49+E49+F49)*G49*I49</f>
        <v>0</v>
      </c>
      <c r="P49" s="19">
        <f>G49*I49</f>
        <v>0</v>
      </c>
      <c r="Q49" s="29" t="s">
        <v>388</v>
      </c>
    </row>
    <row r="50" spans="1:19" s="6" customFormat="1" ht="9">
      <c r="A50" s="177" t="s">
        <v>378</v>
      </c>
      <c r="B50" s="44">
        <v>5</v>
      </c>
      <c r="C50" s="44"/>
      <c r="D50" s="52">
        <v>0</v>
      </c>
      <c r="E50" s="52">
        <v>0</v>
      </c>
      <c r="F50" s="52">
        <v>0</v>
      </c>
      <c r="G50" s="44">
        <v>1</v>
      </c>
      <c r="H50" s="44">
        <f>B50*G50</f>
        <v>5</v>
      </c>
      <c r="I50" s="91">
        <v>0</v>
      </c>
      <c r="J50" s="19">
        <f>H50*I50</f>
        <v>0</v>
      </c>
      <c r="K50" s="19">
        <f>J50*0.1</f>
        <v>0</v>
      </c>
      <c r="L50" s="19">
        <f>J50*0.05</f>
        <v>0</v>
      </c>
      <c r="M50" s="18">
        <f>C50*G50*I50</f>
        <v>0</v>
      </c>
      <c r="N50" s="39">
        <f>(J50*'Base Data'!$C$5)+(K50*'Base Data'!$C$6)+(L50*'Base Data'!$C$7)</f>
        <v>0</v>
      </c>
      <c r="O50" s="39">
        <f>(D50+E50+F50)*G50*I50</f>
        <v>0</v>
      </c>
      <c r="P50" s="19">
        <f>G50*I50</f>
        <v>0</v>
      </c>
      <c r="Q50" s="29" t="s">
        <v>388</v>
      </c>
    </row>
    <row r="51" spans="1:19" s="6" customFormat="1" ht="9">
      <c r="A51" s="144" t="s">
        <v>456</v>
      </c>
      <c r="B51" s="44">
        <v>20</v>
      </c>
      <c r="C51" s="44">
        <v>0</v>
      </c>
      <c r="D51" s="52">
        <v>0</v>
      </c>
      <c r="E51" s="52">
        <v>0</v>
      </c>
      <c r="F51" s="52">
        <v>0</v>
      </c>
      <c r="G51" s="44">
        <v>2</v>
      </c>
      <c r="H51" s="44">
        <f>B51*G51</f>
        <v>40</v>
      </c>
      <c r="I51" s="91">
        <v>0</v>
      </c>
      <c r="J51" s="19">
        <f>H51*I51</f>
        <v>0</v>
      </c>
      <c r="K51" s="19">
        <f>J51*0.1</f>
        <v>0</v>
      </c>
      <c r="L51" s="19">
        <f>J51*0.05</f>
        <v>0</v>
      </c>
      <c r="M51" s="19">
        <f>C51*G51*I51</f>
        <v>0</v>
      </c>
      <c r="N51" s="39">
        <f>(J51*'Base Data'!$C$5)+(K51*'Base Data'!$C$6)+(L51*'Base Data'!$C$7)</f>
        <v>0</v>
      </c>
      <c r="O51" s="39">
        <f>(D51+E51+F51)*G51*I51</f>
        <v>0</v>
      </c>
      <c r="P51" s="19">
        <f>G51*I51</f>
        <v>0</v>
      </c>
      <c r="Q51" s="94" t="s">
        <v>388</v>
      </c>
      <c r="R51" s="37"/>
    </row>
    <row r="52" spans="1:19" s="6" customFormat="1" ht="9">
      <c r="A52" s="145" t="s">
        <v>7</v>
      </c>
      <c r="B52" s="44"/>
      <c r="C52" s="44"/>
      <c r="D52" s="52"/>
      <c r="E52" s="52"/>
      <c r="F52" s="52"/>
      <c r="G52" s="44"/>
      <c r="H52" s="44"/>
      <c r="I52" s="91"/>
      <c r="J52" s="19">
        <f>SUM(J7:J51)</f>
        <v>66000</v>
      </c>
      <c r="K52" s="19">
        <f t="shared" ref="K52:N52" si="13">SUM(K7:K51)</f>
        <v>6600.0000000000009</v>
      </c>
      <c r="L52" s="19">
        <f t="shared" si="13"/>
        <v>3300.0000000000005</v>
      </c>
      <c r="M52" s="19">
        <f t="shared" si="13"/>
        <v>0</v>
      </c>
      <c r="N52" s="39">
        <f t="shared" si="13"/>
        <v>7179314.9999999981</v>
      </c>
      <c r="O52" s="39">
        <f>SUM(O7:O51)</f>
        <v>94373903</v>
      </c>
      <c r="P52" s="19">
        <f>SUM(P48:P51)</f>
        <v>0</v>
      </c>
      <c r="Q52" s="29"/>
      <c r="R52" s="335">
        <f>SUM(O7,O10:O24,O29,O32,O35,O38,O41,O44)</f>
        <v>44670026</v>
      </c>
      <c r="S52" s="336">
        <f>SUM(O28,O31,O34,O37,O40,O43)</f>
        <v>49703877</v>
      </c>
    </row>
    <row r="53" spans="1:19" s="6" customFormat="1" ht="9">
      <c r="A53" s="142" t="s">
        <v>431</v>
      </c>
      <c r="B53" s="44"/>
      <c r="C53" s="44"/>
      <c r="D53" s="52"/>
      <c r="E53" s="52"/>
      <c r="F53" s="52"/>
      <c r="G53" s="44"/>
      <c r="H53" s="44"/>
      <c r="I53" s="92"/>
      <c r="J53" s="19"/>
      <c r="K53" s="19"/>
      <c r="L53" s="19"/>
      <c r="M53" s="18"/>
      <c r="N53" s="39"/>
      <c r="O53" s="39"/>
      <c r="P53" s="39"/>
      <c r="Q53" s="29"/>
    </row>
    <row r="54" spans="1:19" s="6" customFormat="1" ht="9">
      <c r="A54" s="142" t="s">
        <v>418</v>
      </c>
      <c r="B54" s="44" t="s">
        <v>422</v>
      </c>
      <c r="C54" s="44"/>
      <c r="D54" s="52"/>
      <c r="E54" s="52"/>
      <c r="F54" s="52"/>
      <c r="G54" s="44"/>
      <c r="H54" s="44"/>
      <c r="I54" s="92"/>
      <c r="J54" s="19"/>
      <c r="K54" s="19"/>
      <c r="L54" s="19"/>
      <c r="M54" s="18"/>
      <c r="N54" s="39"/>
      <c r="O54" s="39"/>
      <c r="P54" s="39"/>
      <c r="Q54" s="29"/>
    </row>
    <row r="55" spans="1:19" s="6" customFormat="1" ht="9">
      <c r="A55" s="142" t="s">
        <v>419</v>
      </c>
      <c r="B55" s="44" t="s">
        <v>433</v>
      </c>
      <c r="C55" s="44"/>
      <c r="D55" s="52"/>
      <c r="E55" s="52"/>
      <c r="F55" s="52"/>
      <c r="G55" s="44"/>
      <c r="H55" s="44"/>
      <c r="I55" s="92"/>
      <c r="J55" s="19"/>
      <c r="K55" s="19"/>
      <c r="L55" s="19"/>
      <c r="M55" s="18"/>
      <c r="N55" s="39"/>
      <c r="O55" s="39"/>
      <c r="P55" s="39"/>
      <c r="Q55" s="29"/>
    </row>
    <row r="56" spans="1:19" s="6" customFormat="1" ht="9">
      <c r="A56" s="142" t="s">
        <v>420</v>
      </c>
      <c r="B56" s="44" t="s">
        <v>433</v>
      </c>
      <c r="C56" s="44"/>
      <c r="D56" s="52"/>
      <c r="E56" s="52"/>
      <c r="F56" s="52"/>
      <c r="G56" s="44"/>
      <c r="H56" s="44"/>
      <c r="I56" s="92"/>
      <c r="J56" s="19"/>
      <c r="K56" s="19"/>
      <c r="L56" s="19"/>
      <c r="M56" s="18"/>
      <c r="N56" s="39"/>
      <c r="O56" s="39"/>
      <c r="P56" s="39"/>
      <c r="Q56" s="29" t="s">
        <v>389</v>
      </c>
    </row>
    <row r="57" spans="1:19" s="6" customFormat="1" ht="9">
      <c r="A57" s="142" t="s">
        <v>421</v>
      </c>
      <c r="B57" s="44"/>
      <c r="C57" s="44"/>
      <c r="D57" s="52"/>
      <c r="E57" s="52"/>
      <c r="F57" s="52"/>
      <c r="G57" s="44"/>
      <c r="H57" s="44"/>
      <c r="I57" s="92"/>
      <c r="J57" s="19"/>
      <c r="K57" s="19"/>
      <c r="L57" s="19"/>
      <c r="M57" s="18"/>
      <c r="N57" s="39"/>
      <c r="O57" s="39"/>
      <c r="P57" s="39"/>
      <c r="Q57" s="29"/>
    </row>
    <row r="58" spans="1:19" s="6" customFormat="1" ht="9.75" customHeight="1">
      <c r="A58" s="142" t="s">
        <v>429</v>
      </c>
      <c r="B58" s="44">
        <v>20</v>
      </c>
      <c r="C58" s="44"/>
      <c r="D58" s="52">
        <v>0</v>
      </c>
      <c r="E58" s="52">
        <v>0</v>
      </c>
      <c r="F58" s="52">
        <v>0</v>
      </c>
      <c r="G58" s="44">
        <v>1</v>
      </c>
      <c r="H58" s="44">
        <f t="shared" ref="H58:H64" si="14">B58*G58</f>
        <v>20</v>
      </c>
      <c r="I58" s="91">
        <v>0</v>
      </c>
      <c r="J58" s="19">
        <f t="shared" ref="J58:J64" si="15">H58*I58</f>
        <v>0</v>
      </c>
      <c r="K58" s="19">
        <f t="shared" ref="K58:K64" si="16">J58*0.1</f>
        <v>0</v>
      </c>
      <c r="L58" s="19">
        <f t="shared" ref="L58:L64" si="17">J58*0.05</f>
        <v>0</v>
      </c>
      <c r="M58" s="18"/>
      <c r="N58" s="39">
        <f>(J58*'Base Data'!$C$5)+(K58*'Base Data'!$C$6)+(L58*'Base Data'!$C$7)</f>
        <v>0</v>
      </c>
      <c r="O58" s="39">
        <f t="shared" ref="O58:O64" si="18">(D58+E58+F58)*G58*I58</f>
        <v>0</v>
      </c>
      <c r="P58" s="19">
        <v>0</v>
      </c>
      <c r="Q58" s="29" t="s">
        <v>388</v>
      </c>
    </row>
    <row r="59" spans="1:19" s="6" customFormat="1" ht="9">
      <c r="A59" s="143" t="s">
        <v>425</v>
      </c>
      <c r="B59" s="44">
        <v>15</v>
      </c>
      <c r="C59" s="44">
        <v>0</v>
      </c>
      <c r="D59" s="52">
        <v>0</v>
      </c>
      <c r="E59" s="52">
        <v>0</v>
      </c>
      <c r="F59" s="52">
        <v>0</v>
      </c>
      <c r="G59" s="44">
        <v>1</v>
      </c>
      <c r="H59" s="44">
        <f t="shared" si="14"/>
        <v>15</v>
      </c>
      <c r="I59" s="91">
        <v>0</v>
      </c>
      <c r="J59" s="19">
        <f t="shared" si="15"/>
        <v>0</v>
      </c>
      <c r="K59" s="19">
        <f t="shared" si="16"/>
        <v>0</v>
      </c>
      <c r="L59" s="19">
        <f t="shared" si="17"/>
        <v>0</v>
      </c>
      <c r="M59" s="18">
        <f>C59*G59*I59</f>
        <v>0</v>
      </c>
      <c r="N59" s="39">
        <f>(J59*'Base Data'!$C$5)+(K59*'Base Data'!$C$6)+(L59*'Base Data'!$C$7)</f>
        <v>0</v>
      </c>
      <c r="O59" s="39">
        <f t="shared" si="18"/>
        <v>0</v>
      </c>
      <c r="P59" s="19">
        <v>0</v>
      </c>
      <c r="Q59" s="29" t="s">
        <v>388</v>
      </c>
    </row>
    <row r="60" spans="1:19" s="6" customFormat="1" ht="9.75" customHeight="1">
      <c r="A60" s="142" t="s">
        <v>426</v>
      </c>
      <c r="B60" s="44">
        <v>2</v>
      </c>
      <c r="C60" s="44"/>
      <c r="D60" s="52">
        <v>0</v>
      </c>
      <c r="E60" s="52">
        <v>0</v>
      </c>
      <c r="F60" s="52">
        <v>0</v>
      </c>
      <c r="G60" s="44">
        <v>1</v>
      </c>
      <c r="H60" s="44">
        <f t="shared" si="14"/>
        <v>2</v>
      </c>
      <c r="I60" s="91">
        <v>0</v>
      </c>
      <c r="J60" s="19">
        <f t="shared" si="15"/>
        <v>0</v>
      </c>
      <c r="K60" s="19">
        <f t="shared" si="16"/>
        <v>0</v>
      </c>
      <c r="L60" s="19">
        <f t="shared" si="17"/>
        <v>0</v>
      </c>
      <c r="M60" s="18"/>
      <c r="N60" s="39">
        <f>(J60*'Base Data'!$C$5)+(K60*'Base Data'!$C$6)+(L60*'Base Data'!$C$7)</f>
        <v>0</v>
      </c>
      <c r="O60" s="39">
        <f t="shared" si="18"/>
        <v>0</v>
      </c>
      <c r="P60" s="19">
        <v>0</v>
      </c>
      <c r="Q60" s="29" t="s">
        <v>388</v>
      </c>
    </row>
    <row r="61" spans="1:19" s="6" customFormat="1" ht="9">
      <c r="A61" s="143" t="s">
        <v>436</v>
      </c>
      <c r="B61" s="44">
        <v>2</v>
      </c>
      <c r="C61" s="44"/>
      <c r="D61" s="52">
        <v>0</v>
      </c>
      <c r="E61" s="52">
        <v>0</v>
      </c>
      <c r="F61" s="52">
        <v>0</v>
      </c>
      <c r="G61" s="44">
        <v>1</v>
      </c>
      <c r="H61" s="44">
        <f t="shared" si="14"/>
        <v>2</v>
      </c>
      <c r="I61" s="91">
        <v>0</v>
      </c>
      <c r="J61" s="19">
        <f t="shared" si="15"/>
        <v>0</v>
      </c>
      <c r="K61" s="19">
        <f t="shared" si="16"/>
        <v>0</v>
      </c>
      <c r="L61" s="19">
        <f t="shared" si="17"/>
        <v>0</v>
      </c>
      <c r="M61" s="18"/>
      <c r="N61" s="39">
        <f>(J61*'Base Data'!$C$5)+(K61*'Base Data'!$C$6)+(L61*'Base Data'!$C$7)</f>
        <v>0</v>
      </c>
      <c r="O61" s="39">
        <f t="shared" si="18"/>
        <v>0</v>
      </c>
      <c r="P61" s="19">
        <v>0</v>
      </c>
      <c r="Q61" s="29" t="s">
        <v>388</v>
      </c>
    </row>
    <row r="62" spans="1:19" s="6" customFormat="1" ht="9">
      <c r="A62" s="143" t="s">
        <v>437</v>
      </c>
      <c r="B62" s="44">
        <v>2</v>
      </c>
      <c r="C62" s="44">
        <v>0</v>
      </c>
      <c r="D62" s="52">
        <v>0</v>
      </c>
      <c r="E62" s="52">
        <v>0</v>
      </c>
      <c r="F62" s="52">
        <v>0</v>
      </c>
      <c r="G62" s="44">
        <v>2</v>
      </c>
      <c r="H62" s="44">
        <f t="shared" si="14"/>
        <v>4</v>
      </c>
      <c r="I62" s="91">
        <v>0</v>
      </c>
      <c r="J62" s="19">
        <f t="shared" si="15"/>
        <v>0</v>
      </c>
      <c r="K62" s="19">
        <f t="shared" si="16"/>
        <v>0</v>
      </c>
      <c r="L62" s="19">
        <f t="shared" si="17"/>
        <v>0</v>
      </c>
      <c r="M62" s="18">
        <f>C62*G62*I62</f>
        <v>0</v>
      </c>
      <c r="N62" s="39">
        <f>(J62*'Base Data'!$C$5)+(K62*'Base Data'!$C$6)+(L62*'Base Data'!$C$7)</f>
        <v>0</v>
      </c>
      <c r="O62" s="39">
        <f t="shared" si="18"/>
        <v>0</v>
      </c>
      <c r="P62" s="19">
        <v>0</v>
      </c>
      <c r="Q62" s="29" t="s">
        <v>388</v>
      </c>
    </row>
    <row r="63" spans="1:19" s="6" customFormat="1" ht="9">
      <c r="A63" s="143" t="s">
        <v>438</v>
      </c>
      <c r="B63" s="44">
        <v>0.5</v>
      </c>
      <c r="C63" s="44"/>
      <c r="D63" s="52">
        <v>0</v>
      </c>
      <c r="E63" s="52">
        <v>0</v>
      </c>
      <c r="F63" s="52">
        <v>0</v>
      </c>
      <c r="G63" s="44">
        <v>12</v>
      </c>
      <c r="H63" s="44">
        <f t="shared" si="14"/>
        <v>6</v>
      </c>
      <c r="I63" s="91">
        <v>0</v>
      </c>
      <c r="J63" s="19">
        <f t="shared" si="15"/>
        <v>0</v>
      </c>
      <c r="K63" s="19">
        <f t="shared" si="16"/>
        <v>0</v>
      </c>
      <c r="L63" s="19">
        <f t="shared" si="17"/>
        <v>0</v>
      </c>
      <c r="M63" s="18"/>
      <c r="N63" s="39">
        <f>(J63*'Base Data'!$C$5)+(K63*'Base Data'!$C$6)+(L63*'Base Data'!$C$7)</f>
        <v>0</v>
      </c>
      <c r="O63" s="39">
        <f t="shared" si="18"/>
        <v>0</v>
      </c>
      <c r="P63" s="19">
        <v>0</v>
      </c>
      <c r="Q63" s="94" t="s">
        <v>388</v>
      </c>
    </row>
    <row r="64" spans="1:19" s="6" customFormat="1" ht="9">
      <c r="A64" s="142" t="s">
        <v>427</v>
      </c>
      <c r="B64" s="44">
        <v>40</v>
      </c>
      <c r="C64" s="44"/>
      <c r="D64" s="52">
        <v>0</v>
      </c>
      <c r="E64" s="52">
        <v>0</v>
      </c>
      <c r="F64" s="52">
        <v>0</v>
      </c>
      <c r="G64" s="44">
        <v>1</v>
      </c>
      <c r="H64" s="44">
        <f t="shared" si="14"/>
        <v>40</v>
      </c>
      <c r="I64" s="91">
        <f>ROUND(SUM('Base Data'!$H$18:$H$20,'Base Data'!$H$23:$H$25)/2,0)</f>
        <v>60</v>
      </c>
      <c r="J64" s="19">
        <f t="shared" si="15"/>
        <v>2400</v>
      </c>
      <c r="K64" s="19">
        <f t="shared" si="16"/>
        <v>240</v>
      </c>
      <c r="L64" s="19">
        <f t="shared" si="17"/>
        <v>120</v>
      </c>
      <c r="M64" s="18"/>
      <c r="N64" s="39">
        <f>(J64*'Base Data'!$C$5)+(K64*'Base Data'!$C$6)+(L64*'Base Data'!$C$7)</f>
        <v>261066</v>
      </c>
      <c r="O64" s="39">
        <f t="shared" si="18"/>
        <v>0</v>
      </c>
      <c r="P64" s="39">
        <v>0</v>
      </c>
      <c r="Q64" s="29" t="s">
        <v>273</v>
      </c>
    </row>
    <row r="65" spans="1:18" s="6" customFormat="1" ht="9">
      <c r="A65" s="146" t="s">
        <v>428</v>
      </c>
      <c r="B65" s="44" t="s">
        <v>433</v>
      </c>
      <c r="C65" s="18"/>
      <c r="D65" s="39"/>
      <c r="E65" s="39"/>
      <c r="F65" s="39"/>
      <c r="G65" s="18"/>
      <c r="H65" s="18"/>
      <c r="I65" s="19"/>
      <c r="J65" s="19"/>
      <c r="K65" s="19"/>
      <c r="L65" s="19"/>
      <c r="M65" s="18"/>
      <c r="N65" s="39"/>
      <c r="O65" s="39"/>
      <c r="P65" s="39"/>
      <c r="Q65" s="29"/>
    </row>
    <row r="66" spans="1:18" s="6" customFormat="1" ht="9">
      <c r="A66" s="61" t="s">
        <v>27</v>
      </c>
      <c r="B66" s="245"/>
      <c r="C66" s="245"/>
      <c r="D66" s="246"/>
      <c r="E66" s="246"/>
      <c r="F66" s="246"/>
      <c r="G66" s="245"/>
      <c r="H66" s="245"/>
      <c r="I66" s="247"/>
      <c r="J66" s="247">
        <f>SUM(J54:J65)</f>
        <v>2400</v>
      </c>
      <c r="K66" s="247">
        <f t="shared" ref="K66:O66" si="19">SUM(K54:K65)</f>
        <v>240</v>
      </c>
      <c r="L66" s="247">
        <f t="shared" si="19"/>
        <v>120</v>
      </c>
      <c r="M66" s="246">
        <f t="shared" si="19"/>
        <v>0</v>
      </c>
      <c r="N66" s="246">
        <f t="shared" si="19"/>
        <v>261066</v>
      </c>
      <c r="O66" s="246">
        <f t="shared" si="19"/>
        <v>0</v>
      </c>
      <c r="P66" s="247">
        <f>SUM(P54:P65)</f>
        <v>0</v>
      </c>
      <c r="Q66" s="248"/>
      <c r="R66" s="39">
        <f>SUM(R54:R65)</f>
        <v>0</v>
      </c>
    </row>
    <row r="67" spans="1:18" s="2" customFormat="1">
      <c r="A67" s="24" t="s">
        <v>400</v>
      </c>
      <c r="B67" s="25"/>
      <c r="C67" s="25"/>
      <c r="D67" s="25"/>
      <c r="E67" s="25"/>
      <c r="F67" s="50"/>
      <c r="G67" s="25"/>
      <c r="H67" s="25"/>
      <c r="I67" s="26"/>
      <c r="J67" s="27">
        <f>J52+J66</f>
        <v>68400</v>
      </c>
      <c r="K67" s="27">
        <f t="shared" ref="K67:P67" si="20">K52+K66</f>
        <v>6840.0000000000009</v>
      </c>
      <c r="L67" s="27">
        <f t="shared" si="20"/>
        <v>3420.0000000000005</v>
      </c>
      <c r="M67" s="40">
        <f t="shared" si="20"/>
        <v>0</v>
      </c>
      <c r="N67" s="40">
        <f t="shared" si="20"/>
        <v>7440380.9999999981</v>
      </c>
      <c r="O67" s="40">
        <f t="shared" si="20"/>
        <v>94373903</v>
      </c>
      <c r="P67" s="27">
        <f t="shared" si="20"/>
        <v>0</v>
      </c>
      <c r="Q67" s="47"/>
    </row>
    <row r="68" spans="1:18" ht="6" customHeight="1">
      <c r="B68" s="54"/>
      <c r="C68" s="54"/>
      <c r="D68" s="54"/>
      <c r="E68" s="54"/>
      <c r="F68" s="54"/>
      <c r="G68" s="54"/>
      <c r="H68" s="54"/>
      <c r="I68" s="55"/>
    </row>
    <row r="69" spans="1:18" s="14" customFormat="1" ht="9">
      <c r="A69" s="14" t="s">
        <v>390</v>
      </c>
      <c r="B69" s="56"/>
      <c r="C69" s="56"/>
      <c r="D69" s="56"/>
      <c r="E69" s="56"/>
      <c r="F69" s="56"/>
      <c r="G69" s="56"/>
      <c r="H69" s="56"/>
      <c r="I69" s="57"/>
      <c r="J69" s="15"/>
      <c r="K69" s="15"/>
      <c r="L69" s="15"/>
      <c r="M69" s="15"/>
      <c r="N69" s="15"/>
      <c r="O69" s="17"/>
      <c r="P69" s="17"/>
      <c r="Q69" s="15"/>
    </row>
    <row r="70" spans="1:18" s="14" customFormat="1" ht="19.5" customHeight="1">
      <c r="A70" s="409" t="s">
        <v>165</v>
      </c>
      <c r="B70" s="409"/>
      <c r="C70" s="409"/>
      <c r="D70" s="409"/>
      <c r="E70" s="409"/>
      <c r="F70" s="409"/>
      <c r="G70" s="409"/>
      <c r="H70" s="409"/>
      <c r="I70" s="409"/>
      <c r="J70" s="409"/>
      <c r="K70" s="409"/>
      <c r="L70" s="409"/>
      <c r="M70" s="409"/>
      <c r="N70" s="409"/>
      <c r="O70" s="409"/>
      <c r="P70" s="62"/>
      <c r="Q70" s="15"/>
    </row>
    <row r="71" spans="1:18" s="14" customFormat="1" ht="26.25" customHeight="1">
      <c r="A71" s="408" t="s">
        <v>2</v>
      </c>
      <c r="B71" s="408"/>
      <c r="C71" s="408"/>
      <c r="D71" s="408"/>
      <c r="E71" s="408"/>
      <c r="F71" s="408"/>
      <c r="G71" s="408"/>
      <c r="H71" s="408"/>
      <c r="I71" s="408"/>
      <c r="J71" s="408"/>
      <c r="K71" s="408"/>
      <c r="L71" s="408"/>
      <c r="M71" s="408"/>
      <c r="N71" s="408"/>
      <c r="O71" s="408"/>
      <c r="P71" s="62"/>
      <c r="Q71" s="15"/>
    </row>
    <row r="72" spans="1:18" s="14" customFormat="1" ht="9" customHeight="1">
      <c r="A72" s="408" t="s">
        <v>95</v>
      </c>
      <c r="B72" s="408"/>
      <c r="C72" s="408"/>
      <c r="D72" s="408"/>
      <c r="E72" s="408"/>
      <c r="F72" s="408"/>
      <c r="G72" s="408"/>
      <c r="H72" s="408"/>
      <c r="I72" s="408"/>
      <c r="J72" s="408"/>
      <c r="K72" s="408"/>
      <c r="L72" s="408"/>
      <c r="M72" s="408"/>
      <c r="N72" s="408"/>
      <c r="O72" s="408"/>
      <c r="P72" s="408"/>
      <c r="Q72" s="408"/>
    </row>
    <row r="73" spans="1:18" s="14" customFormat="1" ht="9" customHeight="1">
      <c r="A73" s="14" t="s">
        <v>552</v>
      </c>
      <c r="B73" s="15"/>
      <c r="C73" s="15"/>
      <c r="D73" s="15"/>
      <c r="E73" s="15"/>
      <c r="F73" s="15"/>
      <c r="G73" s="15"/>
      <c r="H73" s="15"/>
      <c r="I73" s="16"/>
      <c r="J73" s="15"/>
      <c r="K73" s="15"/>
      <c r="L73" s="15"/>
      <c r="M73" s="15"/>
      <c r="N73" s="15"/>
      <c r="O73" s="17"/>
      <c r="P73" s="17"/>
      <c r="Q73" s="15"/>
    </row>
    <row r="74" spans="1:18" s="14" customFormat="1" ht="9" customHeight="1">
      <c r="A74" s="14" t="s">
        <v>441</v>
      </c>
      <c r="B74" s="15"/>
      <c r="C74" s="15"/>
      <c r="D74" s="15"/>
      <c r="E74" s="15"/>
      <c r="F74" s="15"/>
      <c r="G74" s="15"/>
      <c r="H74" s="15"/>
      <c r="I74" s="16"/>
      <c r="J74" s="15"/>
      <c r="K74" s="15"/>
      <c r="L74" s="15"/>
      <c r="M74" s="15"/>
      <c r="N74" s="15"/>
      <c r="O74" s="17"/>
      <c r="P74" s="17"/>
      <c r="Q74" s="15"/>
    </row>
    <row r="75" spans="1:18" s="14" customFormat="1" ht="9">
      <c r="A75" s="14" t="s">
        <v>3</v>
      </c>
      <c r="B75" s="15"/>
      <c r="C75" s="15"/>
      <c r="D75" s="15"/>
      <c r="E75" s="15"/>
      <c r="F75" s="15"/>
      <c r="G75" s="15"/>
      <c r="H75" s="15"/>
      <c r="I75" s="16"/>
      <c r="J75" s="15"/>
      <c r="K75" s="15"/>
      <c r="L75" s="15"/>
      <c r="M75" s="15"/>
      <c r="N75" s="15"/>
      <c r="O75" s="17"/>
      <c r="P75" s="17"/>
      <c r="Q75" s="15"/>
    </row>
    <row r="76" spans="1:18" s="14" customFormat="1" ht="9">
      <c r="A76" s="14" t="s">
        <v>367</v>
      </c>
      <c r="B76" s="15"/>
      <c r="C76" s="15"/>
      <c r="D76" s="15"/>
      <c r="E76" s="15"/>
      <c r="F76" s="15"/>
      <c r="G76" s="15"/>
      <c r="H76" s="15"/>
      <c r="I76" s="16"/>
      <c r="J76" s="15"/>
      <c r="K76" s="15"/>
      <c r="L76" s="15"/>
      <c r="M76" s="15"/>
      <c r="N76" s="15"/>
      <c r="O76" s="17"/>
      <c r="P76" s="17"/>
      <c r="Q76" s="15"/>
    </row>
    <row r="77" spans="1:18" s="14" customFormat="1" ht="19.5" customHeight="1">
      <c r="A77" s="408" t="s">
        <v>549</v>
      </c>
      <c r="B77" s="408"/>
      <c r="C77" s="408"/>
      <c r="D77" s="408"/>
      <c r="E77" s="408"/>
      <c r="F77" s="408"/>
      <c r="G77" s="408"/>
      <c r="H77" s="408"/>
      <c r="I77" s="408"/>
      <c r="J77" s="408"/>
      <c r="K77" s="408"/>
      <c r="L77" s="408"/>
      <c r="M77" s="408"/>
      <c r="N77" s="408"/>
      <c r="O77" s="408"/>
      <c r="P77" s="17"/>
      <c r="Q77" s="15"/>
    </row>
    <row r="78" spans="1:18" s="14" customFormat="1" ht="9">
      <c r="A78" s="14" t="s">
        <v>550</v>
      </c>
      <c r="B78" s="15"/>
      <c r="C78" s="15"/>
      <c r="D78" s="15"/>
      <c r="E78" s="15"/>
      <c r="F78" s="15"/>
      <c r="G78" s="15"/>
      <c r="H78" s="15"/>
      <c r="I78" s="16"/>
      <c r="J78" s="15"/>
      <c r="K78" s="15"/>
      <c r="L78" s="15"/>
      <c r="M78" s="15"/>
      <c r="N78" s="15"/>
      <c r="O78" s="17"/>
      <c r="P78" s="17"/>
      <c r="Q78" s="15"/>
    </row>
    <row r="79" spans="1:18" s="14" customFormat="1" ht="9">
      <c r="A79" s="53"/>
      <c r="B79" s="56"/>
      <c r="C79" s="56"/>
      <c r="D79" s="56"/>
      <c r="E79" s="56"/>
      <c r="F79" s="56"/>
      <c r="G79" s="56"/>
      <c r="H79" s="56"/>
      <c r="I79" s="57"/>
      <c r="J79" s="15"/>
      <c r="K79" s="15"/>
      <c r="L79" s="15"/>
      <c r="M79" s="15"/>
      <c r="N79" s="15"/>
      <c r="O79" s="17"/>
      <c r="P79" s="17"/>
      <c r="Q79" s="15"/>
    </row>
    <row r="80" spans="1:18" s="14" customFormat="1" ht="9">
      <c r="A80" s="408"/>
      <c r="B80" s="408"/>
      <c r="C80" s="408"/>
      <c r="D80" s="408"/>
      <c r="E80" s="408"/>
      <c r="F80" s="408"/>
      <c r="G80" s="408"/>
      <c r="H80" s="408"/>
      <c r="I80" s="408"/>
      <c r="J80" s="408"/>
      <c r="K80" s="408"/>
      <c r="L80" s="408"/>
      <c r="M80" s="408"/>
      <c r="N80" s="408"/>
      <c r="O80" s="408"/>
      <c r="P80" s="377"/>
      <c r="Q80" s="15"/>
    </row>
    <row r="81" spans="1:17" s="14" customFormat="1" ht="9">
      <c r="A81" s="408"/>
      <c r="B81" s="408"/>
      <c r="C81" s="408"/>
      <c r="D81" s="408"/>
      <c r="E81" s="408"/>
      <c r="F81" s="408"/>
      <c r="G81" s="408"/>
      <c r="H81" s="408"/>
      <c r="I81" s="408"/>
      <c r="J81" s="408"/>
      <c r="K81" s="408"/>
      <c r="L81" s="408"/>
      <c r="M81" s="408"/>
      <c r="N81" s="408"/>
      <c r="O81" s="408"/>
      <c r="P81" s="377"/>
      <c r="Q81" s="15"/>
    </row>
    <row r="82" spans="1:17" s="14" customFormat="1" ht="9">
      <c r="A82" s="408"/>
      <c r="B82" s="408"/>
      <c r="C82" s="408"/>
      <c r="D82" s="408"/>
      <c r="E82" s="408"/>
      <c r="F82" s="408"/>
      <c r="G82" s="408"/>
      <c r="H82" s="408"/>
      <c r="I82" s="408"/>
      <c r="J82" s="408"/>
      <c r="K82" s="408"/>
      <c r="L82" s="408"/>
      <c r="M82" s="408"/>
      <c r="N82" s="408"/>
      <c r="O82" s="408"/>
      <c r="P82" s="408"/>
      <c r="Q82" s="408"/>
    </row>
    <row r="83" spans="1:17" s="14" customFormat="1" ht="9">
      <c r="B83" s="15"/>
      <c r="C83" s="15"/>
      <c r="D83" s="15"/>
      <c r="E83" s="15"/>
      <c r="F83" s="15"/>
      <c r="G83" s="15"/>
      <c r="H83" s="15"/>
      <c r="I83" s="16"/>
      <c r="J83" s="15"/>
      <c r="K83" s="15"/>
      <c r="L83" s="15"/>
      <c r="M83" s="15"/>
      <c r="N83" s="15"/>
      <c r="O83" s="17"/>
      <c r="P83" s="17"/>
      <c r="Q83" s="15"/>
    </row>
    <row r="84" spans="1:17" s="14" customFormat="1" ht="9">
      <c r="B84" s="15"/>
      <c r="C84" s="15"/>
      <c r="D84" s="15"/>
      <c r="E84" s="15"/>
      <c r="F84" s="15"/>
      <c r="G84" s="15"/>
      <c r="H84" s="15"/>
      <c r="I84" s="16"/>
      <c r="J84" s="15"/>
      <c r="K84" s="15"/>
      <c r="L84" s="15"/>
      <c r="M84" s="15"/>
      <c r="N84" s="15"/>
      <c r="O84" s="17"/>
      <c r="P84" s="17"/>
      <c r="Q84" s="15"/>
    </row>
    <row r="85" spans="1:17" s="14" customFormat="1" ht="9">
      <c r="B85" s="15"/>
      <c r="C85" s="15"/>
      <c r="D85" s="15"/>
      <c r="E85" s="15"/>
      <c r="F85" s="15"/>
      <c r="G85" s="15"/>
      <c r="H85" s="15"/>
      <c r="I85" s="16"/>
      <c r="J85" s="15"/>
      <c r="K85" s="15"/>
      <c r="L85" s="15"/>
      <c r="M85" s="15"/>
      <c r="N85" s="15"/>
      <c r="O85" s="17"/>
      <c r="P85" s="17"/>
      <c r="Q85" s="15"/>
    </row>
    <row r="86" spans="1:17" s="14" customFormat="1" ht="9">
      <c r="A86" s="406"/>
      <c r="B86" s="406"/>
      <c r="C86" s="406"/>
      <c r="D86" s="406"/>
      <c r="E86" s="406"/>
      <c r="F86" s="406"/>
      <c r="G86" s="406"/>
      <c r="H86" s="406"/>
      <c r="I86" s="406"/>
      <c r="J86" s="406"/>
      <c r="K86" s="406"/>
      <c r="L86" s="406"/>
      <c r="M86" s="406"/>
      <c r="N86" s="406"/>
      <c r="O86" s="17"/>
      <c r="P86" s="17"/>
      <c r="Q86" s="15"/>
    </row>
    <row r="87" spans="1:17" s="14" customFormat="1" ht="9">
      <c r="B87" s="15"/>
      <c r="C87" s="15"/>
      <c r="D87" s="15"/>
      <c r="E87" s="15"/>
      <c r="F87" s="15"/>
      <c r="G87" s="15"/>
      <c r="H87" s="15"/>
      <c r="I87" s="16"/>
      <c r="J87" s="15"/>
      <c r="K87" s="15"/>
      <c r="L87" s="15"/>
      <c r="M87" s="15"/>
      <c r="N87" s="15"/>
      <c r="O87" s="17"/>
      <c r="P87" s="17"/>
      <c r="Q87" s="15"/>
    </row>
    <row r="88" spans="1:17" s="14" customFormat="1" ht="9">
      <c r="B88" s="15"/>
      <c r="C88" s="15"/>
      <c r="D88" s="15"/>
      <c r="E88" s="15"/>
      <c r="F88" s="15"/>
      <c r="G88" s="15"/>
      <c r="H88" s="15"/>
      <c r="I88" s="16"/>
      <c r="J88" s="15"/>
      <c r="K88" s="15"/>
      <c r="L88" s="15"/>
      <c r="M88" s="15"/>
      <c r="N88" s="15"/>
      <c r="O88" s="17"/>
      <c r="P88" s="17"/>
      <c r="Q88" s="15"/>
    </row>
    <row r="89" spans="1:17" s="14" customFormat="1" ht="9">
      <c r="B89" s="15"/>
      <c r="C89" s="15"/>
      <c r="D89" s="15"/>
      <c r="E89" s="15"/>
      <c r="F89" s="15"/>
      <c r="G89" s="15"/>
      <c r="H89" s="15"/>
      <c r="I89" s="16"/>
      <c r="J89" s="15"/>
      <c r="K89" s="15"/>
      <c r="L89" s="15"/>
      <c r="M89" s="15"/>
      <c r="N89" s="15"/>
      <c r="O89" s="17"/>
      <c r="P89" s="17"/>
      <c r="Q89" s="15"/>
    </row>
    <row r="90" spans="1:17" s="14" customFormat="1" ht="9">
      <c r="B90" s="15"/>
      <c r="C90" s="15"/>
      <c r="D90" s="15"/>
      <c r="E90" s="15"/>
      <c r="F90" s="15"/>
      <c r="G90" s="15"/>
      <c r="H90" s="15"/>
      <c r="I90" s="16"/>
      <c r="J90" s="15"/>
      <c r="K90" s="15"/>
      <c r="L90" s="15"/>
      <c r="M90" s="15"/>
      <c r="N90" s="15"/>
      <c r="O90" s="17"/>
      <c r="P90" s="17"/>
      <c r="Q90" s="15"/>
    </row>
    <row r="91" spans="1:17" s="14" customFormat="1" ht="9">
      <c r="B91" s="15"/>
      <c r="C91" s="15"/>
      <c r="D91" s="15"/>
      <c r="E91" s="15"/>
      <c r="F91" s="15"/>
      <c r="G91" s="15"/>
      <c r="H91" s="15"/>
      <c r="I91" s="16"/>
      <c r="J91" s="15"/>
      <c r="K91" s="15"/>
      <c r="L91" s="15"/>
      <c r="M91" s="15"/>
      <c r="N91" s="15"/>
      <c r="O91" s="17"/>
      <c r="P91" s="17"/>
      <c r="Q91" s="15"/>
    </row>
    <row r="92" spans="1:17" s="14" customFormat="1" ht="9">
      <c r="B92" s="15"/>
      <c r="C92" s="15"/>
      <c r="D92" s="15"/>
      <c r="E92" s="15"/>
      <c r="F92" s="15"/>
      <c r="G92" s="15"/>
      <c r="H92" s="15"/>
      <c r="I92" s="16"/>
      <c r="J92" s="15"/>
      <c r="K92" s="15"/>
      <c r="L92" s="15"/>
      <c r="M92" s="15"/>
      <c r="N92" s="15"/>
      <c r="O92" s="17"/>
      <c r="P92" s="17"/>
      <c r="Q92" s="15"/>
    </row>
    <row r="93" spans="1:17" s="14" customFormat="1" ht="9">
      <c r="B93" s="15"/>
      <c r="C93" s="15"/>
      <c r="D93" s="15"/>
      <c r="E93" s="15"/>
      <c r="F93" s="15"/>
      <c r="G93" s="15"/>
      <c r="H93" s="15"/>
      <c r="I93" s="16"/>
      <c r="J93" s="15"/>
      <c r="K93" s="15"/>
      <c r="L93" s="15"/>
      <c r="M93" s="15"/>
      <c r="N93" s="15"/>
      <c r="O93" s="17"/>
      <c r="P93" s="17"/>
      <c r="Q93" s="15"/>
    </row>
    <row r="94" spans="1:17" s="14" customFormat="1" ht="9">
      <c r="B94" s="15"/>
      <c r="C94" s="15"/>
      <c r="D94" s="15"/>
      <c r="E94" s="15"/>
      <c r="F94" s="15"/>
      <c r="G94" s="15"/>
      <c r="H94" s="15"/>
      <c r="I94" s="16"/>
      <c r="J94" s="15"/>
      <c r="K94" s="15"/>
      <c r="L94" s="15"/>
      <c r="M94" s="15"/>
      <c r="N94" s="15"/>
      <c r="O94" s="17"/>
      <c r="P94" s="17"/>
      <c r="Q94" s="15"/>
    </row>
    <row r="95" spans="1:17" s="14" customFormat="1" ht="9">
      <c r="B95" s="15"/>
      <c r="C95" s="15"/>
      <c r="D95" s="15"/>
      <c r="E95" s="15"/>
      <c r="F95" s="15"/>
      <c r="G95" s="15"/>
      <c r="H95" s="15"/>
      <c r="I95" s="16"/>
      <c r="J95" s="15"/>
      <c r="K95" s="15"/>
      <c r="L95" s="15"/>
      <c r="M95" s="15"/>
      <c r="N95" s="15"/>
      <c r="O95" s="17"/>
      <c r="P95" s="17"/>
      <c r="Q95" s="15"/>
    </row>
    <row r="96" spans="1:17" s="14" customFormat="1" ht="9">
      <c r="B96" s="15"/>
      <c r="C96" s="15"/>
      <c r="D96" s="15"/>
      <c r="E96" s="15"/>
      <c r="F96" s="15"/>
      <c r="G96" s="15"/>
      <c r="H96" s="15"/>
      <c r="I96" s="16"/>
      <c r="J96" s="15"/>
      <c r="K96" s="15"/>
      <c r="L96" s="15"/>
      <c r="M96" s="15"/>
      <c r="N96" s="15"/>
      <c r="O96" s="17"/>
      <c r="P96" s="17"/>
      <c r="Q96" s="15"/>
    </row>
    <row r="97" spans="2:17" s="14" customFormat="1" ht="9">
      <c r="B97" s="15"/>
      <c r="C97" s="15"/>
      <c r="D97" s="15"/>
      <c r="E97" s="15"/>
      <c r="F97" s="15"/>
      <c r="G97" s="15"/>
      <c r="H97" s="15"/>
      <c r="I97" s="16"/>
      <c r="J97" s="15"/>
      <c r="K97" s="15"/>
      <c r="L97" s="15"/>
      <c r="M97" s="15"/>
      <c r="N97" s="15"/>
      <c r="O97" s="17"/>
      <c r="P97" s="17"/>
      <c r="Q97" s="15"/>
    </row>
    <row r="98" spans="2:17" s="14" customFormat="1" ht="9">
      <c r="B98" s="15"/>
      <c r="C98" s="15"/>
      <c r="D98" s="15"/>
      <c r="E98" s="15"/>
      <c r="F98" s="15"/>
      <c r="G98" s="15"/>
      <c r="H98" s="15"/>
      <c r="I98" s="16"/>
      <c r="J98" s="15"/>
      <c r="K98" s="15"/>
      <c r="L98" s="15"/>
      <c r="M98" s="15"/>
      <c r="N98" s="15"/>
      <c r="O98" s="17"/>
      <c r="P98" s="17"/>
      <c r="Q98" s="15"/>
    </row>
    <row r="99" spans="2:17" s="14" customFormat="1" ht="9">
      <c r="B99" s="15"/>
      <c r="C99" s="15"/>
      <c r="D99" s="15"/>
      <c r="E99" s="15"/>
      <c r="F99" s="15"/>
      <c r="G99" s="15"/>
      <c r="H99" s="15"/>
      <c r="I99" s="16"/>
      <c r="J99" s="15"/>
      <c r="K99" s="15"/>
      <c r="L99" s="15"/>
      <c r="M99" s="15"/>
      <c r="N99" s="15"/>
      <c r="O99" s="17"/>
      <c r="P99" s="17"/>
      <c r="Q99" s="15"/>
    </row>
    <row r="100" spans="2:17" s="14" customFormat="1" ht="9">
      <c r="B100" s="15"/>
      <c r="C100" s="15"/>
      <c r="D100" s="15"/>
      <c r="E100" s="15"/>
      <c r="F100" s="15"/>
      <c r="G100" s="15"/>
      <c r="H100" s="15"/>
      <c r="I100" s="16"/>
      <c r="J100" s="15"/>
      <c r="K100" s="15"/>
      <c r="L100" s="15"/>
      <c r="M100" s="15"/>
      <c r="N100" s="15"/>
      <c r="O100" s="17"/>
      <c r="P100" s="17"/>
      <c r="Q100" s="15"/>
    </row>
    <row r="101" spans="2:17" s="14" customFormat="1" ht="9">
      <c r="B101" s="15"/>
      <c r="C101" s="15"/>
      <c r="D101" s="15"/>
      <c r="E101" s="15"/>
      <c r="F101" s="15"/>
      <c r="G101" s="15"/>
      <c r="H101" s="15"/>
      <c r="I101" s="16"/>
      <c r="J101" s="15"/>
      <c r="K101" s="15"/>
      <c r="L101" s="15"/>
      <c r="M101" s="15"/>
      <c r="N101" s="15"/>
      <c r="O101" s="17"/>
      <c r="P101" s="17"/>
      <c r="Q101" s="15"/>
    </row>
    <row r="102" spans="2:17" s="14" customFormat="1" ht="9">
      <c r="B102" s="15"/>
      <c r="C102" s="15"/>
      <c r="D102" s="15"/>
      <c r="E102" s="15"/>
      <c r="F102" s="15"/>
      <c r="G102" s="15"/>
      <c r="H102" s="15"/>
      <c r="I102" s="16"/>
      <c r="J102" s="15"/>
      <c r="K102" s="15"/>
      <c r="L102" s="15"/>
      <c r="M102" s="15"/>
      <c r="N102" s="15"/>
      <c r="O102" s="17"/>
      <c r="P102" s="17"/>
      <c r="Q102" s="15"/>
    </row>
    <row r="103" spans="2:17" s="14" customFormat="1" ht="9">
      <c r="B103" s="15"/>
      <c r="C103" s="15"/>
      <c r="D103" s="15"/>
      <c r="E103" s="15"/>
      <c r="F103" s="15"/>
      <c r="G103" s="15"/>
      <c r="H103" s="15"/>
      <c r="I103" s="16"/>
      <c r="J103" s="15"/>
      <c r="K103" s="15"/>
      <c r="L103" s="15"/>
      <c r="M103" s="15"/>
      <c r="N103" s="15"/>
      <c r="O103" s="17"/>
      <c r="P103" s="17"/>
      <c r="Q103" s="15"/>
    </row>
    <row r="104" spans="2:17" s="14" customFormat="1" ht="9">
      <c r="B104" s="15"/>
      <c r="C104" s="15"/>
      <c r="D104" s="15"/>
      <c r="E104" s="15"/>
      <c r="F104" s="15"/>
      <c r="G104" s="15"/>
      <c r="H104" s="15"/>
      <c r="I104" s="16"/>
      <c r="J104" s="15"/>
      <c r="K104" s="15"/>
      <c r="L104" s="15"/>
      <c r="M104" s="15"/>
      <c r="N104" s="15"/>
      <c r="O104" s="17"/>
      <c r="P104" s="17"/>
      <c r="Q104" s="15"/>
    </row>
    <row r="105" spans="2:17" s="14" customFormat="1" ht="9">
      <c r="B105" s="15"/>
      <c r="C105" s="15"/>
      <c r="D105" s="15"/>
      <c r="E105" s="15"/>
      <c r="F105" s="15"/>
      <c r="G105" s="15"/>
      <c r="H105" s="15"/>
      <c r="I105" s="16"/>
      <c r="J105" s="15"/>
      <c r="K105" s="15"/>
      <c r="L105" s="15"/>
      <c r="M105" s="15"/>
      <c r="N105" s="15"/>
      <c r="O105" s="17"/>
      <c r="P105" s="17"/>
      <c r="Q105" s="15"/>
    </row>
    <row r="106" spans="2:17" s="14" customFormat="1" ht="9">
      <c r="B106" s="15"/>
      <c r="C106" s="15"/>
      <c r="D106" s="15"/>
      <c r="E106" s="15"/>
      <c r="F106" s="15"/>
      <c r="G106" s="15"/>
      <c r="H106" s="15"/>
      <c r="I106" s="16"/>
      <c r="J106" s="15"/>
      <c r="K106" s="15"/>
      <c r="L106" s="15"/>
      <c r="M106" s="15"/>
      <c r="N106" s="15"/>
      <c r="O106" s="17"/>
      <c r="P106" s="17"/>
      <c r="Q106" s="15"/>
    </row>
    <row r="107" spans="2:17" s="14" customFormat="1" ht="9">
      <c r="B107" s="15"/>
      <c r="C107" s="15"/>
      <c r="D107" s="15"/>
      <c r="E107" s="15"/>
      <c r="F107" s="15"/>
      <c r="G107" s="15"/>
      <c r="H107" s="15"/>
      <c r="I107" s="16"/>
      <c r="J107" s="15"/>
      <c r="K107" s="15"/>
      <c r="L107" s="15"/>
      <c r="M107" s="15"/>
      <c r="N107" s="15"/>
      <c r="O107" s="17"/>
      <c r="P107" s="17"/>
      <c r="Q107" s="15"/>
    </row>
    <row r="108" spans="2:17" s="14" customFormat="1" ht="9">
      <c r="B108" s="15"/>
      <c r="C108" s="15"/>
      <c r="D108" s="15"/>
      <c r="E108" s="15"/>
      <c r="F108" s="15"/>
      <c r="G108" s="15"/>
      <c r="H108" s="15"/>
      <c r="I108" s="16"/>
      <c r="J108" s="15"/>
      <c r="K108" s="15"/>
      <c r="L108" s="15"/>
      <c r="M108" s="15"/>
      <c r="N108" s="15"/>
      <c r="O108" s="17"/>
      <c r="P108" s="17"/>
      <c r="Q108" s="15"/>
    </row>
    <row r="109" spans="2:17" s="14" customFormat="1" ht="9">
      <c r="B109" s="15"/>
      <c r="C109" s="15"/>
      <c r="D109" s="15"/>
      <c r="E109" s="15"/>
      <c r="F109" s="15"/>
      <c r="G109" s="15"/>
      <c r="H109" s="15"/>
      <c r="I109" s="16"/>
      <c r="J109" s="15"/>
      <c r="K109" s="15"/>
      <c r="L109" s="15"/>
      <c r="M109" s="15"/>
      <c r="N109" s="15"/>
      <c r="O109" s="17"/>
      <c r="P109" s="17"/>
      <c r="Q109" s="15"/>
    </row>
    <row r="110" spans="2:17" s="14" customFormat="1" ht="9">
      <c r="B110" s="15"/>
      <c r="C110" s="15"/>
      <c r="D110" s="15"/>
      <c r="E110" s="15"/>
      <c r="F110" s="15"/>
      <c r="G110" s="15"/>
      <c r="H110" s="15"/>
      <c r="I110" s="16"/>
      <c r="J110" s="15"/>
      <c r="K110" s="15"/>
      <c r="L110" s="15"/>
      <c r="M110" s="15"/>
      <c r="N110" s="15"/>
      <c r="O110" s="17"/>
      <c r="P110" s="17"/>
      <c r="Q110" s="15"/>
    </row>
    <row r="111" spans="2:17" s="14" customFormat="1" ht="9">
      <c r="B111" s="15"/>
      <c r="C111" s="15"/>
      <c r="D111" s="15"/>
      <c r="E111" s="15"/>
      <c r="F111" s="15"/>
      <c r="G111" s="15"/>
      <c r="H111" s="15"/>
      <c r="I111" s="16"/>
      <c r="J111" s="15"/>
      <c r="K111" s="15"/>
      <c r="L111" s="15"/>
      <c r="M111" s="15"/>
      <c r="N111" s="15"/>
      <c r="O111" s="17"/>
      <c r="P111" s="17"/>
      <c r="Q111" s="15"/>
    </row>
    <row r="112" spans="2:17" s="14" customFormat="1" ht="9">
      <c r="B112" s="15"/>
      <c r="C112" s="15"/>
      <c r="D112" s="15"/>
      <c r="E112" s="15"/>
      <c r="F112" s="15"/>
      <c r="G112" s="15"/>
      <c r="H112" s="15"/>
      <c r="I112" s="16"/>
      <c r="J112" s="15"/>
      <c r="K112" s="15"/>
      <c r="L112" s="15"/>
      <c r="M112" s="15"/>
      <c r="N112" s="15"/>
      <c r="O112" s="17"/>
      <c r="P112" s="17"/>
      <c r="Q112" s="15"/>
    </row>
    <row r="113" spans="2:17" s="14" customFormat="1" ht="9">
      <c r="B113" s="15"/>
      <c r="C113" s="15"/>
      <c r="D113" s="15"/>
      <c r="E113" s="15"/>
      <c r="F113" s="15"/>
      <c r="G113" s="15"/>
      <c r="H113" s="15"/>
      <c r="I113" s="16"/>
      <c r="J113" s="15"/>
      <c r="K113" s="15"/>
      <c r="L113" s="15"/>
      <c r="M113" s="15"/>
      <c r="N113" s="15"/>
      <c r="O113" s="17"/>
      <c r="P113" s="17"/>
      <c r="Q113" s="15"/>
    </row>
    <row r="114" spans="2:17" s="14" customFormat="1" ht="9">
      <c r="B114" s="15"/>
      <c r="C114" s="15"/>
      <c r="D114" s="15"/>
      <c r="E114" s="15"/>
      <c r="F114" s="15"/>
      <c r="G114" s="15"/>
      <c r="H114" s="15"/>
      <c r="I114" s="16"/>
      <c r="J114" s="15"/>
      <c r="K114" s="15"/>
      <c r="L114" s="15"/>
      <c r="M114" s="15"/>
      <c r="N114" s="15"/>
      <c r="O114" s="17"/>
      <c r="P114" s="17"/>
      <c r="Q114" s="15"/>
    </row>
    <row r="115" spans="2:17" s="14" customFormat="1" ht="9">
      <c r="B115" s="15"/>
      <c r="C115" s="15"/>
      <c r="D115" s="15"/>
      <c r="E115" s="15"/>
      <c r="F115" s="15"/>
      <c r="G115" s="15"/>
      <c r="H115" s="15"/>
      <c r="I115" s="16"/>
      <c r="J115" s="15"/>
      <c r="K115" s="15"/>
      <c r="L115" s="15"/>
      <c r="M115" s="15"/>
      <c r="N115" s="15"/>
      <c r="O115" s="17"/>
      <c r="P115" s="17"/>
      <c r="Q115" s="15"/>
    </row>
    <row r="116" spans="2:17" s="14" customFormat="1" ht="9">
      <c r="B116" s="15"/>
      <c r="C116" s="15"/>
      <c r="D116" s="15"/>
      <c r="E116" s="15"/>
      <c r="F116" s="15"/>
      <c r="G116" s="15"/>
      <c r="H116" s="15"/>
      <c r="I116" s="16"/>
      <c r="J116" s="15"/>
      <c r="K116" s="15"/>
      <c r="L116" s="15"/>
      <c r="M116" s="15"/>
      <c r="N116" s="15"/>
      <c r="O116" s="17"/>
      <c r="P116" s="17"/>
      <c r="Q116" s="15"/>
    </row>
    <row r="117" spans="2:17" s="14" customFormat="1" ht="9">
      <c r="B117" s="15"/>
      <c r="C117" s="15"/>
      <c r="D117" s="15"/>
      <c r="E117" s="15"/>
      <c r="F117" s="15"/>
      <c r="G117" s="15"/>
      <c r="H117" s="15"/>
      <c r="I117" s="16"/>
      <c r="J117" s="15"/>
      <c r="K117" s="15"/>
      <c r="L117" s="15"/>
      <c r="M117" s="15"/>
      <c r="N117" s="15"/>
      <c r="O117" s="17"/>
      <c r="P117" s="17"/>
      <c r="Q117" s="15"/>
    </row>
    <row r="118" spans="2:17" s="14" customFormat="1" ht="9">
      <c r="B118" s="15"/>
      <c r="C118" s="15"/>
      <c r="D118" s="15"/>
      <c r="E118" s="15"/>
      <c r="F118" s="15"/>
      <c r="G118" s="15"/>
      <c r="H118" s="15"/>
      <c r="I118" s="16"/>
      <c r="J118" s="15"/>
      <c r="K118" s="15"/>
      <c r="L118" s="15"/>
      <c r="M118" s="15"/>
      <c r="N118" s="15"/>
      <c r="O118" s="17"/>
      <c r="P118" s="17"/>
      <c r="Q118" s="15"/>
    </row>
    <row r="119" spans="2:17" s="14" customFormat="1" ht="9">
      <c r="B119" s="15"/>
      <c r="C119" s="15"/>
      <c r="D119" s="15"/>
      <c r="E119" s="15"/>
      <c r="F119" s="15"/>
      <c r="G119" s="15"/>
      <c r="H119" s="15"/>
      <c r="I119" s="16"/>
      <c r="J119" s="15"/>
      <c r="K119" s="15"/>
      <c r="L119" s="15"/>
      <c r="M119" s="15"/>
      <c r="N119" s="15"/>
      <c r="O119" s="17"/>
      <c r="P119" s="17"/>
      <c r="Q119" s="15"/>
    </row>
    <row r="120" spans="2:17" s="14" customFormat="1" ht="9">
      <c r="B120" s="15"/>
      <c r="C120" s="15"/>
      <c r="D120" s="15"/>
      <c r="E120" s="15"/>
      <c r="F120" s="15"/>
      <c r="G120" s="15"/>
      <c r="H120" s="15"/>
      <c r="I120" s="16"/>
      <c r="J120" s="15"/>
      <c r="K120" s="15"/>
      <c r="L120" s="15"/>
      <c r="M120" s="15"/>
      <c r="N120" s="15"/>
      <c r="O120" s="17"/>
      <c r="P120" s="17"/>
      <c r="Q120" s="15"/>
    </row>
    <row r="121" spans="2:17" s="14" customFormat="1" ht="9">
      <c r="B121" s="15"/>
      <c r="C121" s="15"/>
      <c r="D121" s="15"/>
      <c r="E121" s="15"/>
      <c r="F121" s="15"/>
      <c r="G121" s="15"/>
      <c r="H121" s="15"/>
      <c r="I121" s="16"/>
      <c r="J121" s="15"/>
      <c r="K121" s="15"/>
      <c r="L121" s="15"/>
      <c r="M121" s="15"/>
      <c r="N121" s="15"/>
      <c r="O121" s="17"/>
      <c r="P121" s="17"/>
      <c r="Q121" s="15"/>
    </row>
    <row r="122" spans="2:17">
      <c r="P122" s="17"/>
    </row>
    <row r="123" spans="2:17">
      <c r="P123" s="17"/>
    </row>
  </sheetData>
  <mergeCells count="10">
    <mergeCell ref="A1:Q1"/>
    <mergeCell ref="A2:Q2"/>
    <mergeCell ref="A72:Q72"/>
    <mergeCell ref="A70:O70"/>
    <mergeCell ref="A71:O71"/>
    <mergeCell ref="A80:O80"/>
    <mergeCell ref="A81:O81"/>
    <mergeCell ref="A82:Q82"/>
    <mergeCell ref="A86:N86"/>
    <mergeCell ref="A77:O77"/>
  </mergeCells>
  <phoneticPr fontId="7" type="noConversion"/>
  <pageMargins left="0.25" right="0.25" top="0.5" bottom="0.75" header="0.5" footer="0.5"/>
  <pageSetup scale="54"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sheetPr>
    <pageSetUpPr fitToPage="1"/>
  </sheetPr>
  <dimension ref="A1:S121"/>
  <sheetViews>
    <sheetView zoomScale="110" zoomScaleNormal="110" workbookViewId="0">
      <pane xSplit="1" ySplit="3" topLeftCell="B4" activePane="bottomRight" state="frozen"/>
      <selection activeCell="P31" sqref="P31"/>
      <selection pane="topRight" activeCell="P31" sqref="P31"/>
      <selection pane="bottomLeft" activeCell="P31" sqref="P31"/>
      <selection pane="bottomRight" activeCell="I7" sqref="I7"/>
    </sheetView>
  </sheetViews>
  <sheetFormatPr defaultRowHeight="11.25"/>
  <cols>
    <col min="1" max="1" width="36.5703125" style="1" customWidth="1"/>
    <col min="2" max="2" width="8" style="7" customWidth="1"/>
    <col min="3" max="3" width="8" style="7" hidden="1" customWidth="1"/>
    <col min="4" max="4" width="8.42578125" style="7" bestFit="1" customWidth="1"/>
    <col min="5" max="5" width="8.85546875" style="7" bestFit="1" customWidth="1"/>
    <col min="6" max="6" width="7.42578125" style="7" customWidth="1"/>
    <col min="7" max="7" width="9.28515625" style="7" bestFit="1" customWidth="1"/>
    <col min="8" max="8" width="8.140625" style="7" customWidth="1"/>
    <col min="9" max="9" width="9.42578125" style="11" bestFit="1" customWidth="1"/>
    <col min="10" max="11" width="6.85546875" style="7" bestFit="1" customWidth="1"/>
    <col min="12" max="12" width="8.5703125" style="7" customWidth="1"/>
    <col min="13" max="13" width="7.85546875" style="7" hidden="1" customWidth="1"/>
    <col min="14" max="14" width="10.140625" style="7" customWidth="1"/>
    <col min="15" max="15" width="10.28515625" style="8" bestFit="1" customWidth="1"/>
    <col min="16" max="16" width="8.5703125" style="8" bestFit="1" customWidth="1"/>
    <col min="17" max="17" width="4.28515625" style="7" bestFit="1" customWidth="1"/>
    <col min="18" max="19" width="9.140625" style="1" hidden="1" customWidth="1"/>
    <col min="20" max="20" width="4.85546875" style="1" customWidth="1"/>
    <col min="21" max="16384" width="9.140625" style="1"/>
  </cols>
  <sheetData>
    <row r="1" spans="1:19">
      <c r="A1" s="395" t="s">
        <v>179</v>
      </c>
      <c r="B1" s="395"/>
      <c r="C1" s="395"/>
      <c r="D1" s="395"/>
      <c r="E1" s="395"/>
      <c r="F1" s="395"/>
      <c r="G1" s="395"/>
      <c r="H1" s="395"/>
      <c r="I1" s="395"/>
      <c r="J1" s="395"/>
      <c r="K1" s="395"/>
      <c r="L1" s="395"/>
      <c r="M1" s="395"/>
      <c r="N1" s="395"/>
      <c r="O1" s="395"/>
      <c r="P1" s="395"/>
      <c r="Q1" s="395"/>
    </row>
    <row r="2" spans="1:19">
      <c r="A2" s="407" t="s">
        <v>93</v>
      </c>
      <c r="B2" s="407"/>
      <c r="C2" s="407"/>
      <c r="D2" s="407"/>
      <c r="E2" s="407"/>
      <c r="F2" s="407"/>
      <c r="G2" s="407"/>
      <c r="H2" s="407"/>
      <c r="I2" s="407"/>
      <c r="J2" s="407"/>
      <c r="K2" s="407"/>
      <c r="L2" s="407"/>
      <c r="M2" s="407"/>
      <c r="N2" s="407"/>
      <c r="O2" s="407"/>
      <c r="P2" s="407"/>
      <c r="Q2" s="407"/>
    </row>
    <row r="3" spans="1:19" s="3" customFormat="1" ht="63">
      <c r="A3" s="45" t="s">
        <v>392</v>
      </c>
      <c r="B3" s="12" t="s">
        <v>393</v>
      </c>
      <c r="C3" s="12" t="s">
        <v>430</v>
      </c>
      <c r="D3" s="12" t="s">
        <v>4</v>
      </c>
      <c r="E3" s="12" t="s">
        <v>6</v>
      </c>
      <c r="F3" s="12" t="s">
        <v>5</v>
      </c>
      <c r="G3" s="12" t="s">
        <v>176</v>
      </c>
      <c r="H3" s="12" t="s">
        <v>459</v>
      </c>
      <c r="I3" s="60" t="s">
        <v>460</v>
      </c>
      <c r="J3" s="13" t="s">
        <v>462</v>
      </c>
      <c r="K3" s="13" t="s">
        <v>463</v>
      </c>
      <c r="L3" s="13" t="s">
        <v>461</v>
      </c>
      <c r="M3" s="12" t="s">
        <v>391</v>
      </c>
      <c r="N3" s="12" t="s">
        <v>8</v>
      </c>
      <c r="O3" s="13" t="s">
        <v>9</v>
      </c>
      <c r="P3" s="13" t="s">
        <v>175</v>
      </c>
      <c r="Q3" s="28" t="s">
        <v>394</v>
      </c>
      <c r="R3" s="3" t="s">
        <v>307</v>
      </c>
      <c r="S3" s="3" t="s">
        <v>308</v>
      </c>
    </row>
    <row r="4" spans="1:19" s="6" customFormat="1" ht="9">
      <c r="A4" s="21" t="s">
        <v>405</v>
      </c>
      <c r="B4" s="22" t="s">
        <v>433</v>
      </c>
      <c r="C4" s="22"/>
      <c r="D4" s="38"/>
      <c r="E4" s="38"/>
      <c r="F4" s="38"/>
      <c r="G4" s="22"/>
      <c r="H4" s="22"/>
      <c r="I4" s="23"/>
      <c r="J4" s="23"/>
      <c r="K4" s="23"/>
      <c r="L4" s="23"/>
      <c r="M4" s="22"/>
      <c r="N4" s="38"/>
      <c r="O4" s="38"/>
      <c r="P4" s="38"/>
      <c r="Q4" s="237"/>
    </row>
    <row r="5" spans="1:19" s="6" customFormat="1" ht="9">
      <c r="A5" s="20" t="s">
        <v>406</v>
      </c>
      <c r="B5" s="18" t="s">
        <v>433</v>
      </c>
      <c r="C5" s="18"/>
      <c r="D5" s="39"/>
      <c r="E5" s="39"/>
      <c r="F5" s="39"/>
      <c r="G5" s="18"/>
      <c r="H5" s="18"/>
      <c r="I5" s="19"/>
      <c r="J5" s="19"/>
      <c r="K5" s="19"/>
      <c r="L5" s="19"/>
      <c r="M5" s="18"/>
      <c r="N5" s="39"/>
      <c r="O5" s="39"/>
      <c r="P5" s="39"/>
      <c r="Q5" s="29"/>
    </row>
    <row r="6" spans="1:19" s="6" customFormat="1" ht="9">
      <c r="A6" s="142" t="s">
        <v>407</v>
      </c>
      <c r="B6" s="44"/>
      <c r="C6" s="44"/>
      <c r="D6" s="52"/>
      <c r="E6" s="52"/>
      <c r="F6" s="52"/>
      <c r="G6" s="44"/>
      <c r="H6" s="44"/>
      <c r="I6" s="92"/>
      <c r="J6" s="92"/>
      <c r="K6" s="92"/>
      <c r="L6" s="92"/>
      <c r="M6" s="44"/>
      <c r="N6" s="52"/>
      <c r="O6" s="52"/>
      <c r="P6" s="52"/>
      <c r="Q6" s="94"/>
    </row>
    <row r="7" spans="1:19" s="6" customFormat="1" ht="9">
      <c r="A7" s="143" t="s">
        <v>408</v>
      </c>
      <c r="B7" s="44">
        <v>40</v>
      </c>
      <c r="C7" s="44"/>
      <c r="D7" s="52">
        <v>0</v>
      </c>
      <c r="E7" s="52">
        <v>0</v>
      </c>
      <c r="F7" s="52">
        <v>0</v>
      </c>
      <c r="G7" s="44">
        <v>1</v>
      </c>
      <c r="H7" s="44">
        <f>B7*G7</f>
        <v>40</v>
      </c>
      <c r="I7" s="91">
        <v>0</v>
      </c>
      <c r="J7" s="92">
        <f>H7*I7</f>
        <v>0</v>
      </c>
      <c r="K7" s="92">
        <f>J7*0.1</f>
        <v>0</v>
      </c>
      <c r="L7" s="91">
        <f>J7*0.05</f>
        <v>0</v>
      </c>
      <c r="M7" s="44">
        <f>C7*G7*I7</f>
        <v>0</v>
      </c>
      <c r="N7" s="52">
        <f>(J7*'Base Data'!$C$5)+(K7*'Base Data'!$C$6)+(L7*'Base Data'!$C$7)</f>
        <v>0</v>
      </c>
      <c r="O7" s="52">
        <f>(D7+E7+F7)*G7*I7</f>
        <v>0</v>
      </c>
      <c r="P7" s="92">
        <f>G7*I7</f>
        <v>0</v>
      </c>
      <c r="Q7" s="94" t="s">
        <v>387</v>
      </c>
    </row>
    <row r="8" spans="1:19" s="6" customFormat="1" ht="9">
      <c r="A8" s="142" t="s">
        <v>409</v>
      </c>
      <c r="B8" s="44"/>
      <c r="C8" s="44"/>
      <c r="D8" s="52"/>
      <c r="E8" s="52"/>
      <c r="F8" s="52"/>
      <c r="G8" s="44"/>
      <c r="H8" s="44"/>
      <c r="I8" s="92"/>
      <c r="J8" s="92"/>
      <c r="K8" s="92"/>
      <c r="L8" s="92"/>
      <c r="M8" s="44"/>
      <c r="N8" s="52"/>
      <c r="O8" s="52"/>
      <c r="P8" s="52"/>
      <c r="Q8" s="94"/>
    </row>
    <row r="9" spans="1:19" s="6" customFormat="1" ht="9">
      <c r="A9" s="143" t="s">
        <v>423</v>
      </c>
      <c r="B9" s="44"/>
      <c r="C9" s="44"/>
      <c r="D9" s="95"/>
      <c r="E9" s="52"/>
      <c r="F9" s="52"/>
      <c r="G9" s="44"/>
      <c r="H9" s="44"/>
      <c r="I9" s="91"/>
      <c r="J9" s="92"/>
      <c r="K9" s="92"/>
      <c r="L9" s="92"/>
      <c r="M9" s="93"/>
      <c r="N9" s="52"/>
      <c r="O9" s="52"/>
      <c r="P9" s="52"/>
      <c r="Q9" s="94"/>
    </row>
    <row r="10" spans="1:19" s="6" customFormat="1" ht="9">
      <c r="A10" s="142" t="s">
        <v>274</v>
      </c>
      <c r="B10" s="44">
        <v>20</v>
      </c>
      <c r="C10" s="44"/>
      <c r="D10" s="52">
        <v>854</v>
      </c>
      <c r="E10" s="52">
        <v>0</v>
      </c>
      <c r="F10" s="52">
        <v>0</v>
      </c>
      <c r="G10" s="44">
        <v>1</v>
      </c>
      <c r="H10" s="44">
        <f>B10*G10</f>
        <v>20</v>
      </c>
      <c r="I10" s="91">
        <f>ROUND('Testing Costs'!$C$22*(SUM('Base Data'!$H$18:$H$25)/2),0)</f>
        <v>8</v>
      </c>
      <c r="J10" s="92">
        <f>H10*I10</f>
        <v>160</v>
      </c>
      <c r="K10" s="92">
        <f>J10*0.1</f>
        <v>16</v>
      </c>
      <c r="L10" s="92">
        <f>J10*0.05</f>
        <v>8</v>
      </c>
      <c r="M10" s="93">
        <f>C10*G10*I10</f>
        <v>0</v>
      </c>
      <c r="N10" s="52">
        <f>(J10*'Base Data'!$C$5)+(K10*'Base Data'!$C$6)+(L10*'Base Data'!$C$7)</f>
        <v>17404.399999999998</v>
      </c>
      <c r="O10" s="52">
        <f>(D10+E10+F10)*G10*I10</f>
        <v>6832</v>
      </c>
      <c r="P10" s="92">
        <v>0</v>
      </c>
      <c r="Q10" s="94" t="s">
        <v>440</v>
      </c>
    </row>
    <row r="11" spans="1:19" s="6" customFormat="1" ht="9">
      <c r="A11" s="142" t="s">
        <v>276</v>
      </c>
      <c r="B11" s="44">
        <v>20</v>
      </c>
      <c r="C11" s="44"/>
      <c r="D11" s="52">
        <v>18292</v>
      </c>
      <c r="E11" s="52">
        <v>0</v>
      </c>
      <c r="F11" s="52">
        <v>0</v>
      </c>
      <c r="G11" s="44">
        <v>1</v>
      </c>
      <c r="H11" s="44">
        <f>B11*G11</f>
        <v>20</v>
      </c>
      <c r="I11" s="91">
        <f>ROUNDDOWN('Testing Costs'!$C$23*(SUM('Base Data'!$H$18:$H$25)/2),0)</f>
        <v>52</v>
      </c>
      <c r="J11" s="92">
        <f>H11*I11</f>
        <v>1040</v>
      </c>
      <c r="K11" s="92">
        <f>J11*0.1</f>
        <v>104</v>
      </c>
      <c r="L11" s="92">
        <f>J11*0.05</f>
        <v>52</v>
      </c>
      <c r="M11" s="93">
        <f>C11*G11*I11</f>
        <v>0</v>
      </c>
      <c r="N11" s="52">
        <f>(J11*'Base Data'!$C$5)+(K11*'Base Data'!$C$6)+(L11*'Base Data'!$C$7)</f>
        <v>113128.59999999999</v>
      </c>
      <c r="O11" s="52">
        <f>(D11+E11+F11)*G11*I11</f>
        <v>951184</v>
      </c>
      <c r="P11" s="92">
        <v>0</v>
      </c>
      <c r="Q11" s="94" t="s">
        <v>440</v>
      </c>
    </row>
    <row r="12" spans="1:19" s="6" customFormat="1" ht="9">
      <c r="A12" s="143" t="s">
        <v>357</v>
      </c>
      <c r="B12" s="44">
        <v>12</v>
      </c>
      <c r="C12" s="44"/>
      <c r="D12" s="52">
        <v>0</v>
      </c>
      <c r="E12" s="52">
        <f>'Testing Costs'!$B$13</f>
        <v>5000</v>
      </c>
      <c r="F12" s="52">
        <v>0</v>
      </c>
      <c r="G12" s="44">
        <v>1</v>
      </c>
      <c r="H12" s="44">
        <f t="shared" ref="H12:H24" si="0">B12*G12</f>
        <v>12</v>
      </c>
      <c r="I12" s="91">
        <f>ROUNDDOWN(SUM('Base Data'!$D$18:$D$19,'Base Data'!$D$23:$D$24)/2,0)</f>
        <v>336</v>
      </c>
      <c r="J12" s="92">
        <f t="shared" ref="J12:J24" si="1">H12*I12</f>
        <v>4032</v>
      </c>
      <c r="K12" s="92">
        <f t="shared" ref="K12:K24" si="2">J12*0.1</f>
        <v>403.20000000000005</v>
      </c>
      <c r="L12" s="92">
        <f t="shared" ref="L12:L24" si="3">J12*0.05</f>
        <v>201.60000000000002</v>
      </c>
      <c r="M12" s="93"/>
      <c r="N12" s="52">
        <f>(J12*'Base Data'!$C$5)+(K12*'Base Data'!$C$6)+(L12*'Base Data'!$C$7)</f>
        <v>438590.88</v>
      </c>
      <c r="O12" s="52">
        <f t="shared" ref="O12:O24" si="4">(D12+E12+F12)*G12*I12</f>
        <v>1680000</v>
      </c>
      <c r="P12" s="92">
        <v>0</v>
      </c>
      <c r="Q12" s="94" t="s">
        <v>91</v>
      </c>
    </row>
    <row r="13" spans="1:19" s="6" customFormat="1" ht="9">
      <c r="A13" s="143" t="s">
        <v>358</v>
      </c>
      <c r="B13" s="44">
        <v>12</v>
      </c>
      <c r="C13" s="44"/>
      <c r="D13" s="52">
        <v>0</v>
      </c>
      <c r="E13" s="52">
        <f>'Testing Costs'!$B$17</f>
        <v>8000</v>
      </c>
      <c r="F13" s="52">
        <v>0</v>
      </c>
      <c r="G13" s="44">
        <v>1</v>
      </c>
      <c r="H13" s="44">
        <f t="shared" si="0"/>
        <v>12</v>
      </c>
      <c r="I13" s="91">
        <f>ROUNDDOWN(SUM('Base Data'!$D$18:$D$20,'Base Data'!$D$23:$D$25)/2,0)</f>
        <v>498</v>
      </c>
      <c r="J13" s="92">
        <f t="shared" si="1"/>
        <v>5976</v>
      </c>
      <c r="K13" s="92">
        <f t="shared" si="2"/>
        <v>597.6</v>
      </c>
      <c r="L13" s="92">
        <f t="shared" si="3"/>
        <v>298.8</v>
      </c>
      <c r="M13" s="93"/>
      <c r="N13" s="52">
        <f>(J13*'Base Data'!$C$5)+(K13*'Base Data'!$C$6)+(L13*'Base Data'!$C$7)</f>
        <v>650054.34000000008</v>
      </c>
      <c r="O13" s="52">
        <f t="shared" si="4"/>
        <v>3984000</v>
      </c>
      <c r="P13" s="92">
        <v>0</v>
      </c>
      <c r="Q13" s="94" t="s">
        <v>388</v>
      </c>
    </row>
    <row r="14" spans="1:19" s="6" customFormat="1" ht="9">
      <c r="A14" s="143" t="s">
        <v>359</v>
      </c>
      <c r="B14" s="44">
        <v>12</v>
      </c>
      <c r="C14" s="44"/>
      <c r="D14" s="52">
        <v>0</v>
      </c>
      <c r="E14" s="52">
        <f>'Testing Costs'!$B$15</f>
        <v>8000</v>
      </c>
      <c r="F14" s="52">
        <v>0</v>
      </c>
      <c r="G14" s="44">
        <v>1</v>
      </c>
      <c r="H14" s="44">
        <f t="shared" si="0"/>
        <v>12</v>
      </c>
      <c r="I14" s="91">
        <f>ROUNDDOWN(SUM('Base Data'!$D$18:$D$20,'Base Data'!$D$23:$D$25)/2,0)</f>
        <v>498</v>
      </c>
      <c r="J14" s="92">
        <f t="shared" si="1"/>
        <v>5976</v>
      </c>
      <c r="K14" s="92">
        <f t="shared" si="2"/>
        <v>597.6</v>
      </c>
      <c r="L14" s="92">
        <f t="shared" si="3"/>
        <v>298.8</v>
      </c>
      <c r="M14" s="93"/>
      <c r="N14" s="52">
        <f>(J14*'Base Data'!$C$5)+(K14*'Base Data'!$C$6)+(L14*'Base Data'!$C$7)</f>
        <v>650054.34000000008</v>
      </c>
      <c r="O14" s="52">
        <f t="shared" si="4"/>
        <v>3984000</v>
      </c>
      <c r="P14" s="92">
        <v>0</v>
      </c>
      <c r="Q14" s="94" t="s">
        <v>388</v>
      </c>
    </row>
    <row r="15" spans="1:19" s="6" customFormat="1" ht="9">
      <c r="A15" s="143" t="s">
        <v>198</v>
      </c>
      <c r="B15" s="44">
        <v>12</v>
      </c>
      <c r="C15" s="44"/>
      <c r="D15" s="52">
        <v>0</v>
      </c>
      <c r="E15" s="52">
        <f>'Testing Costs'!$B$14</f>
        <v>7000</v>
      </c>
      <c r="F15" s="52">
        <v>0</v>
      </c>
      <c r="G15" s="44">
        <v>1</v>
      </c>
      <c r="H15" s="44">
        <f t="shared" si="0"/>
        <v>12</v>
      </c>
      <c r="I15" s="91">
        <f>ROUNDDOWN(SUM('Base Data'!$D$18:$D$20,'Base Data'!$D$23:$D$25)/2,0)</f>
        <v>498</v>
      </c>
      <c r="J15" s="92">
        <f t="shared" si="1"/>
        <v>5976</v>
      </c>
      <c r="K15" s="92">
        <f t="shared" si="2"/>
        <v>597.6</v>
      </c>
      <c r="L15" s="92">
        <f t="shared" si="3"/>
        <v>298.8</v>
      </c>
      <c r="M15" s="93"/>
      <c r="N15" s="52">
        <f>(J15*'Base Data'!$C$5)+(K15*'Base Data'!$C$6)+(L15*'Base Data'!$C$7)</f>
        <v>650054.34000000008</v>
      </c>
      <c r="O15" s="52">
        <f t="shared" si="4"/>
        <v>3486000</v>
      </c>
      <c r="P15" s="92">
        <v>0</v>
      </c>
      <c r="Q15" s="94" t="s">
        <v>388</v>
      </c>
    </row>
    <row r="16" spans="1:19" s="6" customFormat="1" ht="9">
      <c r="A16" s="143" t="s">
        <v>365</v>
      </c>
      <c r="B16" s="44">
        <v>12</v>
      </c>
      <c r="C16" s="44"/>
      <c r="D16" s="52">
        <v>0</v>
      </c>
      <c r="E16" s="52">
        <f>'Testing Costs'!$B$16</f>
        <v>16000</v>
      </c>
      <c r="F16" s="52">
        <v>0</v>
      </c>
      <c r="G16" s="44">
        <v>1</v>
      </c>
      <c r="H16" s="44">
        <f t="shared" si="0"/>
        <v>12</v>
      </c>
      <c r="I16" s="91">
        <f>ROUNDDOWN(SUM('Base Data'!$D$18:$D$20,'Base Data'!$D$23:$D$25)/2,0)</f>
        <v>498</v>
      </c>
      <c r="J16" s="92">
        <f t="shared" si="1"/>
        <v>5976</v>
      </c>
      <c r="K16" s="92">
        <f t="shared" si="2"/>
        <v>597.6</v>
      </c>
      <c r="L16" s="92">
        <f t="shared" si="3"/>
        <v>298.8</v>
      </c>
      <c r="M16" s="93"/>
      <c r="N16" s="52">
        <f>(J16*'Base Data'!$C$5)+(K16*'Base Data'!$C$6)+(L16*'Base Data'!$C$7)</f>
        <v>650054.34000000008</v>
      </c>
      <c r="O16" s="52">
        <f t="shared" si="4"/>
        <v>7968000</v>
      </c>
      <c r="P16" s="92">
        <v>0</v>
      </c>
      <c r="Q16" s="94" t="s">
        <v>388</v>
      </c>
    </row>
    <row r="17" spans="1:17" s="6" customFormat="1" ht="9" customHeight="1">
      <c r="A17" s="143" t="s">
        <v>264</v>
      </c>
      <c r="B17" s="44">
        <v>12</v>
      </c>
      <c r="C17" s="44"/>
      <c r="D17" s="52">
        <v>0</v>
      </c>
      <c r="E17" s="52">
        <f>'Testing Costs'!$B$13</f>
        <v>5000</v>
      </c>
      <c r="F17" s="52">
        <v>0</v>
      </c>
      <c r="G17" s="44">
        <v>1</v>
      </c>
      <c r="H17" s="44">
        <f t="shared" si="0"/>
        <v>12</v>
      </c>
      <c r="I17" s="91">
        <f>'Fac-ExistLrgSolid-Yr2'!I12</f>
        <v>336</v>
      </c>
      <c r="J17" s="92">
        <f t="shared" si="1"/>
        <v>4032</v>
      </c>
      <c r="K17" s="92">
        <f t="shared" si="2"/>
        <v>403.20000000000005</v>
      </c>
      <c r="L17" s="92">
        <f t="shared" si="3"/>
        <v>201.60000000000002</v>
      </c>
      <c r="M17" s="93"/>
      <c r="N17" s="52">
        <f>(J17*'Base Data'!$C$5)+(K17*'Base Data'!$C$6)+(L17*'Base Data'!$C$7)</f>
        <v>438590.88</v>
      </c>
      <c r="O17" s="52">
        <f t="shared" si="4"/>
        <v>1680000</v>
      </c>
      <c r="P17" s="92">
        <v>0</v>
      </c>
      <c r="Q17" s="94" t="s">
        <v>548</v>
      </c>
    </row>
    <row r="18" spans="1:17" s="6" customFormat="1" ht="9">
      <c r="A18" s="143" t="s">
        <v>265</v>
      </c>
      <c r="B18" s="44">
        <v>12</v>
      </c>
      <c r="C18" s="44"/>
      <c r="D18" s="52">
        <v>0</v>
      </c>
      <c r="E18" s="52">
        <f>'Testing Costs'!$B$17</f>
        <v>8000</v>
      </c>
      <c r="F18" s="52">
        <v>0</v>
      </c>
      <c r="G18" s="44">
        <v>1</v>
      </c>
      <c r="H18" s="44">
        <f t="shared" si="0"/>
        <v>12</v>
      </c>
      <c r="I18" s="91">
        <f>'Fac-ExistLrgSolid-Yr2'!I13</f>
        <v>499</v>
      </c>
      <c r="J18" s="92">
        <f t="shared" si="1"/>
        <v>5988</v>
      </c>
      <c r="K18" s="92">
        <f t="shared" si="2"/>
        <v>598.80000000000007</v>
      </c>
      <c r="L18" s="92">
        <f t="shared" si="3"/>
        <v>299.40000000000003</v>
      </c>
      <c r="M18" s="93"/>
      <c r="N18" s="52">
        <f>(J18*'Base Data'!$C$5)+(K18*'Base Data'!$C$6)+(L18*'Base Data'!$C$7)</f>
        <v>651359.66999999993</v>
      </c>
      <c r="O18" s="52">
        <f t="shared" si="4"/>
        <v>3992000</v>
      </c>
      <c r="P18" s="92">
        <v>0</v>
      </c>
      <c r="Q18" s="94" t="s">
        <v>537</v>
      </c>
    </row>
    <row r="19" spans="1:17" s="6" customFormat="1" ht="9">
      <c r="A19" s="143" t="s">
        <v>266</v>
      </c>
      <c r="B19" s="44">
        <v>12</v>
      </c>
      <c r="C19" s="44"/>
      <c r="D19" s="52">
        <v>0</v>
      </c>
      <c r="E19" s="52">
        <f>'Testing Costs'!$B$15</f>
        <v>8000</v>
      </c>
      <c r="F19" s="52">
        <v>0</v>
      </c>
      <c r="G19" s="44">
        <v>1</v>
      </c>
      <c r="H19" s="44">
        <f t="shared" si="0"/>
        <v>12</v>
      </c>
      <c r="I19" s="91">
        <f>'Fac-ExistLrgSolid-Yr2'!I14</f>
        <v>499</v>
      </c>
      <c r="J19" s="92">
        <f t="shared" si="1"/>
        <v>5988</v>
      </c>
      <c r="K19" s="92">
        <f t="shared" si="2"/>
        <v>598.80000000000007</v>
      </c>
      <c r="L19" s="92">
        <f t="shared" si="3"/>
        <v>299.40000000000003</v>
      </c>
      <c r="M19" s="93"/>
      <c r="N19" s="52">
        <f>(J19*'Base Data'!$C$5)+(K19*'Base Data'!$C$6)+(L19*'Base Data'!$C$7)</f>
        <v>651359.66999999993</v>
      </c>
      <c r="O19" s="52">
        <f t="shared" si="4"/>
        <v>3992000</v>
      </c>
      <c r="P19" s="92">
        <v>0</v>
      </c>
      <c r="Q19" s="94" t="s">
        <v>537</v>
      </c>
    </row>
    <row r="20" spans="1:17" s="6" customFormat="1" ht="9">
      <c r="A20" s="143" t="s">
        <v>199</v>
      </c>
      <c r="B20" s="44">
        <v>12</v>
      </c>
      <c r="C20" s="44"/>
      <c r="D20" s="52">
        <v>0</v>
      </c>
      <c r="E20" s="52">
        <f>'Testing Costs'!$B$14</f>
        <v>7000</v>
      </c>
      <c r="F20" s="52">
        <v>0</v>
      </c>
      <c r="G20" s="44">
        <v>1</v>
      </c>
      <c r="H20" s="44">
        <f t="shared" si="0"/>
        <v>12</v>
      </c>
      <c r="I20" s="91">
        <f>'Fac-ExistLrgSolid-Yr2'!I15</f>
        <v>499</v>
      </c>
      <c r="J20" s="92">
        <f t="shared" si="1"/>
        <v>5988</v>
      </c>
      <c r="K20" s="92">
        <f t="shared" si="2"/>
        <v>598.80000000000007</v>
      </c>
      <c r="L20" s="92">
        <f t="shared" si="3"/>
        <v>299.40000000000003</v>
      </c>
      <c r="M20" s="93"/>
      <c r="N20" s="52">
        <f>(J20*'Base Data'!$C$5)+(K20*'Base Data'!$C$6)+(L20*'Base Data'!$C$7)</f>
        <v>651359.66999999993</v>
      </c>
      <c r="O20" s="52">
        <f t="shared" si="4"/>
        <v>3493000</v>
      </c>
      <c r="P20" s="92">
        <v>0</v>
      </c>
      <c r="Q20" s="94" t="s">
        <v>537</v>
      </c>
    </row>
    <row r="21" spans="1:17" s="6" customFormat="1" ht="9">
      <c r="A21" s="143" t="s">
        <v>267</v>
      </c>
      <c r="B21" s="44">
        <v>12</v>
      </c>
      <c r="C21" s="44"/>
      <c r="D21" s="52">
        <v>0</v>
      </c>
      <c r="E21" s="52">
        <f>'Testing Costs'!$B$16</f>
        <v>16000</v>
      </c>
      <c r="F21" s="52">
        <v>0</v>
      </c>
      <c r="G21" s="44">
        <v>1</v>
      </c>
      <c r="H21" s="44">
        <f t="shared" si="0"/>
        <v>12</v>
      </c>
      <c r="I21" s="91">
        <f>'Fac-ExistLrgSolid-Yr2'!I16</f>
        <v>499</v>
      </c>
      <c r="J21" s="92">
        <f t="shared" si="1"/>
        <v>5988</v>
      </c>
      <c r="K21" s="92">
        <f t="shared" si="2"/>
        <v>598.80000000000007</v>
      </c>
      <c r="L21" s="92">
        <f t="shared" si="3"/>
        <v>299.40000000000003</v>
      </c>
      <c r="M21" s="93"/>
      <c r="N21" s="52">
        <f>(J21*'Base Data'!$C$5)+(K21*'Base Data'!$C$6)+(L21*'Base Data'!$C$7)</f>
        <v>651359.66999999993</v>
      </c>
      <c r="O21" s="52">
        <f t="shared" si="4"/>
        <v>7984000</v>
      </c>
      <c r="P21" s="92">
        <v>0</v>
      </c>
      <c r="Q21" s="94" t="s">
        <v>537</v>
      </c>
    </row>
    <row r="22" spans="1:17" s="6" customFormat="1" ht="18.75" customHeight="1">
      <c r="A22" s="332" t="s">
        <v>481</v>
      </c>
      <c r="B22" s="44">
        <v>24</v>
      </c>
      <c r="C22" s="331"/>
      <c r="D22" s="52">
        <v>0</v>
      </c>
      <c r="E22" s="52">
        <f>$E$13+$E$14</f>
        <v>16000</v>
      </c>
      <c r="F22" s="52">
        <v>0</v>
      </c>
      <c r="G22" s="44">
        <v>1</v>
      </c>
      <c r="H22" s="44">
        <f t="shared" si="0"/>
        <v>24</v>
      </c>
      <c r="I22" s="91">
        <f>ROUNDDOWN('Base Data'!$F$49/2,0)</f>
        <v>498</v>
      </c>
      <c r="J22" s="92">
        <f t="shared" ref="J22" si="5">H22*I22</f>
        <v>11952</v>
      </c>
      <c r="K22" s="92">
        <f t="shared" ref="K22" si="6">J22*0.1</f>
        <v>1195.2</v>
      </c>
      <c r="L22" s="92">
        <f t="shared" ref="L22" si="7">J22*0.05</f>
        <v>597.6</v>
      </c>
      <c r="M22" s="93"/>
      <c r="N22" s="52">
        <f>(J22*'Base Data'!$C$5)+(K22*'Base Data'!$C$6)+(L22*'Base Data'!$C$7)</f>
        <v>1300108.6800000002</v>
      </c>
      <c r="O22" s="52">
        <f t="shared" ref="O22" si="8">(D22+E22+F22)*G22*I22</f>
        <v>7968000</v>
      </c>
      <c r="P22" s="92">
        <v>0</v>
      </c>
      <c r="Q22" s="94" t="s">
        <v>372</v>
      </c>
    </row>
    <row r="23" spans="1:17" s="6" customFormat="1" ht="9" customHeight="1">
      <c r="A23" s="143" t="s">
        <v>483</v>
      </c>
      <c r="B23" s="44">
        <v>5</v>
      </c>
      <c r="C23" s="44"/>
      <c r="D23" s="52">
        <v>0</v>
      </c>
      <c r="E23" s="52">
        <v>400</v>
      </c>
      <c r="F23" s="52">
        <v>0</v>
      </c>
      <c r="G23" s="44">
        <v>1</v>
      </c>
      <c r="H23" s="44">
        <f t="shared" si="0"/>
        <v>5</v>
      </c>
      <c r="I23" s="91">
        <v>0</v>
      </c>
      <c r="J23" s="92">
        <f t="shared" si="1"/>
        <v>0</v>
      </c>
      <c r="K23" s="92">
        <f t="shared" si="2"/>
        <v>0</v>
      </c>
      <c r="L23" s="92">
        <f t="shared" si="3"/>
        <v>0</v>
      </c>
      <c r="M23" s="93"/>
      <c r="N23" s="52">
        <f>(J23*'Base Data'!$C$5)+(K23*'Base Data'!$C$6)+(L23*'Base Data'!$C$7)</f>
        <v>0</v>
      </c>
      <c r="O23" s="52">
        <f t="shared" si="4"/>
        <v>0</v>
      </c>
      <c r="P23" s="92">
        <v>0</v>
      </c>
      <c r="Q23" s="94" t="s">
        <v>90</v>
      </c>
    </row>
    <row r="24" spans="1:17" s="6" customFormat="1" ht="9" customHeight="1">
      <c r="A24" s="143" t="s">
        <v>484</v>
      </c>
      <c r="B24" s="44">
        <v>5</v>
      </c>
      <c r="C24" s="44"/>
      <c r="D24" s="52">
        <v>0</v>
      </c>
      <c r="E24" s="52">
        <v>400</v>
      </c>
      <c r="F24" s="52">
        <v>0</v>
      </c>
      <c r="G24" s="44">
        <v>12</v>
      </c>
      <c r="H24" s="44">
        <f t="shared" si="0"/>
        <v>60</v>
      </c>
      <c r="I24" s="91">
        <v>0</v>
      </c>
      <c r="J24" s="92">
        <f t="shared" si="1"/>
        <v>0</v>
      </c>
      <c r="K24" s="92">
        <f t="shared" si="2"/>
        <v>0</v>
      </c>
      <c r="L24" s="92">
        <f t="shared" si="3"/>
        <v>0</v>
      </c>
      <c r="M24" s="93"/>
      <c r="N24" s="52">
        <f>(J24*'Base Data'!$C$5)+(K24*'Base Data'!$C$6)+(L24*'Base Data'!$C$7)</f>
        <v>0</v>
      </c>
      <c r="O24" s="52">
        <f t="shared" si="4"/>
        <v>0</v>
      </c>
      <c r="P24" s="92">
        <v>0</v>
      </c>
      <c r="Q24" s="94" t="s">
        <v>90</v>
      </c>
    </row>
    <row r="25" spans="1:17" s="6" customFormat="1" ht="9">
      <c r="A25" s="143" t="s">
        <v>485</v>
      </c>
      <c r="B25" s="44"/>
      <c r="C25" s="44"/>
      <c r="D25" s="52"/>
      <c r="E25" s="52"/>
      <c r="F25" s="52"/>
      <c r="G25" s="44"/>
      <c r="H25" s="44"/>
      <c r="I25" s="92"/>
      <c r="J25" s="92"/>
      <c r="K25" s="92"/>
      <c r="L25" s="92"/>
      <c r="M25" s="93"/>
      <c r="N25" s="52"/>
      <c r="O25" s="52"/>
      <c r="P25" s="92"/>
      <c r="Q25" s="94"/>
    </row>
    <row r="26" spans="1:17" s="6" customFormat="1" ht="9">
      <c r="A26" s="143" t="s">
        <v>432</v>
      </c>
      <c r="B26" s="44">
        <v>40</v>
      </c>
      <c r="C26" s="44"/>
      <c r="D26" s="52">
        <v>0</v>
      </c>
      <c r="E26" s="52"/>
      <c r="F26" s="52">
        <v>0</v>
      </c>
      <c r="G26" s="44">
        <v>1</v>
      </c>
      <c r="H26" s="44">
        <f>B26*G26</f>
        <v>40</v>
      </c>
      <c r="I26" s="91">
        <f>ROUNDDOWN(SUM('Base Data'!$H$18:$H$20,'Base Data'!$H$23:$H$25)/2,0)</f>
        <v>59</v>
      </c>
      <c r="J26" s="92">
        <f>H26*I26</f>
        <v>2360</v>
      </c>
      <c r="K26" s="92">
        <f>J26*0.1</f>
        <v>236</v>
      </c>
      <c r="L26" s="92">
        <f>J26*0.05</f>
        <v>118</v>
      </c>
      <c r="M26" s="93"/>
      <c r="N26" s="52">
        <f>(J26*'Base Data'!$C$5)+(K26*'Base Data'!$C$6)+(L26*'Base Data'!$C$7)</f>
        <v>256714.9</v>
      </c>
      <c r="O26" s="52">
        <f>(D26+E26+F26)*G26*I26</f>
        <v>0</v>
      </c>
      <c r="P26" s="92">
        <v>0</v>
      </c>
      <c r="Q26" s="94" t="s">
        <v>388</v>
      </c>
    </row>
    <row r="27" spans="1:17" s="6" customFormat="1" ht="9">
      <c r="A27" s="142" t="s">
        <v>410</v>
      </c>
      <c r="B27" s="44"/>
      <c r="C27" s="44"/>
      <c r="D27" s="52"/>
      <c r="E27" s="52"/>
      <c r="F27" s="52"/>
      <c r="G27" s="44"/>
      <c r="H27" s="44"/>
      <c r="I27" s="92"/>
      <c r="J27" s="92"/>
      <c r="K27" s="92"/>
      <c r="L27" s="92"/>
      <c r="M27" s="93"/>
      <c r="N27" s="52"/>
      <c r="O27" s="52"/>
      <c r="P27" s="92"/>
      <c r="Q27" s="94"/>
    </row>
    <row r="28" spans="1:17" s="6" customFormat="1" ht="9">
      <c r="A28" s="142" t="s">
        <v>411</v>
      </c>
      <c r="B28" s="44">
        <v>10</v>
      </c>
      <c r="C28" s="44"/>
      <c r="D28" s="52">
        <v>0</v>
      </c>
      <c r="E28" s="52">
        <v>0</v>
      </c>
      <c r="F28" s="52">
        <v>43100</v>
      </c>
      <c r="G28" s="44">
        <v>1</v>
      </c>
      <c r="H28" s="44">
        <f>B28*G28</f>
        <v>10</v>
      </c>
      <c r="I28" s="91">
        <f>ROUNDDOWN(Monitors!$C$6/2,0)</f>
        <v>187</v>
      </c>
      <c r="J28" s="92">
        <f>H28*I28</f>
        <v>1870</v>
      </c>
      <c r="K28" s="92">
        <f>J28*0.1</f>
        <v>187</v>
      </c>
      <c r="L28" s="92">
        <f>J28*0.05</f>
        <v>93.5</v>
      </c>
      <c r="M28" s="93"/>
      <c r="N28" s="52">
        <f>(J28*'Base Data'!$C$5)+(K28*'Base Data'!$C$6)+(L28*'Base Data'!$C$7)</f>
        <v>203413.92499999999</v>
      </c>
      <c r="O28" s="52">
        <f>(D28+E28+F28)*G28*I28</f>
        <v>8059700</v>
      </c>
      <c r="P28" s="92">
        <v>0</v>
      </c>
      <c r="Q28" s="94" t="s">
        <v>388</v>
      </c>
    </row>
    <row r="29" spans="1:17" s="6" customFormat="1" ht="9">
      <c r="A29" s="142" t="s">
        <v>414</v>
      </c>
      <c r="B29" s="44">
        <v>10</v>
      </c>
      <c r="C29" s="44"/>
      <c r="D29" s="52">
        <v>0</v>
      </c>
      <c r="E29" s="52">
        <v>0</v>
      </c>
      <c r="F29" s="52">
        <v>14700</v>
      </c>
      <c r="G29" s="44">
        <v>1</v>
      </c>
      <c r="H29" s="44">
        <f>B29*G29</f>
        <v>10</v>
      </c>
      <c r="I29" s="91">
        <f>ROUNDDOWN(Monitors!$C$6/2,0)</f>
        <v>187</v>
      </c>
      <c r="J29" s="92">
        <f>H29*I29</f>
        <v>1870</v>
      </c>
      <c r="K29" s="92">
        <f>J29*0.1</f>
        <v>187</v>
      </c>
      <c r="L29" s="92">
        <f>J29*0.05</f>
        <v>93.5</v>
      </c>
      <c r="M29" s="93"/>
      <c r="N29" s="52">
        <f>(J29*'Base Data'!$C$5)+(K29*'Base Data'!$C$6)+(L29*'Base Data'!$C$7)</f>
        <v>203413.92499999999</v>
      </c>
      <c r="O29" s="52">
        <f>(D29+E29+F29)*G29*I29</f>
        <v>2748900</v>
      </c>
      <c r="P29" s="92">
        <v>0</v>
      </c>
      <c r="Q29" s="94" t="s">
        <v>388</v>
      </c>
    </row>
    <row r="30" spans="1:17" s="6" customFormat="1" ht="9">
      <c r="A30" s="142" t="s">
        <v>356</v>
      </c>
      <c r="B30" s="44"/>
      <c r="C30" s="44"/>
      <c r="D30" s="52"/>
      <c r="E30" s="52"/>
      <c r="F30" s="52"/>
      <c r="G30" s="44"/>
      <c r="H30" s="44"/>
      <c r="I30" s="92"/>
      <c r="J30" s="92"/>
      <c r="K30" s="92"/>
      <c r="L30" s="92"/>
      <c r="M30" s="93"/>
      <c r="N30" s="52"/>
      <c r="O30" s="52"/>
      <c r="P30" s="92"/>
      <c r="Q30" s="94"/>
    </row>
    <row r="31" spans="1:17" s="6" customFormat="1" ht="9">
      <c r="A31" s="142" t="s">
        <v>411</v>
      </c>
      <c r="B31" s="44">
        <v>10</v>
      </c>
      <c r="C31" s="44"/>
      <c r="D31" s="52">
        <v>0</v>
      </c>
      <c r="E31" s="52">
        <v>0</v>
      </c>
      <c r="F31" s="52">
        <v>158000</v>
      </c>
      <c r="G31" s="44">
        <v>1</v>
      </c>
      <c r="H31" s="44">
        <f>B31*G31</f>
        <v>10</v>
      </c>
      <c r="I31" s="91">
        <f>ROUNDDOWN(SUM('Base Data'!$D$20,'Base Data'!$D$25)/2,0)</f>
        <v>162</v>
      </c>
      <c r="J31" s="92">
        <f>H31*I31</f>
        <v>1620</v>
      </c>
      <c r="K31" s="92">
        <f>J31*0.1</f>
        <v>162</v>
      </c>
      <c r="L31" s="92">
        <f>J31*0.05</f>
        <v>81</v>
      </c>
      <c r="M31" s="93"/>
      <c r="N31" s="52">
        <f>(J31*'Base Data'!$C$5)+(K31*'Base Data'!$C$6)+(L31*'Base Data'!$C$7)</f>
        <v>176219.55</v>
      </c>
      <c r="O31" s="52">
        <f>(D31+E31+F31)*G31*I31</f>
        <v>25596000</v>
      </c>
      <c r="P31" s="92">
        <v>0</v>
      </c>
      <c r="Q31" s="94" t="s">
        <v>92</v>
      </c>
    </row>
    <row r="32" spans="1:17" s="6" customFormat="1" ht="9">
      <c r="A32" s="142" t="s">
        <v>414</v>
      </c>
      <c r="B32" s="44">
        <v>10</v>
      </c>
      <c r="C32" s="44"/>
      <c r="D32" s="52">
        <v>0</v>
      </c>
      <c r="E32" s="52">
        <v>0</v>
      </c>
      <c r="F32" s="52">
        <v>56100</v>
      </c>
      <c r="G32" s="44">
        <v>1</v>
      </c>
      <c r="H32" s="44">
        <f>B32*G32</f>
        <v>10</v>
      </c>
      <c r="I32" s="91">
        <f>ROUNDDOWN(SUM('Base Data'!$D$20,'Base Data'!$D$25)/2,0)</f>
        <v>162</v>
      </c>
      <c r="J32" s="92">
        <f>H32*I32</f>
        <v>1620</v>
      </c>
      <c r="K32" s="92">
        <f>J32*0.1</f>
        <v>162</v>
      </c>
      <c r="L32" s="92">
        <f>J32*0.05</f>
        <v>81</v>
      </c>
      <c r="M32" s="93"/>
      <c r="N32" s="52">
        <f>(J32*'Base Data'!$C$5)+(K32*'Base Data'!$C$6)+(L32*'Base Data'!$C$7)</f>
        <v>176219.55</v>
      </c>
      <c r="O32" s="52">
        <f>(D32+E32+F32)*G32*I32</f>
        <v>9088200</v>
      </c>
      <c r="P32" s="92">
        <v>0</v>
      </c>
      <c r="Q32" s="94" t="s">
        <v>388</v>
      </c>
    </row>
    <row r="33" spans="1:17" s="6" customFormat="1" ht="9">
      <c r="A33" s="142" t="s">
        <v>522</v>
      </c>
      <c r="B33" s="44"/>
      <c r="C33" s="44"/>
      <c r="D33" s="52"/>
      <c r="E33" s="52"/>
      <c r="F33" s="52"/>
      <c r="G33" s="44"/>
      <c r="H33" s="44"/>
      <c r="I33" s="91"/>
      <c r="J33" s="92"/>
      <c r="K33" s="92"/>
      <c r="L33" s="92"/>
      <c r="M33" s="93"/>
      <c r="N33" s="52"/>
      <c r="O33" s="52"/>
      <c r="P33" s="92"/>
      <c r="Q33" s="94"/>
    </row>
    <row r="34" spans="1:17" s="6" customFormat="1" ht="9">
      <c r="A34" s="142" t="s">
        <v>411</v>
      </c>
      <c r="B34" s="44">
        <v>10</v>
      </c>
      <c r="C34" s="44"/>
      <c r="D34" s="52">
        <v>0</v>
      </c>
      <c r="E34" s="52">
        <v>0</v>
      </c>
      <c r="F34" s="52">
        <f>Monitors!$F$32</f>
        <v>8523</v>
      </c>
      <c r="G34" s="44">
        <v>1</v>
      </c>
      <c r="H34" s="44">
        <f t="shared" ref="H34:H35" si="9">B34*G34</f>
        <v>10</v>
      </c>
      <c r="I34" s="91">
        <f>ROUNDDOWN(Monitors!$F$6/2,0)</f>
        <v>498</v>
      </c>
      <c r="J34" s="92">
        <f t="shared" ref="J34:J35" si="10">H34*I34</f>
        <v>4980</v>
      </c>
      <c r="K34" s="92">
        <f t="shared" ref="K34:K35" si="11">J34*0.1</f>
        <v>498</v>
      </c>
      <c r="L34" s="92">
        <f t="shared" ref="L34:L35" si="12">J34*0.05</f>
        <v>249</v>
      </c>
      <c r="M34" s="93"/>
      <c r="N34" s="52">
        <f>(J34*'Base Data'!$C$5)+(K34*'Base Data'!$C$6)+(L34*'Base Data'!$C$7)</f>
        <v>541711.94999999995</v>
      </c>
      <c r="O34" s="52">
        <f>(D34+E34+F34)*G34*I34</f>
        <v>4244454</v>
      </c>
      <c r="P34" s="92">
        <v>0</v>
      </c>
      <c r="Q34" s="94" t="s">
        <v>388</v>
      </c>
    </row>
    <row r="35" spans="1:17" s="6" customFormat="1" ht="9">
      <c r="A35" s="142" t="s">
        <v>414</v>
      </c>
      <c r="B35" s="44">
        <v>10</v>
      </c>
      <c r="C35" s="44"/>
      <c r="D35" s="52">
        <v>0</v>
      </c>
      <c r="E35" s="52">
        <v>0</v>
      </c>
      <c r="F35" s="52">
        <f>Monitors!$G$32</f>
        <v>1436</v>
      </c>
      <c r="G35" s="44">
        <v>1</v>
      </c>
      <c r="H35" s="44">
        <f t="shared" si="9"/>
        <v>10</v>
      </c>
      <c r="I35" s="91">
        <f>ROUNDDOWN(Monitors!$F$6/2,0)</f>
        <v>498</v>
      </c>
      <c r="J35" s="92">
        <f t="shared" si="10"/>
        <v>4980</v>
      </c>
      <c r="K35" s="92">
        <f t="shared" si="11"/>
        <v>498</v>
      </c>
      <c r="L35" s="92">
        <f t="shared" si="12"/>
        <v>249</v>
      </c>
      <c r="M35" s="93"/>
      <c r="N35" s="52">
        <f>(J35*'Base Data'!$C$5)+(K35*'Base Data'!$C$6)+(L35*'Base Data'!$C$7)</f>
        <v>541711.94999999995</v>
      </c>
      <c r="O35" s="52">
        <f>(D35+E35+F35)*G35*I35</f>
        <v>715128</v>
      </c>
      <c r="P35" s="92">
        <v>0</v>
      </c>
      <c r="Q35" s="94" t="s">
        <v>388</v>
      </c>
    </row>
    <row r="36" spans="1:17" s="6" customFormat="1" ht="18">
      <c r="A36" s="143" t="s">
        <v>173</v>
      </c>
      <c r="B36" s="44"/>
      <c r="C36" s="44"/>
      <c r="D36" s="52"/>
      <c r="E36" s="52"/>
      <c r="F36" s="95"/>
      <c r="G36" s="44"/>
      <c r="H36" s="44"/>
      <c r="I36" s="91"/>
      <c r="J36" s="92"/>
      <c r="K36" s="92"/>
      <c r="L36" s="92"/>
      <c r="M36" s="93"/>
      <c r="N36" s="52"/>
      <c r="O36" s="52"/>
      <c r="P36" s="92"/>
      <c r="Q36" s="94"/>
    </row>
    <row r="37" spans="1:17" s="6" customFormat="1" ht="9">
      <c r="A37" s="142" t="s">
        <v>411</v>
      </c>
      <c r="B37" s="44">
        <v>10</v>
      </c>
      <c r="C37" s="44"/>
      <c r="D37" s="52">
        <v>0</v>
      </c>
      <c r="E37" s="52">
        <v>0</v>
      </c>
      <c r="F37" s="52">
        <v>24300</v>
      </c>
      <c r="G37" s="44">
        <v>1</v>
      </c>
      <c r="H37" s="44">
        <f>B37*G37</f>
        <v>10</v>
      </c>
      <c r="I37" s="91">
        <f>ROUNDDOWN(Monitors!$D$6/2,0)</f>
        <v>166</v>
      </c>
      <c r="J37" s="92">
        <f>H37*I37</f>
        <v>1660</v>
      </c>
      <c r="K37" s="92">
        <f>J37*0.1</f>
        <v>166</v>
      </c>
      <c r="L37" s="92">
        <f>J37*0.05</f>
        <v>83</v>
      </c>
      <c r="M37" s="93"/>
      <c r="N37" s="52">
        <f>(J37*'Base Data'!$C$5)+(K37*'Base Data'!$C$6)+(L37*'Base Data'!$C$7)</f>
        <v>180570.65000000002</v>
      </c>
      <c r="O37" s="52">
        <f>(D37+E37+F37)*G37*I37</f>
        <v>4033800</v>
      </c>
      <c r="P37" s="92">
        <v>0</v>
      </c>
      <c r="Q37" s="94" t="s">
        <v>388</v>
      </c>
    </row>
    <row r="38" spans="1:17" s="6" customFormat="1" ht="9">
      <c r="A38" s="142" t="s">
        <v>414</v>
      </c>
      <c r="B38" s="44">
        <v>10</v>
      </c>
      <c r="C38" s="44"/>
      <c r="D38" s="52">
        <v>0</v>
      </c>
      <c r="E38" s="52">
        <v>0</v>
      </c>
      <c r="F38" s="52">
        <v>5600</v>
      </c>
      <c r="G38" s="44">
        <v>1</v>
      </c>
      <c r="H38" s="44">
        <f>B38*G38</f>
        <v>10</v>
      </c>
      <c r="I38" s="91">
        <f>ROUNDDOWN(Monitors!$D$6/2,0)</f>
        <v>166</v>
      </c>
      <c r="J38" s="92">
        <f>H38*I38</f>
        <v>1660</v>
      </c>
      <c r="K38" s="92">
        <f>J38*0.1</f>
        <v>166</v>
      </c>
      <c r="L38" s="92">
        <f>J38*0.05</f>
        <v>83</v>
      </c>
      <c r="M38" s="93"/>
      <c r="N38" s="52">
        <f>(J38*'Base Data'!$C$5)+(K38*'Base Data'!$C$6)+(L38*'Base Data'!$C$7)</f>
        <v>180570.65000000002</v>
      </c>
      <c r="O38" s="52">
        <f>(D38+E38+F38)*G38*I38</f>
        <v>929600</v>
      </c>
      <c r="P38" s="92">
        <v>0</v>
      </c>
      <c r="Q38" s="94" t="s">
        <v>388</v>
      </c>
    </row>
    <row r="39" spans="1:17" s="6" customFormat="1" ht="18.75" customHeight="1">
      <c r="A39" s="143" t="s">
        <v>475</v>
      </c>
      <c r="B39" s="44"/>
      <c r="C39" s="44"/>
      <c r="D39" s="52"/>
      <c r="E39" s="52"/>
      <c r="F39" s="52"/>
      <c r="G39" s="44"/>
      <c r="H39" s="44"/>
      <c r="I39" s="91"/>
      <c r="J39" s="92"/>
      <c r="K39" s="92"/>
      <c r="L39" s="92"/>
      <c r="M39" s="93"/>
      <c r="N39" s="52"/>
      <c r="O39" s="238"/>
      <c r="P39" s="92"/>
      <c r="Q39" s="94"/>
    </row>
    <row r="40" spans="1:17" s="6" customFormat="1" ht="9">
      <c r="A40" s="142" t="s">
        <v>411</v>
      </c>
      <c r="B40" s="44">
        <v>10</v>
      </c>
      <c r="C40" s="44"/>
      <c r="D40" s="52">
        <v>0</v>
      </c>
      <c r="E40" s="52">
        <v>0</v>
      </c>
      <c r="F40" s="52">
        <f>25500</f>
        <v>25500</v>
      </c>
      <c r="G40" s="44">
        <v>1</v>
      </c>
      <c r="H40" s="44">
        <f>B40*G40</f>
        <v>10</v>
      </c>
      <c r="I40" s="91">
        <f>ROUNDDOWN(Monitors!$B$6/2,0)</f>
        <v>52</v>
      </c>
      <c r="J40" s="92">
        <f>H40*I40</f>
        <v>520</v>
      </c>
      <c r="K40" s="92">
        <f>J40*0.1</f>
        <v>52</v>
      </c>
      <c r="L40" s="92">
        <f>J40*0.05</f>
        <v>26</v>
      </c>
      <c r="M40" s="93"/>
      <c r="N40" s="52">
        <f>(J40*'Base Data'!$C$5)+(K40*'Base Data'!$C$6)+(L40*'Base Data'!$C$7)</f>
        <v>56564.299999999996</v>
      </c>
      <c r="O40" s="52">
        <f>(D40+E40+F40)*G40*I40</f>
        <v>1326000</v>
      </c>
      <c r="P40" s="92">
        <v>0</v>
      </c>
      <c r="Q40" s="94" t="s">
        <v>388</v>
      </c>
    </row>
    <row r="41" spans="1:17" s="6" customFormat="1" ht="9">
      <c r="A41" s="142" t="s">
        <v>414</v>
      </c>
      <c r="B41" s="44">
        <v>10</v>
      </c>
      <c r="C41" s="44"/>
      <c r="D41" s="52">
        <v>0</v>
      </c>
      <c r="E41" s="52">
        <v>0</v>
      </c>
      <c r="F41" s="52">
        <v>9700</v>
      </c>
      <c r="G41" s="44">
        <v>1</v>
      </c>
      <c r="H41" s="44">
        <f>B41*G41</f>
        <v>10</v>
      </c>
      <c r="I41" s="91">
        <f>ROUNDDOWN(Monitors!$B$6/2,0)</f>
        <v>52</v>
      </c>
      <c r="J41" s="92">
        <f>H41*I41</f>
        <v>520</v>
      </c>
      <c r="K41" s="92">
        <f>J41*0.1</f>
        <v>52</v>
      </c>
      <c r="L41" s="92">
        <f>J41*0.05</f>
        <v>26</v>
      </c>
      <c r="M41" s="93"/>
      <c r="N41" s="52">
        <f>(J41*'Base Data'!$C$5)+(K41*'Base Data'!$C$6)+(L41*'Base Data'!$C$7)</f>
        <v>56564.299999999996</v>
      </c>
      <c r="O41" s="52">
        <f>(D41+E41+F41)*G41*I41</f>
        <v>504400</v>
      </c>
      <c r="P41" s="92">
        <v>0</v>
      </c>
      <c r="Q41" s="94" t="s">
        <v>388</v>
      </c>
    </row>
    <row r="42" spans="1:17" s="6" customFormat="1" ht="18.75" customHeight="1">
      <c r="A42" s="143" t="s">
        <v>174</v>
      </c>
      <c r="B42" s="44"/>
      <c r="C42" s="44"/>
      <c r="D42" s="52"/>
      <c r="E42" s="52"/>
      <c r="F42" s="52"/>
      <c r="G42" s="44"/>
      <c r="H42" s="44"/>
      <c r="I42" s="91"/>
      <c r="J42" s="92"/>
      <c r="K42" s="92"/>
      <c r="L42" s="92"/>
      <c r="M42" s="93"/>
      <c r="N42" s="52"/>
      <c r="O42" s="52"/>
      <c r="P42" s="92"/>
      <c r="Q42" s="94"/>
    </row>
    <row r="43" spans="1:17" s="6" customFormat="1" ht="9">
      <c r="A43" s="142" t="s">
        <v>411</v>
      </c>
      <c r="B43" s="44">
        <v>10</v>
      </c>
      <c r="C43" s="44"/>
      <c r="D43" s="52">
        <v>0</v>
      </c>
      <c r="E43" s="52">
        <v>0</v>
      </c>
      <c r="F43" s="52">
        <v>115000</v>
      </c>
      <c r="G43" s="44">
        <v>1</v>
      </c>
      <c r="H43" s="44">
        <f>B43*G43</f>
        <v>10</v>
      </c>
      <c r="I43" s="91">
        <f>ROUNDDOWN(Monitors!$E$6/2,0)</f>
        <v>54</v>
      </c>
      <c r="J43" s="92">
        <f>H43*I43</f>
        <v>540</v>
      </c>
      <c r="K43" s="92">
        <f>J43*0.1</f>
        <v>54</v>
      </c>
      <c r="L43" s="92">
        <f>J43*0.05</f>
        <v>27</v>
      </c>
      <c r="M43" s="93"/>
      <c r="N43" s="52">
        <f>(J43*'Base Data'!$C$5)+(K43*'Base Data'!$C$6)+(L43*'Base Data'!$C$7)</f>
        <v>58739.850000000006</v>
      </c>
      <c r="O43" s="52">
        <f>(D43+E43+F43)*G43*I43</f>
        <v>6210000</v>
      </c>
      <c r="P43" s="92">
        <v>0</v>
      </c>
      <c r="Q43" s="94" t="s">
        <v>388</v>
      </c>
    </row>
    <row r="44" spans="1:17" s="6" customFormat="1" ht="9">
      <c r="A44" s="142" t="s">
        <v>414</v>
      </c>
      <c r="B44" s="44">
        <v>10</v>
      </c>
      <c r="C44" s="44"/>
      <c r="D44" s="52">
        <v>0</v>
      </c>
      <c r="E44" s="52">
        <v>0</v>
      </c>
      <c r="F44" s="52">
        <v>9700</v>
      </c>
      <c r="G44" s="44">
        <v>1</v>
      </c>
      <c r="H44" s="44">
        <f>B44*G44</f>
        <v>10</v>
      </c>
      <c r="I44" s="91">
        <f>ROUNDDOWN(Monitors!$E$6/2,0)</f>
        <v>54</v>
      </c>
      <c r="J44" s="92">
        <f>H44*I44</f>
        <v>540</v>
      </c>
      <c r="K44" s="92">
        <f>J44*0.1</f>
        <v>54</v>
      </c>
      <c r="L44" s="92">
        <f>J44*0.05</f>
        <v>27</v>
      </c>
      <c r="M44" s="93"/>
      <c r="N44" s="52">
        <f>(J44*'Base Data'!$C$5)+(K44*'Base Data'!$C$6)+(L44*'Base Data'!$C$7)</f>
        <v>58739.850000000006</v>
      </c>
      <c r="O44" s="52">
        <f>(D44+E44+F44)*G44*I44</f>
        <v>523800</v>
      </c>
      <c r="P44" s="92">
        <v>0</v>
      </c>
      <c r="Q44" s="94" t="s">
        <v>388</v>
      </c>
    </row>
    <row r="45" spans="1:17" s="6" customFormat="1" ht="9">
      <c r="A45" s="142" t="s">
        <v>415</v>
      </c>
      <c r="B45" s="44" t="s">
        <v>433</v>
      </c>
      <c r="C45" s="44"/>
      <c r="D45" s="52"/>
      <c r="E45" s="52"/>
      <c r="F45" s="52"/>
      <c r="G45" s="44"/>
      <c r="H45" s="44"/>
      <c r="I45" s="92"/>
      <c r="J45" s="92"/>
      <c r="K45" s="92"/>
      <c r="L45" s="92"/>
      <c r="M45" s="44"/>
      <c r="N45" s="52"/>
      <c r="O45" s="52"/>
      <c r="P45" s="52"/>
      <c r="Q45" s="94"/>
    </row>
    <row r="46" spans="1:17" s="6" customFormat="1" ht="9">
      <c r="A46" s="142" t="s">
        <v>416</v>
      </c>
      <c r="B46" s="44" t="s">
        <v>433</v>
      </c>
      <c r="C46" s="44"/>
      <c r="D46" s="52"/>
      <c r="E46" s="52"/>
      <c r="F46" s="52"/>
      <c r="G46" s="44"/>
      <c r="H46" s="44"/>
      <c r="I46" s="92"/>
      <c r="J46" s="92"/>
      <c r="K46" s="92"/>
      <c r="L46" s="92"/>
      <c r="M46" s="44"/>
      <c r="N46" s="52"/>
      <c r="O46" s="52"/>
      <c r="P46" s="52"/>
      <c r="Q46" s="94"/>
    </row>
    <row r="47" spans="1:17" s="6" customFormat="1" ht="9">
      <c r="A47" s="142" t="s">
        <v>417</v>
      </c>
      <c r="B47" s="44"/>
      <c r="C47" s="44"/>
      <c r="D47" s="52"/>
      <c r="E47" s="52"/>
      <c r="F47" s="52"/>
      <c r="G47" s="44"/>
      <c r="H47" s="44"/>
      <c r="I47" s="92"/>
      <c r="J47" s="92"/>
      <c r="K47" s="92"/>
      <c r="L47" s="92"/>
      <c r="M47" s="44"/>
      <c r="N47" s="52"/>
      <c r="O47" s="52"/>
      <c r="P47" s="52"/>
      <c r="Q47" s="94"/>
    </row>
    <row r="48" spans="1:17" s="6" customFormat="1" ht="9">
      <c r="A48" s="177" t="s">
        <v>435</v>
      </c>
      <c r="B48" s="44">
        <v>2</v>
      </c>
      <c r="C48" s="44"/>
      <c r="D48" s="52">
        <v>0</v>
      </c>
      <c r="E48" s="52">
        <v>0</v>
      </c>
      <c r="F48" s="52">
        <v>0</v>
      </c>
      <c r="G48" s="44">
        <v>1</v>
      </c>
      <c r="H48" s="44">
        <f>B48*G48</f>
        <v>2</v>
      </c>
      <c r="I48" s="91">
        <v>0</v>
      </c>
      <c r="J48" s="92">
        <f>H48*I48</f>
        <v>0</v>
      </c>
      <c r="K48" s="92">
        <f>J48*0.1</f>
        <v>0</v>
      </c>
      <c r="L48" s="92">
        <f>J48*0.05</f>
        <v>0</v>
      </c>
      <c r="M48" s="44">
        <f>C48*G48*I48</f>
        <v>0</v>
      </c>
      <c r="N48" s="52">
        <f>(J48*'Base Data'!$C$5)+(K48*'Base Data'!$C$6)+(L48*'Base Data'!$C$7)</f>
        <v>0</v>
      </c>
      <c r="O48" s="52">
        <f>(D48+E48+F48)*G48*I48</f>
        <v>0</v>
      </c>
      <c r="P48" s="92">
        <f>G48*I48</f>
        <v>0</v>
      </c>
      <c r="Q48" s="94" t="s">
        <v>387</v>
      </c>
    </row>
    <row r="49" spans="1:19" s="6" customFormat="1" ht="9" customHeight="1">
      <c r="A49" s="177" t="s">
        <v>377</v>
      </c>
      <c r="B49" s="44">
        <v>8</v>
      </c>
      <c r="C49" s="44"/>
      <c r="D49" s="52">
        <v>0</v>
      </c>
      <c r="E49" s="52">
        <v>0</v>
      </c>
      <c r="F49" s="52">
        <v>0</v>
      </c>
      <c r="G49" s="44">
        <v>1</v>
      </c>
      <c r="H49" s="44">
        <f>B49*G49</f>
        <v>8</v>
      </c>
      <c r="I49" s="91">
        <f>ROUND(SUM('Base Data'!$H$18:$H$20,'Base Data'!$H$23:$H$25),0)</f>
        <v>119</v>
      </c>
      <c r="J49" s="92">
        <f>H49*I49</f>
        <v>952</v>
      </c>
      <c r="K49" s="92">
        <f>J49*0.1</f>
        <v>95.2</v>
      </c>
      <c r="L49" s="92">
        <f>J49*0.05</f>
        <v>47.6</v>
      </c>
      <c r="M49" s="44">
        <f>C49*G49*I49</f>
        <v>0</v>
      </c>
      <c r="N49" s="52">
        <f>(J49*'Base Data'!$C$5)+(K49*'Base Data'!$C$6)+(L49*'Base Data'!$C$7)</f>
        <v>103556.18000000001</v>
      </c>
      <c r="O49" s="52">
        <f>(D49+E49+F49)*G49*I49</f>
        <v>0</v>
      </c>
      <c r="P49" s="92">
        <f>G49*I49</f>
        <v>119</v>
      </c>
      <c r="Q49" s="94" t="s">
        <v>388</v>
      </c>
    </row>
    <row r="50" spans="1:19" s="6" customFormat="1" ht="9">
      <c r="A50" s="177" t="s">
        <v>378</v>
      </c>
      <c r="B50" s="44">
        <v>5</v>
      </c>
      <c r="C50" s="44"/>
      <c r="D50" s="52">
        <v>0</v>
      </c>
      <c r="E50" s="52">
        <v>0</v>
      </c>
      <c r="F50" s="52">
        <v>0</v>
      </c>
      <c r="G50" s="44">
        <v>1</v>
      </c>
      <c r="H50" s="44">
        <f>B50*G50</f>
        <v>5</v>
      </c>
      <c r="I50" s="91">
        <f>ROUND(SUM('Base Data'!$H$18:$H$20,'Base Data'!$H$23:$H$25),0)</f>
        <v>119</v>
      </c>
      <c r="J50" s="92">
        <f>H50*I50</f>
        <v>595</v>
      </c>
      <c r="K50" s="92">
        <f>J50*0.1</f>
        <v>59.5</v>
      </c>
      <c r="L50" s="92">
        <f>J50*0.05</f>
        <v>29.75</v>
      </c>
      <c r="M50" s="44">
        <f>C50*G50*I50</f>
        <v>0</v>
      </c>
      <c r="N50" s="52">
        <f>(J50*'Base Data'!$C$5)+(K50*'Base Data'!$C$6)+(L50*'Base Data'!$C$7)</f>
        <v>64722.612500000003</v>
      </c>
      <c r="O50" s="52">
        <f>(D50+E50+F50)*G50*I50</f>
        <v>0</v>
      </c>
      <c r="P50" s="92">
        <f>G50*I50</f>
        <v>119</v>
      </c>
      <c r="Q50" s="94" t="s">
        <v>388</v>
      </c>
    </row>
    <row r="51" spans="1:19" s="6" customFormat="1" ht="9">
      <c r="A51" s="144" t="s">
        <v>456</v>
      </c>
      <c r="B51" s="44">
        <v>20</v>
      </c>
      <c r="C51" s="44">
        <v>0</v>
      </c>
      <c r="D51" s="52">
        <v>0</v>
      </c>
      <c r="E51" s="52">
        <v>0</v>
      </c>
      <c r="F51" s="52">
        <v>0</v>
      </c>
      <c r="G51" s="44">
        <v>2</v>
      </c>
      <c r="H51" s="44">
        <f>B51*G51</f>
        <v>40</v>
      </c>
      <c r="I51" s="91">
        <f>ROUND(SUM('Base Data'!$H$18:$H$20,'Base Data'!$H$23:$H$25),0)</f>
        <v>119</v>
      </c>
      <c r="J51" s="92">
        <f>H51*I51</f>
        <v>4760</v>
      </c>
      <c r="K51" s="92">
        <f>J51*0.1</f>
        <v>476</v>
      </c>
      <c r="L51" s="92">
        <f>J51*0.05</f>
        <v>238</v>
      </c>
      <c r="M51" s="92">
        <f>C51*G51*I51</f>
        <v>0</v>
      </c>
      <c r="N51" s="52">
        <f>(J51*'Base Data'!$C$5)+(K51*'Base Data'!$C$6)+(L51*'Base Data'!$C$7)</f>
        <v>517780.9</v>
      </c>
      <c r="O51" s="52">
        <f>(D51+E51+F51)*G51*I51</f>
        <v>0</v>
      </c>
      <c r="P51" s="92">
        <f>G51*I51</f>
        <v>238</v>
      </c>
      <c r="Q51" s="94" t="s">
        <v>387</v>
      </c>
      <c r="R51" s="37"/>
    </row>
    <row r="52" spans="1:19" s="6" customFormat="1" ht="9">
      <c r="A52" s="145" t="s">
        <v>7</v>
      </c>
      <c r="B52" s="44"/>
      <c r="C52" s="44"/>
      <c r="D52" s="52"/>
      <c r="E52" s="52"/>
      <c r="F52" s="52"/>
      <c r="G52" s="44"/>
      <c r="H52" s="44"/>
      <c r="I52" s="91"/>
      <c r="J52" s="92">
        <f t="shared" ref="J52:O52" si="13">SUM(J7:J51)</f>
        <v>100119</v>
      </c>
      <c r="K52" s="92">
        <f t="shared" si="13"/>
        <v>10011.900000000001</v>
      </c>
      <c r="L52" s="92">
        <f t="shared" si="13"/>
        <v>5005.9500000000007</v>
      </c>
      <c r="M52" s="92">
        <f t="shared" si="13"/>
        <v>0</v>
      </c>
      <c r="N52" s="52">
        <f t="shared" si="13"/>
        <v>10890694.522500001</v>
      </c>
      <c r="O52" s="52">
        <f t="shared" si="13"/>
        <v>115148998</v>
      </c>
      <c r="P52" s="92">
        <f>SUM(P48:P51)</f>
        <v>476</v>
      </c>
      <c r="Q52" s="94"/>
      <c r="R52" s="335">
        <f>SUM(O7,O10:O24,O29,O32,O35,O38,O41,O44)</f>
        <v>65679044</v>
      </c>
      <c r="S52" s="336">
        <f>SUM(O28,O31,O34,O37,O40,O43)</f>
        <v>49469954</v>
      </c>
    </row>
    <row r="53" spans="1:19" s="6" customFormat="1" ht="9">
      <c r="A53" s="142" t="s">
        <v>431</v>
      </c>
      <c r="B53" s="44"/>
      <c r="C53" s="44"/>
      <c r="D53" s="52"/>
      <c r="E53" s="52"/>
      <c r="F53" s="52"/>
      <c r="G53" s="44"/>
      <c r="H53" s="44"/>
      <c r="I53" s="92"/>
      <c r="J53" s="92"/>
      <c r="K53" s="92"/>
      <c r="L53" s="92"/>
      <c r="M53" s="44"/>
      <c r="N53" s="52"/>
      <c r="O53" s="52"/>
      <c r="P53" s="52"/>
      <c r="Q53" s="94"/>
    </row>
    <row r="54" spans="1:19" s="6" customFormat="1" ht="9">
      <c r="A54" s="142" t="s">
        <v>418</v>
      </c>
      <c r="B54" s="44" t="s">
        <v>422</v>
      </c>
      <c r="C54" s="44"/>
      <c r="D54" s="52"/>
      <c r="E54" s="52"/>
      <c r="F54" s="52"/>
      <c r="G54" s="44"/>
      <c r="H54" s="44"/>
      <c r="I54" s="92"/>
      <c r="J54" s="92"/>
      <c r="K54" s="92"/>
      <c r="L54" s="92"/>
      <c r="M54" s="44"/>
      <c r="N54" s="52"/>
      <c r="O54" s="52"/>
      <c r="P54" s="52"/>
      <c r="Q54" s="94"/>
    </row>
    <row r="55" spans="1:19" s="6" customFormat="1" ht="9">
      <c r="A55" s="142" t="s">
        <v>419</v>
      </c>
      <c r="B55" s="44" t="s">
        <v>433</v>
      </c>
      <c r="C55" s="44"/>
      <c r="D55" s="52"/>
      <c r="E55" s="52"/>
      <c r="F55" s="52"/>
      <c r="G55" s="44"/>
      <c r="H55" s="44"/>
      <c r="I55" s="92"/>
      <c r="J55" s="92"/>
      <c r="K55" s="92"/>
      <c r="L55" s="92"/>
      <c r="M55" s="44"/>
      <c r="N55" s="52"/>
      <c r="O55" s="52"/>
      <c r="P55" s="52"/>
      <c r="Q55" s="94"/>
    </row>
    <row r="56" spans="1:19" s="6" customFormat="1" ht="9">
      <c r="A56" s="142" t="s">
        <v>420</v>
      </c>
      <c r="B56" s="44" t="s">
        <v>433</v>
      </c>
      <c r="C56" s="44"/>
      <c r="D56" s="52"/>
      <c r="E56" s="52"/>
      <c r="F56" s="52"/>
      <c r="G56" s="44"/>
      <c r="H56" s="44"/>
      <c r="I56" s="92"/>
      <c r="J56" s="92"/>
      <c r="K56" s="92"/>
      <c r="L56" s="92"/>
      <c r="M56" s="44"/>
      <c r="N56" s="52"/>
      <c r="O56" s="52"/>
      <c r="P56" s="52"/>
      <c r="Q56" s="94" t="s">
        <v>389</v>
      </c>
    </row>
    <row r="57" spans="1:19" s="6" customFormat="1" ht="9">
      <c r="A57" s="142" t="s">
        <v>421</v>
      </c>
      <c r="B57" s="44"/>
      <c r="C57" s="44"/>
      <c r="D57" s="52"/>
      <c r="E57" s="52"/>
      <c r="F57" s="52"/>
      <c r="G57" s="44"/>
      <c r="H57" s="44"/>
      <c r="I57" s="92"/>
      <c r="J57" s="92"/>
      <c r="K57" s="92"/>
      <c r="L57" s="92"/>
      <c r="M57" s="44"/>
      <c r="N57" s="52"/>
      <c r="O57" s="52"/>
      <c r="P57" s="52"/>
      <c r="Q57" s="94"/>
    </row>
    <row r="58" spans="1:19" s="6" customFormat="1" ht="9.75" customHeight="1">
      <c r="A58" s="142" t="s">
        <v>429</v>
      </c>
      <c r="B58" s="44">
        <v>20</v>
      </c>
      <c r="C58" s="44"/>
      <c r="D58" s="52">
        <v>0</v>
      </c>
      <c r="E58" s="52">
        <v>0</v>
      </c>
      <c r="F58" s="52">
        <v>0</v>
      </c>
      <c r="G58" s="44">
        <v>1</v>
      </c>
      <c r="H58" s="44">
        <f t="shared" ref="H58:H64" si="14">B58*G58</f>
        <v>20</v>
      </c>
      <c r="I58" s="91">
        <f>ROUND(SUM('Base Data'!$D$18:$D$20,'Base Data'!$D$23:$D$25),0)</f>
        <v>997</v>
      </c>
      <c r="J58" s="92">
        <f t="shared" ref="J58:J63" si="15">H58*I58</f>
        <v>19940</v>
      </c>
      <c r="K58" s="92">
        <f t="shared" ref="K58:K63" si="16">J58*0.1</f>
        <v>1994</v>
      </c>
      <c r="L58" s="92">
        <f t="shared" ref="L58:L63" si="17">J58*0.05</f>
        <v>997</v>
      </c>
      <c r="M58" s="44"/>
      <c r="N58" s="52">
        <f>(J58*'Base Data'!$C$5)+(K58*'Base Data'!$C$6)+(L58*'Base Data'!$C$7)</f>
        <v>2169023.35</v>
      </c>
      <c r="O58" s="52">
        <f t="shared" ref="O58:O63" si="18">(D58+E58+F58)*G58*I58</f>
        <v>0</v>
      </c>
      <c r="P58" s="92">
        <v>0</v>
      </c>
      <c r="Q58" s="94" t="s">
        <v>388</v>
      </c>
    </row>
    <row r="59" spans="1:19" s="6" customFormat="1" ht="9">
      <c r="A59" s="143" t="s">
        <v>425</v>
      </c>
      <c r="B59" s="44">
        <v>15</v>
      </c>
      <c r="C59" s="44">
        <v>0</v>
      </c>
      <c r="D59" s="52">
        <v>0</v>
      </c>
      <c r="E59" s="52">
        <v>0</v>
      </c>
      <c r="F59" s="52">
        <v>0</v>
      </c>
      <c r="G59" s="44">
        <v>1</v>
      </c>
      <c r="H59" s="44">
        <f t="shared" si="14"/>
        <v>15</v>
      </c>
      <c r="I59" s="91">
        <f>ROUND(SUM('Base Data'!$D$18:$D$20,'Base Data'!$D$23:$D$25),0)</f>
        <v>997</v>
      </c>
      <c r="J59" s="92">
        <f t="shared" si="15"/>
        <v>14955</v>
      </c>
      <c r="K59" s="92">
        <f t="shared" si="16"/>
        <v>1495.5</v>
      </c>
      <c r="L59" s="92">
        <f t="shared" si="17"/>
        <v>747.75</v>
      </c>
      <c r="M59" s="44">
        <f>C59*G59*I59</f>
        <v>0</v>
      </c>
      <c r="N59" s="52">
        <f>(J59*'Base Data'!$C$5)+(K59*'Base Data'!$C$6)+(L59*'Base Data'!$C$7)</f>
        <v>1626767.5125</v>
      </c>
      <c r="O59" s="52">
        <f t="shared" si="18"/>
        <v>0</v>
      </c>
      <c r="P59" s="92">
        <v>0</v>
      </c>
      <c r="Q59" s="94" t="s">
        <v>388</v>
      </c>
    </row>
    <row r="60" spans="1:19" s="6" customFormat="1" ht="9.75" customHeight="1">
      <c r="A60" s="142" t="s">
        <v>426</v>
      </c>
      <c r="B60" s="44">
        <v>2</v>
      </c>
      <c r="C60" s="44"/>
      <c r="D60" s="52">
        <v>0</v>
      </c>
      <c r="E60" s="52">
        <v>0</v>
      </c>
      <c r="F60" s="52">
        <v>0</v>
      </c>
      <c r="G60" s="44">
        <v>1</v>
      </c>
      <c r="H60" s="44">
        <f t="shared" si="14"/>
        <v>2</v>
      </c>
      <c r="I60" s="91">
        <f>ROUND(SUM('Base Data'!$D$18:$D$20,'Base Data'!$D$23:$D$25),0)</f>
        <v>997</v>
      </c>
      <c r="J60" s="92">
        <f t="shared" si="15"/>
        <v>1994</v>
      </c>
      <c r="K60" s="92">
        <f t="shared" si="16"/>
        <v>199.4</v>
      </c>
      <c r="L60" s="92">
        <f t="shared" si="17"/>
        <v>99.7</v>
      </c>
      <c r="M60" s="44"/>
      <c r="N60" s="52">
        <f>(J60*'Base Data'!$C$5)+(K60*'Base Data'!$C$6)+(L60*'Base Data'!$C$7)</f>
        <v>216902.33500000002</v>
      </c>
      <c r="O60" s="52">
        <f t="shared" si="18"/>
        <v>0</v>
      </c>
      <c r="P60" s="92">
        <v>0</v>
      </c>
      <c r="Q60" s="94" t="s">
        <v>388</v>
      </c>
    </row>
    <row r="61" spans="1:19" s="6" customFormat="1" ht="9">
      <c r="A61" s="143" t="s">
        <v>436</v>
      </c>
      <c r="B61" s="44">
        <v>2</v>
      </c>
      <c r="C61" s="44"/>
      <c r="D61" s="52">
        <v>0</v>
      </c>
      <c r="E61" s="52">
        <v>0</v>
      </c>
      <c r="F61" s="52">
        <v>0</v>
      </c>
      <c r="G61" s="44">
        <v>1</v>
      </c>
      <c r="H61" s="44">
        <f t="shared" si="14"/>
        <v>2</v>
      </c>
      <c r="I61" s="91">
        <f>ROUND(SUM('Base Data'!$D$18:$D$20,'Base Data'!$D$23:$D$25),0)</f>
        <v>997</v>
      </c>
      <c r="J61" s="92">
        <f t="shared" si="15"/>
        <v>1994</v>
      </c>
      <c r="K61" s="92">
        <f t="shared" si="16"/>
        <v>199.4</v>
      </c>
      <c r="L61" s="92">
        <f t="shared" si="17"/>
        <v>99.7</v>
      </c>
      <c r="M61" s="44"/>
      <c r="N61" s="52">
        <f>(J61*'Base Data'!$C$5)+(K61*'Base Data'!$C$6)+(L61*'Base Data'!$C$7)</f>
        <v>216902.33500000002</v>
      </c>
      <c r="O61" s="52">
        <f t="shared" si="18"/>
        <v>0</v>
      </c>
      <c r="P61" s="92">
        <v>0</v>
      </c>
      <c r="Q61" s="94" t="s">
        <v>388</v>
      </c>
    </row>
    <row r="62" spans="1:19" s="6" customFormat="1" ht="9">
      <c r="A62" s="143" t="s">
        <v>437</v>
      </c>
      <c r="B62" s="44">
        <v>2</v>
      </c>
      <c r="C62" s="44">
        <v>0</v>
      </c>
      <c r="D62" s="52">
        <v>0</v>
      </c>
      <c r="E62" s="52">
        <v>0</v>
      </c>
      <c r="F62" s="52">
        <v>0</v>
      </c>
      <c r="G62" s="44">
        <v>2</v>
      </c>
      <c r="H62" s="44">
        <f t="shared" si="14"/>
        <v>4</v>
      </c>
      <c r="I62" s="91">
        <f>ROUND(SUM('Base Data'!$D$18:$D$20,'Base Data'!$D$23:$D$25),0)</f>
        <v>997</v>
      </c>
      <c r="J62" s="92">
        <f t="shared" si="15"/>
        <v>3988</v>
      </c>
      <c r="K62" s="92">
        <f t="shared" si="16"/>
        <v>398.8</v>
      </c>
      <c r="L62" s="92">
        <f t="shared" si="17"/>
        <v>199.4</v>
      </c>
      <c r="M62" s="44">
        <f>C62*G62*I62</f>
        <v>0</v>
      </c>
      <c r="N62" s="52">
        <f>(J62*'Base Data'!$C$5)+(K62*'Base Data'!$C$6)+(L62*'Base Data'!$C$7)</f>
        <v>433804.67000000004</v>
      </c>
      <c r="O62" s="52">
        <f t="shared" si="18"/>
        <v>0</v>
      </c>
      <c r="P62" s="92">
        <v>0</v>
      </c>
      <c r="Q62" s="94" t="s">
        <v>388</v>
      </c>
    </row>
    <row r="63" spans="1:19" s="6" customFormat="1" ht="9">
      <c r="A63" s="143" t="s">
        <v>438</v>
      </c>
      <c r="B63" s="44">
        <v>0.5</v>
      </c>
      <c r="C63" s="44"/>
      <c r="D63" s="52">
        <v>0</v>
      </c>
      <c r="E63" s="52">
        <v>0</v>
      </c>
      <c r="F63" s="52">
        <v>0</v>
      </c>
      <c r="G63" s="44">
        <v>12</v>
      </c>
      <c r="H63" s="44">
        <f t="shared" si="14"/>
        <v>6</v>
      </c>
      <c r="I63" s="91">
        <f>ROUND(SUM('Base Data'!$D$18:$D$20,'Base Data'!$D$23:$D$25),0)</f>
        <v>997</v>
      </c>
      <c r="J63" s="92">
        <f t="shared" si="15"/>
        <v>5982</v>
      </c>
      <c r="K63" s="92">
        <f t="shared" si="16"/>
        <v>598.20000000000005</v>
      </c>
      <c r="L63" s="92">
        <f t="shared" si="17"/>
        <v>299.10000000000002</v>
      </c>
      <c r="M63" s="44"/>
      <c r="N63" s="52">
        <f>(J63*'Base Data'!$C$5)+(K63*'Base Data'!$C$6)+(L63*'Base Data'!$C$7)</f>
        <v>650707.005</v>
      </c>
      <c r="O63" s="52">
        <f t="shared" si="18"/>
        <v>0</v>
      </c>
      <c r="P63" s="92">
        <v>0</v>
      </c>
      <c r="Q63" s="94" t="s">
        <v>388</v>
      </c>
    </row>
    <row r="64" spans="1:19" s="6" customFormat="1" ht="9">
      <c r="A64" s="142" t="s">
        <v>427</v>
      </c>
      <c r="B64" s="44">
        <v>40</v>
      </c>
      <c r="C64" s="44"/>
      <c r="D64" s="52">
        <v>0</v>
      </c>
      <c r="E64" s="52">
        <v>0</v>
      </c>
      <c r="F64" s="52">
        <v>0</v>
      </c>
      <c r="G64" s="44">
        <v>1</v>
      </c>
      <c r="H64" s="44">
        <f t="shared" si="14"/>
        <v>40</v>
      </c>
      <c r="I64" s="91">
        <f>ROUNDDOWN(SUM('Base Data'!$H$18:$H$20,'Base Data'!$H$23:$H$25)/2,0)</f>
        <v>59</v>
      </c>
      <c r="J64" s="92">
        <f t="shared" ref="J64" si="19">H64*I64</f>
        <v>2360</v>
      </c>
      <c r="K64" s="92">
        <f t="shared" ref="K64" si="20">J64*0.1</f>
        <v>236</v>
      </c>
      <c r="L64" s="92">
        <f t="shared" ref="L64" si="21">J64*0.05</f>
        <v>118</v>
      </c>
      <c r="M64" s="44"/>
      <c r="N64" s="52">
        <f>(J64*'Base Data'!$C$5)+(K64*'Base Data'!$C$6)+(L64*'Base Data'!$C$7)</f>
        <v>256714.9</v>
      </c>
      <c r="O64" s="52">
        <f t="shared" ref="O64" si="22">(D64+E64+F64)*G64*I64</f>
        <v>0</v>
      </c>
      <c r="P64" s="92">
        <v>0</v>
      </c>
      <c r="Q64" s="29" t="s">
        <v>273</v>
      </c>
    </row>
    <row r="65" spans="1:18" s="6" customFormat="1" ht="9">
      <c r="A65" s="146" t="s">
        <v>428</v>
      </c>
      <c r="B65" s="44" t="s">
        <v>433</v>
      </c>
      <c r="C65" s="18"/>
      <c r="D65" s="39"/>
      <c r="E65" s="39"/>
      <c r="F65" s="39"/>
      <c r="G65" s="18"/>
      <c r="H65" s="18"/>
      <c r="I65" s="19"/>
      <c r="J65" s="19"/>
      <c r="K65" s="19"/>
      <c r="L65" s="19"/>
      <c r="M65" s="18"/>
      <c r="N65" s="39"/>
      <c r="O65" s="39"/>
      <c r="P65" s="39"/>
      <c r="Q65" s="29"/>
    </row>
    <row r="66" spans="1:18" s="6" customFormat="1" ht="9">
      <c r="A66" s="61" t="s">
        <v>27</v>
      </c>
      <c r="B66" s="245"/>
      <c r="C66" s="245"/>
      <c r="D66" s="246"/>
      <c r="E66" s="246"/>
      <c r="F66" s="246"/>
      <c r="G66" s="245"/>
      <c r="H66" s="245"/>
      <c r="I66" s="247"/>
      <c r="J66" s="247">
        <f>SUM(J54:J65)</f>
        <v>51213</v>
      </c>
      <c r="K66" s="247">
        <f t="shared" ref="K66:P66" si="23">SUM(K54:K65)</f>
        <v>5121.3</v>
      </c>
      <c r="L66" s="247">
        <f t="shared" si="23"/>
        <v>2560.65</v>
      </c>
      <c r="M66" s="246">
        <f t="shared" si="23"/>
        <v>0</v>
      </c>
      <c r="N66" s="246">
        <f t="shared" si="23"/>
        <v>5570822.1074999999</v>
      </c>
      <c r="O66" s="246">
        <f t="shared" si="23"/>
        <v>0</v>
      </c>
      <c r="P66" s="247">
        <f t="shared" si="23"/>
        <v>0</v>
      </c>
      <c r="Q66" s="248"/>
      <c r="R66" s="39">
        <f>SUM(R54:R65)</f>
        <v>0</v>
      </c>
    </row>
    <row r="67" spans="1:18" s="2" customFormat="1">
      <c r="A67" s="24" t="s">
        <v>400</v>
      </c>
      <c r="B67" s="25"/>
      <c r="C67" s="25"/>
      <c r="D67" s="25"/>
      <c r="E67" s="25"/>
      <c r="F67" s="50"/>
      <c r="G67" s="25"/>
      <c r="H67" s="25"/>
      <c r="I67" s="26"/>
      <c r="J67" s="27">
        <f>J52+J66</f>
        <v>151332</v>
      </c>
      <c r="K67" s="27">
        <f t="shared" ref="K67:P67" si="24">K52+K66</f>
        <v>15133.2</v>
      </c>
      <c r="L67" s="27">
        <f t="shared" si="24"/>
        <v>7566.6</v>
      </c>
      <c r="M67" s="40">
        <f t="shared" si="24"/>
        <v>0</v>
      </c>
      <c r="N67" s="40">
        <f t="shared" si="24"/>
        <v>16461516.630000001</v>
      </c>
      <c r="O67" s="40">
        <f t="shared" si="24"/>
        <v>115148998</v>
      </c>
      <c r="P67" s="27">
        <f t="shared" si="24"/>
        <v>476</v>
      </c>
      <c r="Q67" s="47"/>
    </row>
    <row r="68" spans="1:18" ht="6" customHeight="1">
      <c r="B68" s="54"/>
      <c r="C68" s="54"/>
      <c r="D68" s="54"/>
      <c r="E68" s="54"/>
      <c r="F68" s="54"/>
      <c r="G68" s="54"/>
      <c r="H68" s="54"/>
      <c r="I68" s="55"/>
    </row>
    <row r="69" spans="1:18" s="14" customFormat="1" ht="9">
      <c r="A69" s="14" t="s">
        <v>390</v>
      </c>
      <c r="B69" s="56"/>
      <c r="C69" s="56"/>
      <c r="D69" s="56"/>
      <c r="E69" s="56"/>
      <c r="F69" s="56"/>
      <c r="G69" s="56"/>
      <c r="H69" s="56"/>
      <c r="I69" s="57"/>
      <c r="J69" s="15"/>
      <c r="K69" s="15"/>
      <c r="L69" s="15"/>
      <c r="M69" s="15"/>
      <c r="N69" s="15"/>
      <c r="O69" s="17"/>
      <c r="P69" s="17"/>
      <c r="Q69" s="15"/>
    </row>
    <row r="70" spans="1:18" s="14" customFormat="1" ht="18" customHeight="1">
      <c r="A70" s="409" t="s">
        <v>165</v>
      </c>
      <c r="B70" s="409"/>
      <c r="C70" s="409"/>
      <c r="D70" s="409"/>
      <c r="E70" s="409"/>
      <c r="F70" s="409"/>
      <c r="G70" s="409"/>
      <c r="H70" s="409"/>
      <c r="I70" s="409"/>
      <c r="J70" s="409"/>
      <c r="K70" s="409"/>
      <c r="L70" s="409"/>
      <c r="M70" s="409"/>
      <c r="N70" s="409"/>
      <c r="O70" s="409"/>
      <c r="P70" s="377"/>
      <c r="Q70" s="15"/>
    </row>
    <row r="71" spans="1:18" s="14" customFormat="1" ht="26.25" customHeight="1">
      <c r="A71" s="408" t="s">
        <v>2</v>
      </c>
      <c r="B71" s="408"/>
      <c r="C71" s="408"/>
      <c r="D71" s="408"/>
      <c r="E71" s="408"/>
      <c r="F71" s="408"/>
      <c r="G71" s="408"/>
      <c r="H71" s="408"/>
      <c r="I71" s="408"/>
      <c r="J71" s="408"/>
      <c r="K71" s="408"/>
      <c r="L71" s="408"/>
      <c r="M71" s="408"/>
      <c r="N71" s="408"/>
      <c r="O71" s="408"/>
      <c r="P71" s="377"/>
      <c r="Q71" s="15"/>
    </row>
    <row r="72" spans="1:18" s="14" customFormat="1" ht="18" customHeight="1">
      <c r="A72" s="408" t="s">
        <v>95</v>
      </c>
      <c r="B72" s="408"/>
      <c r="C72" s="408"/>
      <c r="D72" s="408"/>
      <c r="E72" s="408"/>
      <c r="F72" s="408"/>
      <c r="G72" s="408"/>
      <c r="H72" s="408"/>
      <c r="I72" s="408"/>
      <c r="J72" s="408"/>
      <c r="K72" s="408"/>
      <c r="L72" s="408"/>
      <c r="M72" s="408"/>
      <c r="N72" s="408"/>
      <c r="O72" s="408"/>
      <c r="P72" s="408"/>
      <c r="Q72" s="408"/>
    </row>
    <row r="73" spans="1:18" s="14" customFormat="1" ht="9" customHeight="1">
      <c r="A73" s="14" t="s">
        <v>441</v>
      </c>
      <c r="B73" s="15"/>
      <c r="C73" s="15"/>
      <c r="D73" s="15"/>
      <c r="E73" s="15"/>
      <c r="F73" s="15"/>
      <c r="G73" s="15"/>
      <c r="H73" s="15"/>
      <c r="I73" s="16"/>
      <c r="J73" s="15"/>
      <c r="K73" s="15"/>
      <c r="L73" s="15"/>
      <c r="M73" s="15"/>
      <c r="N73" s="15"/>
      <c r="O73" s="17"/>
      <c r="P73" s="17"/>
      <c r="Q73" s="15"/>
    </row>
    <row r="74" spans="1:18" s="14" customFormat="1" ht="9" customHeight="1">
      <c r="A74" s="14" t="s">
        <v>552</v>
      </c>
      <c r="B74" s="15"/>
      <c r="C74" s="15"/>
      <c r="D74" s="15"/>
      <c r="E74" s="15"/>
      <c r="F74" s="15"/>
      <c r="G74" s="15"/>
      <c r="H74" s="15"/>
      <c r="I74" s="16"/>
      <c r="J74" s="15"/>
      <c r="K74" s="15"/>
      <c r="L74" s="15"/>
      <c r="M74" s="15"/>
      <c r="N74" s="15"/>
      <c r="O74" s="17"/>
      <c r="P74" s="17"/>
      <c r="Q74" s="15"/>
    </row>
    <row r="75" spans="1:18" s="14" customFormat="1" ht="9">
      <c r="A75" s="14" t="s">
        <v>3</v>
      </c>
      <c r="B75" s="15"/>
      <c r="C75" s="15"/>
      <c r="D75" s="15"/>
      <c r="E75" s="15"/>
      <c r="F75" s="15"/>
      <c r="G75" s="15"/>
      <c r="H75" s="15"/>
      <c r="I75" s="16"/>
      <c r="J75" s="15"/>
      <c r="K75" s="15"/>
      <c r="L75" s="15"/>
      <c r="M75" s="15"/>
      <c r="N75" s="15"/>
      <c r="O75" s="17"/>
      <c r="P75" s="17"/>
      <c r="Q75" s="15"/>
    </row>
    <row r="76" spans="1:18" s="14" customFormat="1" ht="9">
      <c r="A76" s="14" t="s">
        <v>367</v>
      </c>
      <c r="B76" s="15"/>
      <c r="C76" s="15"/>
      <c r="D76" s="15"/>
      <c r="E76" s="15"/>
      <c r="F76" s="15"/>
      <c r="G76" s="15"/>
      <c r="H76" s="15"/>
      <c r="I76" s="16"/>
      <c r="J76" s="15"/>
      <c r="K76" s="15"/>
      <c r="L76" s="15"/>
      <c r="M76" s="15"/>
      <c r="N76" s="15"/>
      <c r="O76" s="17"/>
      <c r="P76" s="17"/>
      <c r="Q76" s="15"/>
    </row>
    <row r="77" spans="1:18" s="14" customFormat="1" ht="19.5" customHeight="1">
      <c r="A77" s="408" t="s">
        <v>549</v>
      </c>
      <c r="B77" s="408"/>
      <c r="C77" s="408"/>
      <c r="D77" s="408"/>
      <c r="E77" s="408"/>
      <c r="F77" s="408"/>
      <c r="G77" s="408"/>
      <c r="H77" s="408"/>
      <c r="I77" s="408"/>
      <c r="J77" s="408"/>
      <c r="K77" s="408"/>
      <c r="L77" s="408"/>
      <c r="M77" s="408"/>
      <c r="N77" s="408"/>
      <c r="O77" s="408"/>
      <c r="P77" s="17"/>
      <c r="Q77" s="15"/>
    </row>
    <row r="78" spans="1:18" s="14" customFormat="1" ht="9">
      <c r="A78" s="14" t="s">
        <v>550</v>
      </c>
      <c r="B78" s="15"/>
      <c r="C78" s="15"/>
      <c r="D78" s="15"/>
      <c r="E78" s="15"/>
      <c r="F78" s="15"/>
      <c r="G78" s="15"/>
      <c r="H78" s="15"/>
      <c r="I78" s="16"/>
      <c r="J78" s="15"/>
      <c r="K78" s="15"/>
      <c r="L78" s="15"/>
      <c r="M78" s="15"/>
      <c r="N78" s="15"/>
      <c r="O78" s="17"/>
      <c r="P78" s="17"/>
      <c r="Q78" s="15"/>
    </row>
    <row r="79" spans="1:18" s="14" customFormat="1" ht="9">
      <c r="B79" s="15"/>
      <c r="C79" s="15"/>
      <c r="D79" s="15"/>
      <c r="E79" s="15"/>
      <c r="F79" s="15"/>
      <c r="G79" s="15"/>
      <c r="H79" s="15"/>
      <c r="I79" s="16"/>
      <c r="J79" s="15"/>
      <c r="K79" s="15"/>
      <c r="L79" s="15"/>
      <c r="M79" s="15"/>
      <c r="N79" s="15"/>
      <c r="O79" s="17"/>
      <c r="P79" s="17"/>
      <c r="Q79" s="15"/>
    </row>
    <row r="80" spans="1:18" s="14" customFormat="1" ht="9">
      <c r="B80" s="15"/>
      <c r="C80" s="15"/>
      <c r="D80" s="15"/>
      <c r="E80" s="15"/>
      <c r="F80" s="15"/>
      <c r="G80" s="15"/>
      <c r="H80" s="15"/>
      <c r="I80" s="16"/>
      <c r="J80" s="15"/>
      <c r="K80" s="15"/>
      <c r="L80" s="15"/>
      <c r="M80" s="15"/>
      <c r="N80" s="15"/>
      <c r="O80" s="17"/>
      <c r="P80" s="17"/>
      <c r="Q80" s="15"/>
    </row>
    <row r="81" spans="2:17" s="14" customFormat="1" ht="9">
      <c r="B81" s="15"/>
      <c r="C81" s="15"/>
      <c r="D81" s="15"/>
      <c r="E81" s="15"/>
      <c r="F81" s="15"/>
      <c r="G81" s="15"/>
      <c r="H81" s="15"/>
      <c r="I81" s="16"/>
      <c r="J81" s="15"/>
      <c r="K81" s="15"/>
      <c r="L81" s="15"/>
      <c r="M81" s="15"/>
      <c r="N81" s="15"/>
      <c r="O81" s="17"/>
      <c r="P81" s="17"/>
      <c r="Q81" s="15"/>
    </row>
    <row r="82" spans="2:17" s="14" customFormat="1" ht="9">
      <c r="B82" s="15"/>
      <c r="C82" s="15"/>
      <c r="D82" s="15"/>
      <c r="E82" s="15"/>
      <c r="F82" s="15"/>
      <c r="G82" s="15"/>
      <c r="H82" s="15"/>
      <c r="I82" s="16"/>
      <c r="J82" s="15"/>
      <c r="K82" s="15"/>
      <c r="L82" s="15"/>
      <c r="M82" s="15"/>
      <c r="N82" s="15"/>
      <c r="O82" s="17"/>
      <c r="P82" s="17"/>
      <c r="Q82" s="15"/>
    </row>
    <row r="83" spans="2:17" s="14" customFormat="1" ht="9">
      <c r="B83" s="15"/>
      <c r="C83" s="15"/>
      <c r="D83" s="15"/>
      <c r="E83" s="15"/>
      <c r="F83" s="15"/>
      <c r="G83" s="15"/>
      <c r="H83" s="15"/>
      <c r="I83" s="16"/>
      <c r="J83" s="15"/>
      <c r="K83" s="15"/>
      <c r="L83" s="15"/>
      <c r="M83" s="15"/>
      <c r="N83" s="15"/>
      <c r="O83" s="17"/>
      <c r="P83" s="17"/>
      <c r="Q83" s="15"/>
    </row>
    <row r="84" spans="2:17" s="14" customFormat="1" ht="9">
      <c r="B84" s="15"/>
      <c r="C84" s="15"/>
      <c r="D84" s="15"/>
      <c r="E84" s="15"/>
      <c r="F84" s="15"/>
      <c r="G84" s="15"/>
      <c r="H84" s="15"/>
      <c r="I84" s="16"/>
      <c r="J84" s="15"/>
      <c r="K84" s="15"/>
      <c r="L84" s="15"/>
      <c r="M84" s="15"/>
      <c r="N84" s="15"/>
      <c r="O84" s="17"/>
      <c r="P84" s="17"/>
      <c r="Q84" s="15"/>
    </row>
    <row r="85" spans="2:17" s="14" customFormat="1" ht="9">
      <c r="B85" s="15"/>
      <c r="C85" s="15"/>
      <c r="D85" s="15"/>
      <c r="E85" s="15"/>
      <c r="F85" s="15"/>
      <c r="G85" s="15"/>
      <c r="H85" s="15"/>
      <c r="I85" s="16"/>
      <c r="J85" s="15"/>
      <c r="K85" s="15"/>
      <c r="L85" s="15"/>
      <c r="M85" s="15"/>
      <c r="N85" s="15"/>
      <c r="O85" s="17"/>
      <c r="P85" s="17"/>
      <c r="Q85" s="15"/>
    </row>
    <row r="86" spans="2:17" s="14" customFormat="1" ht="9">
      <c r="B86" s="15"/>
      <c r="C86" s="15"/>
      <c r="D86" s="15"/>
      <c r="E86" s="15"/>
      <c r="F86" s="15"/>
      <c r="G86" s="15"/>
      <c r="H86" s="15"/>
      <c r="I86" s="16"/>
      <c r="J86" s="15"/>
      <c r="K86" s="15"/>
      <c r="L86" s="15"/>
      <c r="M86" s="15"/>
      <c r="N86" s="15"/>
      <c r="O86" s="17"/>
      <c r="P86" s="17"/>
      <c r="Q86" s="15"/>
    </row>
    <row r="87" spans="2:17" s="14" customFormat="1" ht="9">
      <c r="B87" s="15"/>
      <c r="C87" s="15"/>
      <c r="D87" s="15"/>
      <c r="E87" s="15"/>
      <c r="F87" s="15"/>
      <c r="G87" s="15"/>
      <c r="H87" s="15"/>
      <c r="I87" s="16"/>
      <c r="J87" s="15"/>
      <c r="K87" s="15"/>
      <c r="L87" s="15"/>
      <c r="M87" s="15"/>
      <c r="N87" s="15"/>
      <c r="O87" s="17"/>
      <c r="P87" s="17"/>
      <c r="Q87" s="15"/>
    </row>
    <row r="88" spans="2:17" s="14" customFormat="1" ht="9">
      <c r="B88" s="15"/>
      <c r="C88" s="15"/>
      <c r="D88" s="15"/>
      <c r="E88" s="15"/>
      <c r="F88" s="15"/>
      <c r="G88" s="15"/>
      <c r="H88" s="15"/>
      <c r="I88" s="16"/>
      <c r="J88" s="15"/>
      <c r="K88" s="15"/>
      <c r="L88" s="15"/>
      <c r="M88" s="15"/>
      <c r="N88" s="15"/>
      <c r="O88" s="17"/>
      <c r="P88" s="17"/>
      <c r="Q88" s="15"/>
    </row>
    <row r="89" spans="2:17" s="14" customFormat="1" ht="9">
      <c r="B89" s="15"/>
      <c r="C89" s="15"/>
      <c r="D89" s="15"/>
      <c r="E89" s="15"/>
      <c r="F89" s="15"/>
      <c r="G89" s="15"/>
      <c r="H89" s="15"/>
      <c r="I89" s="16"/>
      <c r="J89" s="15"/>
      <c r="K89" s="15"/>
      <c r="L89" s="15"/>
      <c r="M89" s="15"/>
      <c r="N89" s="15"/>
      <c r="O89" s="17"/>
      <c r="P89" s="17"/>
      <c r="Q89" s="15"/>
    </row>
    <row r="90" spans="2:17" s="14" customFormat="1" ht="9">
      <c r="B90" s="15"/>
      <c r="C90" s="15"/>
      <c r="D90" s="15"/>
      <c r="E90" s="15"/>
      <c r="F90" s="15"/>
      <c r="G90" s="15"/>
      <c r="H90" s="15"/>
      <c r="I90" s="16"/>
      <c r="J90" s="15"/>
      <c r="K90" s="15"/>
      <c r="L90" s="15"/>
      <c r="M90" s="15"/>
      <c r="N90" s="15"/>
      <c r="O90" s="17"/>
      <c r="P90" s="17"/>
      <c r="Q90" s="15"/>
    </row>
    <row r="91" spans="2:17" s="14" customFormat="1" ht="9">
      <c r="B91" s="15"/>
      <c r="C91" s="15"/>
      <c r="D91" s="15"/>
      <c r="E91" s="15"/>
      <c r="F91" s="15"/>
      <c r="G91" s="15"/>
      <c r="H91" s="15"/>
      <c r="I91" s="16"/>
      <c r="J91" s="15"/>
      <c r="K91" s="15"/>
      <c r="L91" s="15"/>
      <c r="M91" s="15"/>
      <c r="N91" s="15"/>
      <c r="O91" s="17"/>
      <c r="P91" s="17"/>
      <c r="Q91" s="15"/>
    </row>
    <row r="92" spans="2:17" s="14" customFormat="1" ht="9">
      <c r="B92" s="15"/>
      <c r="C92" s="15"/>
      <c r="D92" s="15"/>
      <c r="E92" s="15"/>
      <c r="F92" s="15"/>
      <c r="G92" s="15"/>
      <c r="H92" s="15"/>
      <c r="I92" s="16"/>
      <c r="J92" s="15"/>
      <c r="K92" s="15"/>
      <c r="L92" s="15"/>
      <c r="M92" s="15"/>
      <c r="N92" s="15"/>
      <c r="O92" s="17"/>
      <c r="P92" s="17"/>
      <c r="Q92" s="15"/>
    </row>
    <row r="93" spans="2:17" s="14" customFormat="1" ht="9">
      <c r="B93" s="15"/>
      <c r="C93" s="15"/>
      <c r="D93" s="15"/>
      <c r="E93" s="15"/>
      <c r="F93" s="15"/>
      <c r="G93" s="15"/>
      <c r="H93" s="15"/>
      <c r="I93" s="16"/>
      <c r="J93" s="15"/>
      <c r="K93" s="15"/>
      <c r="L93" s="15"/>
      <c r="M93" s="15"/>
      <c r="N93" s="15"/>
      <c r="O93" s="17"/>
      <c r="P93" s="17"/>
      <c r="Q93" s="15"/>
    </row>
    <row r="94" spans="2:17" s="14" customFormat="1" ht="9">
      <c r="B94" s="15"/>
      <c r="C94" s="15"/>
      <c r="D94" s="15"/>
      <c r="E94" s="15"/>
      <c r="F94" s="15"/>
      <c r="G94" s="15"/>
      <c r="H94" s="15"/>
      <c r="I94" s="16"/>
      <c r="J94" s="15"/>
      <c r="K94" s="15"/>
      <c r="L94" s="15"/>
      <c r="M94" s="15"/>
      <c r="N94" s="15"/>
      <c r="O94" s="17"/>
      <c r="P94" s="17"/>
      <c r="Q94" s="15"/>
    </row>
    <row r="95" spans="2:17" s="14" customFormat="1" ht="9">
      <c r="B95" s="15"/>
      <c r="C95" s="15"/>
      <c r="D95" s="15"/>
      <c r="E95" s="15"/>
      <c r="F95" s="15"/>
      <c r="G95" s="15"/>
      <c r="H95" s="15"/>
      <c r="I95" s="16"/>
      <c r="J95" s="15"/>
      <c r="K95" s="15"/>
      <c r="L95" s="15"/>
      <c r="M95" s="15"/>
      <c r="N95" s="15"/>
      <c r="O95" s="17"/>
      <c r="P95" s="17"/>
      <c r="Q95" s="15"/>
    </row>
    <row r="96" spans="2:17" s="14" customFormat="1" ht="9">
      <c r="B96" s="15"/>
      <c r="C96" s="15"/>
      <c r="D96" s="15"/>
      <c r="E96" s="15"/>
      <c r="F96" s="15"/>
      <c r="G96" s="15"/>
      <c r="H96" s="15"/>
      <c r="I96" s="16"/>
      <c r="J96" s="15"/>
      <c r="K96" s="15"/>
      <c r="L96" s="15"/>
      <c r="M96" s="15"/>
      <c r="N96" s="15"/>
      <c r="O96" s="17"/>
      <c r="P96" s="17"/>
      <c r="Q96" s="15"/>
    </row>
    <row r="97" spans="2:17" s="14" customFormat="1" ht="9">
      <c r="B97" s="15"/>
      <c r="C97" s="15"/>
      <c r="D97" s="15"/>
      <c r="E97" s="15"/>
      <c r="F97" s="15"/>
      <c r="G97" s="15"/>
      <c r="H97" s="15"/>
      <c r="I97" s="16"/>
      <c r="J97" s="15"/>
      <c r="K97" s="15"/>
      <c r="L97" s="15"/>
      <c r="M97" s="15"/>
      <c r="N97" s="15"/>
      <c r="O97" s="17"/>
      <c r="P97" s="17"/>
      <c r="Q97" s="15"/>
    </row>
    <row r="98" spans="2:17" s="14" customFormat="1" ht="9">
      <c r="B98" s="15"/>
      <c r="C98" s="15"/>
      <c r="D98" s="15"/>
      <c r="E98" s="15"/>
      <c r="F98" s="15"/>
      <c r="G98" s="15"/>
      <c r="H98" s="15"/>
      <c r="I98" s="16"/>
      <c r="J98" s="15"/>
      <c r="K98" s="15"/>
      <c r="L98" s="15"/>
      <c r="M98" s="15"/>
      <c r="N98" s="15"/>
      <c r="O98" s="17"/>
      <c r="P98" s="17"/>
      <c r="Q98" s="15"/>
    </row>
    <row r="99" spans="2:17" s="14" customFormat="1" ht="9">
      <c r="B99" s="15"/>
      <c r="C99" s="15"/>
      <c r="D99" s="15"/>
      <c r="E99" s="15"/>
      <c r="F99" s="15"/>
      <c r="G99" s="15"/>
      <c r="H99" s="15"/>
      <c r="I99" s="16"/>
      <c r="J99" s="15"/>
      <c r="K99" s="15"/>
      <c r="L99" s="15"/>
      <c r="M99" s="15"/>
      <c r="N99" s="15"/>
      <c r="O99" s="17"/>
      <c r="P99" s="17"/>
      <c r="Q99" s="15"/>
    </row>
    <row r="100" spans="2:17" s="14" customFormat="1" ht="9">
      <c r="B100" s="15"/>
      <c r="C100" s="15"/>
      <c r="D100" s="15"/>
      <c r="E100" s="15"/>
      <c r="F100" s="15"/>
      <c r="G100" s="15"/>
      <c r="H100" s="15"/>
      <c r="I100" s="16"/>
      <c r="J100" s="15"/>
      <c r="K100" s="15"/>
      <c r="L100" s="15"/>
      <c r="M100" s="15"/>
      <c r="N100" s="15"/>
      <c r="O100" s="17"/>
      <c r="P100" s="17"/>
      <c r="Q100" s="15"/>
    </row>
    <row r="101" spans="2:17" s="14" customFormat="1" ht="9">
      <c r="B101" s="15"/>
      <c r="C101" s="15"/>
      <c r="D101" s="15"/>
      <c r="E101" s="15"/>
      <c r="F101" s="15"/>
      <c r="G101" s="15"/>
      <c r="H101" s="15"/>
      <c r="I101" s="16"/>
      <c r="J101" s="15"/>
      <c r="K101" s="15"/>
      <c r="L101" s="15"/>
      <c r="M101" s="15"/>
      <c r="N101" s="15"/>
      <c r="O101" s="17"/>
      <c r="P101" s="17"/>
      <c r="Q101" s="15"/>
    </row>
    <row r="102" spans="2:17" s="14" customFormat="1" ht="9">
      <c r="B102" s="15"/>
      <c r="C102" s="15"/>
      <c r="D102" s="15"/>
      <c r="E102" s="15"/>
      <c r="F102" s="15"/>
      <c r="G102" s="15"/>
      <c r="H102" s="15"/>
      <c r="I102" s="16"/>
      <c r="J102" s="15"/>
      <c r="K102" s="15"/>
      <c r="L102" s="15"/>
      <c r="M102" s="15"/>
      <c r="N102" s="15"/>
      <c r="O102" s="17"/>
      <c r="P102" s="17"/>
      <c r="Q102" s="15"/>
    </row>
    <row r="103" spans="2:17" s="14" customFormat="1" ht="9">
      <c r="B103" s="15"/>
      <c r="C103" s="15"/>
      <c r="D103" s="15"/>
      <c r="E103" s="15"/>
      <c r="F103" s="15"/>
      <c r="G103" s="15"/>
      <c r="H103" s="15"/>
      <c r="I103" s="16"/>
      <c r="J103" s="15"/>
      <c r="K103" s="15"/>
      <c r="L103" s="15"/>
      <c r="M103" s="15"/>
      <c r="N103" s="15"/>
      <c r="O103" s="17"/>
      <c r="P103" s="17"/>
      <c r="Q103" s="15"/>
    </row>
    <row r="104" spans="2:17" s="14" customFormat="1" ht="9">
      <c r="B104" s="15"/>
      <c r="C104" s="15"/>
      <c r="D104" s="15"/>
      <c r="E104" s="15"/>
      <c r="F104" s="15"/>
      <c r="G104" s="15"/>
      <c r="H104" s="15"/>
      <c r="I104" s="16"/>
      <c r="J104" s="15"/>
      <c r="K104" s="15"/>
      <c r="L104" s="15"/>
      <c r="M104" s="15"/>
      <c r="N104" s="15"/>
      <c r="O104" s="17"/>
      <c r="P104" s="17"/>
      <c r="Q104" s="15"/>
    </row>
    <row r="105" spans="2:17" s="14" customFormat="1" ht="9">
      <c r="B105" s="15"/>
      <c r="C105" s="15"/>
      <c r="D105" s="15"/>
      <c r="E105" s="15"/>
      <c r="F105" s="15"/>
      <c r="G105" s="15"/>
      <c r="H105" s="15"/>
      <c r="I105" s="16"/>
      <c r="J105" s="15"/>
      <c r="K105" s="15"/>
      <c r="L105" s="15"/>
      <c r="M105" s="15"/>
      <c r="N105" s="15"/>
      <c r="O105" s="17"/>
      <c r="P105" s="17"/>
      <c r="Q105" s="15"/>
    </row>
    <row r="106" spans="2:17" s="14" customFormat="1" ht="9">
      <c r="B106" s="15"/>
      <c r="C106" s="15"/>
      <c r="D106" s="15"/>
      <c r="E106" s="15"/>
      <c r="F106" s="15"/>
      <c r="G106" s="15"/>
      <c r="H106" s="15"/>
      <c r="I106" s="16"/>
      <c r="J106" s="15"/>
      <c r="K106" s="15"/>
      <c r="L106" s="15"/>
      <c r="M106" s="15"/>
      <c r="N106" s="15"/>
      <c r="O106" s="17"/>
      <c r="P106" s="17"/>
      <c r="Q106" s="15"/>
    </row>
    <row r="107" spans="2:17" s="14" customFormat="1" ht="9">
      <c r="B107" s="15"/>
      <c r="C107" s="15"/>
      <c r="D107" s="15"/>
      <c r="E107" s="15"/>
      <c r="F107" s="15"/>
      <c r="G107" s="15"/>
      <c r="H107" s="15"/>
      <c r="I107" s="16"/>
      <c r="J107" s="15"/>
      <c r="K107" s="15"/>
      <c r="L107" s="15"/>
      <c r="M107" s="15"/>
      <c r="N107" s="15"/>
      <c r="O107" s="17"/>
      <c r="P107" s="17"/>
      <c r="Q107" s="15"/>
    </row>
    <row r="108" spans="2:17" s="14" customFormat="1" ht="9">
      <c r="B108" s="15"/>
      <c r="C108" s="15"/>
      <c r="D108" s="15"/>
      <c r="E108" s="15"/>
      <c r="F108" s="15"/>
      <c r="G108" s="15"/>
      <c r="H108" s="15"/>
      <c r="I108" s="16"/>
      <c r="J108" s="15"/>
      <c r="K108" s="15"/>
      <c r="L108" s="15"/>
      <c r="M108" s="15"/>
      <c r="N108" s="15"/>
      <c r="O108" s="17"/>
      <c r="P108" s="17"/>
      <c r="Q108" s="15"/>
    </row>
    <row r="109" spans="2:17" s="14" customFormat="1" ht="9">
      <c r="B109" s="15"/>
      <c r="C109" s="15"/>
      <c r="D109" s="15"/>
      <c r="E109" s="15"/>
      <c r="F109" s="15"/>
      <c r="G109" s="15"/>
      <c r="H109" s="15"/>
      <c r="I109" s="16"/>
      <c r="J109" s="15"/>
      <c r="K109" s="15"/>
      <c r="L109" s="15"/>
      <c r="M109" s="15"/>
      <c r="N109" s="15"/>
      <c r="O109" s="17"/>
      <c r="P109" s="17"/>
      <c r="Q109" s="15"/>
    </row>
    <row r="110" spans="2:17" s="14" customFormat="1" ht="9">
      <c r="B110" s="15"/>
      <c r="C110" s="15"/>
      <c r="D110" s="15"/>
      <c r="E110" s="15"/>
      <c r="F110" s="15"/>
      <c r="G110" s="15"/>
      <c r="H110" s="15"/>
      <c r="I110" s="16"/>
      <c r="J110" s="15"/>
      <c r="K110" s="15"/>
      <c r="L110" s="15"/>
      <c r="M110" s="15"/>
      <c r="N110" s="15"/>
      <c r="O110" s="17"/>
      <c r="P110" s="17"/>
      <c r="Q110" s="15"/>
    </row>
    <row r="111" spans="2:17" s="14" customFormat="1" ht="9">
      <c r="B111" s="15"/>
      <c r="C111" s="15"/>
      <c r="D111" s="15"/>
      <c r="E111" s="15"/>
      <c r="F111" s="15"/>
      <c r="G111" s="15"/>
      <c r="H111" s="15"/>
      <c r="I111" s="16"/>
      <c r="J111" s="15"/>
      <c r="K111" s="15"/>
      <c r="L111" s="15"/>
      <c r="M111" s="15"/>
      <c r="N111" s="15"/>
      <c r="O111" s="17"/>
      <c r="P111" s="17"/>
      <c r="Q111" s="15"/>
    </row>
    <row r="112" spans="2:17" s="14" customFormat="1" ht="9">
      <c r="B112" s="15"/>
      <c r="C112" s="15"/>
      <c r="D112" s="15"/>
      <c r="E112" s="15"/>
      <c r="F112" s="15"/>
      <c r="G112" s="15"/>
      <c r="H112" s="15"/>
      <c r="I112" s="16"/>
      <c r="J112" s="15"/>
      <c r="K112" s="15"/>
      <c r="L112" s="15"/>
      <c r="M112" s="15"/>
      <c r="N112" s="15"/>
      <c r="O112" s="17"/>
      <c r="P112" s="17"/>
      <c r="Q112" s="15"/>
    </row>
    <row r="113" spans="2:17" s="14" customFormat="1" ht="9">
      <c r="B113" s="15"/>
      <c r="C113" s="15"/>
      <c r="D113" s="15"/>
      <c r="E113" s="15"/>
      <c r="F113" s="15"/>
      <c r="G113" s="15"/>
      <c r="H113" s="15"/>
      <c r="I113" s="16"/>
      <c r="J113" s="15"/>
      <c r="K113" s="15"/>
      <c r="L113" s="15"/>
      <c r="M113" s="15"/>
      <c r="N113" s="15"/>
      <c r="O113" s="17"/>
      <c r="P113" s="17"/>
      <c r="Q113" s="15"/>
    </row>
    <row r="114" spans="2:17" s="14" customFormat="1" ht="9">
      <c r="B114" s="15"/>
      <c r="C114" s="15"/>
      <c r="D114" s="15"/>
      <c r="E114" s="15"/>
      <c r="F114" s="15"/>
      <c r="G114" s="15"/>
      <c r="H114" s="15"/>
      <c r="I114" s="16"/>
      <c r="J114" s="15"/>
      <c r="K114" s="15"/>
      <c r="L114" s="15"/>
      <c r="M114" s="15"/>
      <c r="N114" s="15"/>
      <c r="O114" s="17"/>
      <c r="P114" s="17"/>
      <c r="Q114" s="15"/>
    </row>
    <row r="115" spans="2:17" s="14" customFormat="1" ht="9">
      <c r="B115" s="15"/>
      <c r="C115" s="15"/>
      <c r="D115" s="15"/>
      <c r="E115" s="15"/>
      <c r="F115" s="15"/>
      <c r="G115" s="15"/>
      <c r="H115" s="15"/>
      <c r="I115" s="16"/>
      <c r="J115" s="15"/>
      <c r="K115" s="15"/>
      <c r="L115" s="15"/>
      <c r="M115" s="15"/>
      <c r="N115" s="15"/>
      <c r="O115" s="17"/>
      <c r="P115" s="17"/>
      <c r="Q115" s="15"/>
    </row>
    <row r="116" spans="2:17" s="14" customFormat="1" ht="9">
      <c r="B116" s="15"/>
      <c r="C116" s="15"/>
      <c r="D116" s="15"/>
      <c r="E116" s="15"/>
      <c r="F116" s="15"/>
      <c r="G116" s="15"/>
      <c r="H116" s="15"/>
      <c r="I116" s="16"/>
      <c r="J116" s="15"/>
      <c r="K116" s="15"/>
      <c r="L116" s="15"/>
      <c r="M116" s="15"/>
      <c r="N116" s="15"/>
      <c r="O116" s="17"/>
      <c r="P116" s="17"/>
      <c r="Q116" s="15"/>
    </row>
    <row r="117" spans="2:17" s="14" customFormat="1" ht="9">
      <c r="B117" s="15"/>
      <c r="C117" s="15"/>
      <c r="D117" s="15"/>
      <c r="E117" s="15"/>
      <c r="F117" s="15"/>
      <c r="G117" s="15"/>
      <c r="H117" s="15"/>
      <c r="I117" s="16"/>
      <c r="J117" s="15"/>
      <c r="K117" s="15"/>
      <c r="L117" s="15"/>
      <c r="M117" s="15"/>
      <c r="N117" s="15"/>
      <c r="O117" s="17"/>
      <c r="P117" s="17"/>
      <c r="Q117" s="15"/>
    </row>
    <row r="118" spans="2:17" s="14" customFormat="1" ht="9">
      <c r="B118" s="15"/>
      <c r="C118" s="15"/>
      <c r="D118" s="15"/>
      <c r="E118" s="15"/>
      <c r="F118" s="15"/>
      <c r="G118" s="15"/>
      <c r="H118" s="15"/>
      <c r="I118" s="16"/>
      <c r="J118" s="15"/>
      <c r="K118" s="15"/>
      <c r="L118" s="15"/>
      <c r="M118" s="15"/>
      <c r="N118" s="15"/>
      <c r="O118" s="17"/>
      <c r="P118" s="17"/>
      <c r="Q118" s="15"/>
    </row>
    <row r="119" spans="2:17" s="14" customFormat="1" ht="9">
      <c r="B119" s="15"/>
      <c r="C119" s="15"/>
      <c r="D119" s="15"/>
      <c r="E119" s="15"/>
      <c r="F119" s="15"/>
      <c r="G119" s="15"/>
      <c r="H119" s="15"/>
      <c r="I119" s="16"/>
      <c r="J119" s="15"/>
      <c r="K119" s="15"/>
      <c r="L119" s="15"/>
      <c r="M119" s="15"/>
      <c r="N119" s="15"/>
      <c r="O119" s="17"/>
      <c r="P119" s="17"/>
      <c r="Q119" s="15"/>
    </row>
    <row r="120" spans="2:17" s="14" customFormat="1" ht="9">
      <c r="B120" s="15"/>
      <c r="C120" s="15"/>
      <c r="D120" s="15"/>
      <c r="E120" s="15"/>
      <c r="F120" s="15"/>
      <c r="G120" s="15"/>
      <c r="H120" s="15"/>
      <c r="I120" s="16"/>
      <c r="J120" s="15"/>
      <c r="K120" s="15"/>
      <c r="L120" s="15"/>
      <c r="M120" s="15"/>
      <c r="N120" s="15"/>
      <c r="O120" s="17"/>
      <c r="P120" s="17"/>
      <c r="Q120" s="15"/>
    </row>
    <row r="121" spans="2:17">
      <c r="P121" s="17"/>
    </row>
  </sheetData>
  <mergeCells count="6">
    <mergeCell ref="A77:O77"/>
    <mergeCell ref="A1:Q1"/>
    <mergeCell ref="A2:Q2"/>
    <mergeCell ref="A72:Q72"/>
    <mergeCell ref="A70:O70"/>
    <mergeCell ref="A71:O71"/>
  </mergeCells>
  <phoneticPr fontId="7" type="noConversion"/>
  <pageMargins left="0.25" right="0.25" top="0.5" bottom="0.75" header="0.5" footer="0.5"/>
  <pageSetup scale="54" orientation="landscape"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U120"/>
  <sheetViews>
    <sheetView zoomScaleNormal="100" workbookViewId="0">
      <pane xSplit="1" ySplit="3" topLeftCell="B4" activePane="bottomRight" state="frozen"/>
      <selection activeCell="P31" sqref="P31"/>
      <selection pane="topRight" activeCell="P31" sqref="P31"/>
      <selection pane="bottomLeft" activeCell="P31" sqref="P31"/>
      <selection pane="bottomRight" activeCell="I8" sqref="I8"/>
    </sheetView>
  </sheetViews>
  <sheetFormatPr defaultRowHeight="11.25"/>
  <cols>
    <col min="1" max="1" width="36.5703125" style="1" customWidth="1"/>
    <col min="2" max="2" width="8.85546875" style="7" bestFit="1" customWidth="1"/>
    <col min="3" max="3" width="8" style="7" hidden="1" customWidth="1"/>
    <col min="4" max="4" width="8.42578125" style="7" bestFit="1" customWidth="1"/>
    <col min="5" max="5" width="8.85546875" style="7" bestFit="1" customWidth="1"/>
    <col min="6" max="6" width="7.42578125" style="7" customWidth="1"/>
    <col min="7" max="7" width="9.28515625" style="7" bestFit="1" customWidth="1"/>
    <col min="8" max="8" width="7.85546875" style="7" bestFit="1" customWidth="1"/>
    <col min="9" max="9" width="9.42578125" style="11" bestFit="1" customWidth="1"/>
    <col min="10" max="11" width="6.85546875" style="7" bestFit="1" customWidth="1"/>
    <col min="12" max="12" width="8.7109375" style="7" customWidth="1"/>
    <col min="13" max="13" width="7.85546875" style="7" hidden="1" customWidth="1"/>
    <col min="14" max="14" width="10.140625" style="7" customWidth="1"/>
    <col min="15" max="15" width="10.140625" style="8" bestFit="1" customWidth="1"/>
    <col min="16" max="16" width="10" style="8" bestFit="1" customWidth="1"/>
    <col min="17" max="17" width="3.7109375" style="7" customWidth="1"/>
    <col min="18" max="19" width="0" style="1" hidden="1" customWidth="1"/>
    <col min="20" max="20" width="11.140625" style="1" customWidth="1"/>
    <col min="21" max="21" width="8.5703125" style="1" customWidth="1"/>
    <col min="22" max="16384" width="9.140625" style="1"/>
  </cols>
  <sheetData>
    <row r="1" spans="1:21">
      <c r="A1" s="395" t="s">
        <v>180</v>
      </c>
      <c r="B1" s="395"/>
      <c r="C1" s="395"/>
      <c r="D1" s="395"/>
      <c r="E1" s="395"/>
      <c r="F1" s="395"/>
      <c r="G1" s="395"/>
      <c r="H1" s="395"/>
      <c r="I1" s="395"/>
      <c r="J1" s="395"/>
      <c r="K1" s="395"/>
      <c r="L1" s="395"/>
      <c r="M1" s="395"/>
      <c r="N1" s="395"/>
      <c r="O1" s="395"/>
      <c r="P1" s="395"/>
      <c r="Q1" s="395"/>
    </row>
    <row r="2" spans="1:21">
      <c r="A2" s="407" t="s">
        <v>464</v>
      </c>
      <c r="B2" s="407"/>
      <c r="C2" s="407"/>
      <c r="D2" s="407"/>
      <c r="E2" s="407"/>
      <c r="F2" s="407"/>
      <c r="G2" s="407"/>
      <c r="H2" s="407"/>
      <c r="I2" s="407"/>
      <c r="J2" s="407"/>
      <c r="K2" s="407"/>
      <c r="L2" s="407"/>
      <c r="M2" s="407"/>
      <c r="N2" s="407"/>
      <c r="O2" s="407"/>
      <c r="P2" s="407"/>
      <c r="Q2" s="407"/>
    </row>
    <row r="3" spans="1:21" s="3" customFormat="1" ht="63">
      <c r="A3" s="45" t="s">
        <v>392</v>
      </c>
      <c r="B3" s="12" t="s">
        <v>393</v>
      </c>
      <c r="C3" s="12" t="s">
        <v>430</v>
      </c>
      <c r="D3" s="12" t="s">
        <v>4</v>
      </c>
      <c r="E3" s="12" t="s">
        <v>6</v>
      </c>
      <c r="F3" s="12" t="s">
        <v>5</v>
      </c>
      <c r="G3" s="12" t="s">
        <v>176</v>
      </c>
      <c r="H3" s="12" t="s">
        <v>459</v>
      </c>
      <c r="I3" s="60" t="s">
        <v>460</v>
      </c>
      <c r="J3" s="13" t="s">
        <v>462</v>
      </c>
      <c r="K3" s="13" t="s">
        <v>463</v>
      </c>
      <c r="L3" s="13" t="s">
        <v>461</v>
      </c>
      <c r="M3" s="12" t="s">
        <v>391</v>
      </c>
      <c r="N3" s="12" t="s">
        <v>8</v>
      </c>
      <c r="O3" s="13" t="s">
        <v>9</v>
      </c>
      <c r="P3" s="13" t="s">
        <v>175</v>
      </c>
      <c r="Q3" s="28" t="s">
        <v>394</v>
      </c>
      <c r="R3" s="3" t="s">
        <v>307</v>
      </c>
      <c r="S3" s="3" t="s">
        <v>308</v>
      </c>
    </row>
    <row r="4" spans="1:21" s="6" customFormat="1" ht="9">
      <c r="A4" s="178" t="s">
        <v>405</v>
      </c>
      <c r="B4" s="179" t="s">
        <v>433</v>
      </c>
      <c r="C4" s="22"/>
      <c r="D4" s="38"/>
      <c r="E4" s="38"/>
      <c r="F4" s="38"/>
      <c r="G4" s="22"/>
      <c r="H4" s="22"/>
      <c r="I4" s="23"/>
      <c r="J4" s="23"/>
      <c r="K4" s="23"/>
      <c r="L4" s="23"/>
      <c r="M4" s="22"/>
      <c r="N4" s="38"/>
      <c r="O4" s="38"/>
      <c r="P4" s="38"/>
      <c r="Q4" s="237"/>
    </row>
    <row r="5" spans="1:21" s="6" customFormat="1" ht="9">
      <c r="A5" s="142" t="s">
        <v>406</v>
      </c>
      <c r="B5" s="44" t="s">
        <v>433</v>
      </c>
      <c r="C5" s="18"/>
      <c r="D5" s="39"/>
      <c r="E5" s="39"/>
      <c r="F5" s="39"/>
      <c r="G5" s="18"/>
      <c r="H5" s="18"/>
      <c r="I5" s="92"/>
      <c r="J5" s="92"/>
      <c r="K5" s="92"/>
      <c r="L5" s="92"/>
      <c r="M5" s="44"/>
      <c r="N5" s="52"/>
      <c r="O5" s="52"/>
      <c r="P5" s="52"/>
      <c r="Q5" s="94"/>
    </row>
    <row r="6" spans="1:21" s="6" customFormat="1" ht="9">
      <c r="A6" s="142" t="s">
        <v>407</v>
      </c>
      <c r="B6" s="44"/>
      <c r="C6" s="18"/>
      <c r="D6" s="39"/>
      <c r="E6" s="39"/>
      <c r="F6" s="39"/>
      <c r="G6" s="18"/>
      <c r="H6" s="18"/>
      <c r="I6" s="92"/>
      <c r="J6" s="92"/>
      <c r="K6" s="92"/>
      <c r="L6" s="92"/>
      <c r="M6" s="44"/>
      <c r="N6" s="52"/>
      <c r="O6" s="52"/>
      <c r="P6" s="52"/>
      <c r="Q6" s="94"/>
    </row>
    <row r="7" spans="1:21" s="6" customFormat="1" ht="9">
      <c r="A7" s="143" t="s">
        <v>408</v>
      </c>
      <c r="B7" s="44">
        <v>40</v>
      </c>
      <c r="C7" s="18"/>
      <c r="D7" s="39">
        <v>0</v>
      </c>
      <c r="E7" s="39">
        <v>0</v>
      </c>
      <c r="F7" s="39">
        <v>0</v>
      </c>
      <c r="G7" s="18">
        <v>1</v>
      </c>
      <c r="H7" s="18">
        <f>B7*G7</f>
        <v>40</v>
      </c>
      <c r="I7" s="91">
        <f>ROUND(SUM('Base Data'!$H$43:$H$45),0)</f>
        <v>58</v>
      </c>
      <c r="J7" s="92">
        <f>H7*I7</f>
        <v>2320</v>
      </c>
      <c r="K7" s="92">
        <f>J7*0.1</f>
        <v>232</v>
      </c>
      <c r="L7" s="91">
        <f>J7*0.05</f>
        <v>116</v>
      </c>
      <c r="M7" s="44">
        <f>C7*G7*I7</f>
        <v>0</v>
      </c>
      <c r="N7" s="52">
        <f>(J7*'Base Data'!$C$5)+(K7*'Base Data'!$C$6)+(L7*'Base Data'!$C$7)</f>
        <v>252363.8</v>
      </c>
      <c r="O7" s="52">
        <f>(D7+E7+F7)*G7*I7</f>
        <v>0</v>
      </c>
      <c r="P7" s="92">
        <f>G7*I7</f>
        <v>58</v>
      </c>
      <c r="Q7" s="94" t="s">
        <v>387</v>
      </c>
    </row>
    <row r="8" spans="1:21" s="6" customFormat="1" ht="9">
      <c r="A8" s="142" t="s">
        <v>409</v>
      </c>
      <c r="B8" s="44"/>
      <c r="C8" s="18"/>
      <c r="D8" s="39"/>
      <c r="E8" s="39"/>
      <c r="F8" s="39"/>
      <c r="G8" s="18"/>
      <c r="H8" s="18"/>
      <c r="I8" s="92"/>
      <c r="J8" s="92"/>
      <c r="K8" s="92"/>
      <c r="L8" s="92"/>
      <c r="M8" s="44"/>
      <c r="N8" s="52"/>
      <c r="O8" s="52"/>
      <c r="P8" s="52"/>
      <c r="Q8" s="94"/>
      <c r="U8" s="30"/>
    </row>
    <row r="9" spans="1:21" s="6" customFormat="1" ht="9">
      <c r="A9" s="143" t="s">
        <v>423</v>
      </c>
      <c r="B9" s="44"/>
      <c r="C9" s="44"/>
      <c r="D9" s="95"/>
      <c r="E9" s="52"/>
      <c r="F9" s="52"/>
      <c r="G9" s="44"/>
      <c r="H9" s="44"/>
      <c r="I9" s="91"/>
      <c r="J9" s="92"/>
      <c r="K9" s="92"/>
      <c r="L9" s="92"/>
      <c r="M9" s="93"/>
      <c r="N9" s="52"/>
      <c r="O9" s="52"/>
      <c r="P9" s="52"/>
      <c r="Q9" s="94"/>
      <c r="U9" s="30"/>
    </row>
    <row r="10" spans="1:21" s="6" customFormat="1" ht="9">
      <c r="A10" s="142" t="s">
        <v>274</v>
      </c>
      <c r="B10" s="44">
        <v>20</v>
      </c>
      <c r="C10" s="18"/>
      <c r="D10" s="39">
        <v>854</v>
      </c>
      <c r="E10" s="39">
        <v>0</v>
      </c>
      <c r="F10" s="39">
        <v>0</v>
      </c>
      <c r="G10" s="18">
        <v>1</v>
      </c>
      <c r="H10" s="18">
        <f>B10*G10</f>
        <v>20</v>
      </c>
      <c r="I10" s="91">
        <v>0</v>
      </c>
      <c r="J10" s="92">
        <f>H10*I10</f>
        <v>0</v>
      </c>
      <c r="K10" s="92">
        <f>J10*0.1</f>
        <v>0</v>
      </c>
      <c r="L10" s="92">
        <f>J10*0.05</f>
        <v>0</v>
      </c>
      <c r="M10" s="93">
        <f>C10*G10*I10</f>
        <v>0</v>
      </c>
      <c r="N10" s="52">
        <f>(J10*'Base Data'!$C$5)+(K10*'Base Data'!$C$6)+(L10*'Base Data'!$C$7)</f>
        <v>0</v>
      </c>
      <c r="O10" s="52">
        <f>(D10+E10+F10)*G10*I10</f>
        <v>0</v>
      </c>
      <c r="P10" s="92">
        <v>0</v>
      </c>
      <c r="Q10" s="94" t="s">
        <v>440</v>
      </c>
      <c r="U10" s="30"/>
    </row>
    <row r="11" spans="1:21" s="6" customFormat="1" ht="9">
      <c r="A11" s="142" t="s">
        <v>276</v>
      </c>
      <c r="B11" s="44">
        <v>20</v>
      </c>
      <c r="C11" s="18"/>
      <c r="D11" s="39">
        <v>18292</v>
      </c>
      <c r="E11" s="39">
        <v>0</v>
      </c>
      <c r="F11" s="39">
        <v>0</v>
      </c>
      <c r="G11" s="18">
        <v>1</v>
      </c>
      <c r="H11" s="18">
        <f>B11*G11</f>
        <v>20</v>
      </c>
      <c r="I11" s="91">
        <v>0</v>
      </c>
      <c r="J11" s="92">
        <f>H11*I11</f>
        <v>0</v>
      </c>
      <c r="K11" s="92">
        <f>J11*0.1</f>
        <v>0</v>
      </c>
      <c r="L11" s="92">
        <f>J11*0.05</f>
        <v>0</v>
      </c>
      <c r="M11" s="93">
        <f>C11*G11*I11</f>
        <v>0</v>
      </c>
      <c r="N11" s="52">
        <f>(J11*'Base Data'!$C$5)+(K11*'Base Data'!$C$6)+(L11*'Base Data'!$C$7)</f>
        <v>0</v>
      </c>
      <c r="O11" s="52">
        <f>(D11+E11+F11)*G11*I11</f>
        <v>0</v>
      </c>
      <c r="P11" s="92">
        <v>0</v>
      </c>
      <c r="Q11" s="94" t="s">
        <v>440</v>
      </c>
      <c r="U11" s="30"/>
    </row>
    <row r="12" spans="1:21" s="6" customFormat="1" ht="9">
      <c r="A12" s="143" t="s">
        <v>357</v>
      </c>
      <c r="B12" s="44">
        <v>12</v>
      </c>
      <c r="C12" s="18"/>
      <c r="D12" s="39">
        <v>0</v>
      </c>
      <c r="E12" s="39">
        <f>'Testing Costs'!$B$13</f>
        <v>5000</v>
      </c>
      <c r="F12" s="39">
        <v>0</v>
      </c>
      <c r="G12" s="18">
        <v>1</v>
      </c>
      <c r="H12" s="18">
        <f t="shared" ref="H12:H24" si="0">B12*G12</f>
        <v>12</v>
      </c>
      <c r="I12" s="91">
        <v>0</v>
      </c>
      <c r="J12" s="92">
        <f t="shared" ref="J12:J24" si="1">H12*I12</f>
        <v>0</v>
      </c>
      <c r="K12" s="92">
        <f t="shared" ref="K12:K24" si="2">J12*0.1</f>
        <v>0</v>
      </c>
      <c r="L12" s="92">
        <f t="shared" ref="L12:L24" si="3">J12*0.05</f>
        <v>0</v>
      </c>
      <c r="M12" s="93"/>
      <c r="N12" s="52">
        <f>(J12*'Base Data'!$C$5)+(K12*'Base Data'!$C$6)+(L12*'Base Data'!$C$7)</f>
        <v>0</v>
      </c>
      <c r="O12" s="52">
        <f t="shared" ref="O12:O24" si="4">(D12+E12+F12)*G12*I12</f>
        <v>0</v>
      </c>
      <c r="P12" s="92">
        <v>0</v>
      </c>
      <c r="Q12" s="94" t="s">
        <v>91</v>
      </c>
      <c r="U12" s="30"/>
    </row>
    <row r="13" spans="1:21" s="6" customFormat="1" ht="9">
      <c r="A13" s="143" t="s">
        <v>358</v>
      </c>
      <c r="B13" s="44">
        <v>12</v>
      </c>
      <c r="C13" s="18"/>
      <c r="D13" s="39">
        <v>0</v>
      </c>
      <c r="E13" s="39">
        <f>'Testing Costs'!$B$17</f>
        <v>8000</v>
      </c>
      <c r="F13" s="39">
        <v>0</v>
      </c>
      <c r="G13" s="18">
        <v>1</v>
      </c>
      <c r="H13" s="18">
        <f t="shared" si="0"/>
        <v>12</v>
      </c>
      <c r="I13" s="91">
        <v>0</v>
      </c>
      <c r="J13" s="92">
        <f t="shared" si="1"/>
        <v>0</v>
      </c>
      <c r="K13" s="92">
        <f t="shared" si="2"/>
        <v>0</v>
      </c>
      <c r="L13" s="92">
        <f t="shared" si="3"/>
        <v>0</v>
      </c>
      <c r="M13" s="93"/>
      <c r="N13" s="52">
        <f>(J13*'Base Data'!$C$5)+(K13*'Base Data'!$C$6)+(L13*'Base Data'!$C$7)</f>
        <v>0</v>
      </c>
      <c r="O13" s="52">
        <f t="shared" si="4"/>
        <v>0</v>
      </c>
      <c r="P13" s="92">
        <v>0</v>
      </c>
      <c r="Q13" s="94" t="s">
        <v>388</v>
      </c>
      <c r="U13" s="30"/>
    </row>
    <row r="14" spans="1:21" s="6" customFormat="1" ht="9">
      <c r="A14" s="143" t="s">
        <v>359</v>
      </c>
      <c r="B14" s="44">
        <v>12</v>
      </c>
      <c r="C14" s="18"/>
      <c r="D14" s="39">
        <v>0</v>
      </c>
      <c r="E14" s="39">
        <f>'Testing Costs'!$B$15</f>
        <v>8000</v>
      </c>
      <c r="F14" s="39">
        <v>0</v>
      </c>
      <c r="G14" s="18">
        <v>1</v>
      </c>
      <c r="H14" s="18">
        <f t="shared" si="0"/>
        <v>12</v>
      </c>
      <c r="I14" s="91">
        <v>0</v>
      </c>
      <c r="J14" s="92">
        <f t="shared" si="1"/>
        <v>0</v>
      </c>
      <c r="K14" s="92">
        <f t="shared" si="2"/>
        <v>0</v>
      </c>
      <c r="L14" s="92">
        <f t="shared" si="3"/>
        <v>0</v>
      </c>
      <c r="M14" s="93"/>
      <c r="N14" s="52">
        <f>(J14*'Base Data'!$C$5)+(K14*'Base Data'!$C$6)+(L14*'Base Data'!$C$7)</f>
        <v>0</v>
      </c>
      <c r="O14" s="52">
        <f t="shared" si="4"/>
        <v>0</v>
      </c>
      <c r="P14" s="92">
        <v>0</v>
      </c>
      <c r="Q14" s="94" t="s">
        <v>388</v>
      </c>
      <c r="U14" s="30"/>
    </row>
    <row r="15" spans="1:21" s="6" customFormat="1" ht="9">
      <c r="A15" s="143" t="s">
        <v>198</v>
      </c>
      <c r="B15" s="44">
        <v>12</v>
      </c>
      <c r="C15" s="18"/>
      <c r="D15" s="39">
        <v>0</v>
      </c>
      <c r="E15" s="39">
        <f>'Testing Costs'!$B$14</f>
        <v>7000</v>
      </c>
      <c r="F15" s="39">
        <v>0</v>
      </c>
      <c r="G15" s="18">
        <v>1</v>
      </c>
      <c r="H15" s="18">
        <f t="shared" si="0"/>
        <v>12</v>
      </c>
      <c r="I15" s="91">
        <v>0</v>
      </c>
      <c r="J15" s="92">
        <f t="shared" si="1"/>
        <v>0</v>
      </c>
      <c r="K15" s="92">
        <f t="shared" si="2"/>
        <v>0</v>
      </c>
      <c r="L15" s="92">
        <f t="shared" si="3"/>
        <v>0</v>
      </c>
      <c r="M15" s="93"/>
      <c r="N15" s="52">
        <f>(J15*'Base Data'!$C$5)+(K15*'Base Data'!$C$6)+(L15*'Base Data'!$C$7)</f>
        <v>0</v>
      </c>
      <c r="O15" s="52">
        <f t="shared" si="4"/>
        <v>0</v>
      </c>
      <c r="P15" s="92">
        <v>0</v>
      </c>
      <c r="Q15" s="94" t="s">
        <v>388</v>
      </c>
      <c r="U15" s="30"/>
    </row>
    <row r="16" spans="1:21" s="6" customFormat="1" ht="9">
      <c r="A16" s="143" t="s">
        <v>365</v>
      </c>
      <c r="B16" s="44">
        <v>12</v>
      </c>
      <c r="C16" s="18"/>
      <c r="D16" s="39">
        <v>0</v>
      </c>
      <c r="E16" s="39">
        <f>'Testing Costs'!$B$16</f>
        <v>16000</v>
      </c>
      <c r="F16" s="39">
        <v>0</v>
      </c>
      <c r="G16" s="18">
        <v>1</v>
      </c>
      <c r="H16" s="18">
        <f t="shared" si="0"/>
        <v>12</v>
      </c>
      <c r="I16" s="91">
        <v>0</v>
      </c>
      <c r="J16" s="92">
        <f t="shared" si="1"/>
        <v>0</v>
      </c>
      <c r="K16" s="92">
        <f t="shared" si="2"/>
        <v>0</v>
      </c>
      <c r="L16" s="92">
        <f t="shared" si="3"/>
        <v>0</v>
      </c>
      <c r="M16" s="93"/>
      <c r="N16" s="52">
        <f>(J16*'Base Data'!$C$5)+(K16*'Base Data'!$C$6)+(L16*'Base Data'!$C$7)</f>
        <v>0</v>
      </c>
      <c r="O16" s="52">
        <f t="shared" si="4"/>
        <v>0</v>
      </c>
      <c r="P16" s="92">
        <v>0</v>
      </c>
      <c r="Q16" s="94" t="s">
        <v>388</v>
      </c>
      <c r="U16" s="30"/>
    </row>
    <row r="17" spans="1:21" s="6" customFormat="1" ht="9" customHeight="1">
      <c r="A17" s="143" t="s">
        <v>264</v>
      </c>
      <c r="B17" s="44">
        <v>12</v>
      </c>
      <c r="C17" s="18"/>
      <c r="D17" s="39">
        <v>0</v>
      </c>
      <c r="E17" s="39">
        <f>'Testing Costs'!$B$13</f>
        <v>5000</v>
      </c>
      <c r="F17" s="39">
        <v>0</v>
      </c>
      <c r="G17" s="18">
        <v>1</v>
      </c>
      <c r="H17" s="18">
        <f t="shared" si="0"/>
        <v>12</v>
      </c>
      <c r="I17" s="91">
        <v>0</v>
      </c>
      <c r="J17" s="92">
        <f t="shared" si="1"/>
        <v>0</v>
      </c>
      <c r="K17" s="92">
        <f t="shared" si="2"/>
        <v>0</v>
      </c>
      <c r="L17" s="92">
        <f t="shared" si="3"/>
        <v>0</v>
      </c>
      <c r="M17" s="93"/>
      <c r="N17" s="52">
        <f>(J17*'Base Data'!$C$5)+(K17*'Base Data'!$C$6)+(L17*'Base Data'!$C$7)</f>
        <v>0</v>
      </c>
      <c r="O17" s="52">
        <f t="shared" si="4"/>
        <v>0</v>
      </c>
      <c r="P17" s="92">
        <v>0</v>
      </c>
      <c r="Q17" s="94" t="s">
        <v>548</v>
      </c>
      <c r="U17" s="30"/>
    </row>
    <row r="18" spans="1:21" s="6" customFormat="1" ht="9">
      <c r="A18" s="143" t="s">
        <v>265</v>
      </c>
      <c r="B18" s="44">
        <v>12</v>
      </c>
      <c r="C18" s="18"/>
      <c r="D18" s="39">
        <v>0</v>
      </c>
      <c r="E18" s="39">
        <f>'Testing Costs'!$B$17</f>
        <v>8000</v>
      </c>
      <c r="F18" s="39">
        <v>0</v>
      </c>
      <c r="G18" s="18">
        <v>1</v>
      </c>
      <c r="H18" s="18">
        <f t="shared" si="0"/>
        <v>12</v>
      </c>
      <c r="I18" s="91">
        <v>0</v>
      </c>
      <c r="J18" s="92">
        <f t="shared" si="1"/>
        <v>0</v>
      </c>
      <c r="K18" s="92">
        <f t="shared" si="2"/>
        <v>0</v>
      </c>
      <c r="L18" s="92">
        <f t="shared" si="3"/>
        <v>0</v>
      </c>
      <c r="M18" s="93"/>
      <c r="N18" s="52">
        <f>(J18*'Base Data'!$C$5)+(K18*'Base Data'!$C$6)+(L18*'Base Data'!$C$7)</f>
        <v>0</v>
      </c>
      <c r="O18" s="52">
        <f t="shared" si="4"/>
        <v>0</v>
      </c>
      <c r="P18" s="92">
        <v>0</v>
      </c>
      <c r="Q18" s="94" t="s">
        <v>368</v>
      </c>
      <c r="U18" s="30"/>
    </row>
    <row r="19" spans="1:21" s="6" customFormat="1" ht="9">
      <c r="A19" s="143" t="s">
        <v>266</v>
      </c>
      <c r="B19" s="44">
        <v>12</v>
      </c>
      <c r="C19" s="18"/>
      <c r="D19" s="39">
        <v>0</v>
      </c>
      <c r="E19" s="39">
        <f>'Testing Costs'!$B$15</f>
        <v>8000</v>
      </c>
      <c r="F19" s="39">
        <v>0</v>
      </c>
      <c r="G19" s="18">
        <v>1</v>
      </c>
      <c r="H19" s="18">
        <f t="shared" si="0"/>
        <v>12</v>
      </c>
      <c r="I19" s="91">
        <v>0</v>
      </c>
      <c r="J19" s="92">
        <f t="shared" si="1"/>
        <v>0</v>
      </c>
      <c r="K19" s="92">
        <f t="shared" si="2"/>
        <v>0</v>
      </c>
      <c r="L19" s="92">
        <f t="shared" si="3"/>
        <v>0</v>
      </c>
      <c r="M19" s="93"/>
      <c r="N19" s="52">
        <f>(J19*'Base Data'!$C$5)+(K19*'Base Data'!$C$6)+(L19*'Base Data'!$C$7)</f>
        <v>0</v>
      </c>
      <c r="O19" s="52">
        <f t="shared" si="4"/>
        <v>0</v>
      </c>
      <c r="P19" s="92">
        <v>0</v>
      </c>
      <c r="Q19" s="94" t="s">
        <v>368</v>
      </c>
      <c r="U19" s="30"/>
    </row>
    <row r="20" spans="1:21" s="6" customFormat="1" ht="9">
      <c r="A20" s="143" t="s">
        <v>199</v>
      </c>
      <c r="B20" s="44">
        <v>12</v>
      </c>
      <c r="C20" s="18"/>
      <c r="D20" s="39">
        <v>0</v>
      </c>
      <c r="E20" s="39">
        <f>'Testing Costs'!$B$14</f>
        <v>7000</v>
      </c>
      <c r="F20" s="39">
        <v>0</v>
      </c>
      <c r="G20" s="18">
        <v>1</v>
      </c>
      <c r="H20" s="18">
        <f t="shared" si="0"/>
        <v>12</v>
      </c>
      <c r="I20" s="91">
        <v>0</v>
      </c>
      <c r="J20" s="92">
        <f t="shared" si="1"/>
        <v>0</v>
      </c>
      <c r="K20" s="92">
        <f t="shared" si="2"/>
        <v>0</v>
      </c>
      <c r="L20" s="92">
        <f t="shared" si="3"/>
        <v>0</v>
      </c>
      <c r="M20" s="93"/>
      <c r="N20" s="52">
        <f>(J20*'Base Data'!$C$5)+(K20*'Base Data'!$C$6)+(L20*'Base Data'!$C$7)</f>
        <v>0</v>
      </c>
      <c r="O20" s="52">
        <f t="shared" si="4"/>
        <v>0</v>
      </c>
      <c r="P20" s="92">
        <v>0</v>
      </c>
      <c r="Q20" s="94" t="s">
        <v>368</v>
      </c>
      <c r="U20" s="30"/>
    </row>
    <row r="21" spans="1:21" s="6" customFormat="1" ht="9">
      <c r="A21" s="143" t="s">
        <v>267</v>
      </c>
      <c r="B21" s="44">
        <v>12</v>
      </c>
      <c r="C21" s="18"/>
      <c r="D21" s="39">
        <v>0</v>
      </c>
      <c r="E21" s="39">
        <f>'Testing Costs'!$B$16</f>
        <v>16000</v>
      </c>
      <c r="F21" s="39">
        <v>0</v>
      </c>
      <c r="G21" s="18">
        <v>1</v>
      </c>
      <c r="H21" s="18">
        <f t="shared" si="0"/>
        <v>12</v>
      </c>
      <c r="I21" s="91">
        <v>0</v>
      </c>
      <c r="J21" s="92">
        <f t="shared" si="1"/>
        <v>0</v>
      </c>
      <c r="K21" s="92">
        <f t="shared" si="2"/>
        <v>0</v>
      </c>
      <c r="L21" s="92">
        <f t="shared" si="3"/>
        <v>0</v>
      </c>
      <c r="M21" s="93"/>
      <c r="N21" s="52">
        <f>(J21*'Base Data'!$C$5)+(K21*'Base Data'!$C$6)+(L21*'Base Data'!$C$7)</f>
        <v>0</v>
      </c>
      <c r="O21" s="52">
        <f t="shared" si="4"/>
        <v>0</v>
      </c>
      <c r="P21" s="92">
        <v>0</v>
      </c>
      <c r="Q21" s="94" t="s">
        <v>368</v>
      </c>
      <c r="U21" s="30"/>
    </row>
    <row r="22" spans="1:21" s="6" customFormat="1" ht="18.75" customHeight="1">
      <c r="A22" s="332" t="s">
        <v>481</v>
      </c>
      <c r="B22" s="44">
        <v>24</v>
      </c>
      <c r="C22" s="331"/>
      <c r="D22" s="52">
        <v>0</v>
      </c>
      <c r="E22" s="52">
        <f>$E$13+$E$14</f>
        <v>16000</v>
      </c>
      <c r="F22" s="39">
        <v>0</v>
      </c>
      <c r="G22" s="18">
        <v>1</v>
      </c>
      <c r="H22" s="18">
        <f t="shared" si="0"/>
        <v>24</v>
      </c>
      <c r="I22" s="91">
        <v>0</v>
      </c>
      <c r="J22" s="92">
        <f t="shared" si="1"/>
        <v>0</v>
      </c>
      <c r="K22" s="92">
        <f t="shared" si="2"/>
        <v>0</v>
      </c>
      <c r="L22" s="92">
        <f t="shared" si="3"/>
        <v>0</v>
      </c>
      <c r="M22" s="93"/>
      <c r="N22" s="52">
        <f>(J22*'Base Data'!$C$5)+(K22*'Base Data'!$C$6)+(L22*'Base Data'!$C$7)</f>
        <v>0</v>
      </c>
      <c r="O22" s="52">
        <f t="shared" si="4"/>
        <v>0</v>
      </c>
      <c r="P22" s="92">
        <v>0</v>
      </c>
      <c r="Q22" s="94" t="s">
        <v>92</v>
      </c>
    </row>
    <row r="23" spans="1:21" s="6" customFormat="1" ht="9" customHeight="1">
      <c r="A23" s="143" t="s">
        <v>483</v>
      </c>
      <c r="B23" s="44">
        <v>5</v>
      </c>
      <c r="C23" s="18"/>
      <c r="D23" s="39">
        <v>0</v>
      </c>
      <c r="E23" s="39">
        <v>400</v>
      </c>
      <c r="F23" s="39">
        <v>0</v>
      </c>
      <c r="G23" s="18">
        <v>1</v>
      </c>
      <c r="H23" s="18">
        <f t="shared" si="0"/>
        <v>5</v>
      </c>
      <c r="I23" s="91">
        <v>0</v>
      </c>
      <c r="J23" s="92">
        <f t="shared" si="1"/>
        <v>0</v>
      </c>
      <c r="K23" s="92">
        <f t="shared" si="2"/>
        <v>0</v>
      </c>
      <c r="L23" s="92">
        <f t="shared" si="3"/>
        <v>0</v>
      </c>
      <c r="M23" s="93"/>
      <c r="N23" s="52">
        <f>(J23*'Base Data'!$C$5)+(K23*'Base Data'!$C$6)+(L23*'Base Data'!$C$7)</f>
        <v>0</v>
      </c>
      <c r="O23" s="52">
        <f t="shared" si="4"/>
        <v>0</v>
      </c>
      <c r="P23" s="92">
        <v>0</v>
      </c>
      <c r="Q23" s="94" t="s">
        <v>90</v>
      </c>
      <c r="U23" s="30"/>
    </row>
    <row r="24" spans="1:21" s="6" customFormat="1" ht="9" customHeight="1">
      <c r="A24" s="143" t="s">
        <v>484</v>
      </c>
      <c r="B24" s="44">
        <v>5</v>
      </c>
      <c r="C24" s="18"/>
      <c r="D24" s="39">
        <v>0</v>
      </c>
      <c r="E24" s="39">
        <v>400</v>
      </c>
      <c r="F24" s="39">
        <v>0</v>
      </c>
      <c r="G24" s="18">
        <v>12</v>
      </c>
      <c r="H24" s="18">
        <f t="shared" si="0"/>
        <v>60</v>
      </c>
      <c r="I24" s="91">
        <v>0</v>
      </c>
      <c r="J24" s="92">
        <f t="shared" si="1"/>
        <v>0</v>
      </c>
      <c r="K24" s="92">
        <f t="shared" si="2"/>
        <v>0</v>
      </c>
      <c r="L24" s="92">
        <f t="shared" si="3"/>
        <v>0</v>
      </c>
      <c r="M24" s="93"/>
      <c r="N24" s="52">
        <f>(J24*'Base Data'!$C$5)+(K24*'Base Data'!$C$6)+(L24*'Base Data'!$C$7)</f>
        <v>0</v>
      </c>
      <c r="O24" s="52">
        <f t="shared" si="4"/>
        <v>0</v>
      </c>
      <c r="P24" s="92">
        <v>0</v>
      </c>
      <c r="Q24" s="94" t="s">
        <v>90</v>
      </c>
      <c r="U24" s="30"/>
    </row>
    <row r="25" spans="1:21" s="6" customFormat="1" ht="9">
      <c r="A25" s="143" t="s">
        <v>485</v>
      </c>
      <c r="B25" s="44"/>
      <c r="C25" s="18"/>
      <c r="D25" s="39"/>
      <c r="E25" s="39"/>
      <c r="F25" s="39"/>
      <c r="G25" s="18"/>
      <c r="H25" s="18"/>
      <c r="I25" s="92"/>
      <c r="J25" s="92"/>
      <c r="K25" s="92"/>
      <c r="L25" s="92"/>
      <c r="M25" s="93"/>
      <c r="N25" s="52"/>
      <c r="O25" s="52"/>
      <c r="P25" s="92"/>
      <c r="Q25" s="94"/>
      <c r="U25" s="30"/>
    </row>
    <row r="26" spans="1:21" s="6" customFormat="1" ht="9">
      <c r="A26" s="143" t="s">
        <v>432</v>
      </c>
      <c r="B26" s="44">
        <v>40</v>
      </c>
      <c r="C26" s="18"/>
      <c r="D26" s="39">
        <v>0</v>
      </c>
      <c r="E26" s="39"/>
      <c r="F26" s="39">
        <v>0</v>
      </c>
      <c r="G26" s="18">
        <v>1</v>
      </c>
      <c r="H26" s="18">
        <f>B26*G26</f>
        <v>40</v>
      </c>
      <c r="I26" s="91">
        <v>0</v>
      </c>
      <c r="J26" s="92">
        <f>H26*I26</f>
        <v>0</v>
      </c>
      <c r="K26" s="92">
        <f>J26*0.1</f>
        <v>0</v>
      </c>
      <c r="L26" s="92">
        <f>J26*0.05</f>
        <v>0</v>
      </c>
      <c r="M26" s="93"/>
      <c r="N26" s="52">
        <f>(J26*'Base Data'!$C$5)+(K26*'Base Data'!$C$6)+(L26*'Base Data'!$C$7)</f>
        <v>0</v>
      </c>
      <c r="O26" s="52">
        <f>(D26+E26+F26)*G26*I26</f>
        <v>0</v>
      </c>
      <c r="P26" s="92">
        <v>0</v>
      </c>
      <c r="Q26" s="94" t="s">
        <v>388</v>
      </c>
      <c r="U26" s="30"/>
    </row>
    <row r="27" spans="1:21" s="6" customFormat="1" ht="9">
      <c r="A27" s="142" t="s">
        <v>410</v>
      </c>
      <c r="B27" s="44"/>
      <c r="C27" s="18"/>
      <c r="D27" s="39"/>
      <c r="E27" s="39"/>
      <c r="F27" s="39"/>
      <c r="G27" s="18"/>
      <c r="H27" s="18"/>
      <c r="I27" s="92"/>
      <c r="J27" s="92"/>
      <c r="K27" s="92"/>
      <c r="L27" s="92"/>
      <c r="M27" s="93"/>
      <c r="N27" s="52"/>
      <c r="O27" s="52"/>
      <c r="P27" s="92"/>
      <c r="Q27" s="94"/>
      <c r="U27" s="30"/>
    </row>
    <row r="28" spans="1:21" s="6" customFormat="1" ht="9">
      <c r="A28" s="142" t="s">
        <v>411</v>
      </c>
      <c r="B28" s="44">
        <v>10</v>
      </c>
      <c r="C28" s="18"/>
      <c r="D28" s="39">
        <v>0</v>
      </c>
      <c r="E28" s="39">
        <v>0</v>
      </c>
      <c r="F28" s="39">
        <v>43100</v>
      </c>
      <c r="G28" s="18">
        <v>1</v>
      </c>
      <c r="H28" s="18">
        <f>B28*G28</f>
        <v>10</v>
      </c>
      <c r="I28" s="91">
        <v>0</v>
      </c>
      <c r="J28" s="92">
        <f>H28*I28</f>
        <v>0</v>
      </c>
      <c r="K28" s="92">
        <f>J28*0.1</f>
        <v>0</v>
      </c>
      <c r="L28" s="92">
        <f>J28*0.05</f>
        <v>0</v>
      </c>
      <c r="M28" s="93"/>
      <c r="N28" s="52">
        <f>(J28*'Base Data'!$C$5)+(K28*'Base Data'!$C$6)+(L28*'Base Data'!$C$7)</f>
        <v>0</v>
      </c>
      <c r="O28" s="52">
        <f>(D28+E28+F28)*G28*I28</f>
        <v>0</v>
      </c>
      <c r="P28" s="92">
        <v>0</v>
      </c>
      <c r="Q28" s="94" t="s">
        <v>388</v>
      </c>
      <c r="U28" s="30"/>
    </row>
    <row r="29" spans="1:21" s="6" customFormat="1" ht="9">
      <c r="A29" s="142" t="s">
        <v>414</v>
      </c>
      <c r="B29" s="44">
        <v>10</v>
      </c>
      <c r="C29" s="18"/>
      <c r="D29" s="39">
        <v>0</v>
      </c>
      <c r="E29" s="39">
        <v>0</v>
      </c>
      <c r="F29" s="39">
        <v>14700</v>
      </c>
      <c r="G29" s="18">
        <v>1</v>
      </c>
      <c r="H29" s="18">
        <f>B29*G29</f>
        <v>10</v>
      </c>
      <c r="I29" s="91">
        <v>0</v>
      </c>
      <c r="J29" s="92">
        <f>H29*I29</f>
        <v>0</v>
      </c>
      <c r="K29" s="92">
        <f>J29*0.1</f>
        <v>0</v>
      </c>
      <c r="L29" s="92">
        <f>J29*0.05</f>
        <v>0</v>
      </c>
      <c r="M29" s="93"/>
      <c r="N29" s="52">
        <f>(J29*'Base Data'!$C$5)+(K29*'Base Data'!$C$6)+(L29*'Base Data'!$C$7)</f>
        <v>0</v>
      </c>
      <c r="O29" s="52">
        <f>(D29+E29+F29)*G29*I29</f>
        <v>0</v>
      </c>
      <c r="P29" s="92">
        <v>0</v>
      </c>
      <c r="Q29" s="94" t="s">
        <v>388</v>
      </c>
      <c r="U29" s="30"/>
    </row>
    <row r="30" spans="1:21" s="6" customFormat="1" ht="9">
      <c r="A30" s="142" t="s">
        <v>356</v>
      </c>
      <c r="B30" s="44"/>
      <c r="C30" s="18"/>
      <c r="D30" s="39"/>
      <c r="E30" s="39"/>
      <c r="F30" s="39"/>
      <c r="G30" s="18"/>
      <c r="H30" s="18"/>
      <c r="I30" s="92"/>
      <c r="J30" s="92"/>
      <c r="K30" s="92"/>
      <c r="L30" s="92"/>
      <c r="M30" s="93"/>
      <c r="N30" s="52"/>
      <c r="O30" s="52"/>
      <c r="P30" s="92"/>
      <c r="Q30" s="94"/>
      <c r="U30" s="30"/>
    </row>
    <row r="31" spans="1:21" s="6" customFormat="1" ht="9">
      <c r="A31" s="142" t="s">
        <v>411</v>
      </c>
      <c r="B31" s="44">
        <v>10</v>
      </c>
      <c r="C31" s="18"/>
      <c r="D31" s="39">
        <v>0</v>
      </c>
      <c r="E31" s="39">
        <v>0</v>
      </c>
      <c r="F31" s="39">
        <v>158000</v>
      </c>
      <c r="G31" s="18">
        <v>1</v>
      </c>
      <c r="H31" s="18">
        <f>B31*G31</f>
        <v>10</v>
      </c>
      <c r="I31" s="91">
        <v>0</v>
      </c>
      <c r="J31" s="92">
        <f>H31*I31</f>
        <v>0</v>
      </c>
      <c r="K31" s="92">
        <f>J31*0.1</f>
        <v>0</v>
      </c>
      <c r="L31" s="92">
        <f>J31*0.05</f>
        <v>0</v>
      </c>
      <c r="M31" s="93"/>
      <c r="N31" s="52">
        <f>(J31*'Base Data'!$C$5)+(K31*'Base Data'!$C$6)+(L31*'Base Data'!$C$7)</f>
        <v>0</v>
      </c>
      <c r="O31" s="52">
        <f>(D31+E31+F31)*G31*I31</f>
        <v>0</v>
      </c>
      <c r="P31" s="92">
        <v>0</v>
      </c>
      <c r="Q31" s="94" t="s">
        <v>388</v>
      </c>
      <c r="U31" s="30"/>
    </row>
    <row r="32" spans="1:21" s="6" customFormat="1" ht="9">
      <c r="A32" s="142" t="s">
        <v>414</v>
      </c>
      <c r="B32" s="44">
        <v>10</v>
      </c>
      <c r="C32" s="18"/>
      <c r="D32" s="39">
        <v>0</v>
      </c>
      <c r="E32" s="39">
        <v>0</v>
      </c>
      <c r="F32" s="39">
        <v>56100</v>
      </c>
      <c r="G32" s="18">
        <v>1</v>
      </c>
      <c r="H32" s="18">
        <f>B32*G32</f>
        <v>10</v>
      </c>
      <c r="I32" s="91">
        <v>0</v>
      </c>
      <c r="J32" s="92">
        <f>H32*I32</f>
        <v>0</v>
      </c>
      <c r="K32" s="92">
        <f>J32*0.1</f>
        <v>0</v>
      </c>
      <c r="L32" s="92">
        <f>J32*0.05</f>
        <v>0</v>
      </c>
      <c r="M32" s="93"/>
      <c r="N32" s="52">
        <f>(J32*'Base Data'!$C$5)+(K32*'Base Data'!$C$6)+(L32*'Base Data'!$C$7)</f>
        <v>0</v>
      </c>
      <c r="O32" s="52">
        <f>(D32+E32+F32)*G32*I32</f>
        <v>0</v>
      </c>
      <c r="P32" s="92">
        <v>0</v>
      </c>
      <c r="Q32" s="94" t="s">
        <v>388</v>
      </c>
      <c r="U32" s="30"/>
    </row>
    <row r="33" spans="1:21" s="6" customFormat="1" ht="9">
      <c r="A33" s="142" t="s">
        <v>522</v>
      </c>
      <c r="B33" s="44"/>
      <c r="C33" s="44"/>
      <c r="D33" s="52"/>
      <c r="E33" s="52"/>
      <c r="F33" s="52"/>
      <c r="G33" s="44"/>
      <c r="H33" s="44"/>
      <c r="I33" s="91"/>
      <c r="J33" s="92"/>
      <c r="K33" s="92"/>
      <c r="L33" s="92"/>
      <c r="M33" s="93"/>
      <c r="N33" s="52"/>
      <c r="O33" s="52"/>
      <c r="P33" s="92"/>
      <c r="Q33" s="94"/>
    </row>
    <row r="34" spans="1:21" s="6" customFormat="1" ht="9">
      <c r="A34" s="142" t="s">
        <v>411</v>
      </c>
      <c r="B34" s="44">
        <v>10</v>
      </c>
      <c r="C34" s="44"/>
      <c r="D34" s="52">
        <v>0</v>
      </c>
      <c r="E34" s="52">
        <v>0</v>
      </c>
      <c r="F34" s="52">
        <f>Monitors!$F$32</f>
        <v>8523</v>
      </c>
      <c r="G34" s="44">
        <v>1</v>
      </c>
      <c r="H34" s="44">
        <f t="shared" ref="H34:H35" si="5">B34*G34</f>
        <v>10</v>
      </c>
      <c r="I34" s="91">
        <v>0</v>
      </c>
      <c r="J34" s="92">
        <f t="shared" ref="J34:J35" si="6">H34*I34</f>
        <v>0</v>
      </c>
      <c r="K34" s="92">
        <f t="shared" ref="K34:K35" si="7">J34*0.1</f>
        <v>0</v>
      </c>
      <c r="L34" s="92">
        <f t="shared" ref="L34:L35" si="8">J34*0.05</f>
        <v>0</v>
      </c>
      <c r="M34" s="93"/>
      <c r="N34" s="52">
        <f>(J34*'Base Data'!$C$5)+(K34*'Base Data'!$C$6)+(L34*'Base Data'!$C$7)</f>
        <v>0</v>
      </c>
      <c r="O34" s="52">
        <f>(D34+E34+F34)*G34*I34</f>
        <v>0</v>
      </c>
      <c r="P34" s="92">
        <v>0</v>
      </c>
      <c r="Q34" s="94" t="s">
        <v>388</v>
      </c>
    </row>
    <row r="35" spans="1:21" s="6" customFormat="1" ht="9">
      <c r="A35" s="142" t="s">
        <v>414</v>
      </c>
      <c r="B35" s="44">
        <v>10</v>
      </c>
      <c r="C35" s="44"/>
      <c r="D35" s="52">
        <v>0</v>
      </c>
      <c r="E35" s="52">
        <v>0</v>
      </c>
      <c r="F35" s="52">
        <f>Monitors!$G$32</f>
        <v>1436</v>
      </c>
      <c r="G35" s="44">
        <v>1</v>
      </c>
      <c r="H35" s="44">
        <f t="shared" si="5"/>
        <v>10</v>
      </c>
      <c r="I35" s="91">
        <v>0</v>
      </c>
      <c r="J35" s="92">
        <f t="shared" si="6"/>
        <v>0</v>
      </c>
      <c r="K35" s="92">
        <f t="shared" si="7"/>
        <v>0</v>
      </c>
      <c r="L35" s="92">
        <f t="shared" si="8"/>
        <v>0</v>
      </c>
      <c r="M35" s="93"/>
      <c r="N35" s="52">
        <f>(J35*'Base Data'!$C$5)+(K35*'Base Data'!$C$6)+(L35*'Base Data'!$C$7)</f>
        <v>0</v>
      </c>
      <c r="O35" s="52">
        <f>(D35+E35+F35)*G35*I35</f>
        <v>0</v>
      </c>
      <c r="P35" s="92">
        <v>0</v>
      </c>
      <c r="Q35" s="94" t="s">
        <v>388</v>
      </c>
    </row>
    <row r="36" spans="1:21" s="6" customFormat="1" ht="18">
      <c r="A36" s="143" t="s">
        <v>173</v>
      </c>
      <c r="B36" s="44"/>
      <c r="C36" s="18"/>
      <c r="D36" s="39"/>
      <c r="E36" s="39"/>
      <c r="F36" s="59"/>
      <c r="G36" s="18"/>
      <c r="H36" s="18"/>
      <c r="I36" s="91"/>
      <c r="J36" s="92"/>
      <c r="K36" s="92"/>
      <c r="L36" s="92"/>
      <c r="M36" s="93"/>
      <c r="N36" s="52"/>
      <c r="O36" s="52"/>
      <c r="P36" s="92"/>
      <c r="Q36" s="94"/>
      <c r="U36" s="30"/>
    </row>
    <row r="37" spans="1:21" s="6" customFormat="1" ht="9">
      <c r="A37" s="142" t="s">
        <v>411</v>
      </c>
      <c r="B37" s="44">
        <v>10</v>
      </c>
      <c r="C37" s="84"/>
      <c r="D37" s="52">
        <v>0</v>
      </c>
      <c r="E37" s="52">
        <v>0</v>
      </c>
      <c r="F37" s="52">
        <v>24300</v>
      </c>
      <c r="G37" s="44">
        <v>1</v>
      </c>
      <c r="H37" s="44">
        <f>B37*G37</f>
        <v>10</v>
      </c>
      <c r="I37" s="91">
        <v>0</v>
      </c>
      <c r="J37" s="92">
        <f>H37*I37</f>
        <v>0</v>
      </c>
      <c r="K37" s="92">
        <f>J37*0.1</f>
        <v>0</v>
      </c>
      <c r="L37" s="92">
        <f>J37*0.05</f>
        <v>0</v>
      </c>
      <c r="M37" s="93"/>
      <c r="N37" s="52">
        <f>(J37*'Base Data'!$C$5)+(K37*'Base Data'!$C$6)+(L37*'Base Data'!$C$7)</f>
        <v>0</v>
      </c>
      <c r="O37" s="52">
        <f>(D37+E37+F37)*G37*I37</f>
        <v>0</v>
      </c>
      <c r="P37" s="92">
        <v>0</v>
      </c>
      <c r="Q37" s="94" t="s">
        <v>388</v>
      </c>
      <c r="U37" s="30"/>
    </row>
    <row r="38" spans="1:21" s="6" customFormat="1" ht="9">
      <c r="A38" s="142" t="s">
        <v>414</v>
      </c>
      <c r="B38" s="44">
        <v>10</v>
      </c>
      <c r="C38" s="84"/>
      <c r="D38" s="52">
        <v>0</v>
      </c>
      <c r="E38" s="52">
        <v>0</v>
      </c>
      <c r="F38" s="52">
        <v>5600</v>
      </c>
      <c r="G38" s="44">
        <v>1</v>
      </c>
      <c r="H38" s="44">
        <f>B38*G38</f>
        <v>10</v>
      </c>
      <c r="I38" s="91">
        <v>0</v>
      </c>
      <c r="J38" s="92">
        <f>H38*I38</f>
        <v>0</v>
      </c>
      <c r="K38" s="92">
        <f>J38*0.1</f>
        <v>0</v>
      </c>
      <c r="L38" s="92">
        <f>J38*0.05</f>
        <v>0</v>
      </c>
      <c r="M38" s="93"/>
      <c r="N38" s="52">
        <f>(J38*'Base Data'!$C$5)+(K38*'Base Data'!$C$6)+(L38*'Base Data'!$C$7)</f>
        <v>0</v>
      </c>
      <c r="O38" s="52">
        <f>(D38+E38+F38)*G38*I38</f>
        <v>0</v>
      </c>
      <c r="P38" s="92">
        <v>0</v>
      </c>
      <c r="Q38" s="94" t="s">
        <v>388</v>
      </c>
      <c r="U38" s="30"/>
    </row>
    <row r="39" spans="1:21" s="6" customFormat="1" ht="18">
      <c r="A39" s="143" t="s">
        <v>475</v>
      </c>
      <c r="B39" s="44"/>
      <c r="C39" s="18"/>
      <c r="D39" s="52"/>
      <c r="E39" s="52"/>
      <c r="F39" s="52"/>
      <c r="G39" s="44"/>
      <c r="H39" s="44"/>
      <c r="I39" s="91"/>
      <c r="J39" s="92"/>
      <c r="K39" s="92"/>
      <c r="L39" s="92"/>
      <c r="M39" s="93"/>
      <c r="N39" s="52"/>
      <c r="O39" s="238"/>
      <c r="P39" s="92"/>
      <c r="Q39" s="94"/>
      <c r="U39" s="30"/>
    </row>
    <row r="40" spans="1:21" s="6" customFormat="1" ht="9">
      <c r="A40" s="142" t="s">
        <v>411</v>
      </c>
      <c r="B40" s="44">
        <v>10</v>
      </c>
      <c r="C40" s="84"/>
      <c r="D40" s="52">
        <v>0</v>
      </c>
      <c r="E40" s="52">
        <v>0</v>
      </c>
      <c r="F40" s="52">
        <f>25500</f>
        <v>25500</v>
      </c>
      <c r="G40" s="44">
        <v>1</v>
      </c>
      <c r="H40" s="44">
        <f>B40*G40</f>
        <v>10</v>
      </c>
      <c r="I40" s="91">
        <v>0</v>
      </c>
      <c r="J40" s="92">
        <f>H40*I40</f>
        <v>0</v>
      </c>
      <c r="K40" s="92">
        <f>J40*0.1</f>
        <v>0</v>
      </c>
      <c r="L40" s="92">
        <f>J40*0.05</f>
        <v>0</v>
      </c>
      <c r="M40" s="93"/>
      <c r="N40" s="52">
        <f>(J40*'Base Data'!$C$5)+(K40*'Base Data'!$C$6)+(L40*'Base Data'!$C$7)</f>
        <v>0</v>
      </c>
      <c r="O40" s="52">
        <f>(D40+E40+F40)*G40*I40</f>
        <v>0</v>
      </c>
      <c r="P40" s="92">
        <v>0</v>
      </c>
      <c r="Q40" s="94" t="s">
        <v>388</v>
      </c>
      <c r="U40" s="30"/>
    </row>
    <row r="41" spans="1:21" s="6" customFormat="1" ht="9">
      <c r="A41" s="142" t="s">
        <v>414</v>
      </c>
      <c r="B41" s="44">
        <v>10</v>
      </c>
      <c r="C41" s="84"/>
      <c r="D41" s="52">
        <v>0</v>
      </c>
      <c r="E41" s="52">
        <v>0</v>
      </c>
      <c r="F41" s="52">
        <v>9700</v>
      </c>
      <c r="G41" s="44">
        <v>1</v>
      </c>
      <c r="H41" s="44">
        <f>B41*G41</f>
        <v>10</v>
      </c>
      <c r="I41" s="91">
        <v>0</v>
      </c>
      <c r="J41" s="92">
        <f>H41*I41</f>
        <v>0</v>
      </c>
      <c r="K41" s="92">
        <f>J41*0.1</f>
        <v>0</v>
      </c>
      <c r="L41" s="92">
        <f>J41*0.05</f>
        <v>0</v>
      </c>
      <c r="M41" s="93"/>
      <c r="N41" s="52">
        <f>(J41*'Base Data'!$C$5)+(K41*'Base Data'!$C$6)+(L41*'Base Data'!$C$7)</f>
        <v>0</v>
      </c>
      <c r="O41" s="52">
        <f>(D41+E41+F41)*G41*I41</f>
        <v>0</v>
      </c>
      <c r="P41" s="92">
        <v>0</v>
      </c>
      <c r="Q41" s="94" t="s">
        <v>388</v>
      </c>
      <c r="U41" s="30"/>
    </row>
    <row r="42" spans="1:21" s="6" customFormat="1" ht="18">
      <c r="A42" s="143" t="s">
        <v>174</v>
      </c>
      <c r="B42" s="44"/>
      <c r="C42" s="18"/>
      <c r="D42" s="52"/>
      <c r="E42" s="52"/>
      <c r="F42" s="52"/>
      <c r="G42" s="44"/>
      <c r="H42" s="44"/>
      <c r="I42" s="91"/>
      <c r="J42" s="92"/>
      <c r="K42" s="92"/>
      <c r="L42" s="92"/>
      <c r="M42" s="93"/>
      <c r="N42" s="52"/>
      <c r="O42" s="52"/>
      <c r="P42" s="92"/>
      <c r="Q42" s="94"/>
      <c r="U42" s="30"/>
    </row>
    <row r="43" spans="1:21" s="6" customFormat="1" ht="9">
      <c r="A43" s="142" t="s">
        <v>411</v>
      </c>
      <c r="B43" s="44">
        <v>10</v>
      </c>
      <c r="C43" s="84"/>
      <c r="D43" s="52">
        <v>0</v>
      </c>
      <c r="E43" s="52">
        <v>0</v>
      </c>
      <c r="F43" s="52">
        <v>115000</v>
      </c>
      <c r="G43" s="44">
        <v>1</v>
      </c>
      <c r="H43" s="44">
        <f>B43*G43</f>
        <v>10</v>
      </c>
      <c r="I43" s="91">
        <v>0</v>
      </c>
      <c r="J43" s="92">
        <f>H43*I43</f>
        <v>0</v>
      </c>
      <c r="K43" s="92">
        <f>J43*0.1</f>
        <v>0</v>
      </c>
      <c r="L43" s="92">
        <f>J43*0.05</f>
        <v>0</v>
      </c>
      <c r="M43" s="93"/>
      <c r="N43" s="52">
        <f>(J43*'Base Data'!$C$5)+(K43*'Base Data'!$C$6)+(L43*'Base Data'!$C$7)</f>
        <v>0</v>
      </c>
      <c r="O43" s="52">
        <f>(D43+E43+F43)*G43*I43</f>
        <v>0</v>
      </c>
      <c r="P43" s="92">
        <v>0</v>
      </c>
      <c r="Q43" s="94" t="s">
        <v>388</v>
      </c>
      <c r="U43" s="30"/>
    </row>
    <row r="44" spans="1:21" s="6" customFormat="1" ht="9">
      <c r="A44" s="142" t="s">
        <v>414</v>
      </c>
      <c r="B44" s="44">
        <v>10</v>
      </c>
      <c r="C44" s="84"/>
      <c r="D44" s="52">
        <v>0</v>
      </c>
      <c r="E44" s="52">
        <v>0</v>
      </c>
      <c r="F44" s="52">
        <v>9700</v>
      </c>
      <c r="G44" s="44">
        <v>1</v>
      </c>
      <c r="H44" s="44">
        <f>B44*G44</f>
        <v>10</v>
      </c>
      <c r="I44" s="91">
        <v>0</v>
      </c>
      <c r="J44" s="92">
        <f>H44*I44</f>
        <v>0</v>
      </c>
      <c r="K44" s="92">
        <f>J44*0.1</f>
        <v>0</v>
      </c>
      <c r="L44" s="92">
        <f>J44*0.05</f>
        <v>0</v>
      </c>
      <c r="M44" s="93"/>
      <c r="N44" s="52">
        <f>(J44*'Base Data'!$C$5)+(K44*'Base Data'!$C$6)+(L44*'Base Data'!$C$7)</f>
        <v>0</v>
      </c>
      <c r="O44" s="52">
        <f>(D44+E44+F44)*G44*I44</f>
        <v>0</v>
      </c>
      <c r="P44" s="92">
        <v>0</v>
      </c>
      <c r="Q44" s="94" t="s">
        <v>388</v>
      </c>
      <c r="U44" s="30"/>
    </row>
    <row r="45" spans="1:21" s="6" customFormat="1" ht="9">
      <c r="A45" s="142" t="s">
        <v>415</v>
      </c>
      <c r="B45" s="44" t="s">
        <v>433</v>
      </c>
      <c r="C45" s="18"/>
      <c r="D45" s="39"/>
      <c r="E45" s="39"/>
      <c r="F45" s="39"/>
      <c r="G45" s="18"/>
      <c r="H45" s="18"/>
      <c r="I45" s="92"/>
      <c r="J45" s="92"/>
      <c r="K45" s="92"/>
      <c r="L45" s="92"/>
      <c r="M45" s="44"/>
      <c r="N45" s="52"/>
      <c r="O45" s="52"/>
      <c r="P45" s="52"/>
      <c r="Q45" s="94"/>
      <c r="U45" s="30"/>
    </row>
    <row r="46" spans="1:21" s="6" customFormat="1" ht="9">
      <c r="A46" s="142" t="s">
        <v>416</v>
      </c>
      <c r="B46" s="44" t="s">
        <v>433</v>
      </c>
      <c r="C46" s="18"/>
      <c r="D46" s="39"/>
      <c r="E46" s="39"/>
      <c r="F46" s="39"/>
      <c r="G46" s="18"/>
      <c r="H46" s="18"/>
      <c r="I46" s="92"/>
      <c r="J46" s="92"/>
      <c r="K46" s="92"/>
      <c r="L46" s="92"/>
      <c r="M46" s="44"/>
      <c r="N46" s="52"/>
      <c r="O46" s="52"/>
      <c r="P46" s="52"/>
      <c r="Q46" s="94"/>
    </row>
    <row r="47" spans="1:21" s="6" customFormat="1" ht="9">
      <c r="A47" s="142" t="s">
        <v>417</v>
      </c>
      <c r="B47" s="44"/>
      <c r="C47" s="18"/>
      <c r="D47" s="39"/>
      <c r="E47" s="39"/>
      <c r="F47" s="39"/>
      <c r="G47" s="18"/>
      <c r="H47" s="18"/>
      <c r="I47" s="92"/>
      <c r="J47" s="92"/>
      <c r="K47" s="92"/>
      <c r="L47" s="92"/>
      <c r="M47" s="44"/>
      <c r="N47" s="52"/>
      <c r="O47" s="52"/>
      <c r="P47" s="52"/>
      <c r="Q47" s="94"/>
    </row>
    <row r="48" spans="1:21" s="6" customFormat="1" ht="9">
      <c r="A48" s="177" t="s">
        <v>435</v>
      </c>
      <c r="B48" s="44">
        <v>2</v>
      </c>
      <c r="C48" s="18"/>
      <c r="D48" s="39">
        <v>0</v>
      </c>
      <c r="E48" s="39">
        <v>0</v>
      </c>
      <c r="F48" s="39">
        <v>0</v>
      </c>
      <c r="G48" s="18">
        <v>1</v>
      </c>
      <c r="H48" s="18">
        <f>B48*G48</f>
        <v>2</v>
      </c>
      <c r="I48" s="91">
        <f>ROUND(SUM('Base Data'!$H$43:$H$45),0)</f>
        <v>58</v>
      </c>
      <c r="J48" s="92">
        <f>H48*I48</f>
        <v>116</v>
      </c>
      <c r="K48" s="92">
        <f>J48*0.1</f>
        <v>11.600000000000001</v>
      </c>
      <c r="L48" s="92">
        <f>J48*0.05</f>
        <v>5.8000000000000007</v>
      </c>
      <c r="M48" s="44">
        <f>C48*G48*I48</f>
        <v>0</v>
      </c>
      <c r="N48" s="52">
        <f>(J48*'Base Data'!$C$5)+(K48*'Base Data'!$C$6)+(L48*'Base Data'!$C$7)</f>
        <v>12618.19</v>
      </c>
      <c r="O48" s="52">
        <f>(D48+E48+F48)*G48*I48</f>
        <v>0</v>
      </c>
      <c r="P48" s="92">
        <f>G48*I48</f>
        <v>58</v>
      </c>
      <c r="Q48" s="94" t="s">
        <v>387</v>
      </c>
    </row>
    <row r="49" spans="1:19" s="6" customFormat="1" ht="9" customHeight="1">
      <c r="A49" s="177" t="s">
        <v>377</v>
      </c>
      <c r="B49" s="44">
        <v>8</v>
      </c>
      <c r="C49" s="18"/>
      <c r="D49" s="39">
        <v>0</v>
      </c>
      <c r="E49" s="39">
        <v>0</v>
      </c>
      <c r="F49" s="39">
        <v>0</v>
      </c>
      <c r="G49" s="18">
        <v>1</v>
      </c>
      <c r="H49" s="18">
        <f>B49*G49</f>
        <v>8</v>
      </c>
      <c r="I49" s="51">
        <v>0</v>
      </c>
      <c r="J49" s="19">
        <f>H49*I49</f>
        <v>0</v>
      </c>
      <c r="K49" s="19">
        <f>J49*0.1</f>
        <v>0</v>
      </c>
      <c r="L49" s="19">
        <f>J49*0.05</f>
        <v>0</v>
      </c>
      <c r="M49" s="18">
        <f>C49*G49*I49</f>
        <v>0</v>
      </c>
      <c r="N49" s="39">
        <f>(J49*'Base Data'!$C$5)+(K49*'Base Data'!$C$6)+(L49*'Base Data'!$C$7)</f>
        <v>0</v>
      </c>
      <c r="O49" s="39">
        <f>(D49+E49+F49)*G49*I49</f>
        <v>0</v>
      </c>
      <c r="P49" s="19">
        <f>G49*I49</f>
        <v>0</v>
      </c>
      <c r="Q49" s="29" t="s">
        <v>388</v>
      </c>
    </row>
    <row r="50" spans="1:19" s="6" customFormat="1" ht="9">
      <c r="A50" s="177" t="s">
        <v>378</v>
      </c>
      <c r="B50" s="44">
        <v>5</v>
      </c>
      <c r="C50" s="18"/>
      <c r="D50" s="39">
        <v>0</v>
      </c>
      <c r="E50" s="39">
        <v>0</v>
      </c>
      <c r="F50" s="39">
        <v>0</v>
      </c>
      <c r="G50" s="18">
        <v>1</v>
      </c>
      <c r="H50" s="18">
        <f>B50*G50</f>
        <v>5</v>
      </c>
      <c r="I50" s="51">
        <v>0</v>
      </c>
      <c r="J50" s="19">
        <f>H50*I50</f>
        <v>0</v>
      </c>
      <c r="K50" s="19">
        <f>J50*0.1</f>
        <v>0</v>
      </c>
      <c r="L50" s="19">
        <f>J50*0.05</f>
        <v>0</v>
      </c>
      <c r="M50" s="18">
        <f>C50*G50*I50</f>
        <v>0</v>
      </c>
      <c r="N50" s="39">
        <f>(J50*'Base Data'!$C$5)+(K50*'Base Data'!$C$6)+(L50*'Base Data'!$C$7)</f>
        <v>0</v>
      </c>
      <c r="O50" s="39">
        <f>(D50+E50+F50)*G50*I50</f>
        <v>0</v>
      </c>
      <c r="P50" s="19">
        <f>G50*I50</f>
        <v>0</v>
      </c>
      <c r="Q50" s="29" t="s">
        <v>388</v>
      </c>
    </row>
    <row r="51" spans="1:19" s="6" customFormat="1" ht="9">
      <c r="A51" s="144" t="s">
        <v>456</v>
      </c>
      <c r="B51" s="44">
        <v>20</v>
      </c>
      <c r="C51" s="18">
        <v>0</v>
      </c>
      <c r="D51" s="39">
        <v>0</v>
      </c>
      <c r="E51" s="39">
        <v>0</v>
      </c>
      <c r="F51" s="39">
        <v>0</v>
      </c>
      <c r="G51" s="18">
        <v>2</v>
      </c>
      <c r="H51" s="18">
        <f>B51*G51</f>
        <v>40</v>
      </c>
      <c r="I51" s="51">
        <v>0</v>
      </c>
      <c r="J51" s="19">
        <f>H51*I51</f>
        <v>0</v>
      </c>
      <c r="K51" s="19">
        <f>J51*0.1</f>
        <v>0</v>
      </c>
      <c r="L51" s="19">
        <f>J51*0.05</f>
        <v>0</v>
      </c>
      <c r="M51" s="19">
        <f>C51*G51*I51</f>
        <v>0</v>
      </c>
      <c r="N51" s="39">
        <f>(J51*'Base Data'!$C$5)+(K51*'Base Data'!$C$6)+(L51*'Base Data'!$C$7)</f>
        <v>0</v>
      </c>
      <c r="O51" s="39">
        <f>(D51+E51+F51)*G51*I51</f>
        <v>0</v>
      </c>
      <c r="P51" s="19">
        <f>G51*I51</f>
        <v>0</v>
      </c>
      <c r="Q51" s="29" t="s">
        <v>387</v>
      </c>
      <c r="R51" s="37"/>
    </row>
    <row r="52" spans="1:19" s="6" customFormat="1" ht="9">
      <c r="A52" s="145" t="s">
        <v>7</v>
      </c>
      <c r="B52" s="44"/>
      <c r="C52" s="18"/>
      <c r="D52" s="39"/>
      <c r="E52" s="39"/>
      <c r="F52" s="39"/>
      <c r="G52" s="18"/>
      <c r="H52" s="18"/>
      <c r="I52" s="51"/>
      <c r="J52" s="19">
        <f t="shared" ref="J52:O52" si="9">SUM(J7:J51)</f>
        <v>2436</v>
      </c>
      <c r="K52" s="19">
        <f t="shared" si="9"/>
        <v>243.6</v>
      </c>
      <c r="L52" s="19">
        <f t="shared" si="9"/>
        <v>121.8</v>
      </c>
      <c r="M52" s="19">
        <f t="shared" si="9"/>
        <v>0</v>
      </c>
      <c r="N52" s="39">
        <f t="shared" si="9"/>
        <v>264981.99</v>
      </c>
      <c r="O52" s="39">
        <f t="shared" si="9"/>
        <v>0</v>
      </c>
      <c r="P52" s="19">
        <f>SUM(P48:P51)</f>
        <v>58</v>
      </c>
      <c r="Q52" s="29"/>
      <c r="R52" s="99">
        <f>SUM(O7,O10:O24,O29,O32,O35,O38,O41,O44)</f>
        <v>0</v>
      </c>
      <c r="S52" s="101">
        <f>SUM(O28,O31,O34,O37,O40,O43)</f>
        <v>0</v>
      </c>
    </row>
    <row r="53" spans="1:19" s="6" customFormat="1" ht="9">
      <c r="A53" s="142" t="s">
        <v>431</v>
      </c>
      <c r="B53" s="44"/>
      <c r="C53" s="18"/>
      <c r="D53" s="39"/>
      <c r="E53" s="39"/>
      <c r="F53" s="39"/>
      <c r="G53" s="18"/>
      <c r="H53" s="18"/>
      <c r="I53" s="19"/>
      <c r="J53" s="19"/>
      <c r="K53" s="19"/>
      <c r="L53" s="19"/>
      <c r="M53" s="18"/>
      <c r="N53" s="39"/>
      <c r="O53" s="39"/>
      <c r="P53" s="39"/>
      <c r="Q53" s="29"/>
    </row>
    <row r="54" spans="1:19" s="6" customFormat="1" ht="9">
      <c r="A54" s="142" t="s">
        <v>418</v>
      </c>
      <c r="B54" s="44" t="s">
        <v>422</v>
      </c>
      <c r="C54" s="18"/>
      <c r="D54" s="39"/>
      <c r="E54" s="39"/>
      <c r="F54" s="39"/>
      <c r="G54" s="18"/>
      <c r="H54" s="18"/>
      <c r="I54" s="19"/>
      <c r="J54" s="19"/>
      <c r="K54" s="19"/>
      <c r="L54" s="19"/>
      <c r="M54" s="18"/>
      <c r="N54" s="39"/>
      <c r="O54" s="39"/>
      <c r="P54" s="39"/>
      <c r="Q54" s="29"/>
    </row>
    <row r="55" spans="1:19" s="6" customFormat="1" ht="9">
      <c r="A55" s="142" t="s">
        <v>419</v>
      </c>
      <c r="B55" s="44" t="s">
        <v>433</v>
      </c>
      <c r="C55" s="18"/>
      <c r="D55" s="39"/>
      <c r="E55" s="39"/>
      <c r="F55" s="39"/>
      <c r="G55" s="18"/>
      <c r="H55" s="18"/>
      <c r="I55" s="19"/>
      <c r="J55" s="19"/>
      <c r="K55" s="19"/>
      <c r="L55" s="19"/>
      <c r="M55" s="18"/>
      <c r="N55" s="39"/>
      <c r="O55" s="39"/>
      <c r="P55" s="39"/>
      <c r="Q55" s="29"/>
    </row>
    <row r="56" spans="1:19" s="6" customFormat="1" ht="9">
      <c r="A56" s="142" t="s">
        <v>420</v>
      </c>
      <c r="B56" s="44" t="s">
        <v>433</v>
      </c>
      <c r="C56" s="18"/>
      <c r="D56" s="39"/>
      <c r="E56" s="39"/>
      <c r="F56" s="39"/>
      <c r="G56" s="18"/>
      <c r="H56" s="18"/>
      <c r="I56" s="19"/>
      <c r="J56" s="19"/>
      <c r="K56" s="19"/>
      <c r="L56" s="19"/>
      <c r="M56" s="18"/>
      <c r="N56" s="39"/>
      <c r="O56" s="39"/>
      <c r="P56" s="39"/>
      <c r="Q56" s="29" t="s">
        <v>389</v>
      </c>
    </row>
    <row r="57" spans="1:19" s="6" customFormat="1" ht="9">
      <c r="A57" s="142" t="s">
        <v>421</v>
      </c>
      <c r="B57" s="44"/>
      <c r="C57" s="18"/>
      <c r="D57" s="39"/>
      <c r="E57" s="39"/>
      <c r="F57" s="39"/>
      <c r="G57" s="18"/>
      <c r="H57" s="18"/>
      <c r="I57" s="19"/>
      <c r="J57" s="19"/>
      <c r="K57" s="19"/>
      <c r="L57" s="19"/>
      <c r="M57" s="18"/>
      <c r="N57" s="39"/>
      <c r="O57" s="39"/>
      <c r="P57" s="39"/>
      <c r="Q57" s="29"/>
    </row>
    <row r="58" spans="1:19" s="6" customFormat="1" ht="9.75" customHeight="1">
      <c r="A58" s="142" t="s">
        <v>429</v>
      </c>
      <c r="B58" s="44">
        <v>20</v>
      </c>
      <c r="C58" s="18"/>
      <c r="D58" s="39">
        <v>0</v>
      </c>
      <c r="E58" s="39">
        <v>0</v>
      </c>
      <c r="F58" s="39">
        <v>0</v>
      </c>
      <c r="G58" s="18">
        <v>1</v>
      </c>
      <c r="H58" s="18">
        <f t="shared" ref="H58:H64" si="10">B58*G58</f>
        <v>20</v>
      </c>
      <c r="I58" s="51">
        <v>0</v>
      </c>
      <c r="J58" s="19">
        <f t="shared" ref="J58:J64" si="11">H58*I58</f>
        <v>0</v>
      </c>
      <c r="K58" s="19">
        <f t="shared" ref="K58:K64" si="12">J58*0.1</f>
        <v>0</v>
      </c>
      <c r="L58" s="19">
        <f t="shared" ref="L58:L64" si="13">J58*0.05</f>
        <v>0</v>
      </c>
      <c r="M58" s="18"/>
      <c r="N58" s="39">
        <f>(J58*'Base Data'!$C$5)+(K58*'Base Data'!$C$6)+(L58*'Base Data'!$C$7)</f>
        <v>0</v>
      </c>
      <c r="O58" s="39">
        <f t="shared" ref="O58:O64" si="14">(D58+E58+F58)*G58*I58</f>
        <v>0</v>
      </c>
      <c r="P58" s="19">
        <v>0</v>
      </c>
      <c r="Q58" s="29" t="s">
        <v>388</v>
      </c>
    </row>
    <row r="59" spans="1:19" s="6" customFormat="1" ht="9">
      <c r="A59" s="143" t="s">
        <v>425</v>
      </c>
      <c r="B59" s="44">
        <v>15</v>
      </c>
      <c r="C59" s="18">
        <v>0</v>
      </c>
      <c r="D59" s="39">
        <v>0</v>
      </c>
      <c r="E59" s="39">
        <v>0</v>
      </c>
      <c r="F59" s="39">
        <v>0</v>
      </c>
      <c r="G59" s="18">
        <v>1</v>
      </c>
      <c r="H59" s="18">
        <f t="shared" si="10"/>
        <v>15</v>
      </c>
      <c r="I59" s="51">
        <v>0</v>
      </c>
      <c r="J59" s="19">
        <f t="shared" si="11"/>
        <v>0</v>
      </c>
      <c r="K59" s="19">
        <f t="shared" si="12"/>
        <v>0</v>
      </c>
      <c r="L59" s="19">
        <f t="shared" si="13"/>
        <v>0</v>
      </c>
      <c r="M59" s="18">
        <f>C59*G59*I59</f>
        <v>0</v>
      </c>
      <c r="N59" s="39">
        <f>(J59*'Base Data'!$C$5)+(K59*'Base Data'!$C$6)+(L59*'Base Data'!$C$7)</f>
        <v>0</v>
      </c>
      <c r="O59" s="39">
        <f t="shared" si="14"/>
        <v>0</v>
      </c>
      <c r="P59" s="19">
        <v>0</v>
      </c>
      <c r="Q59" s="29" t="s">
        <v>388</v>
      </c>
    </row>
    <row r="60" spans="1:19" s="6" customFormat="1" ht="9.75" customHeight="1">
      <c r="A60" s="142" t="s">
        <v>426</v>
      </c>
      <c r="B60" s="44">
        <v>2</v>
      </c>
      <c r="C60" s="18"/>
      <c r="D60" s="39">
        <v>0</v>
      </c>
      <c r="E60" s="39">
        <v>0</v>
      </c>
      <c r="F60" s="39">
        <v>0</v>
      </c>
      <c r="G60" s="18">
        <v>1</v>
      </c>
      <c r="H60" s="18">
        <f t="shared" si="10"/>
        <v>2</v>
      </c>
      <c r="I60" s="51">
        <v>0</v>
      </c>
      <c r="J60" s="19">
        <f t="shared" si="11"/>
        <v>0</v>
      </c>
      <c r="K60" s="19">
        <f t="shared" si="12"/>
        <v>0</v>
      </c>
      <c r="L60" s="19">
        <f t="shared" si="13"/>
        <v>0</v>
      </c>
      <c r="M60" s="18"/>
      <c r="N60" s="39">
        <f>(J60*'Base Data'!$C$5)+(K60*'Base Data'!$C$6)+(L60*'Base Data'!$C$7)</f>
        <v>0</v>
      </c>
      <c r="O60" s="39">
        <f t="shared" si="14"/>
        <v>0</v>
      </c>
      <c r="P60" s="19">
        <v>0</v>
      </c>
      <c r="Q60" s="29" t="s">
        <v>388</v>
      </c>
    </row>
    <row r="61" spans="1:19" s="6" customFormat="1" ht="9">
      <c r="A61" s="143" t="s">
        <v>436</v>
      </c>
      <c r="B61" s="44">
        <v>2</v>
      </c>
      <c r="C61" s="18"/>
      <c r="D61" s="39">
        <v>0</v>
      </c>
      <c r="E61" s="39">
        <v>0</v>
      </c>
      <c r="F61" s="39">
        <v>0</v>
      </c>
      <c r="G61" s="18">
        <v>1</v>
      </c>
      <c r="H61" s="18">
        <f t="shared" si="10"/>
        <v>2</v>
      </c>
      <c r="I61" s="51">
        <v>0</v>
      </c>
      <c r="J61" s="19">
        <f t="shared" si="11"/>
        <v>0</v>
      </c>
      <c r="K61" s="19">
        <f t="shared" si="12"/>
        <v>0</v>
      </c>
      <c r="L61" s="19">
        <f t="shared" si="13"/>
        <v>0</v>
      </c>
      <c r="M61" s="18"/>
      <c r="N61" s="39">
        <f>(J61*'Base Data'!$C$5)+(K61*'Base Data'!$C$6)+(L61*'Base Data'!$C$7)</f>
        <v>0</v>
      </c>
      <c r="O61" s="39">
        <f t="shared" si="14"/>
        <v>0</v>
      </c>
      <c r="P61" s="19">
        <v>0</v>
      </c>
      <c r="Q61" s="29" t="s">
        <v>388</v>
      </c>
    </row>
    <row r="62" spans="1:19" s="6" customFormat="1" ht="9">
      <c r="A62" s="143" t="s">
        <v>437</v>
      </c>
      <c r="B62" s="44">
        <v>2</v>
      </c>
      <c r="C62" s="18">
        <v>0</v>
      </c>
      <c r="D62" s="39">
        <v>0</v>
      </c>
      <c r="E62" s="39">
        <v>0</v>
      </c>
      <c r="F62" s="39">
        <v>0</v>
      </c>
      <c r="G62" s="18">
        <v>2</v>
      </c>
      <c r="H62" s="18">
        <f t="shared" si="10"/>
        <v>4</v>
      </c>
      <c r="I62" s="51">
        <v>0</v>
      </c>
      <c r="J62" s="19">
        <f t="shared" si="11"/>
        <v>0</v>
      </c>
      <c r="K62" s="19">
        <f t="shared" si="12"/>
        <v>0</v>
      </c>
      <c r="L62" s="19">
        <f t="shared" si="13"/>
        <v>0</v>
      </c>
      <c r="M62" s="18">
        <f>C62*G62*I62</f>
        <v>0</v>
      </c>
      <c r="N62" s="39">
        <f>(J62*'Base Data'!$C$5)+(K62*'Base Data'!$C$6)+(L62*'Base Data'!$C$7)</f>
        <v>0</v>
      </c>
      <c r="O62" s="39">
        <f t="shared" si="14"/>
        <v>0</v>
      </c>
      <c r="P62" s="19">
        <v>0</v>
      </c>
      <c r="Q62" s="29" t="s">
        <v>388</v>
      </c>
    </row>
    <row r="63" spans="1:19" s="6" customFormat="1" ht="9">
      <c r="A63" s="143" t="s">
        <v>438</v>
      </c>
      <c r="B63" s="44">
        <v>0.5</v>
      </c>
      <c r="C63" s="18"/>
      <c r="D63" s="39">
        <v>0</v>
      </c>
      <c r="E63" s="39">
        <v>0</v>
      </c>
      <c r="F63" s="39">
        <v>0</v>
      </c>
      <c r="G63" s="18">
        <v>12</v>
      </c>
      <c r="H63" s="18">
        <f t="shared" si="10"/>
        <v>6</v>
      </c>
      <c r="I63" s="51">
        <v>0</v>
      </c>
      <c r="J63" s="19">
        <f t="shared" si="11"/>
        <v>0</v>
      </c>
      <c r="K63" s="19">
        <f t="shared" si="12"/>
        <v>0</v>
      </c>
      <c r="L63" s="19">
        <f t="shared" si="13"/>
        <v>0</v>
      </c>
      <c r="M63" s="18"/>
      <c r="N63" s="39">
        <f>(J63*'Base Data'!$C$5)+(K63*'Base Data'!$C$6)+(L63*'Base Data'!$C$7)</f>
        <v>0</v>
      </c>
      <c r="O63" s="39">
        <f t="shared" si="14"/>
        <v>0</v>
      </c>
      <c r="P63" s="19">
        <v>0</v>
      </c>
      <c r="Q63" s="94" t="s">
        <v>388</v>
      </c>
    </row>
    <row r="64" spans="1:19" s="6" customFormat="1" ht="9">
      <c r="A64" s="142" t="s">
        <v>427</v>
      </c>
      <c r="B64" s="44">
        <v>40</v>
      </c>
      <c r="C64" s="18"/>
      <c r="D64" s="39">
        <v>0</v>
      </c>
      <c r="E64" s="39">
        <v>0</v>
      </c>
      <c r="F64" s="39">
        <v>0</v>
      </c>
      <c r="G64" s="18">
        <v>1</v>
      </c>
      <c r="H64" s="18">
        <f t="shared" si="10"/>
        <v>40</v>
      </c>
      <c r="I64" s="91">
        <v>0</v>
      </c>
      <c r="J64" s="19">
        <f t="shared" si="11"/>
        <v>0</v>
      </c>
      <c r="K64" s="19">
        <f t="shared" si="12"/>
        <v>0</v>
      </c>
      <c r="L64" s="19">
        <f t="shared" si="13"/>
        <v>0</v>
      </c>
      <c r="M64" s="18"/>
      <c r="N64" s="39">
        <f>(J64*'Base Data'!$C$5)+(K64*'Base Data'!$C$6)+(L64*'Base Data'!$C$7)</f>
        <v>0</v>
      </c>
      <c r="O64" s="39">
        <f t="shared" si="14"/>
        <v>0</v>
      </c>
      <c r="P64" s="19">
        <v>0</v>
      </c>
      <c r="Q64" s="29" t="s">
        <v>16</v>
      </c>
    </row>
    <row r="65" spans="1:18" s="6" customFormat="1" ht="9">
      <c r="A65" s="146" t="s">
        <v>428</v>
      </c>
      <c r="B65" s="44" t="s">
        <v>433</v>
      </c>
      <c r="C65" s="18"/>
      <c r="D65" s="39"/>
      <c r="E65" s="39"/>
      <c r="F65" s="39"/>
      <c r="G65" s="18"/>
      <c r="H65" s="18"/>
      <c r="I65" s="19"/>
      <c r="J65" s="19"/>
      <c r="K65" s="19"/>
      <c r="L65" s="19"/>
      <c r="M65" s="18"/>
      <c r="N65" s="39"/>
      <c r="O65" s="39"/>
      <c r="P65" s="39"/>
      <c r="Q65" s="29"/>
    </row>
    <row r="66" spans="1:18" s="6" customFormat="1" ht="9">
      <c r="A66" s="180" t="s">
        <v>27</v>
      </c>
      <c r="B66" s="239"/>
      <c r="C66" s="245"/>
      <c r="D66" s="246"/>
      <c r="E66" s="246"/>
      <c r="F66" s="246"/>
      <c r="G66" s="245"/>
      <c r="H66" s="245"/>
      <c r="I66" s="247"/>
      <c r="J66" s="247">
        <f>SUM(J54:J65)</f>
        <v>0</v>
      </c>
      <c r="K66" s="247">
        <f t="shared" ref="K66:O66" si="15">SUM(K54:K65)</f>
        <v>0</v>
      </c>
      <c r="L66" s="247">
        <f t="shared" si="15"/>
        <v>0</v>
      </c>
      <c r="M66" s="246">
        <f t="shared" si="15"/>
        <v>0</v>
      </c>
      <c r="N66" s="246">
        <f t="shared" si="15"/>
        <v>0</v>
      </c>
      <c r="O66" s="246">
        <f t="shared" si="15"/>
        <v>0</v>
      </c>
      <c r="P66" s="247">
        <f t="shared" ref="P66" si="16">SUM(P54:P65)</f>
        <v>0</v>
      </c>
      <c r="Q66" s="248"/>
      <c r="R66" s="39">
        <f>SUM(R54:R65)</f>
        <v>0</v>
      </c>
    </row>
    <row r="67" spans="1:18" s="2" customFormat="1">
      <c r="A67" s="24" t="s">
        <v>400</v>
      </c>
      <c r="B67" s="25"/>
      <c r="C67" s="25"/>
      <c r="D67" s="25"/>
      <c r="E67" s="25"/>
      <c r="F67" s="50"/>
      <c r="G67" s="25"/>
      <c r="H67" s="25"/>
      <c r="I67" s="26"/>
      <c r="J67" s="27">
        <f>J52+J66</f>
        <v>2436</v>
      </c>
      <c r="K67" s="27">
        <f t="shared" ref="K67:P67" si="17">K52+K66</f>
        <v>243.6</v>
      </c>
      <c r="L67" s="27">
        <f t="shared" si="17"/>
        <v>121.8</v>
      </c>
      <c r="M67" s="40">
        <f t="shared" si="17"/>
        <v>0</v>
      </c>
      <c r="N67" s="40">
        <f t="shared" si="17"/>
        <v>264981.99</v>
      </c>
      <c r="O67" s="40">
        <f t="shared" si="17"/>
        <v>0</v>
      </c>
      <c r="P67" s="27">
        <f t="shared" si="17"/>
        <v>58</v>
      </c>
      <c r="Q67" s="47"/>
    </row>
    <row r="68" spans="1:18" ht="6" customHeight="1">
      <c r="B68" s="54"/>
      <c r="C68" s="54"/>
      <c r="D68" s="54"/>
      <c r="E68" s="54"/>
      <c r="F68" s="54"/>
      <c r="G68" s="54"/>
      <c r="H68" s="54"/>
      <c r="I68" s="55"/>
    </row>
    <row r="69" spans="1:18" s="14" customFormat="1" ht="9">
      <c r="A69" s="53" t="s">
        <v>98</v>
      </c>
      <c r="B69" s="56"/>
      <c r="C69" s="56"/>
      <c r="D69" s="56"/>
      <c r="E69" s="56"/>
      <c r="F69" s="56"/>
      <c r="G69" s="56"/>
      <c r="H69" s="56"/>
      <c r="I69" s="57"/>
      <c r="J69" s="15"/>
      <c r="K69" s="15"/>
      <c r="L69" s="15"/>
      <c r="M69" s="15"/>
      <c r="N69" s="15"/>
      <c r="O69" s="17"/>
      <c r="P69" s="17"/>
      <c r="Q69" s="15"/>
    </row>
    <row r="70" spans="1:18" s="14" customFormat="1" ht="19.5" customHeight="1">
      <c r="A70" s="408" t="s">
        <v>165</v>
      </c>
      <c r="B70" s="408"/>
      <c r="C70" s="408"/>
      <c r="D70" s="408"/>
      <c r="E70" s="408"/>
      <c r="F70" s="408"/>
      <c r="G70" s="408"/>
      <c r="H70" s="408"/>
      <c r="I70" s="408"/>
      <c r="J70" s="408"/>
      <c r="K70" s="408"/>
      <c r="L70" s="408"/>
      <c r="M70" s="408"/>
      <c r="N70" s="408"/>
      <c r="O70" s="408"/>
      <c r="P70" s="62"/>
      <c r="Q70" s="15"/>
    </row>
    <row r="71" spans="1:18" s="14" customFormat="1" ht="9" customHeight="1">
      <c r="A71" s="408" t="s">
        <v>374</v>
      </c>
      <c r="B71" s="408"/>
      <c r="C71" s="408"/>
      <c r="D71" s="408"/>
      <c r="E71" s="408"/>
      <c r="F71" s="408"/>
      <c r="G71" s="408"/>
      <c r="H71" s="408"/>
      <c r="I71" s="408"/>
      <c r="J71" s="408"/>
      <c r="K71" s="408"/>
      <c r="L71" s="408"/>
      <c r="M71" s="408"/>
      <c r="N71" s="408"/>
      <c r="O71" s="408"/>
      <c r="P71" s="62"/>
      <c r="Q71" s="15"/>
    </row>
    <row r="72" spans="1:18" s="14" customFormat="1" ht="18.75" customHeight="1">
      <c r="A72" s="408" t="s">
        <v>95</v>
      </c>
      <c r="B72" s="408"/>
      <c r="C72" s="408"/>
      <c r="D72" s="408"/>
      <c r="E72" s="408"/>
      <c r="F72" s="408"/>
      <c r="G72" s="408"/>
      <c r="H72" s="408"/>
      <c r="I72" s="408"/>
      <c r="J72" s="408"/>
      <c r="K72" s="408"/>
      <c r="L72" s="408"/>
      <c r="M72" s="408"/>
      <c r="N72" s="408"/>
      <c r="O72" s="408"/>
      <c r="P72" s="408"/>
      <c r="Q72" s="408"/>
    </row>
    <row r="73" spans="1:18" s="14" customFormat="1" ht="9" customHeight="1">
      <c r="A73" s="14" t="s">
        <v>441</v>
      </c>
      <c r="B73" s="15"/>
      <c r="C73" s="15"/>
      <c r="D73" s="15"/>
      <c r="E73" s="15"/>
      <c r="F73" s="15"/>
      <c r="G73" s="15"/>
      <c r="H73" s="15"/>
      <c r="I73" s="16"/>
      <c r="J73" s="15"/>
      <c r="K73" s="15"/>
      <c r="L73" s="15"/>
      <c r="M73" s="15"/>
      <c r="N73" s="15"/>
      <c r="O73" s="17"/>
      <c r="P73" s="17"/>
      <c r="Q73" s="15"/>
    </row>
    <row r="74" spans="1:18" s="14" customFormat="1" ht="9" customHeight="1">
      <c r="A74" s="14" t="s">
        <v>551</v>
      </c>
    </row>
    <row r="75" spans="1:18" s="14" customFormat="1" ht="9">
      <c r="A75" s="14" t="s">
        <v>536</v>
      </c>
      <c r="B75" s="15"/>
      <c r="C75" s="15"/>
      <c r="D75" s="15"/>
      <c r="E75" s="15"/>
      <c r="F75" s="15"/>
      <c r="G75" s="15"/>
      <c r="H75" s="15"/>
      <c r="I75" s="16"/>
      <c r="J75" s="15"/>
      <c r="K75" s="15"/>
      <c r="L75" s="15"/>
      <c r="M75" s="15"/>
      <c r="N75" s="15"/>
      <c r="O75" s="17"/>
      <c r="P75" s="17"/>
      <c r="Q75" s="15"/>
    </row>
    <row r="76" spans="1:18" s="14" customFormat="1" ht="9">
      <c r="A76" s="14" t="s">
        <v>367</v>
      </c>
      <c r="B76" s="15"/>
      <c r="C76" s="15"/>
      <c r="D76" s="15"/>
      <c r="E76" s="15"/>
      <c r="F76" s="15"/>
      <c r="G76" s="15"/>
      <c r="H76" s="15"/>
      <c r="I76" s="16"/>
      <c r="J76" s="15"/>
      <c r="K76" s="15"/>
      <c r="L76" s="15"/>
      <c r="M76" s="15"/>
      <c r="N76" s="15"/>
      <c r="O76" s="17"/>
      <c r="P76" s="17"/>
      <c r="Q76" s="15"/>
    </row>
    <row r="77" spans="1:18" s="14" customFormat="1" ht="9">
      <c r="A77" s="406" t="s">
        <v>371</v>
      </c>
      <c r="B77" s="406"/>
      <c r="C77" s="406"/>
      <c r="D77" s="406"/>
      <c r="E77" s="406"/>
      <c r="F77" s="406"/>
      <c r="G77" s="406"/>
      <c r="H77" s="406"/>
      <c r="I77" s="406"/>
      <c r="J77" s="406"/>
      <c r="K77" s="406"/>
      <c r="L77" s="406"/>
      <c r="M77" s="406"/>
      <c r="N77" s="406"/>
      <c r="O77" s="17"/>
      <c r="P77" s="17"/>
      <c r="Q77" s="15"/>
    </row>
    <row r="78" spans="1:18" s="14" customFormat="1" ht="9" customHeight="1">
      <c r="A78" s="14" t="s">
        <v>553</v>
      </c>
      <c r="B78" s="15"/>
      <c r="C78" s="15"/>
      <c r="D78" s="15"/>
      <c r="E78" s="15"/>
      <c r="F78" s="15"/>
      <c r="G78" s="15"/>
      <c r="H78" s="15"/>
      <c r="I78" s="16"/>
      <c r="J78" s="15"/>
      <c r="K78" s="15"/>
      <c r="L78" s="15"/>
      <c r="M78" s="15"/>
      <c r="N78" s="15"/>
      <c r="O78" s="17"/>
      <c r="P78" s="17"/>
      <c r="Q78" s="15"/>
    </row>
    <row r="80" spans="1:18" s="14" customFormat="1" ht="9">
      <c r="B80" s="15"/>
      <c r="C80" s="15"/>
      <c r="D80" s="15"/>
      <c r="E80" s="15"/>
      <c r="F80" s="15"/>
      <c r="G80" s="15"/>
      <c r="H80" s="15"/>
      <c r="I80" s="16"/>
      <c r="J80" s="15"/>
      <c r="K80" s="15"/>
      <c r="L80" s="15"/>
      <c r="M80" s="15"/>
      <c r="N80" s="15"/>
      <c r="O80" s="17"/>
      <c r="P80" s="17"/>
      <c r="Q80" s="15"/>
    </row>
    <row r="81" spans="2:17" s="14" customFormat="1" ht="9">
      <c r="B81" s="15"/>
      <c r="C81" s="15"/>
      <c r="D81" s="15"/>
      <c r="E81" s="15"/>
      <c r="F81" s="15"/>
      <c r="G81" s="15"/>
      <c r="H81" s="15"/>
      <c r="I81" s="16"/>
      <c r="J81" s="15"/>
      <c r="K81" s="15"/>
      <c r="L81" s="15"/>
      <c r="M81" s="15"/>
      <c r="N81" s="15"/>
      <c r="O81" s="17"/>
      <c r="P81" s="17"/>
      <c r="Q81" s="15"/>
    </row>
    <row r="82" spans="2:17" s="14" customFormat="1" ht="9">
      <c r="B82" s="15"/>
      <c r="C82" s="15"/>
      <c r="D82" s="15"/>
      <c r="E82" s="15"/>
      <c r="F82" s="15"/>
      <c r="G82" s="15"/>
      <c r="H82" s="15"/>
      <c r="I82" s="16"/>
      <c r="J82" s="15"/>
      <c r="K82" s="15"/>
      <c r="L82" s="15"/>
      <c r="M82" s="15"/>
      <c r="N82" s="15"/>
      <c r="O82" s="17"/>
      <c r="P82" s="17"/>
      <c r="Q82" s="15"/>
    </row>
    <row r="83" spans="2:17" s="14" customFormat="1" ht="9">
      <c r="B83" s="15"/>
      <c r="C83" s="15"/>
      <c r="D83" s="15"/>
      <c r="E83" s="15"/>
      <c r="F83" s="15"/>
      <c r="G83" s="15"/>
      <c r="H83" s="15"/>
      <c r="I83" s="16"/>
      <c r="J83" s="15"/>
      <c r="K83" s="15"/>
      <c r="L83" s="15"/>
      <c r="M83" s="15"/>
      <c r="N83" s="15"/>
      <c r="O83" s="17"/>
      <c r="P83" s="17"/>
      <c r="Q83" s="15"/>
    </row>
    <row r="84" spans="2:17" s="14" customFormat="1" ht="9">
      <c r="B84" s="15"/>
      <c r="C84" s="15"/>
      <c r="D84" s="15"/>
      <c r="E84" s="15"/>
      <c r="F84" s="15"/>
      <c r="G84" s="15"/>
      <c r="H84" s="15"/>
      <c r="I84" s="16"/>
      <c r="J84" s="15"/>
      <c r="K84" s="15"/>
      <c r="L84" s="15"/>
      <c r="M84" s="15"/>
      <c r="N84" s="15"/>
      <c r="O84" s="17"/>
      <c r="P84" s="17"/>
      <c r="Q84" s="15"/>
    </row>
    <row r="85" spans="2:17" s="14" customFormat="1" ht="9">
      <c r="B85" s="15"/>
      <c r="C85" s="15"/>
      <c r="D85" s="15"/>
      <c r="E85" s="15"/>
      <c r="F85" s="15"/>
      <c r="G85" s="15"/>
      <c r="H85" s="15"/>
      <c r="I85" s="16"/>
      <c r="J85" s="15"/>
      <c r="K85" s="15"/>
      <c r="L85" s="15"/>
      <c r="M85" s="15"/>
      <c r="N85" s="15"/>
      <c r="O85" s="17"/>
      <c r="P85" s="17"/>
      <c r="Q85" s="15"/>
    </row>
    <row r="86" spans="2:17" s="14" customFormat="1" ht="9">
      <c r="B86" s="15"/>
      <c r="C86" s="15"/>
      <c r="D86" s="15"/>
      <c r="E86" s="15"/>
      <c r="F86" s="15"/>
      <c r="G86" s="15"/>
      <c r="H86" s="15"/>
      <c r="I86" s="16"/>
      <c r="J86" s="15"/>
      <c r="K86" s="15"/>
      <c r="L86" s="15"/>
      <c r="M86" s="15"/>
      <c r="N86" s="15"/>
      <c r="O86" s="17"/>
      <c r="P86" s="17"/>
      <c r="Q86" s="15"/>
    </row>
    <row r="87" spans="2:17" s="14" customFormat="1" ht="9">
      <c r="B87" s="15"/>
      <c r="C87" s="15"/>
      <c r="D87" s="15"/>
      <c r="E87" s="15"/>
      <c r="F87" s="15"/>
      <c r="G87" s="15"/>
      <c r="H87" s="15"/>
      <c r="I87" s="16"/>
      <c r="J87" s="15"/>
      <c r="K87" s="15"/>
      <c r="L87" s="15"/>
      <c r="M87" s="15"/>
      <c r="N87" s="15"/>
      <c r="O87" s="17"/>
      <c r="P87" s="17"/>
      <c r="Q87" s="15"/>
    </row>
    <row r="88" spans="2:17" s="14" customFormat="1" ht="9">
      <c r="B88" s="15"/>
      <c r="C88" s="15"/>
      <c r="D88" s="15"/>
      <c r="E88" s="15"/>
      <c r="F88" s="15"/>
      <c r="G88" s="15"/>
      <c r="H88" s="15"/>
      <c r="I88" s="16"/>
      <c r="J88" s="15"/>
      <c r="K88" s="15"/>
      <c r="L88" s="15"/>
      <c r="M88" s="15"/>
      <c r="N88" s="15"/>
      <c r="O88" s="17"/>
      <c r="P88" s="17"/>
      <c r="Q88" s="15"/>
    </row>
    <row r="89" spans="2:17" s="14" customFormat="1" ht="9">
      <c r="B89" s="15"/>
      <c r="C89" s="15"/>
      <c r="D89" s="15"/>
      <c r="E89" s="15"/>
      <c r="F89" s="15"/>
      <c r="G89" s="15"/>
      <c r="H89" s="15"/>
      <c r="I89" s="16"/>
      <c r="J89" s="15"/>
      <c r="K89" s="15"/>
      <c r="L89" s="15"/>
      <c r="M89" s="15"/>
      <c r="N89" s="15"/>
      <c r="O89" s="17"/>
      <c r="P89" s="17"/>
      <c r="Q89" s="15"/>
    </row>
    <row r="90" spans="2:17" s="14" customFormat="1" ht="9">
      <c r="B90" s="15"/>
      <c r="C90" s="15"/>
      <c r="D90" s="15"/>
      <c r="E90" s="15"/>
      <c r="F90" s="15"/>
      <c r="G90" s="15"/>
      <c r="H90" s="15"/>
      <c r="I90" s="16"/>
      <c r="J90" s="15"/>
      <c r="K90" s="15"/>
      <c r="L90" s="15"/>
      <c r="M90" s="15"/>
      <c r="N90" s="15"/>
      <c r="O90" s="17"/>
      <c r="P90" s="17"/>
      <c r="Q90" s="15"/>
    </row>
    <row r="91" spans="2:17" s="14" customFormat="1" ht="9">
      <c r="B91" s="15"/>
      <c r="C91" s="15"/>
      <c r="D91" s="15"/>
      <c r="E91" s="15"/>
      <c r="F91" s="15"/>
      <c r="G91" s="15"/>
      <c r="H91" s="15"/>
      <c r="I91" s="16"/>
      <c r="J91" s="15"/>
      <c r="K91" s="15"/>
      <c r="L91" s="15"/>
      <c r="M91" s="15"/>
      <c r="N91" s="15"/>
      <c r="O91" s="17"/>
      <c r="P91" s="17"/>
      <c r="Q91" s="15"/>
    </row>
    <row r="92" spans="2:17" s="14" customFormat="1" ht="9">
      <c r="B92" s="15"/>
      <c r="C92" s="15"/>
      <c r="D92" s="15"/>
      <c r="E92" s="15"/>
      <c r="F92" s="15"/>
      <c r="G92" s="15"/>
      <c r="H92" s="15"/>
      <c r="I92" s="16"/>
      <c r="J92" s="15"/>
      <c r="K92" s="15"/>
      <c r="L92" s="15"/>
      <c r="M92" s="15"/>
      <c r="N92" s="15"/>
      <c r="O92" s="17"/>
      <c r="P92" s="17"/>
      <c r="Q92" s="15"/>
    </row>
    <row r="93" spans="2:17" s="14" customFormat="1" ht="9">
      <c r="B93" s="15"/>
      <c r="C93" s="15"/>
      <c r="D93" s="15"/>
      <c r="E93" s="15"/>
      <c r="F93" s="15"/>
      <c r="G93" s="15"/>
      <c r="H93" s="15"/>
      <c r="I93" s="16"/>
      <c r="J93" s="15"/>
      <c r="K93" s="15"/>
      <c r="L93" s="15"/>
      <c r="M93" s="15"/>
      <c r="N93" s="15"/>
      <c r="O93" s="17"/>
      <c r="P93" s="17"/>
      <c r="Q93" s="15"/>
    </row>
    <row r="94" spans="2:17" s="14" customFormat="1" ht="9">
      <c r="B94" s="15"/>
      <c r="C94" s="15"/>
      <c r="D94" s="15"/>
      <c r="E94" s="15"/>
      <c r="F94" s="15"/>
      <c r="G94" s="15"/>
      <c r="H94" s="15"/>
      <c r="I94" s="16"/>
      <c r="J94" s="15"/>
      <c r="K94" s="15"/>
      <c r="L94" s="15"/>
      <c r="M94" s="15"/>
      <c r="N94" s="15"/>
      <c r="O94" s="17"/>
      <c r="P94" s="17"/>
      <c r="Q94" s="15"/>
    </row>
    <row r="95" spans="2:17" s="14" customFormat="1" ht="9">
      <c r="B95" s="15"/>
      <c r="C95" s="15"/>
      <c r="D95" s="15"/>
      <c r="E95" s="15"/>
      <c r="F95" s="15"/>
      <c r="G95" s="15"/>
      <c r="H95" s="15"/>
      <c r="I95" s="16"/>
      <c r="J95" s="15"/>
      <c r="K95" s="15"/>
      <c r="L95" s="15"/>
      <c r="M95" s="15"/>
      <c r="N95" s="15"/>
      <c r="O95" s="17"/>
      <c r="P95" s="17"/>
      <c r="Q95" s="15"/>
    </row>
    <row r="96" spans="2:17" s="14" customFormat="1" ht="9">
      <c r="B96" s="15"/>
      <c r="C96" s="15"/>
      <c r="D96" s="15"/>
      <c r="E96" s="15"/>
      <c r="F96" s="15"/>
      <c r="G96" s="15"/>
      <c r="H96" s="15"/>
      <c r="I96" s="16"/>
      <c r="J96" s="15"/>
      <c r="K96" s="15"/>
      <c r="L96" s="15"/>
      <c r="M96" s="15"/>
      <c r="N96" s="15"/>
      <c r="O96" s="17"/>
      <c r="P96" s="17"/>
      <c r="Q96" s="15"/>
    </row>
    <row r="97" spans="2:17" s="14" customFormat="1" ht="9">
      <c r="B97" s="15"/>
      <c r="C97" s="15"/>
      <c r="D97" s="15"/>
      <c r="E97" s="15"/>
      <c r="F97" s="15"/>
      <c r="G97" s="15"/>
      <c r="H97" s="15"/>
      <c r="I97" s="16"/>
      <c r="J97" s="15"/>
      <c r="K97" s="15"/>
      <c r="L97" s="15"/>
      <c r="M97" s="15"/>
      <c r="N97" s="15"/>
      <c r="O97" s="17"/>
      <c r="P97" s="17"/>
      <c r="Q97" s="15"/>
    </row>
    <row r="98" spans="2:17" s="14" customFormat="1" ht="9">
      <c r="B98" s="15"/>
      <c r="C98" s="15"/>
      <c r="D98" s="15"/>
      <c r="E98" s="15"/>
      <c r="F98" s="15"/>
      <c r="G98" s="15"/>
      <c r="H98" s="15"/>
      <c r="I98" s="16"/>
      <c r="J98" s="15"/>
      <c r="K98" s="15"/>
      <c r="L98" s="15"/>
      <c r="M98" s="15"/>
      <c r="N98" s="15"/>
      <c r="O98" s="17"/>
      <c r="P98" s="17"/>
      <c r="Q98" s="15"/>
    </row>
    <row r="99" spans="2:17" s="14" customFormat="1" ht="9">
      <c r="B99" s="15"/>
      <c r="C99" s="15"/>
      <c r="D99" s="15"/>
      <c r="E99" s="15"/>
      <c r="F99" s="15"/>
      <c r="G99" s="15"/>
      <c r="H99" s="15"/>
      <c r="I99" s="16"/>
      <c r="J99" s="15"/>
      <c r="K99" s="15"/>
      <c r="L99" s="15"/>
      <c r="M99" s="15"/>
      <c r="N99" s="15"/>
      <c r="O99" s="17"/>
      <c r="P99" s="17"/>
      <c r="Q99" s="15"/>
    </row>
    <row r="100" spans="2:17" s="14" customFormat="1" ht="9">
      <c r="B100" s="15"/>
      <c r="C100" s="15"/>
      <c r="D100" s="15"/>
      <c r="E100" s="15"/>
      <c r="F100" s="15"/>
      <c r="G100" s="15"/>
      <c r="H100" s="15"/>
      <c r="I100" s="16"/>
      <c r="J100" s="15"/>
      <c r="K100" s="15"/>
      <c r="L100" s="15"/>
      <c r="M100" s="15"/>
      <c r="N100" s="15"/>
      <c r="O100" s="17"/>
      <c r="P100" s="17"/>
      <c r="Q100" s="15"/>
    </row>
    <row r="101" spans="2:17" s="14" customFormat="1" ht="9">
      <c r="B101" s="15"/>
      <c r="C101" s="15"/>
      <c r="D101" s="15"/>
      <c r="E101" s="15"/>
      <c r="F101" s="15"/>
      <c r="G101" s="15"/>
      <c r="H101" s="15"/>
      <c r="I101" s="16"/>
      <c r="J101" s="15"/>
      <c r="K101" s="15"/>
      <c r="L101" s="15"/>
      <c r="M101" s="15"/>
      <c r="N101" s="15"/>
      <c r="O101" s="17"/>
      <c r="P101" s="17"/>
      <c r="Q101" s="15"/>
    </row>
    <row r="102" spans="2:17" s="14" customFormat="1" ht="9">
      <c r="B102" s="15"/>
      <c r="C102" s="15"/>
      <c r="D102" s="15"/>
      <c r="E102" s="15"/>
      <c r="F102" s="15"/>
      <c r="G102" s="15"/>
      <c r="H102" s="15"/>
      <c r="I102" s="16"/>
      <c r="J102" s="15"/>
      <c r="K102" s="15"/>
      <c r="L102" s="15"/>
      <c r="M102" s="15"/>
      <c r="N102" s="15"/>
      <c r="O102" s="17"/>
      <c r="P102" s="17"/>
      <c r="Q102" s="15"/>
    </row>
    <row r="103" spans="2:17" s="14" customFormat="1" ht="9">
      <c r="B103" s="15"/>
      <c r="C103" s="15"/>
      <c r="D103" s="15"/>
      <c r="E103" s="15"/>
      <c r="F103" s="15"/>
      <c r="G103" s="15"/>
      <c r="H103" s="15"/>
      <c r="I103" s="16"/>
      <c r="J103" s="15"/>
      <c r="K103" s="15"/>
      <c r="L103" s="15"/>
      <c r="M103" s="15"/>
      <c r="N103" s="15"/>
      <c r="O103" s="17"/>
      <c r="P103" s="17"/>
      <c r="Q103" s="15"/>
    </row>
    <row r="104" spans="2:17" s="14" customFormat="1" ht="9">
      <c r="B104" s="15"/>
      <c r="C104" s="15"/>
      <c r="D104" s="15"/>
      <c r="E104" s="15"/>
      <c r="F104" s="15"/>
      <c r="G104" s="15"/>
      <c r="H104" s="15"/>
      <c r="I104" s="16"/>
      <c r="J104" s="15"/>
      <c r="K104" s="15"/>
      <c r="L104" s="15"/>
      <c r="M104" s="15"/>
      <c r="N104" s="15"/>
      <c r="O104" s="17"/>
      <c r="P104" s="17"/>
      <c r="Q104" s="15"/>
    </row>
    <row r="105" spans="2:17" s="14" customFormat="1" ht="9">
      <c r="B105" s="15"/>
      <c r="C105" s="15"/>
      <c r="D105" s="15"/>
      <c r="E105" s="15"/>
      <c r="F105" s="15"/>
      <c r="G105" s="15"/>
      <c r="H105" s="15"/>
      <c r="I105" s="16"/>
      <c r="J105" s="15"/>
      <c r="K105" s="15"/>
      <c r="L105" s="15"/>
      <c r="M105" s="15"/>
      <c r="N105" s="15"/>
      <c r="O105" s="17"/>
      <c r="P105" s="17"/>
      <c r="Q105" s="15"/>
    </row>
    <row r="106" spans="2:17" s="14" customFormat="1" ht="9">
      <c r="B106" s="15"/>
      <c r="C106" s="15"/>
      <c r="D106" s="15"/>
      <c r="E106" s="15"/>
      <c r="F106" s="15"/>
      <c r="G106" s="15"/>
      <c r="H106" s="15"/>
      <c r="I106" s="16"/>
      <c r="J106" s="15"/>
      <c r="K106" s="15"/>
      <c r="L106" s="15"/>
      <c r="M106" s="15"/>
      <c r="N106" s="15"/>
      <c r="O106" s="17"/>
      <c r="P106" s="17"/>
      <c r="Q106" s="15"/>
    </row>
    <row r="107" spans="2:17" s="14" customFormat="1" ht="9">
      <c r="B107" s="15"/>
      <c r="C107" s="15"/>
      <c r="D107" s="15"/>
      <c r="E107" s="15"/>
      <c r="F107" s="15"/>
      <c r="G107" s="15"/>
      <c r="H107" s="15"/>
      <c r="I107" s="16"/>
      <c r="J107" s="15"/>
      <c r="K107" s="15"/>
      <c r="L107" s="15"/>
      <c r="M107" s="15"/>
      <c r="N107" s="15"/>
      <c r="O107" s="17"/>
      <c r="P107" s="17"/>
      <c r="Q107" s="15"/>
    </row>
    <row r="108" spans="2:17" s="14" customFormat="1" ht="9">
      <c r="B108" s="15"/>
      <c r="C108" s="15"/>
      <c r="D108" s="15"/>
      <c r="E108" s="15"/>
      <c r="F108" s="15"/>
      <c r="G108" s="15"/>
      <c r="H108" s="15"/>
      <c r="I108" s="16"/>
      <c r="J108" s="15"/>
      <c r="K108" s="15"/>
      <c r="L108" s="15"/>
      <c r="M108" s="15"/>
      <c r="N108" s="15"/>
      <c r="O108" s="17"/>
      <c r="P108" s="17"/>
      <c r="Q108" s="15"/>
    </row>
    <row r="109" spans="2:17" s="14" customFormat="1" ht="9">
      <c r="B109" s="15"/>
      <c r="C109" s="15"/>
      <c r="D109" s="15"/>
      <c r="E109" s="15"/>
      <c r="F109" s="15"/>
      <c r="G109" s="15"/>
      <c r="H109" s="15"/>
      <c r="I109" s="16"/>
      <c r="J109" s="15"/>
      <c r="K109" s="15"/>
      <c r="L109" s="15"/>
      <c r="M109" s="15"/>
      <c r="N109" s="15"/>
      <c r="O109" s="17"/>
      <c r="P109" s="17"/>
      <c r="Q109" s="15"/>
    </row>
    <row r="110" spans="2:17" s="14" customFormat="1" ht="9">
      <c r="B110" s="15"/>
      <c r="C110" s="15"/>
      <c r="D110" s="15"/>
      <c r="E110" s="15"/>
      <c r="F110" s="15"/>
      <c r="G110" s="15"/>
      <c r="H110" s="15"/>
      <c r="I110" s="16"/>
      <c r="J110" s="15"/>
      <c r="K110" s="15"/>
      <c r="L110" s="15"/>
      <c r="M110" s="15"/>
      <c r="N110" s="15"/>
      <c r="O110" s="17"/>
      <c r="P110" s="17"/>
      <c r="Q110" s="15"/>
    </row>
    <row r="111" spans="2:17" s="14" customFormat="1" ht="9">
      <c r="B111" s="15"/>
      <c r="C111" s="15"/>
      <c r="D111" s="15"/>
      <c r="E111" s="15"/>
      <c r="F111" s="15"/>
      <c r="G111" s="15"/>
      <c r="H111" s="15"/>
      <c r="I111" s="16"/>
      <c r="J111" s="15"/>
      <c r="K111" s="15"/>
      <c r="L111" s="15"/>
      <c r="M111" s="15"/>
      <c r="N111" s="15"/>
      <c r="O111" s="17"/>
      <c r="P111" s="17"/>
      <c r="Q111" s="15"/>
    </row>
    <row r="112" spans="2:17" s="14" customFormat="1" ht="9">
      <c r="B112" s="15"/>
      <c r="C112" s="15"/>
      <c r="D112" s="15"/>
      <c r="E112" s="15"/>
      <c r="F112" s="15"/>
      <c r="G112" s="15"/>
      <c r="H112" s="15"/>
      <c r="I112" s="16"/>
      <c r="J112" s="15"/>
      <c r="K112" s="15"/>
      <c r="L112" s="15"/>
      <c r="M112" s="15"/>
      <c r="N112" s="15"/>
      <c r="O112" s="17"/>
      <c r="P112" s="17"/>
      <c r="Q112" s="15"/>
    </row>
    <row r="113" spans="2:17" s="14" customFormat="1" ht="9">
      <c r="B113" s="15"/>
      <c r="C113" s="15"/>
      <c r="D113" s="15"/>
      <c r="E113" s="15"/>
      <c r="F113" s="15"/>
      <c r="G113" s="15"/>
      <c r="H113" s="15"/>
      <c r="I113" s="16"/>
      <c r="J113" s="15"/>
      <c r="K113" s="15"/>
      <c r="L113" s="15"/>
      <c r="M113" s="15"/>
      <c r="N113" s="15"/>
      <c r="O113" s="17"/>
      <c r="P113" s="17"/>
      <c r="Q113" s="15"/>
    </row>
    <row r="114" spans="2:17" s="14" customFormat="1" ht="9">
      <c r="B114" s="15"/>
      <c r="C114" s="15"/>
      <c r="D114" s="15"/>
      <c r="E114" s="15"/>
      <c r="F114" s="15"/>
      <c r="G114" s="15"/>
      <c r="H114" s="15"/>
      <c r="I114" s="16"/>
      <c r="J114" s="15"/>
      <c r="K114" s="15"/>
      <c r="L114" s="15"/>
      <c r="M114" s="15"/>
      <c r="N114" s="15"/>
      <c r="O114" s="17"/>
      <c r="P114" s="17"/>
      <c r="Q114" s="15"/>
    </row>
    <row r="115" spans="2:17" s="14" customFormat="1" ht="9">
      <c r="B115" s="15"/>
      <c r="C115" s="15"/>
      <c r="D115" s="15"/>
      <c r="E115" s="15"/>
      <c r="F115" s="15"/>
      <c r="G115" s="15"/>
      <c r="H115" s="15"/>
      <c r="I115" s="16"/>
      <c r="J115" s="15"/>
      <c r="K115" s="15"/>
      <c r="L115" s="15"/>
      <c r="M115" s="15"/>
      <c r="N115" s="15"/>
      <c r="O115" s="17"/>
      <c r="P115" s="17"/>
      <c r="Q115" s="15"/>
    </row>
    <row r="116" spans="2:17" s="14" customFormat="1" ht="9">
      <c r="B116" s="15"/>
      <c r="C116" s="15"/>
      <c r="D116" s="15"/>
      <c r="E116" s="15"/>
      <c r="F116" s="15"/>
      <c r="G116" s="15"/>
      <c r="H116" s="15"/>
      <c r="I116" s="16"/>
      <c r="J116" s="15"/>
      <c r="K116" s="15"/>
      <c r="L116" s="15"/>
      <c r="M116" s="15"/>
      <c r="N116" s="15"/>
      <c r="O116" s="17"/>
      <c r="P116" s="17"/>
      <c r="Q116" s="15"/>
    </row>
    <row r="117" spans="2:17" s="14" customFormat="1" ht="9">
      <c r="B117" s="15"/>
      <c r="C117" s="15"/>
      <c r="D117" s="15"/>
      <c r="E117" s="15"/>
      <c r="F117" s="15"/>
      <c r="G117" s="15"/>
      <c r="H117" s="15"/>
      <c r="I117" s="16"/>
      <c r="J117" s="15"/>
      <c r="K117" s="15"/>
      <c r="L117" s="15"/>
      <c r="M117" s="15"/>
      <c r="N117" s="15"/>
      <c r="O117" s="17"/>
      <c r="P117" s="17"/>
      <c r="Q117" s="15"/>
    </row>
    <row r="118" spans="2:17" s="14" customFormat="1" ht="9">
      <c r="B118" s="15"/>
      <c r="C118" s="15"/>
      <c r="D118" s="15"/>
      <c r="E118" s="15"/>
      <c r="F118" s="15"/>
      <c r="G118" s="15"/>
      <c r="H118" s="15"/>
      <c r="I118" s="16"/>
      <c r="J118" s="15"/>
      <c r="K118" s="15"/>
      <c r="L118" s="15"/>
      <c r="M118" s="15"/>
      <c r="N118" s="15"/>
      <c r="O118" s="17"/>
      <c r="P118" s="17"/>
      <c r="Q118" s="15"/>
    </row>
    <row r="119" spans="2:17" s="14" customFormat="1" ht="9">
      <c r="B119" s="15"/>
      <c r="C119" s="15"/>
      <c r="D119" s="15"/>
      <c r="E119" s="15"/>
      <c r="F119" s="15"/>
      <c r="G119" s="15"/>
      <c r="H119" s="15"/>
      <c r="I119" s="16"/>
      <c r="J119" s="15"/>
      <c r="K119" s="15"/>
      <c r="L119" s="15"/>
      <c r="M119" s="15"/>
      <c r="N119" s="15"/>
      <c r="O119" s="17"/>
      <c r="P119" s="17"/>
      <c r="Q119" s="15"/>
    </row>
    <row r="120" spans="2:17" s="14" customFormat="1" ht="9">
      <c r="B120" s="15"/>
      <c r="C120" s="15"/>
      <c r="D120" s="15"/>
      <c r="E120" s="15"/>
      <c r="F120" s="15"/>
      <c r="G120" s="15"/>
      <c r="H120" s="15"/>
      <c r="I120" s="16"/>
      <c r="J120" s="15"/>
      <c r="K120" s="15"/>
      <c r="L120" s="15"/>
      <c r="M120" s="15"/>
      <c r="N120" s="15"/>
      <c r="O120" s="17"/>
      <c r="P120" s="17"/>
      <c r="Q120" s="15"/>
    </row>
  </sheetData>
  <mergeCells count="6">
    <mergeCell ref="A77:N77"/>
    <mergeCell ref="A1:Q1"/>
    <mergeCell ref="A2:Q2"/>
    <mergeCell ref="A72:Q72"/>
    <mergeCell ref="A70:O70"/>
    <mergeCell ref="A71:O71"/>
  </mergeCells>
  <phoneticPr fontId="7" type="noConversion"/>
  <pageMargins left="0.25" right="0.25" top="0.5" bottom="0.75" header="0.5" footer="0.5"/>
  <pageSetup scale="56" orientation="landscape"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A1:U123"/>
  <sheetViews>
    <sheetView zoomScale="110" zoomScaleNormal="110" workbookViewId="0">
      <pane xSplit="1" ySplit="3" topLeftCell="B46" activePane="bottomRight" state="frozen"/>
      <selection activeCell="P31" sqref="P31"/>
      <selection pane="topRight" activeCell="P31" sqref="P31"/>
      <selection pane="bottomLeft" activeCell="P31" sqref="P31"/>
      <selection pane="bottomRight" activeCell="A79" sqref="A79"/>
    </sheetView>
  </sheetViews>
  <sheetFormatPr defaultRowHeight="11.25"/>
  <cols>
    <col min="1" max="1" width="36.5703125" style="1" customWidth="1"/>
    <col min="2" max="2" width="8.85546875" style="7" bestFit="1" customWidth="1"/>
    <col min="3" max="3" width="8" style="7" hidden="1" customWidth="1"/>
    <col min="4" max="4" width="8.42578125" style="7" bestFit="1" customWidth="1"/>
    <col min="5" max="5" width="8.85546875" style="7" bestFit="1" customWidth="1"/>
    <col min="6" max="6" width="7.42578125" style="7" customWidth="1"/>
    <col min="7" max="7" width="9.28515625" style="7" bestFit="1" customWidth="1"/>
    <col min="8" max="8" width="7.85546875" style="7" bestFit="1" customWidth="1"/>
    <col min="9" max="9" width="9.42578125" style="11" bestFit="1" customWidth="1"/>
    <col min="10" max="11" width="6.85546875" style="7" bestFit="1" customWidth="1"/>
    <col min="12" max="12" width="8.5703125" style="7" customWidth="1"/>
    <col min="13" max="13" width="7.85546875" style="7" hidden="1" customWidth="1"/>
    <col min="14" max="14" width="10.140625" style="7" customWidth="1"/>
    <col min="15" max="15" width="10.140625" style="8" bestFit="1" customWidth="1"/>
    <col min="16" max="16" width="10" style="8" bestFit="1" customWidth="1"/>
    <col min="17" max="17" width="3.7109375" style="7" customWidth="1"/>
    <col min="18" max="19" width="9.140625" style="1" hidden="1" customWidth="1"/>
    <col min="20" max="20" width="11.140625" style="1" customWidth="1"/>
    <col min="21" max="21" width="8.5703125" style="1" customWidth="1"/>
    <col min="22" max="16384" width="9.140625" style="1"/>
  </cols>
  <sheetData>
    <row r="1" spans="1:21">
      <c r="A1" s="395" t="s">
        <v>181</v>
      </c>
      <c r="B1" s="395"/>
      <c r="C1" s="395"/>
      <c r="D1" s="395"/>
      <c r="E1" s="395"/>
      <c r="F1" s="395"/>
      <c r="G1" s="395"/>
      <c r="H1" s="395"/>
      <c r="I1" s="395"/>
      <c r="J1" s="395"/>
      <c r="K1" s="395"/>
      <c r="L1" s="395"/>
      <c r="M1" s="395"/>
      <c r="N1" s="395"/>
      <c r="O1" s="395"/>
      <c r="P1" s="395"/>
      <c r="Q1" s="395"/>
    </row>
    <row r="2" spans="1:21">
      <c r="A2" s="407" t="s">
        <v>465</v>
      </c>
      <c r="B2" s="407"/>
      <c r="C2" s="407"/>
      <c r="D2" s="407"/>
      <c r="E2" s="407"/>
      <c r="F2" s="407"/>
      <c r="G2" s="407"/>
      <c r="H2" s="407"/>
      <c r="I2" s="407"/>
      <c r="J2" s="407"/>
      <c r="K2" s="407"/>
      <c r="L2" s="407"/>
      <c r="M2" s="407"/>
      <c r="N2" s="407"/>
      <c r="O2" s="407"/>
      <c r="P2" s="407"/>
      <c r="Q2" s="407"/>
    </row>
    <row r="3" spans="1:21" s="3" customFormat="1" ht="63">
      <c r="A3" s="45" t="s">
        <v>392</v>
      </c>
      <c r="B3" s="45" t="s">
        <v>393</v>
      </c>
      <c r="C3" s="45" t="s">
        <v>430</v>
      </c>
      <c r="D3" s="45" t="s">
        <v>4</v>
      </c>
      <c r="E3" s="45" t="s">
        <v>6</v>
      </c>
      <c r="F3" s="12" t="s">
        <v>5</v>
      </c>
      <c r="G3" s="12" t="s">
        <v>176</v>
      </c>
      <c r="H3" s="12" t="s">
        <v>459</v>
      </c>
      <c r="I3" s="60" t="s">
        <v>460</v>
      </c>
      <c r="J3" s="13" t="s">
        <v>462</v>
      </c>
      <c r="K3" s="13" t="s">
        <v>463</v>
      </c>
      <c r="L3" s="13" t="s">
        <v>461</v>
      </c>
      <c r="M3" s="12" t="s">
        <v>391</v>
      </c>
      <c r="N3" s="12" t="s">
        <v>8</v>
      </c>
      <c r="O3" s="13" t="s">
        <v>9</v>
      </c>
      <c r="P3" s="13" t="s">
        <v>175</v>
      </c>
      <c r="Q3" s="28" t="s">
        <v>394</v>
      </c>
      <c r="R3" s="3" t="s">
        <v>307</v>
      </c>
      <c r="S3" s="3" t="s">
        <v>308</v>
      </c>
    </row>
    <row r="4" spans="1:21" s="6" customFormat="1" ht="9">
      <c r="A4" s="178" t="s">
        <v>405</v>
      </c>
      <c r="B4" s="179" t="s">
        <v>433</v>
      </c>
      <c r="C4" s="179"/>
      <c r="D4" s="181"/>
      <c r="E4" s="181"/>
      <c r="F4" s="38"/>
      <c r="G4" s="22"/>
      <c r="H4" s="22"/>
      <c r="I4" s="23"/>
      <c r="J4" s="23"/>
      <c r="K4" s="23"/>
      <c r="L4" s="23"/>
      <c r="M4" s="22"/>
      <c r="N4" s="38"/>
      <c r="O4" s="38"/>
      <c r="P4" s="38"/>
      <c r="Q4" s="237"/>
    </row>
    <row r="5" spans="1:21" s="6" customFormat="1" ht="9">
      <c r="A5" s="142" t="s">
        <v>406</v>
      </c>
      <c r="B5" s="44" t="s">
        <v>433</v>
      </c>
      <c r="C5" s="44"/>
      <c r="D5" s="52"/>
      <c r="E5" s="52"/>
      <c r="F5" s="39"/>
      <c r="G5" s="18"/>
      <c r="H5" s="18"/>
      <c r="I5" s="19"/>
      <c r="J5" s="19"/>
      <c r="K5" s="19"/>
      <c r="L5" s="19"/>
      <c r="M5" s="18"/>
      <c r="N5" s="39"/>
      <c r="O5" s="39"/>
      <c r="P5" s="39"/>
      <c r="Q5" s="29"/>
    </row>
    <row r="6" spans="1:21" s="6" customFormat="1" ht="9">
      <c r="A6" s="142" t="s">
        <v>407</v>
      </c>
      <c r="B6" s="44"/>
      <c r="C6" s="44"/>
      <c r="D6" s="52"/>
      <c r="E6" s="52"/>
      <c r="F6" s="39"/>
      <c r="G6" s="18"/>
      <c r="H6" s="18"/>
      <c r="I6" s="92"/>
      <c r="J6" s="92"/>
      <c r="K6" s="92"/>
      <c r="L6" s="92"/>
      <c r="M6" s="44"/>
      <c r="N6" s="52"/>
      <c r="O6" s="52"/>
      <c r="P6" s="52"/>
      <c r="Q6" s="94"/>
    </row>
    <row r="7" spans="1:21" s="6" customFormat="1" ht="9">
      <c r="A7" s="143" t="s">
        <v>408</v>
      </c>
      <c r="B7" s="44">
        <v>40</v>
      </c>
      <c r="C7" s="44"/>
      <c r="D7" s="52">
        <v>0</v>
      </c>
      <c r="E7" s="52">
        <v>0</v>
      </c>
      <c r="F7" s="39">
        <v>0</v>
      </c>
      <c r="G7" s="18">
        <v>1</v>
      </c>
      <c r="H7" s="18">
        <f>B7*G7</f>
        <v>40</v>
      </c>
      <c r="I7" s="91">
        <v>0</v>
      </c>
      <c r="J7" s="92">
        <f>H7*I7</f>
        <v>0</v>
      </c>
      <c r="K7" s="92">
        <f>J7*0.1</f>
        <v>0</v>
      </c>
      <c r="L7" s="91">
        <f>J7*0.05</f>
        <v>0</v>
      </c>
      <c r="M7" s="44">
        <f>C7*G7*I7</f>
        <v>0</v>
      </c>
      <c r="N7" s="52">
        <f>(J7*'Base Data'!$C$5)+(K7*'Base Data'!$C$6)+(L7*'Base Data'!$C$7)</f>
        <v>0</v>
      </c>
      <c r="O7" s="52">
        <f>(D7+E7+F7)*G7*I7</f>
        <v>0</v>
      </c>
      <c r="P7" s="92">
        <f>G7*I7</f>
        <v>0</v>
      </c>
      <c r="Q7" s="94" t="s">
        <v>387</v>
      </c>
    </row>
    <row r="8" spans="1:21" s="6" customFormat="1" ht="9">
      <c r="A8" s="142" t="s">
        <v>409</v>
      </c>
      <c r="B8" s="44"/>
      <c r="C8" s="44"/>
      <c r="D8" s="52"/>
      <c r="E8" s="52"/>
      <c r="F8" s="39"/>
      <c r="G8" s="18"/>
      <c r="H8" s="18"/>
      <c r="I8" s="92"/>
      <c r="J8" s="92"/>
      <c r="K8" s="92"/>
      <c r="L8" s="92"/>
      <c r="M8" s="44"/>
      <c r="N8" s="52"/>
      <c r="O8" s="52"/>
      <c r="P8" s="52"/>
      <c r="Q8" s="94"/>
      <c r="U8" s="30"/>
    </row>
    <row r="9" spans="1:21" s="6" customFormat="1" ht="9">
      <c r="A9" s="143" t="s">
        <v>423</v>
      </c>
      <c r="B9" s="44"/>
      <c r="C9" s="44"/>
      <c r="D9" s="95"/>
      <c r="E9" s="52"/>
      <c r="F9" s="52"/>
      <c r="G9" s="44"/>
      <c r="H9" s="44"/>
      <c r="I9" s="91"/>
      <c r="J9" s="92"/>
      <c r="K9" s="92"/>
      <c r="L9" s="92"/>
      <c r="M9" s="93"/>
      <c r="N9" s="52"/>
      <c r="O9" s="52"/>
      <c r="P9" s="52"/>
      <c r="Q9" s="94"/>
      <c r="U9" s="30"/>
    </row>
    <row r="10" spans="1:21" s="6" customFormat="1" ht="9">
      <c r="A10" s="142" t="s">
        <v>274</v>
      </c>
      <c r="B10" s="44">
        <v>20</v>
      </c>
      <c r="C10" s="44"/>
      <c r="D10" s="52">
        <v>854</v>
      </c>
      <c r="E10" s="52">
        <v>0</v>
      </c>
      <c r="F10" s="39">
        <v>0</v>
      </c>
      <c r="G10" s="18">
        <v>1</v>
      </c>
      <c r="H10" s="18">
        <f>B10*G10</f>
        <v>20</v>
      </c>
      <c r="I10" s="91">
        <f>ROUND('Testing Costs'!$C$22*(SUM('Base Data'!$H$43:$H$45)/2),0)</f>
        <v>4</v>
      </c>
      <c r="J10" s="92">
        <f>H10*I10</f>
        <v>80</v>
      </c>
      <c r="K10" s="92">
        <f t="shared" ref="K10:K24" si="0">J10*0.1</f>
        <v>8</v>
      </c>
      <c r="L10" s="92">
        <f>J10*0.05</f>
        <v>4</v>
      </c>
      <c r="M10" s="93">
        <f>C10*G10*I10</f>
        <v>0</v>
      </c>
      <c r="N10" s="52">
        <f>(J10*'Base Data'!$C$5)+(K10*'Base Data'!$C$6)+(L10*'Base Data'!$C$7)</f>
        <v>8702.1999999999989</v>
      </c>
      <c r="O10" s="52">
        <f>(D10+E10+F10)*G10*I10</f>
        <v>3416</v>
      </c>
      <c r="P10" s="92">
        <v>0</v>
      </c>
      <c r="Q10" s="94" t="s">
        <v>440</v>
      </c>
      <c r="U10" s="30"/>
    </row>
    <row r="11" spans="1:21" s="6" customFormat="1" ht="9">
      <c r="A11" s="142" t="s">
        <v>276</v>
      </c>
      <c r="B11" s="44">
        <v>20</v>
      </c>
      <c r="C11" s="44"/>
      <c r="D11" s="52">
        <v>18292</v>
      </c>
      <c r="E11" s="52">
        <v>0</v>
      </c>
      <c r="F11" s="39">
        <v>0</v>
      </c>
      <c r="G11" s="18">
        <v>1</v>
      </c>
      <c r="H11" s="18">
        <f>B11*G11</f>
        <v>20</v>
      </c>
      <c r="I11" s="91">
        <f>ROUND('Testing Costs'!$C$23*(SUM('Base Data'!$H$43:$H$45)/2),0)</f>
        <v>25</v>
      </c>
      <c r="J11" s="92">
        <f>H11*I11</f>
        <v>500</v>
      </c>
      <c r="K11" s="92">
        <f t="shared" si="0"/>
        <v>50</v>
      </c>
      <c r="L11" s="92">
        <f>J11*0.05</f>
        <v>25</v>
      </c>
      <c r="M11" s="93">
        <f>C11*G11*I11</f>
        <v>0</v>
      </c>
      <c r="N11" s="52">
        <f>(J11*'Base Data'!$C$5)+(K11*'Base Data'!$C$6)+(L11*'Base Data'!$C$7)</f>
        <v>54388.75</v>
      </c>
      <c r="O11" s="52">
        <f>(D11+E11+F11)*G11*I11</f>
        <v>457300</v>
      </c>
      <c r="P11" s="92">
        <v>0</v>
      </c>
      <c r="Q11" s="94" t="s">
        <v>440</v>
      </c>
      <c r="U11" s="30"/>
    </row>
    <row r="12" spans="1:21" s="6" customFormat="1" ht="9">
      <c r="A12" s="143" t="s">
        <v>357</v>
      </c>
      <c r="B12" s="44">
        <v>12</v>
      </c>
      <c r="C12" s="44"/>
      <c r="D12" s="52">
        <v>0</v>
      </c>
      <c r="E12" s="52">
        <f>'Testing Costs'!$B$13</f>
        <v>5000</v>
      </c>
      <c r="F12" s="39">
        <v>0</v>
      </c>
      <c r="G12" s="18">
        <v>1</v>
      </c>
      <c r="H12" s="18">
        <f t="shared" ref="H12:H24" si="1">B12*G12</f>
        <v>12</v>
      </c>
      <c r="I12" s="91">
        <f>ROUND(SUM('Base Data'!$D$43:$D$45)/2,0)</f>
        <v>253</v>
      </c>
      <c r="J12" s="92">
        <f t="shared" ref="J12:J24" si="2">H12*I12</f>
        <v>3036</v>
      </c>
      <c r="K12" s="92">
        <f t="shared" si="0"/>
        <v>303.60000000000002</v>
      </c>
      <c r="L12" s="92">
        <f t="shared" ref="L12:L24" si="3">J12*0.05</f>
        <v>151.80000000000001</v>
      </c>
      <c r="M12" s="93"/>
      <c r="N12" s="52">
        <f>(J12*'Base Data'!$C$5)+(K12*'Base Data'!$C$6)+(L12*'Base Data'!$C$7)</f>
        <v>330248.49</v>
      </c>
      <c r="O12" s="52">
        <f t="shared" ref="O12:O24" si="4">(D12+E12+F12)*G12*I12</f>
        <v>1265000</v>
      </c>
      <c r="P12" s="92">
        <v>0</v>
      </c>
      <c r="Q12" s="94" t="s">
        <v>91</v>
      </c>
      <c r="U12" s="30"/>
    </row>
    <row r="13" spans="1:21" s="6" customFormat="1" ht="9">
      <c r="A13" s="143" t="s">
        <v>358</v>
      </c>
      <c r="B13" s="44">
        <v>12</v>
      </c>
      <c r="C13" s="44"/>
      <c r="D13" s="52">
        <v>0</v>
      </c>
      <c r="E13" s="52">
        <f>'Testing Costs'!$B$17</f>
        <v>8000</v>
      </c>
      <c r="F13" s="39">
        <v>0</v>
      </c>
      <c r="G13" s="18">
        <v>1</v>
      </c>
      <c r="H13" s="18">
        <f t="shared" si="1"/>
        <v>12</v>
      </c>
      <c r="I13" s="91">
        <v>0</v>
      </c>
      <c r="J13" s="92">
        <f t="shared" si="2"/>
        <v>0</v>
      </c>
      <c r="K13" s="92">
        <f t="shared" si="0"/>
        <v>0</v>
      </c>
      <c r="L13" s="92">
        <f t="shared" si="3"/>
        <v>0</v>
      </c>
      <c r="M13" s="93"/>
      <c r="N13" s="52">
        <f>(J13*'Base Data'!$C$5)+(K13*'Base Data'!$C$6)+(L13*'Base Data'!$C$7)</f>
        <v>0</v>
      </c>
      <c r="O13" s="52">
        <f t="shared" si="4"/>
        <v>0</v>
      </c>
      <c r="P13" s="92">
        <v>0</v>
      </c>
      <c r="Q13" s="94" t="s">
        <v>388</v>
      </c>
      <c r="U13" s="30"/>
    </row>
    <row r="14" spans="1:21" s="6" customFormat="1" ht="9">
      <c r="A14" s="143" t="s">
        <v>359</v>
      </c>
      <c r="B14" s="44">
        <v>12</v>
      </c>
      <c r="C14" s="44"/>
      <c r="D14" s="52">
        <v>0</v>
      </c>
      <c r="E14" s="52">
        <f>'Testing Costs'!$B$15</f>
        <v>8000</v>
      </c>
      <c r="F14" s="39">
        <v>0</v>
      </c>
      <c r="G14" s="18">
        <v>1</v>
      </c>
      <c r="H14" s="18">
        <f t="shared" si="1"/>
        <v>12</v>
      </c>
      <c r="I14" s="91">
        <v>0</v>
      </c>
      <c r="J14" s="92">
        <f t="shared" si="2"/>
        <v>0</v>
      </c>
      <c r="K14" s="92">
        <f t="shared" si="0"/>
        <v>0</v>
      </c>
      <c r="L14" s="92">
        <f t="shared" si="3"/>
        <v>0</v>
      </c>
      <c r="M14" s="93"/>
      <c r="N14" s="52">
        <f>(J14*'Base Data'!$C$5)+(K14*'Base Data'!$C$6)+(L14*'Base Data'!$C$7)</f>
        <v>0</v>
      </c>
      <c r="O14" s="52">
        <f t="shared" si="4"/>
        <v>0</v>
      </c>
      <c r="P14" s="92">
        <v>0</v>
      </c>
      <c r="Q14" s="94" t="s">
        <v>388</v>
      </c>
      <c r="U14" s="30"/>
    </row>
    <row r="15" spans="1:21" s="6" customFormat="1" ht="9">
      <c r="A15" s="143" t="s">
        <v>198</v>
      </c>
      <c r="B15" s="44">
        <v>12</v>
      </c>
      <c r="C15" s="44"/>
      <c r="D15" s="52">
        <v>0</v>
      </c>
      <c r="E15" s="52">
        <f>'Testing Costs'!$B$14</f>
        <v>7000</v>
      </c>
      <c r="F15" s="39">
        <v>0</v>
      </c>
      <c r="G15" s="18">
        <v>1</v>
      </c>
      <c r="H15" s="18">
        <f t="shared" si="1"/>
        <v>12</v>
      </c>
      <c r="I15" s="91">
        <f>ROUND(SUM('Base Data'!$D$43:$D$45)/2,0)</f>
        <v>253</v>
      </c>
      <c r="J15" s="92">
        <f t="shared" si="2"/>
        <v>3036</v>
      </c>
      <c r="K15" s="92">
        <f t="shared" si="0"/>
        <v>303.60000000000002</v>
      </c>
      <c r="L15" s="92">
        <f t="shared" si="3"/>
        <v>151.80000000000001</v>
      </c>
      <c r="M15" s="93"/>
      <c r="N15" s="52">
        <f>(J15*'Base Data'!$C$5)+(K15*'Base Data'!$C$6)+(L15*'Base Data'!$C$7)</f>
        <v>330248.49</v>
      </c>
      <c r="O15" s="52">
        <f t="shared" si="4"/>
        <v>1771000</v>
      </c>
      <c r="P15" s="92">
        <v>0</v>
      </c>
      <c r="Q15" s="94" t="s">
        <v>368</v>
      </c>
      <c r="U15" s="30"/>
    </row>
    <row r="16" spans="1:21" s="6" customFormat="1" ht="9">
      <c r="A16" s="143" t="s">
        <v>365</v>
      </c>
      <c r="B16" s="44">
        <v>12</v>
      </c>
      <c r="C16" s="44"/>
      <c r="D16" s="52">
        <v>0</v>
      </c>
      <c r="E16" s="52">
        <f>'Testing Costs'!$B$16</f>
        <v>16000</v>
      </c>
      <c r="F16" s="39">
        <v>0</v>
      </c>
      <c r="G16" s="18">
        <v>1</v>
      </c>
      <c r="H16" s="18">
        <f t="shared" si="1"/>
        <v>12</v>
      </c>
      <c r="I16" s="91">
        <f>ROUND(SUM('Base Data'!$D$43:$D$45)/2,0)</f>
        <v>253</v>
      </c>
      <c r="J16" s="92">
        <f t="shared" si="2"/>
        <v>3036</v>
      </c>
      <c r="K16" s="92">
        <f t="shared" si="0"/>
        <v>303.60000000000002</v>
      </c>
      <c r="L16" s="92">
        <f t="shared" si="3"/>
        <v>151.80000000000001</v>
      </c>
      <c r="M16" s="93"/>
      <c r="N16" s="52">
        <f>(J16*'Base Data'!$C$5)+(K16*'Base Data'!$C$6)+(L16*'Base Data'!$C$7)</f>
        <v>330248.49</v>
      </c>
      <c r="O16" s="52">
        <f t="shared" si="4"/>
        <v>4048000</v>
      </c>
      <c r="P16" s="92">
        <v>0</v>
      </c>
      <c r="Q16" s="94" t="s">
        <v>388</v>
      </c>
      <c r="U16" s="30"/>
    </row>
    <row r="17" spans="1:21" s="6" customFormat="1" ht="9" customHeight="1">
      <c r="A17" s="143" t="s">
        <v>264</v>
      </c>
      <c r="B17" s="44">
        <v>12</v>
      </c>
      <c r="C17" s="44"/>
      <c r="D17" s="52">
        <v>0</v>
      </c>
      <c r="E17" s="52">
        <f>'Testing Costs'!$B$13</f>
        <v>5000</v>
      </c>
      <c r="F17" s="39">
        <v>0</v>
      </c>
      <c r="G17" s="18">
        <v>1</v>
      </c>
      <c r="H17" s="18">
        <f t="shared" si="1"/>
        <v>12</v>
      </c>
      <c r="I17" s="91">
        <v>0</v>
      </c>
      <c r="J17" s="92">
        <f t="shared" si="2"/>
        <v>0</v>
      </c>
      <c r="K17" s="92">
        <f t="shared" si="0"/>
        <v>0</v>
      </c>
      <c r="L17" s="92">
        <f t="shared" si="3"/>
        <v>0</v>
      </c>
      <c r="M17" s="93"/>
      <c r="N17" s="52">
        <f>(J17*'Base Data'!$C$5)+(K17*'Base Data'!$C$6)+(L17*'Base Data'!$C$7)</f>
        <v>0</v>
      </c>
      <c r="O17" s="52">
        <f t="shared" si="4"/>
        <v>0</v>
      </c>
      <c r="P17" s="92">
        <v>0</v>
      </c>
      <c r="Q17" s="94" t="s">
        <v>539</v>
      </c>
      <c r="U17" s="30"/>
    </row>
    <row r="18" spans="1:21" s="6" customFormat="1" ht="9">
      <c r="A18" s="143" t="s">
        <v>265</v>
      </c>
      <c r="B18" s="44">
        <v>12</v>
      </c>
      <c r="C18" s="44"/>
      <c r="D18" s="52">
        <v>0</v>
      </c>
      <c r="E18" s="52">
        <f>'Testing Costs'!$B$17</f>
        <v>8000</v>
      </c>
      <c r="F18" s="39">
        <v>0</v>
      </c>
      <c r="G18" s="18">
        <v>1</v>
      </c>
      <c r="H18" s="18">
        <f t="shared" si="1"/>
        <v>12</v>
      </c>
      <c r="I18" s="91">
        <v>0</v>
      </c>
      <c r="J18" s="92">
        <f t="shared" si="2"/>
        <v>0</v>
      </c>
      <c r="K18" s="92">
        <f t="shared" si="0"/>
        <v>0</v>
      </c>
      <c r="L18" s="92">
        <f t="shared" si="3"/>
        <v>0</v>
      </c>
      <c r="M18" s="93"/>
      <c r="N18" s="52">
        <f>(J18*'Base Data'!$C$5)+(K18*'Base Data'!$C$6)+(L18*'Base Data'!$C$7)</f>
        <v>0</v>
      </c>
      <c r="O18" s="52">
        <f t="shared" si="4"/>
        <v>0</v>
      </c>
      <c r="P18" s="92">
        <v>0</v>
      </c>
      <c r="Q18" s="94" t="s">
        <v>372</v>
      </c>
      <c r="U18" s="30"/>
    </row>
    <row r="19" spans="1:21" s="6" customFormat="1" ht="9">
      <c r="A19" s="143" t="s">
        <v>266</v>
      </c>
      <c r="B19" s="44">
        <v>12</v>
      </c>
      <c r="C19" s="44"/>
      <c r="D19" s="52">
        <v>0</v>
      </c>
      <c r="E19" s="52">
        <f>'Testing Costs'!$B$15</f>
        <v>8000</v>
      </c>
      <c r="F19" s="39">
        <v>0</v>
      </c>
      <c r="G19" s="18">
        <v>1</v>
      </c>
      <c r="H19" s="18">
        <f t="shared" si="1"/>
        <v>12</v>
      </c>
      <c r="I19" s="91">
        <v>0</v>
      </c>
      <c r="J19" s="92">
        <f t="shared" si="2"/>
        <v>0</v>
      </c>
      <c r="K19" s="92">
        <f t="shared" si="0"/>
        <v>0</v>
      </c>
      <c r="L19" s="92">
        <f t="shared" si="3"/>
        <v>0</v>
      </c>
      <c r="M19" s="93"/>
      <c r="N19" s="52">
        <f>(J19*'Base Data'!$C$5)+(K19*'Base Data'!$C$6)+(L19*'Base Data'!$C$7)</f>
        <v>0</v>
      </c>
      <c r="O19" s="52">
        <f t="shared" si="4"/>
        <v>0</v>
      </c>
      <c r="P19" s="92">
        <v>0</v>
      </c>
      <c r="Q19" s="94" t="s">
        <v>372</v>
      </c>
      <c r="U19" s="30"/>
    </row>
    <row r="20" spans="1:21" s="6" customFormat="1" ht="9">
      <c r="A20" s="143" t="s">
        <v>199</v>
      </c>
      <c r="B20" s="44">
        <v>12</v>
      </c>
      <c r="C20" s="44"/>
      <c r="D20" s="52">
        <v>0</v>
      </c>
      <c r="E20" s="52">
        <f>'Testing Costs'!$B$14</f>
        <v>7000</v>
      </c>
      <c r="F20" s="39">
        <v>0</v>
      </c>
      <c r="G20" s="18">
        <v>1</v>
      </c>
      <c r="H20" s="18">
        <f t="shared" si="1"/>
        <v>12</v>
      </c>
      <c r="I20" s="91">
        <v>0</v>
      </c>
      <c r="J20" s="92">
        <f t="shared" si="2"/>
        <v>0</v>
      </c>
      <c r="K20" s="92">
        <f t="shared" si="0"/>
        <v>0</v>
      </c>
      <c r="L20" s="92">
        <f t="shared" si="3"/>
        <v>0</v>
      </c>
      <c r="M20" s="93"/>
      <c r="N20" s="52">
        <f>(J20*'Base Data'!$C$5)+(K20*'Base Data'!$C$6)+(L20*'Base Data'!$C$7)</f>
        <v>0</v>
      </c>
      <c r="O20" s="52">
        <f t="shared" si="4"/>
        <v>0</v>
      </c>
      <c r="P20" s="92">
        <v>0</v>
      </c>
      <c r="Q20" s="94" t="s">
        <v>372</v>
      </c>
      <c r="U20" s="30"/>
    </row>
    <row r="21" spans="1:21" s="6" customFormat="1" ht="9">
      <c r="A21" s="143" t="s">
        <v>267</v>
      </c>
      <c r="B21" s="44">
        <v>12</v>
      </c>
      <c r="C21" s="44"/>
      <c r="D21" s="52">
        <v>0</v>
      </c>
      <c r="E21" s="52">
        <f>'Testing Costs'!$B$16</f>
        <v>16000</v>
      </c>
      <c r="F21" s="39">
        <v>0</v>
      </c>
      <c r="G21" s="18">
        <v>1</v>
      </c>
      <c r="H21" s="18">
        <f t="shared" si="1"/>
        <v>12</v>
      </c>
      <c r="I21" s="91">
        <v>0</v>
      </c>
      <c r="J21" s="92">
        <f t="shared" si="2"/>
        <v>0</v>
      </c>
      <c r="K21" s="92">
        <f t="shared" si="0"/>
        <v>0</v>
      </c>
      <c r="L21" s="92">
        <f t="shared" si="3"/>
        <v>0</v>
      </c>
      <c r="M21" s="93"/>
      <c r="N21" s="52">
        <f>(J21*'Base Data'!$C$5)+(K21*'Base Data'!$C$6)+(L21*'Base Data'!$C$7)</f>
        <v>0</v>
      </c>
      <c r="O21" s="52">
        <f t="shared" si="4"/>
        <v>0</v>
      </c>
      <c r="P21" s="92">
        <v>0</v>
      </c>
      <c r="Q21" s="94" t="s">
        <v>372</v>
      </c>
      <c r="U21" s="30"/>
    </row>
    <row r="22" spans="1:21" s="6" customFormat="1" ht="18.75" customHeight="1">
      <c r="A22" s="332" t="s">
        <v>481</v>
      </c>
      <c r="B22" s="44">
        <v>24</v>
      </c>
      <c r="C22" s="331"/>
      <c r="D22" s="52">
        <v>0</v>
      </c>
      <c r="E22" s="52">
        <f>$E$13+$E$14</f>
        <v>16000</v>
      </c>
      <c r="F22" s="39">
        <v>0</v>
      </c>
      <c r="G22" s="18">
        <v>1</v>
      </c>
      <c r="H22" s="18">
        <f t="shared" si="1"/>
        <v>24</v>
      </c>
      <c r="I22" s="91">
        <v>0</v>
      </c>
      <c r="J22" s="92">
        <f t="shared" si="2"/>
        <v>0</v>
      </c>
      <c r="K22" s="92">
        <f t="shared" si="0"/>
        <v>0</v>
      </c>
      <c r="L22" s="92">
        <f t="shared" si="3"/>
        <v>0</v>
      </c>
      <c r="M22" s="93"/>
      <c r="N22" s="52">
        <f>(J22*'Base Data'!$C$5)+(K22*'Base Data'!$C$6)+(L22*'Base Data'!$C$7)</f>
        <v>0</v>
      </c>
      <c r="O22" s="52">
        <f t="shared" si="4"/>
        <v>0</v>
      </c>
      <c r="P22" s="92">
        <v>0</v>
      </c>
      <c r="Q22" s="94" t="s">
        <v>92</v>
      </c>
    </row>
    <row r="23" spans="1:21" s="6" customFormat="1" ht="9" customHeight="1">
      <c r="A23" s="143" t="s">
        <v>483</v>
      </c>
      <c r="B23" s="44">
        <v>5</v>
      </c>
      <c r="C23" s="44"/>
      <c r="D23" s="52">
        <v>0</v>
      </c>
      <c r="E23" s="52">
        <v>400</v>
      </c>
      <c r="F23" s="39">
        <v>0</v>
      </c>
      <c r="G23" s="18">
        <v>1</v>
      </c>
      <c r="H23" s="18">
        <f t="shared" si="1"/>
        <v>5</v>
      </c>
      <c r="I23" s="91">
        <f>ROUND(SUM('Base Data'!$D$43:$D$45)/2,0)</f>
        <v>253</v>
      </c>
      <c r="J23" s="92">
        <f t="shared" si="2"/>
        <v>1265</v>
      </c>
      <c r="K23" s="92">
        <f t="shared" si="0"/>
        <v>126.5</v>
      </c>
      <c r="L23" s="92">
        <f t="shared" si="3"/>
        <v>63.25</v>
      </c>
      <c r="M23" s="93"/>
      <c r="N23" s="52">
        <f>(J23*'Base Data'!$C$5)+(K23*'Base Data'!$C$6)+(L23*'Base Data'!$C$7)</f>
        <v>137603.53750000001</v>
      </c>
      <c r="O23" s="52">
        <f t="shared" si="4"/>
        <v>101200</v>
      </c>
      <c r="P23" s="92">
        <v>0</v>
      </c>
      <c r="Q23" s="94" t="s">
        <v>90</v>
      </c>
      <c r="U23" s="30"/>
    </row>
    <row r="24" spans="1:21" s="6" customFormat="1" ht="9" customHeight="1">
      <c r="A24" s="143" t="s">
        <v>484</v>
      </c>
      <c r="B24" s="44">
        <v>5</v>
      </c>
      <c r="C24" s="44"/>
      <c r="D24" s="52">
        <v>0</v>
      </c>
      <c r="E24" s="52">
        <v>400</v>
      </c>
      <c r="F24" s="39">
        <v>0</v>
      </c>
      <c r="G24" s="18">
        <v>12</v>
      </c>
      <c r="H24" s="18">
        <f t="shared" si="1"/>
        <v>60</v>
      </c>
      <c r="I24" s="91">
        <v>0</v>
      </c>
      <c r="J24" s="92">
        <f t="shared" si="2"/>
        <v>0</v>
      </c>
      <c r="K24" s="92">
        <f t="shared" si="0"/>
        <v>0</v>
      </c>
      <c r="L24" s="92">
        <f t="shared" si="3"/>
        <v>0</v>
      </c>
      <c r="M24" s="93"/>
      <c r="N24" s="52">
        <f>(J24*'Base Data'!$C$5)+(K24*'Base Data'!$C$6)+(L24*'Base Data'!$C$7)</f>
        <v>0</v>
      </c>
      <c r="O24" s="52">
        <f t="shared" si="4"/>
        <v>0</v>
      </c>
      <c r="P24" s="92">
        <v>0</v>
      </c>
      <c r="Q24" s="94" t="s">
        <v>90</v>
      </c>
      <c r="U24" s="30"/>
    </row>
    <row r="25" spans="1:21" s="6" customFormat="1" ht="9">
      <c r="A25" s="143" t="s">
        <v>485</v>
      </c>
      <c r="B25" s="44"/>
      <c r="C25" s="44"/>
      <c r="D25" s="52"/>
      <c r="E25" s="52"/>
      <c r="F25" s="39"/>
      <c r="G25" s="18"/>
      <c r="H25" s="18"/>
      <c r="I25" s="92"/>
      <c r="J25" s="92"/>
      <c r="K25" s="92"/>
      <c r="L25" s="92"/>
      <c r="M25" s="93"/>
      <c r="N25" s="52"/>
      <c r="O25" s="52"/>
      <c r="P25" s="92"/>
      <c r="Q25" s="94"/>
      <c r="U25" s="30"/>
    </row>
    <row r="26" spans="1:21" s="6" customFormat="1" ht="9">
      <c r="A26" s="143" t="s">
        <v>432</v>
      </c>
      <c r="B26" s="44">
        <v>40</v>
      </c>
      <c r="C26" s="44"/>
      <c r="D26" s="52">
        <v>0</v>
      </c>
      <c r="E26" s="52"/>
      <c r="F26" s="39">
        <v>0</v>
      </c>
      <c r="G26" s="18">
        <v>1</v>
      </c>
      <c r="H26" s="18">
        <f>B26*G26</f>
        <v>40</v>
      </c>
      <c r="I26" s="91">
        <f>ROUND(SUM('Base Data'!$H$43:$H$45)/2,0)</f>
        <v>29</v>
      </c>
      <c r="J26" s="92">
        <f>H26*I26</f>
        <v>1160</v>
      </c>
      <c r="K26" s="92">
        <f>J26*0.1</f>
        <v>116</v>
      </c>
      <c r="L26" s="92">
        <f>J26*0.05</f>
        <v>58</v>
      </c>
      <c r="M26" s="93"/>
      <c r="N26" s="52">
        <f>(J26*'Base Data'!$C$5)+(K26*'Base Data'!$C$6)+(L26*'Base Data'!$C$7)</f>
        <v>126181.9</v>
      </c>
      <c r="O26" s="52">
        <f>(D26+E26+F26)*G26*I26</f>
        <v>0</v>
      </c>
      <c r="P26" s="92">
        <v>0</v>
      </c>
      <c r="Q26" s="94" t="s">
        <v>388</v>
      </c>
      <c r="U26" s="30"/>
    </row>
    <row r="27" spans="1:21" s="6" customFormat="1" ht="9">
      <c r="A27" s="142" t="s">
        <v>410</v>
      </c>
      <c r="B27" s="44"/>
      <c r="C27" s="44"/>
      <c r="D27" s="52"/>
      <c r="E27" s="52"/>
      <c r="F27" s="39"/>
      <c r="G27" s="18"/>
      <c r="H27" s="18"/>
      <c r="I27" s="92"/>
      <c r="J27" s="92"/>
      <c r="K27" s="92"/>
      <c r="L27" s="92"/>
      <c r="M27" s="93"/>
      <c r="N27" s="52"/>
      <c r="O27" s="52"/>
      <c r="P27" s="92"/>
      <c r="Q27" s="94"/>
      <c r="U27" s="30"/>
    </row>
    <row r="28" spans="1:21" s="6" customFormat="1" ht="9">
      <c r="A28" s="142" t="s">
        <v>411</v>
      </c>
      <c r="B28" s="44">
        <v>10</v>
      </c>
      <c r="C28" s="44"/>
      <c r="D28" s="52">
        <v>0</v>
      </c>
      <c r="E28" s="52">
        <v>0</v>
      </c>
      <c r="F28" s="39">
        <v>43100</v>
      </c>
      <c r="G28" s="18">
        <v>1</v>
      </c>
      <c r="H28" s="18">
        <f>B28*G28</f>
        <v>10</v>
      </c>
      <c r="I28" s="91">
        <f>ROUND(Monitors!$C$8/2,0)</f>
        <v>18</v>
      </c>
      <c r="J28" s="92">
        <f>H28*I28</f>
        <v>180</v>
      </c>
      <c r="K28" s="92">
        <f>J28*0.1</f>
        <v>18</v>
      </c>
      <c r="L28" s="92">
        <f>J28*0.05</f>
        <v>9</v>
      </c>
      <c r="M28" s="93"/>
      <c r="N28" s="52">
        <f>(J28*'Base Data'!$C$5)+(K28*'Base Data'!$C$6)+(L28*'Base Data'!$C$7)</f>
        <v>19579.95</v>
      </c>
      <c r="O28" s="52">
        <f>(D28+E28+F28)*G28*I28</f>
        <v>775800</v>
      </c>
      <c r="P28" s="92">
        <v>0</v>
      </c>
      <c r="Q28" s="94" t="s">
        <v>388</v>
      </c>
      <c r="U28" s="30"/>
    </row>
    <row r="29" spans="1:21" s="6" customFormat="1" ht="9">
      <c r="A29" s="142" t="s">
        <v>414</v>
      </c>
      <c r="B29" s="44">
        <v>10</v>
      </c>
      <c r="C29" s="44"/>
      <c r="D29" s="52">
        <v>0</v>
      </c>
      <c r="E29" s="52">
        <v>0</v>
      </c>
      <c r="F29" s="39">
        <v>14700</v>
      </c>
      <c r="G29" s="18">
        <v>1</v>
      </c>
      <c r="H29" s="18">
        <f>B29*G29</f>
        <v>10</v>
      </c>
      <c r="I29" s="91">
        <f>ROUND(Monitors!$C$8/2,0)</f>
        <v>18</v>
      </c>
      <c r="J29" s="92">
        <f>H29*I29</f>
        <v>180</v>
      </c>
      <c r="K29" s="92">
        <f>J29*0.1</f>
        <v>18</v>
      </c>
      <c r="L29" s="92">
        <f>J29*0.05</f>
        <v>9</v>
      </c>
      <c r="M29" s="93"/>
      <c r="N29" s="52">
        <f>(J29*'Base Data'!$C$5)+(K29*'Base Data'!$C$6)+(L29*'Base Data'!$C$7)</f>
        <v>19579.95</v>
      </c>
      <c r="O29" s="52">
        <f>(D29+E29+F29)*G29*I29</f>
        <v>264600</v>
      </c>
      <c r="P29" s="92">
        <v>0</v>
      </c>
      <c r="Q29" s="94" t="s">
        <v>388</v>
      </c>
      <c r="U29" s="30"/>
    </row>
    <row r="30" spans="1:21" s="6" customFormat="1" ht="9">
      <c r="A30" s="142" t="s">
        <v>356</v>
      </c>
      <c r="B30" s="44"/>
      <c r="C30" s="44"/>
      <c r="D30" s="52"/>
      <c r="E30" s="52"/>
      <c r="F30" s="39"/>
      <c r="G30" s="18"/>
      <c r="H30" s="18"/>
      <c r="I30" s="92"/>
      <c r="J30" s="92"/>
      <c r="K30" s="92"/>
      <c r="L30" s="92"/>
      <c r="M30" s="93"/>
      <c r="N30" s="52"/>
      <c r="O30" s="52"/>
      <c r="P30" s="92"/>
      <c r="Q30" s="94"/>
      <c r="U30" s="30"/>
    </row>
    <row r="31" spans="1:21" s="6" customFormat="1" ht="9">
      <c r="A31" s="142" t="s">
        <v>411</v>
      </c>
      <c r="B31" s="44">
        <v>10</v>
      </c>
      <c r="C31" s="44"/>
      <c r="D31" s="52">
        <v>0</v>
      </c>
      <c r="E31" s="52">
        <v>0</v>
      </c>
      <c r="F31" s="39">
        <v>158000</v>
      </c>
      <c r="G31" s="18">
        <v>1</v>
      </c>
      <c r="H31" s="18">
        <f>B31*G31</f>
        <v>10</v>
      </c>
      <c r="I31" s="91">
        <f>ROUND('Base Data'!$D$45/2,0)</f>
        <v>29</v>
      </c>
      <c r="J31" s="92">
        <f>H31*I31</f>
        <v>290</v>
      </c>
      <c r="K31" s="92">
        <f>J31*0.1</f>
        <v>29</v>
      </c>
      <c r="L31" s="92">
        <f>J31*0.05</f>
        <v>14.5</v>
      </c>
      <c r="M31" s="93"/>
      <c r="N31" s="52">
        <f>(J31*'Base Data'!$C$5)+(K31*'Base Data'!$C$6)+(L31*'Base Data'!$C$7)</f>
        <v>31545.474999999999</v>
      </c>
      <c r="O31" s="52">
        <f>(D31+E31+F31)*G31*I31</f>
        <v>4582000</v>
      </c>
      <c r="P31" s="92">
        <v>0</v>
      </c>
      <c r="Q31" s="94" t="s">
        <v>388</v>
      </c>
      <c r="U31" s="30"/>
    </row>
    <row r="32" spans="1:21" s="6" customFormat="1" ht="9">
      <c r="A32" s="142" t="s">
        <v>414</v>
      </c>
      <c r="B32" s="44">
        <v>10</v>
      </c>
      <c r="C32" s="44"/>
      <c r="D32" s="52">
        <v>0</v>
      </c>
      <c r="E32" s="52">
        <v>0</v>
      </c>
      <c r="F32" s="39">
        <v>56100</v>
      </c>
      <c r="G32" s="18">
        <v>1</v>
      </c>
      <c r="H32" s="18">
        <f>B32*G32</f>
        <v>10</v>
      </c>
      <c r="I32" s="91">
        <f>ROUND('Base Data'!$D$45/2,0)</f>
        <v>29</v>
      </c>
      <c r="J32" s="92">
        <f>H32*I32</f>
        <v>290</v>
      </c>
      <c r="K32" s="92">
        <f>J32*0.1</f>
        <v>29</v>
      </c>
      <c r="L32" s="92">
        <f>J32*0.05</f>
        <v>14.5</v>
      </c>
      <c r="M32" s="93"/>
      <c r="N32" s="52">
        <f>(J32*'Base Data'!$C$5)+(K32*'Base Data'!$C$6)+(L32*'Base Data'!$C$7)</f>
        <v>31545.474999999999</v>
      </c>
      <c r="O32" s="52">
        <f>(D32+E32+F32)*G32*I32</f>
        <v>1626900</v>
      </c>
      <c r="P32" s="92">
        <v>0</v>
      </c>
      <c r="Q32" s="94" t="s">
        <v>388</v>
      </c>
      <c r="U32" s="30"/>
    </row>
    <row r="33" spans="1:21" s="6" customFormat="1" ht="9">
      <c r="A33" s="142" t="s">
        <v>522</v>
      </c>
      <c r="B33" s="44"/>
      <c r="C33" s="44"/>
      <c r="D33" s="52"/>
      <c r="E33" s="52"/>
      <c r="F33" s="52"/>
      <c r="G33" s="44"/>
      <c r="H33" s="44"/>
      <c r="I33" s="91"/>
      <c r="J33" s="92"/>
      <c r="K33" s="92"/>
      <c r="L33" s="92"/>
      <c r="M33" s="93"/>
      <c r="N33" s="52"/>
      <c r="O33" s="52"/>
      <c r="P33" s="92"/>
      <c r="Q33" s="94"/>
    </row>
    <row r="34" spans="1:21" s="6" customFormat="1" ht="9">
      <c r="A34" s="142" t="s">
        <v>411</v>
      </c>
      <c r="B34" s="44">
        <v>10</v>
      </c>
      <c r="C34" s="44"/>
      <c r="D34" s="52">
        <v>0</v>
      </c>
      <c r="E34" s="52">
        <v>0</v>
      </c>
      <c r="F34" s="52">
        <f>Monitors!$F$32</f>
        <v>8523</v>
      </c>
      <c r="G34" s="44">
        <v>1</v>
      </c>
      <c r="H34" s="44">
        <f t="shared" ref="H34:H35" si="5">B34*G34</f>
        <v>10</v>
      </c>
      <c r="I34" s="91">
        <f>ROUND(Monitors!$F$8/2,0)</f>
        <v>253</v>
      </c>
      <c r="J34" s="92">
        <f t="shared" ref="J34:J35" si="6">H34*I34</f>
        <v>2530</v>
      </c>
      <c r="K34" s="92">
        <f t="shared" ref="K34:K35" si="7">J34*0.1</f>
        <v>253</v>
      </c>
      <c r="L34" s="92">
        <f t="shared" ref="L34:L35" si="8">J34*0.05</f>
        <v>126.5</v>
      </c>
      <c r="M34" s="93"/>
      <c r="N34" s="52">
        <f>(J34*'Base Data'!$C$5)+(K34*'Base Data'!$C$6)+(L34*'Base Data'!$C$7)</f>
        <v>275207.07500000001</v>
      </c>
      <c r="O34" s="52">
        <f>(D34+E34+F34)*G34*I34</f>
        <v>2156319</v>
      </c>
      <c r="P34" s="92">
        <v>0</v>
      </c>
      <c r="Q34" s="94" t="s">
        <v>388</v>
      </c>
    </row>
    <row r="35" spans="1:21" s="6" customFormat="1" ht="9">
      <c r="A35" s="142" t="s">
        <v>414</v>
      </c>
      <c r="B35" s="44">
        <v>10</v>
      </c>
      <c r="C35" s="44"/>
      <c r="D35" s="52">
        <v>0</v>
      </c>
      <c r="E35" s="52">
        <v>0</v>
      </c>
      <c r="F35" s="52">
        <f>Monitors!$G$32</f>
        <v>1436</v>
      </c>
      <c r="G35" s="44">
        <v>1</v>
      </c>
      <c r="H35" s="44">
        <f t="shared" si="5"/>
        <v>10</v>
      </c>
      <c r="I35" s="91">
        <f>ROUND(Monitors!$F$8/2,0)</f>
        <v>253</v>
      </c>
      <c r="J35" s="92">
        <f t="shared" si="6"/>
        <v>2530</v>
      </c>
      <c r="K35" s="92">
        <f t="shared" si="7"/>
        <v>253</v>
      </c>
      <c r="L35" s="92">
        <f t="shared" si="8"/>
        <v>126.5</v>
      </c>
      <c r="M35" s="93"/>
      <c r="N35" s="52">
        <f>(J35*'Base Data'!$C$5)+(K35*'Base Data'!$C$6)+(L35*'Base Data'!$C$7)</f>
        <v>275207.07500000001</v>
      </c>
      <c r="O35" s="52">
        <f>(D35+E35+F35)*G35*I35</f>
        <v>363308</v>
      </c>
      <c r="P35" s="92">
        <v>0</v>
      </c>
      <c r="Q35" s="94" t="s">
        <v>388</v>
      </c>
    </row>
    <row r="36" spans="1:21" s="6" customFormat="1" ht="18">
      <c r="A36" s="143" t="s">
        <v>173</v>
      </c>
      <c r="B36" s="44"/>
      <c r="C36" s="44"/>
      <c r="D36" s="52"/>
      <c r="E36" s="52"/>
      <c r="F36" s="59"/>
      <c r="G36" s="18"/>
      <c r="H36" s="18"/>
      <c r="I36" s="96"/>
      <c r="J36" s="92"/>
      <c r="K36" s="92"/>
      <c r="L36" s="92"/>
      <c r="M36" s="93"/>
      <c r="N36" s="52"/>
      <c r="O36" s="52"/>
      <c r="P36" s="92"/>
      <c r="Q36" s="94"/>
      <c r="U36" s="30"/>
    </row>
    <row r="37" spans="1:21" s="6" customFormat="1" ht="9">
      <c r="A37" s="142" t="s">
        <v>411</v>
      </c>
      <c r="B37" s="44">
        <v>10</v>
      </c>
      <c r="C37" s="44"/>
      <c r="D37" s="52">
        <v>0</v>
      </c>
      <c r="E37" s="52">
        <v>0</v>
      </c>
      <c r="F37" s="52">
        <v>24300</v>
      </c>
      <c r="G37" s="44">
        <v>1</v>
      </c>
      <c r="H37" s="44">
        <f>B37*G37</f>
        <v>10</v>
      </c>
      <c r="I37" s="91">
        <f>ROUND(Monitors!$D$8/2,0)</f>
        <v>220</v>
      </c>
      <c r="J37" s="92">
        <f>H37*I37</f>
        <v>2200</v>
      </c>
      <c r="K37" s="92">
        <f>J37*0.1</f>
        <v>220</v>
      </c>
      <c r="L37" s="92">
        <f>J37*0.05</f>
        <v>110</v>
      </c>
      <c r="M37" s="93"/>
      <c r="N37" s="52">
        <f>(J37*'Base Data'!$C$5)+(K37*'Base Data'!$C$6)+(L37*'Base Data'!$C$7)</f>
        <v>239310.5</v>
      </c>
      <c r="O37" s="52">
        <f>(D37+E37+F37)*G37*I37</f>
        <v>5346000</v>
      </c>
      <c r="P37" s="92">
        <v>0</v>
      </c>
      <c r="Q37" s="94" t="s">
        <v>388</v>
      </c>
      <c r="U37" s="30"/>
    </row>
    <row r="38" spans="1:21" s="6" customFormat="1" ht="9">
      <c r="A38" s="142" t="s">
        <v>414</v>
      </c>
      <c r="B38" s="44">
        <v>10</v>
      </c>
      <c r="C38" s="44"/>
      <c r="D38" s="52">
        <v>0</v>
      </c>
      <c r="E38" s="52">
        <v>0</v>
      </c>
      <c r="F38" s="52">
        <v>5600</v>
      </c>
      <c r="G38" s="44">
        <v>1</v>
      </c>
      <c r="H38" s="44">
        <f>B38*G38</f>
        <v>10</v>
      </c>
      <c r="I38" s="91">
        <f>ROUND(Monitors!$D$8/2,0)</f>
        <v>220</v>
      </c>
      <c r="J38" s="92">
        <f>H38*I38</f>
        <v>2200</v>
      </c>
      <c r="K38" s="92">
        <f>J38*0.1</f>
        <v>220</v>
      </c>
      <c r="L38" s="92">
        <f>J38*0.05</f>
        <v>110</v>
      </c>
      <c r="M38" s="93"/>
      <c r="N38" s="52">
        <f>(J38*'Base Data'!$C$5)+(K38*'Base Data'!$C$6)+(L38*'Base Data'!$C$7)</f>
        <v>239310.5</v>
      </c>
      <c r="O38" s="52">
        <f>(D38+E38+F38)*G38*I38</f>
        <v>1232000</v>
      </c>
      <c r="P38" s="92">
        <v>0</v>
      </c>
      <c r="Q38" s="94" t="s">
        <v>388</v>
      </c>
      <c r="U38" s="30"/>
    </row>
    <row r="39" spans="1:21" s="6" customFormat="1" ht="18">
      <c r="A39" s="143" t="s">
        <v>475</v>
      </c>
      <c r="B39" s="44"/>
      <c r="C39" s="44"/>
      <c r="D39" s="52"/>
      <c r="E39" s="52"/>
      <c r="F39" s="52"/>
      <c r="G39" s="44"/>
      <c r="H39" s="44"/>
      <c r="I39" s="91"/>
      <c r="J39" s="92"/>
      <c r="K39" s="92"/>
      <c r="L39" s="92"/>
      <c r="M39" s="93"/>
      <c r="N39" s="52"/>
      <c r="O39" s="238"/>
      <c r="P39" s="92"/>
      <c r="Q39" s="94"/>
      <c r="U39" s="30"/>
    </row>
    <row r="40" spans="1:21" s="6" customFormat="1" ht="9">
      <c r="A40" s="142" t="s">
        <v>411</v>
      </c>
      <c r="B40" s="44">
        <v>10</v>
      </c>
      <c r="C40" s="44"/>
      <c r="D40" s="52">
        <v>0</v>
      </c>
      <c r="E40" s="52">
        <v>0</v>
      </c>
      <c r="F40" s="52">
        <f>25500</f>
        <v>25500</v>
      </c>
      <c r="G40" s="44">
        <v>1</v>
      </c>
      <c r="H40" s="44">
        <f>B40*G40</f>
        <v>10</v>
      </c>
      <c r="I40" s="91">
        <f>ROUND(Monitors!$B$8/2,0)</f>
        <v>219</v>
      </c>
      <c r="J40" s="92">
        <f>H40*I40</f>
        <v>2190</v>
      </c>
      <c r="K40" s="92">
        <f>J40*0.1</f>
        <v>219</v>
      </c>
      <c r="L40" s="92">
        <f>J40*0.05</f>
        <v>109.5</v>
      </c>
      <c r="M40" s="93"/>
      <c r="N40" s="52">
        <f>(J40*'Base Data'!$C$5)+(K40*'Base Data'!$C$6)+(L40*'Base Data'!$C$7)</f>
        <v>238222.72500000001</v>
      </c>
      <c r="O40" s="52">
        <f>(D40+E40+F40)*G40*I40</f>
        <v>5584500</v>
      </c>
      <c r="P40" s="92">
        <v>0</v>
      </c>
      <c r="Q40" s="94" t="s">
        <v>388</v>
      </c>
      <c r="U40" s="30"/>
    </row>
    <row r="41" spans="1:21" s="6" customFormat="1" ht="9">
      <c r="A41" s="142" t="s">
        <v>414</v>
      </c>
      <c r="B41" s="44">
        <v>10</v>
      </c>
      <c r="C41" s="44"/>
      <c r="D41" s="52">
        <v>0</v>
      </c>
      <c r="E41" s="52">
        <v>0</v>
      </c>
      <c r="F41" s="52">
        <v>9700</v>
      </c>
      <c r="G41" s="44">
        <v>1</v>
      </c>
      <c r="H41" s="44">
        <f>B41*G41</f>
        <v>10</v>
      </c>
      <c r="I41" s="91">
        <f>ROUND(Monitors!$B$8/2,0)</f>
        <v>219</v>
      </c>
      <c r="J41" s="92">
        <f>H41*I41</f>
        <v>2190</v>
      </c>
      <c r="K41" s="92">
        <f>J41*0.1</f>
        <v>219</v>
      </c>
      <c r="L41" s="92">
        <f>J41*0.05</f>
        <v>109.5</v>
      </c>
      <c r="M41" s="93"/>
      <c r="N41" s="52">
        <f>(J41*'Base Data'!$C$5)+(K41*'Base Data'!$C$6)+(L41*'Base Data'!$C$7)</f>
        <v>238222.72500000001</v>
      </c>
      <c r="O41" s="52">
        <f>(D41+E41+F41)*G41*I41</f>
        <v>2124300</v>
      </c>
      <c r="P41" s="92">
        <v>0</v>
      </c>
      <c r="Q41" s="94" t="s">
        <v>388</v>
      </c>
      <c r="U41" s="30"/>
    </row>
    <row r="42" spans="1:21" s="6" customFormat="1" ht="18">
      <c r="A42" s="143" t="s">
        <v>174</v>
      </c>
      <c r="B42" s="44"/>
      <c r="C42" s="44"/>
      <c r="D42" s="52"/>
      <c r="E42" s="52"/>
      <c r="F42" s="52"/>
      <c r="G42" s="44"/>
      <c r="H42" s="44"/>
      <c r="I42" s="91"/>
      <c r="J42" s="92"/>
      <c r="K42" s="92"/>
      <c r="L42" s="92"/>
      <c r="M42" s="93"/>
      <c r="N42" s="52"/>
      <c r="O42" s="52"/>
      <c r="P42" s="92"/>
      <c r="Q42" s="94"/>
      <c r="U42" s="30"/>
    </row>
    <row r="43" spans="1:21" s="6" customFormat="1" ht="9">
      <c r="A43" s="142" t="s">
        <v>411</v>
      </c>
      <c r="B43" s="44">
        <v>10</v>
      </c>
      <c r="C43" s="44"/>
      <c r="D43" s="52">
        <v>0</v>
      </c>
      <c r="E43" s="52">
        <v>0</v>
      </c>
      <c r="F43" s="52">
        <v>115000</v>
      </c>
      <c r="G43" s="44">
        <v>1</v>
      </c>
      <c r="H43" s="44">
        <f>B43*G43</f>
        <v>10</v>
      </c>
      <c r="I43" s="91">
        <f>ROUND(Monitors!$E$8,0)</f>
        <v>0</v>
      </c>
      <c r="J43" s="92">
        <f>H43*I43</f>
        <v>0</v>
      </c>
      <c r="K43" s="92">
        <f>J43*0.1</f>
        <v>0</v>
      </c>
      <c r="L43" s="92">
        <f>J43*0.05</f>
        <v>0</v>
      </c>
      <c r="M43" s="93"/>
      <c r="N43" s="52">
        <f>(J43*'Base Data'!$C$5)+(K43*'Base Data'!$C$6)+(L43*'Base Data'!$C$7)</f>
        <v>0</v>
      </c>
      <c r="O43" s="52">
        <f>(D43+E43+F43)*G43*I43</f>
        <v>0</v>
      </c>
      <c r="P43" s="92">
        <v>0</v>
      </c>
      <c r="Q43" s="94" t="s">
        <v>368</v>
      </c>
      <c r="U43" s="30"/>
    </row>
    <row r="44" spans="1:21" s="6" customFormat="1" ht="9">
      <c r="A44" s="142" t="s">
        <v>414</v>
      </c>
      <c r="B44" s="44">
        <v>10</v>
      </c>
      <c r="C44" s="44"/>
      <c r="D44" s="52">
        <v>0</v>
      </c>
      <c r="E44" s="52">
        <v>0</v>
      </c>
      <c r="F44" s="52">
        <v>9700</v>
      </c>
      <c r="G44" s="44">
        <v>1</v>
      </c>
      <c r="H44" s="44">
        <f>B44*G44</f>
        <v>10</v>
      </c>
      <c r="I44" s="91">
        <f>ROUND(Monitors!$E$8,0)</f>
        <v>0</v>
      </c>
      <c r="J44" s="92">
        <f>H44*I44</f>
        <v>0</v>
      </c>
      <c r="K44" s="92">
        <f>J44*0.1</f>
        <v>0</v>
      </c>
      <c r="L44" s="92">
        <f>J44*0.05</f>
        <v>0</v>
      </c>
      <c r="M44" s="93"/>
      <c r="N44" s="52">
        <f>(J44*'Base Data'!$C$5)+(K44*'Base Data'!$C$6)+(L44*'Base Data'!$C$7)</f>
        <v>0</v>
      </c>
      <c r="O44" s="52">
        <f>(D44+E44+F44)*G44*I44</f>
        <v>0</v>
      </c>
      <c r="P44" s="92">
        <v>0</v>
      </c>
      <c r="Q44" s="94" t="s">
        <v>388</v>
      </c>
      <c r="U44" s="30"/>
    </row>
    <row r="45" spans="1:21" s="6" customFormat="1" ht="9">
      <c r="A45" s="142" t="s">
        <v>415</v>
      </c>
      <c r="B45" s="44" t="s">
        <v>433</v>
      </c>
      <c r="C45" s="44"/>
      <c r="D45" s="52"/>
      <c r="E45" s="52"/>
      <c r="F45" s="39"/>
      <c r="G45" s="18"/>
      <c r="H45" s="18"/>
      <c r="I45" s="92"/>
      <c r="J45" s="92"/>
      <c r="K45" s="92"/>
      <c r="L45" s="92"/>
      <c r="M45" s="44"/>
      <c r="N45" s="52"/>
      <c r="O45" s="52"/>
      <c r="P45" s="52"/>
      <c r="Q45" s="94"/>
      <c r="U45" s="30"/>
    </row>
    <row r="46" spans="1:21" s="6" customFormat="1" ht="9">
      <c r="A46" s="142" t="s">
        <v>416</v>
      </c>
      <c r="B46" s="44" t="s">
        <v>433</v>
      </c>
      <c r="C46" s="44"/>
      <c r="D46" s="52"/>
      <c r="E46" s="52"/>
      <c r="F46" s="39"/>
      <c r="G46" s="18"/>
      <c r="H46" s="18"/>
      <c r="I46" s="92"/>
      <c r="J46" s="92"/>
      <c r="K46" s="92"/>
      <c r="L46" s="92"/>
      <c r="M46" s="44"/>
      <c r="N46" s="52"/>
      <c r="O46" s="52"/>
      <c r="P46" s="52"/>
      <c r="Q46" s="94"/>
    </row>
    <row r="47" spans="1:21" s="6" customFormat="1" ht="9">
      <c r="A47" s="142" t="s">
        <v>417</v>
      </c>
      <c r="B47" s="44"/>
      <c r="C47" s="44"/>
      <c r="D47" s="52"/>
      <c r="E47" s="52"/>
      <c r="F47" s="39"/>
      <c r="G47" s="18"/>
      <c r="H47" s="18"/>
      <c r="I47" s="92"/>
      <c r="J47" s="92"/>
      <c r="K47" s="92"/>
      <c r="L47" s="92"/>
      <c r="M47" s="44"/>
      <c r="N47" s="52"/>
      <c r="O47" s="52"/>
      <c r="P47" s="52"/>
      <c r="Q47" s="94"/>
    </row>
    <row r="48" spans="1:21" s="6" customFormat="1" ht="9">
      <c r="A48" s="177" t="s">
        <v>435</v>
      </c>
      <c r="B48" s="44">
        <v>2</v>
      </c>
      <c r="C48" s="44"/>
      <c r="D48" s="52">
        <v>0</v>
      </c>
      <c r="E48" s="52">
        <v>0</v>
      </c>
      <c r="F48" s="39">
        <v>0</v>
      </c>
      <c r="G48" s="18">
        <v>1</v>
      </c>
      <c r="H48" s="18">
        <f>B48*G48</f>
        <v>2</v>
      </c>
      <c r="I48" s="91">
        <v>0</v>
      </c>
      <c r="J48" s="92">
        <f>H48*I48</f>
        <v>0</v>
      </c>
      <c r="K48" s="92">
        <f>J48*0.1</f>
        <v>0</v>
      </c>
      <c r="L48" s="92">
        <f>J48*0.05</f>
        <v>0</v>
      </c>
      <c r="M48" s="44">
        <f>C48*G48*I48</f>
        <v>0</v>
      </c>
      <c r="N48" s="52">
        <f>(J48*'Base Data'!$C$5)+(K48*'Base Data'!$C$6)+(L48*'Base Data'!$C$7)</f>
        <v>0</v>
      </c>
      <c r="O48" s="52">
        <f>(D48+E48+F48)*G48*I48</f>
        <v>0</v>
      </c>
      <c r="P48" s="92">
        <f>G48*I48</f>
        <v>0</v>
      </c>
      <c r="Q48" s="94" t="s">
        <v>387</v>
      </c>
    </row>
    <row r="49" spans="1:19" s="6" customFormat="1" ht="9" customHeight="1">
      <c r="A49" s="177" t="s">
        <v>377</v>
      </c>
      <c r="B49" s="44">
        <v>8</v>
      </c>
      <c r="C49" s="44"/>
      <c r="D49" s="52">
        <v>0</v>
      </c>
      <c r="E49" s="52">
        <v>0</v>
      </c>
      <c r="F49" s="39">
        <v>0</v>
      </c>
      <c r="G49" s="18">
        <v>1</v>
      </c>
      <c r="H49" s="18">
        <f>B49*G49</f>
        <v>8</v>
      </c>
      <c r="I49" s="91">
        <v>0</v>
      </c>
      <c r="J49" s="92">
        <f>H49*I49</f>
        <v>0</v>
      </c>
      <c r="K49" s="92">
        <f>J49*0.1</f>
        <v>0</v>
      </c>
      <c r="L49" s="92">
        <f>J49*0.05</f>
        <v>0</v>
      </c>
      <c r="M49" s="44">
        <f>C49*G49*I49</f>
        <v>0</v>
      </c>
      <c r="N49" s="52">
        <f>(J49*'Base Data'!$C$5)+(K49*'Base Data'!$C$6)+(L49*'Base Data'!$C$7)</f>
        <v>0</v>
      </c>
      <c r="O49" s="52">
        <f>(D49+E49+F49)*G49*I49</f>
        <v>0</v>
      </c>
      <c r="P49" s="92">
        <f>G49*I49</f>
        <v>0</v>
      </c>
      <c r="Q49" s="94" t="s">
        <v>388</v>
      </c>
    </row>
    <row r="50" spans="1:19" s="6" customFormat="1" ht="9">
      <c r="A50" s="177" t="s">
        <v>378</v>
      </c>
      <c r="B50" s="44">
        <v>5</v>
      </c>
      <c r="C50" s="44"/>
      <c r="D50" s="52">
        <v>0</v>
      </c>
      <c r="E50" s="52">
        <v>0</v>
      </c>
      <c r="F50" s="39">
        <v>0</v>
      </c>
      <c r="G50" s="18">
        <v>1</v>
      </c>
      <c r="H50" s="18">
        <f>B50*G50</f>
        <v>5</v>
      </c>
      <c r="I50" s="91">
        <v>0</v>
      </c>
      <c r="J50" s="92">
        <f>H50*I50</f>
        <v>0</v>
      </c>
      <c r="K50" s="92">
        <f>J50*0.1</f>
        <v>0</v>
      </c>
      <c r="L50" s="92">
        <f>J50*0.05</f>
        <v>0</v>
      </c>
      <c r="M50" s="44">
        <f>C50*G50*I50</f>
        <v>0</v>
      </c>
      <c r="N50" s="52">
        <f>(J50*'Base Data'!$C$5)+(K50*'Base Data'!$C$6)+(L50*'Base Data'!$C$7)</f>
        <v>0</v>
      </c>
      <c r="O50" s="52">
        <f>(D50+E50+F50)*G50*I50</f>
        <v>0</v>
      </c>
      <c r="P50" s="92">
        <f>G50*I50</f>
        <v>0</v>
      </c>
      <c r="Q50" s="94" t="s">
        <v>388</v>
      </c>
    </row>
    <row r="51" spans="1:19" s="6" customFormat="1" ht="9">
      <c r="A51" s="144" t="s">
        <v>456</v>
      </c>
      <c r="B51" s="44">
        <v>20</v>
      </c>
      <c r="C51" s="44">
        <v>0</v>
      </c>
      <c r="D51" s="52">
        <v>0</v>
      </c>
      <c r="E51" s="52">
        <v>0</v>
      </c>
      <c r="F51" s="39">
        <v>0</v>
      </c>
      <c r="G51" s="18">
        <v>2</v>
      </c>
      <c r="H51" s="18">
        <f>B51*G51</f>
        <v>40</v>
      </c>
      <c r="I51" s="91">
        <v>0</v>
      </c>
      <c r="J51" s="92">
        <f>H51*I51</f>
        <v>0</v>
      </c>
      <c r="K51" s="92">
        <f>J51*0.1</f>
        <v>0</v>
      </c>
      <c r="L51" s="92">
        <f>J51*0.05</f>
        <v>0</v>
      </c>
      <c r="M51" s="92">
        <f>C51*G51*I51</f>
        <v>0</v>
      </c>
      <c r="N51" s="52">
        <f>(J51*'Base Data'!$C$5)+(K51*'Base Data'!$C$6)+(L51*'Base Data'!$C$7)</f>
        <v>0</v>
      </c>
      <c r="O51" s="52">
        <f>(D51+E51+F51)*G51*I51</f>
        <v>0</v>
      </c>
      <c r="P51" s="92">
        <f>G51*I51</f>
        <v>0</v>
      </c>
      <c r="Q51" s="94" t="s">
        <v>388</v>
      </c>
      <c r="R51" s="37"/>
    </row>
    <row r="52" spans="1:19" s="6" customFormat="1" ht="9">
      <c r="A52" s="145" t="s">
        <v>7</v>
      </c>
      <c r="B52" s="44"/>
      <c r="C52" s="44"/>
      <c r="D52" s="52"/>
      <c r="E52" s="52"/>
      <c r="F52" s="39"/>
      <c r="G52" s="18"/>
      <c r="H52" s="18"/>
      <c r="I52" s="91"/>
      <c r="J52" s="92">
        <f t="shared" ref="J52:O52" si="9">SUM(J7:J51)</f>
        <v>26893</v>
      </c>
      <c r="K52" s="92">
        <f t="shared" si="9"/>
        <v>2689.3</v>
      </c>
      <c r="L52" s="92">
        <f t="shared" si="9"/>
        <v>1344.65</v>
      </c>
      <c r="M52" s="92">
        <f t="shared" si="9"/>
        <v>0</v>
      </c>
      <c r="N52" s="52">
        <f t="shared" si="9"/>
        <v>2925353.3075000001</v>
      </c>
      <c r="O52" s="52">
        <f t="shared" si="9"/>
        <v>31701643</v>
      </c>
      <c r="P52" s="92">
        <f>SUM(P48:P51)</f>
        <v>0</v>
      </c>
      <c r="Q52" s="94"/>
      <c r="R52" s="335">
        <f>SUM(O7,O10:O24,O29,O32,O35,O38,O41,O44)</f>
        <v>13257024</v>
      </c>
      <c r="S52" s="336">
        <f>SUM(O28,O31,O34,O37,O40,O43)</f>
        <v>18444619</v>
      </c>
    </row>
    <row r="53" spans="1:19" s="6" customFormat="1" ht="9">
      <c r="A53" s="142" t="s">
        <v>431</v>
      </c>
      <c r="B53" s="44"/>
      <c r="C53" s="44"/>
      <c r="D53" s="52"/>
      <c r="E53" s="52"/>
      <c r="F53" s="39"/>
      <c r="G53" s="18"/>
      <c r="H53" s="18"/>
      <c r="I53" s="92"/>
      <c r="J53" s="92"/>
      <c r="K53" s="92"/>
      <c r="L53" s="92"/>
      <c r="M53" s="44"/>
      <c r="N53" s="52"/>
      <c r="O53" s="52"/>
      <c r="P53" s="52"/>
      <c r="Q53" s="94"/>
    </row>
    <row r="54" spans="1:19" s="6" customFormat="1" ht="9">
      <c r="A54" s="142" t="s">
        <v>418</v>
      </c>
      <c r="B54" s="44" t="s">
        <v>422</v>
      </c>
      <c r="C54" s="44"/>
      <c r="D54" s="52"/>
      <c r="E54" s="52"/>
      <c r="F54" s="39"/>
      <c r="G54" s="18"/>
      <c r="H54" s="18"/>
      <c r="I54" s="92"/>
      <c r="J54" s="92"/>
      <c r="K54" s="92"/>
      <c r="L54" s="92"/>
      <c r="M54" s="44"/>
      <c r="N54" s="52"/>
      <c r="O54" s="52"/>
      <c r="P54" s="52"/>
      <c r="Q54" s="94"/>
    </row>
    <row r="55" spans="1:19" s="6" customFormat="1" ht="9">
      <c r="A55" s="142" t="s">
        <v>419</v>
      </c>
      <c r="B55" s="44" t="s">
        <v>433</v>
      </c>
      <c r="C55" s="44"/>
      <c r="D55" s="52"/>
      <c r="E55" s="52"/>
      <c r="F55" s="39"/>
      <c r="G55" s="18"/>
      <c r="H55" s="18"/>
      <c r="I55" s="92"/>
      <c r="J55" s="92"/>
      <c r="K55" s="92"/>
      <c r="L55" s="92"/>
      <c r="M55" s="44"/>
      <c r="N55" s="52"/>
      <c r="O55" s="52"/>
      <c r="P55" s="52"/>
      <c r="Q55" s="94"/>
    </row>
    <row r="56" spans="1:19" s="6" customFormat="1" ht="9">
      <c r="A56" s="142" t="s">
        <v>420</v>
      </c>
      <c r="B56" s="44" t="s">
        <v>433</v>
      </c>
      <c r="C56" s="44"/>
      <c r="D56" s="52"/>
      <c r="E56" s="52"/>
      <c r="F56" s="39"/>
      <c r="G56" s="18"/>
      <c r="H56" s="18"/>
      <c r="I56" s="92"/>
      <c r="J56" s="92"/>
      <c r="K56" s="92"/>
      <c r="L56" s="92"/>
      <c r="M56" s="44"/>
      <c r="N56" s="52"/>
      <c r="O56" s="52"/>
      <c r="P56" s="52"/>
      <c r="Q56" s="94" t="s">
        <v>389</v>
      </c>
    </row>
    <row r="57" spans="1:19" s="6" customFormat="1" ht="9">
      <c r="A57" s="142" t="s">
        <v>421</v>
      </c>
      <c r="B57" s="44"/>
      <c r="C57" s="44"/>
      <c r="D57" s="52"/>
      <c r="E57" s="52"/>
      <c r="F57" s="39"/>
      <c r="G57" s="18"/>
      <c r="H57" s="18"/>
      <c r="I57" s="92"/>
      <c r="J57" s="92"/>
      <c r="K57" s="92"/>
      <c r="L57" s="92"/>
      <c r="M57" s="44"/>
      <c r="N57" s="52"/>
      <c r="O57" s="52"/>
      <c r="P57" s="52"/>
      <c r="Q57" s="94"/>
    </row>
    <row r="58" spans="1:19" s="6" customFormat="1" ht="9.75" customHeight="1">
      <c r="A58" s="142" t="s">
        <v>429</v>
      </c>
      <c r="B58" s="44">
        <v>20</v>
      </c>
      <c r="C58" s="44"/>
      <c r="D58" s="52">
        <v>0</v>
      </c>
      <c r="E58" s="52">
        <v>0</v>
      </c>
      <c r="F58" s="39">
        <v>0</v>
      </c>
      <c r="G58" s="18">
        <v>1</v>
      </c>
      <c r="H58" s="18">
        <f t="shared" ref="H58:H64" si="10">B58*G58</f>
        <v>20</v>
      </c>
      <c r="I58" s="91">
        <v>0</v>
      </c>
      <c r="J58" s="92">
        <f t="shared" ref="J58:J64" si="11">H58*I58</f>
        <v>0</v>
      </c>
      <c r="K58" s="92">
        <f t="shared" ref="K58:K64" si="12">J58*0.1</f>
        <v>0</v>
      </c>
      <c r="L58" s="92">
        <f t="shared" ref="L58:L64" si="13">J58*0.05</f>
        <v>0</v>
      </c>
      <c r="M58" s="44"/>
      <c r="N58" s="52">
        <f>(J58*'Base Data'!$C$5)+(K58*'Base Data'!$C$6)+(L58*'Base Data'!$C$7)</f>
        <v>0</v>
      </c>
      <c r="O58" s="52">
        <f t="shared" ref="O58:O64" si="14">(D58+E58+F58)*G58*I58</f>
        <v>0</v>
      </c>
      <c r="P58" s="92">
        <v>0</v>
      </c>
      <c r="Q58" s="94" t="s">
        <v>388</v>
      </c>
    </row>
    <row r="59" spans="1:19" s="6" customFormat="1" ht="9">
      <c r="A59" s="143" t="s">
        <v>425</v>
      </c>
      <c r="B59" s="44">
        <v>15</v>
      </c>
      <c r="C59" s="44">
        <v>0</v>
      </c>
      <c r="D59" s="52">
        <v>0</v>
      </c>
      <c r="E59" s="52">
        <v>0</v>
      </c>
      <c r="F59" s="39">
        <v>0</v>
      </c>
      <c r="G59" s="18">
        <v>1</v>
      </c>
      <c r="H59" s="18">
        <f t="shared" si="10"/>
        <v>15</v>
      </c>
      <c r="I59" s="91">
        <v>0</v>
      </c>
      <c r="J59" s="92">
        <f t="shared" si="11"/>
        <v>0</v>
      </c>
      <c r="K59" s="92">
        <f t="shared" si="12"/>
        <v>0</v>
      </c>
      <c r="L59" s="92">
        <f t="shared" si="13"/>
        <v>0</v>
      </c>
      <c r="M59" s="44">
        <f>C59*G59*I59</f>
        <v>0</v>
      </c>
      <c r="N59" s="52">
        <f>(J59*'Base Data'!$C$5)+(K59*'Base Data'!$C$6)+(L59*'Base Data'!$C$7)</f>
        <v>0</v>
      </c>
      <c r="O59" s="52">
        <f t="shared" si="14"/>
        <v>0</v>
      </c>
      <c r="P59" s="92">
        <v>0</v>
      </c>
      <c r="Q59" s="94" t="s">
        <v>388</v>
      </c>
    </row>
    <row r="60" spans="1:19" s="6" customFormat="1" ht="9.75" customHeight="1">
      <c r="A60" s="142" t="s">
        <v>426</v>
      </c>
      <c r="B60" s="44">
        <v>2</v>
      </c>
      <c r="C60" s="44"/>
      <c r="D60" s="52">
        <v>0</v>
      </c>
      <c r="E60" s="52">
        <v>0</v>
      </c>
      <c r="F60" s="39">
        <v>0</v>
      </c>
      <c r="G60" s="18">
        <v>1</v>
      </c>
      <c r="H60" s="18">
        <f t="shared" si="10"/>
        <v>2</v>
      </c>
      <c r="I60" s="91">
        <v>0</v>
      </c>
      <c r="J60" s="92">
        <f t="shared" si="11"/>
        <v>0</v>
      </c>
      <c r="K60" s="92">
        <f t="shared" si="12"/>
        <v>0</v>
      </c>
      <c r="L60" s="92">
        <f t="shared" si="13"/>
        <v>0</v>
      </c>
      <c r="M60" s="44"/>
      <c r="N60" s="52">
        <f>(J60*'Base Data'!$C$5)+(K60*'Base Data'!$C$6)+(L60*'Base Data'!$C$7)</f>
        <v>0</v>
      </c>
      <c r="O60" s="52">
        <f t="shared" si="14"/>
        <v>0</v>
      </c>
      <c r="P60" s="92">
        <v>0</v>
      </c>
      <c r="Q60" s="94" t="s">
        <v>388</v>
      </c>
    </row>
    <row r="61" spans="1:19" s="6" customFormat="1" ht="9">
      <c r="A61" s="143" t="s">
        <v>436</v>
      </c>
      <c r="B61" s="44">
        <v>2</v>
      </c>
      <c r="C61" s="44"/>
      <c r="D61" s="52">
        <v>0</v>
      </c>
      <c r="E61" s="52">
        <v>0</v>
      </c>
      <c r="F61" s="39">
        <v>0</v>
      </c>
      <c r="G61" s="18">
        <v>1</v>
      </c>
      <c r="H61" s="18">
        <f t="shared" si="10"/>
        <v>2</v>
      </c>
      <c r="I61" s="91">
        <v>0</v>
      </c>
      <c r="J61" s="92">
        <f t="shared" si="11"/>
        <v>0</v>
      </c>
      <c r="K61" s="92">
        <f t="shared" si="12"/>
        <v>0</v>
      </c>
      <c r="L61" s="92">
        <f t="shared" si="13"/>
        <v>0</v>
      </c>
      <c r="M61" s="44"/>
      <c r="N61" s="52">
        <f>(J61*'Base Data'!$C$5)+(K61*'Base Data'!$C$6)+(L61*'Base Data'!$C$7)</f>
        <v>0</v>
      </c>
      <c r="O61" s="52">
        <f t="shared" si="14"/>
        <v>0</v>
      </c>
      <c r="P61" s="92">
        <v>0</v>
      </c>
      <c r="Q61" s="94" t="s">
        <v>388</v>
      </c>
    </row>
    <row r="62" spans="1:19" s="6" customFormat="1" ht="9">
      <c r="A62" s="143" t="s">
        <v>437</v>
      </c>
      <c r="B62" s="44">
        <v>2</v>
      </c>
      <c r="C62" s="44">
        <v>0</v>
      </c>
      <c r="D62" s="52">
        <v>0</v>
      </c>
      <c r="E62" s="52">
        <v>0</v>
      </c>
      <c r="F62" s="39">
        <v>0</v>
      </c>
      <c r="G62" s="18">
        <v>2</v>
      </c>
      <c r="H62" s="18">
        <f t="shared" si="10"/>
        <v>4</v>
      </c>
      <c r="I62" s="91">
        <v>0</v>
      </c>
      <c r="J62" s="92">
        <f t="shared" si="11"/>
        <v>0</v>
      </c>
      <c r="K62" s="92">
        <f t="shared" si="12"/>
        <v>0</v>
      </c>
      <c r="L62" s="92">
        <f t="shared" si="13"/>
        <v>0</v>
      </c>
      <c r="M62" s="44">
        <f>C62*G62*I62</f>
        <v>0</v>
      </c>
      <c r="N62" s="52">
        <f>(J62*'Base Data'!$C$5)+(K62*'Base Data'!$C$6)+(L62*'Base Data'!$C$7)</f>
        <v>0</v>
      </c>
      <c r="O62" s="52">
        <f t="shared" si="14"/>
        <v>0</v>
      </c>
      <c r="P62" s="92">
        <v>0</v>
      </c>
      <c r="Q62" s="94" t="s">
        <v>388</v>
      </c>
    </row>
    <row r="63" spans="1:19" s="6" customFormat="1" ht="9">
      <c r="A63" s="143" t="s">
        <v>438</v>
      </c>
      <c r="B63" s="44">
        <v>0.5</v>
      </c>
      <c r="C63" s="44"/>
      <c r="D63" s="52">
        <v>0</v>
      </c>
      <c r="E63" s="52">
        <v>0</v>
      </c>
      <c r="F63" s="39">
        <v>0</v>
      </c>
      <c r="G63" s="18">
        <v>12</v>
      </c>
      <c r="H63" s="18">
        <f t="shared" si="10"/>
        <v>6</v>
      </c>
      <c r="I63" s="91">
        <v>0</v>
      </c>
      <c r="J63" s="92">
        <f t="shared" si="11"/>
        <v>0</v>
      </c>
      <c r="K63" s="92">
        <f t="shared" si="12"/>
        <v>0</v>
      </c>
      <c r="L63" s="92">
        <f t="shared" si="13"/>
        <v>0</v>
      </c>
      <c r="M63" s="44"/>
      <c r="N63" s="52">
        <f>(J63*'Base Data'!$C$5)+(K63*'Base Data'!$C$6)+(L63*'Base Data'!$C$7)</f>
        <v>0</v>
      </c>
      <c r="O63" s="52">
        <f t="shared" si="14"/>
        <v>0</v>
      </c>
      <c r="P63" s="92">
        <v>0</v>
      </c>
      <c r="Q63" s="94" t="s">
        <v>388</v>
      </c>
    </row>
    <row r="64" spans="1:19" s="6" customFormat="1" ht="9">
      <c r="A64" s="142" t="s">
        <v>427</v>
      </c>
      <c r="B64" s="44">
        <v>40</v>
      </c>
      <c r="C64" s="18"/>
      <c r="D64" s="39">
        <v>0</v>
      </c>
      <c r="E64" s="39">
        <v>0</v>
      </c>
      <c r="F64" s="39">
        <v>0</v>
      </c>
      <c r="G64" s="18">
        <v>1</v>
      </c>
      <c r="H64" s="18">
        <f t="shared" si="10"/>
        <v>40</v>
      </c>
      <c r="I64" s="91">
        <f>ROUND(SUM('Base Data'!$H$43:$H$45)/2,0)</f>
        <v>29</v>
      </c>
      <c r="J64" s="92">
        <f t="shared" si="11"/>
        <v>1160</v>
      </c>
      <c r="K64" s="92">
        <f t="shared" si="12"/>
        <v>116</v>
      </c>
      <c r="L64" s="92">
        <f t="shared" si="13"/>
        <v>58</v>
      </c>
      <c r="M64" s="44"/>
      <c r="N64" s="52">
        <f>(J64*'Base Data'!$C$5)+(K64*'Base Data'!$C$6)+(L64*'Base Data'!$C$7)</f>
        <v>126181.9</v>
      </c>
      <c r="O64" s="52">
        <f t="shared" si="14"/>
        <v>0</v>
      </c>
      <c r="P64" s="92">
        <v>0</v>
      </c>
      <c r="Q64" s="94" t="s">
        <v>555</v>
      </c>
    </row>
    <row r="65" spans="1:18" s="6" customFormat="1" ht="9">
      <c r="A65" s="146" t="s">
        <v>428</v>
      </c>
      <c r="B65" s="44" t="s">
        <v>433</v>
      </c>
      <c r="C65" s="44"/>
      <c r="D65" s="52"/>
      <c r="E65" s="52"/>
      <c r="F65" s="39"/>
      <c r="G65" s="18"/>
      <c r="H65" s="18"/>
      <c r="I65" s="19"/>
      <c r="J65" s="19"/>
      <c r="K65" s="19"/>
      <c r="L65" s="19"/>
      <c r="M65" s="18"/>
      <c r="N65" s="39"/>
      <c r="O65" s="39"/>
      <c r="P65" s="39"/>
      <c r="Q65" s="29"/>
    </row>
    <row r="66" spans="1:18" s="6" customFormat="1" ht="9">
      <c r="A66" s="61" t="s">
        <v>27</v>
      </c>
      <c r="B66" s="245"/>
      <c r="C66" s="245"/>
      <c r="D66" s="246"/>
      <c r="E66" s="246"/>
      <c r="F66" s="246"/>
      <c r="G66" s="245"/>
      <c r="H66" s="245"/>
      <c r="I66" s="247"/>
      <c r="J66" s="247">
        <f t="shared" ref="J66:O66" si="15">SUM(J54:J65)</f>
        <v>1160</v>
      </c>
      <c r="K66" s="247">
        <f t="shared" si="15"/>
        <v>116</v>
      </c>
      <c r="L66" s="247">
        <f t="shared" si="15"/>
        <v>58</v>
      </c>
      <c r="M66" s="246">
        <f t="shared" si="15"/>
        <v>0</v>
      </c>
      <c r="N66" s="246">
        <f t="shared" si="15"/>
        <v>126181.9</v>
      </c>
      <c r="O66" s="246">
        <f t="shared" si="15"/>
        <v>0</v>
      </c>
      <c r="P66" s="247">
        <f t="shared" ref="P66" si="16">SUM(P54:P65)</f>
        <v>0</v>
      </c>
      <c r="Q66" s="248"/>
      <c r="R66" s="39">
        <f>SUM(R54:R65)</f>
        <v>0</v>
      </c>
    </row>
    <row r="67" spans="1:18" s="2" customFormat="1">
      <c r="A67" s="24" t="s">
        <v>400</v>
      </c>
      <c r="B67" s="25"/>
      <c r="C67" s="25"/>
      <c r="D67" s="25"/>
      <c r="E67" s="25"/>
      <c r="F67" s="50"/>
      <c r="G67" s="25"/>
      <c r="H67" s="25"/>
      <c r="I67" s="26"/>
      <c r="J67" s="27">
        <f t="shared" ref="J67:P67" si="17">J52+J66</f>
        <v>28053</v>
      </c>
      <c r="K67" s="27">
        <f t="shared" si="17"/>
        <v>2805.3</v>
      </c>
      <c r="L67" s="27">
        <f t="shared" si="17"/>
        <v>1402.65</v>
      </c>
      <c r="M67" s="40">
        <f t="shared" si="17"/>
        <v>0</v>
      </c>
      <c r="N67" s="40">
        <f t="shared" si="17"/>
        <v>3051535.2075</v>
      </c>
      <c r="O67" s="40">
        <f t="shared" si="17"/>
        <v>31701643</v>
      </c>
      <c r="P67" s="27">
        <f t="shared" si="17"/>
        <v>0</v>
      </c>
      <c r="Q67" s="47"/>
    </row>
    <row r="68" spans="1:18" ht="6" customHeight="1">
      <c r="B68" s="54"/>
      <c r="C68" s="54"/>
      <c r="D68" s="54"/>
      <c r="E68" s="54"/>
      <c r="F68" s="54"/>
      <c r="G68" s="54"/>
      <c r="H68" s="54"/>
      <c r="I68" s="55"/>
    </row>
    <row r="69" spans="1:18" s="14" customFormat="1" ht="9">
      <c r="A69" s="14" t="s">
        <v>390</v>
      </c>
      <c r="B69" s="56"/>
      <c r="C69" s="56"/>
      <c r="D69" s="56"/>
      <c r="E69" s="56"/>
      <c r="F69" s="56"/>
      <c r="G69" s="56"/>
      <c r="H69" s="56"/>
      <c r="I69" s="57"/>
      <c r="J69" s="15"/>
      <c r="K69" s="15"/>
      <c r="L69" s="15"/>
      <c r="M69" s="15"/>
      <c r="N69" s="15"/>
      <c r="O69" s="17"/>
      <c r="P69" s="17"/>
      <c r="Q69" s="15"/>
    </row>
    <row r="70" spans="1:18" s="14" customFormat="1" ht="18" customHeight="1">
      <c r="A70" s="408" t="s">
        <v>165</v>
      </c>
      <c r="B70" s="408"/>
      <c r="C70" s="408"/>
      <c r="D70" s="408"/>
      <c r="E70" s="408"/>
      <c r="F70" s="408"/>
      <c r="G70" s="408"/>
      <c r="H70" s="408"/>
      <c r="I70" s="408"/>
      <c r="J70" s="408"/>
      <c r="K70" s="408"/>
      <c r="L70" s="408"/>
      <c r="M70" s="408"/>
      <c r="N70" s="408"/>
      <c r="O70" s="408"/>
      <c r="P70" s="62"/>
      <c r="Q70" s="15"/>
    </row>
    <row r="71" spans="1:18" s="14" customFormat="1" ht="26.25" customHeight="1">
      <c r="A71" s="408" t="s">
        <v>2</v>
      </c>
      <c r="B71" s="408"/>
      <c r="C71" s="408"/>
      <c r="D71" s="408"/>
      <c r="E71" s="408"/>
      <c r="F71" s="408"/>
      <c r="G71" s="408"/>
      <c r="H71" s="408"/>
      <c r="I71" s="408"/>
      <c r="J71" s="408"/>
      <c r="K71" s="408"/>
      <c r="L71" s="408"/>
      <c r="M71" s="408"/>
      <c r="N71" s="408"/>
      <c r="O71" s="408"/>
      <c r="P71" s="62"/>
      <c r="Q71" s="15"/>
    </row>
    <row r="72" spans="1:18" s="14" customFormat="1" ht="9" customHeight="1">
      <c r="A72" s="408" t="s">
        <v>95</v>
      </c>
      <c r="B72" s="408"/>
      <c r="C72" s="408"/>
      <c r="D72" s="408"/>
      <c r="E72" s="408"/>
      <c r="F72" s="408"/>
      <c r="G72" s="408"/>
      <c r="H72" s="408"/>
      <c r="I72" s="408"/>
      <c r="J72" s="408"/>
      <c r="K72" s="408"/>
      <c r="L72" s="408"/>
      <c r="M72" s="408"/>
      <c r="N72" s="408"/>
      <c r="O72" s="408"/>
      <c r="P72" s="408"/>
      <c r="Q72" s="408"/>
    </row>
    <row r="73" spans="1:18" s="14" customFormat="1" ht="9" customHeight="1">
      <c r="A73" s="14" t="s">
        <v>441</v>
      </c>
      <c r="B73" s="15"/>
      <c r="C73" s="15"/>
      <c r="D73" s="15"/>
      <c r="E73" s="15"/>
      <c r="F73" s="15"/>
      <c r="G73" s="15"/>
      <c r="H73" s="15"/>
      <c r="I73" s="16"/>
      <c r="J73" s="15"/>
      <c r="K73" s="15"/>
      <c r="L73" s="15"/>
      <c r="M73" s="15"/>
      <c r="N73" s="15"/>
      <c r="O73" s="17"/>
      <c r="P73" s="17"/>
      <c r="Q73" s="15"/>
    </row>
    <row r="74" spans="1:18" s="14" customFormat="1" ht="9" customHeight="1">
      <c r="A74" s="14" t="s">
        <v>551</v>
      </c>
      <c r="B74" s="15"/>
      <c r="C74" s="15"/>
      <c r="D74" s="15"/>
      <c r="E74" s="15"/>
      <c r="F74" s="15"/>
      <c r="G74" s="15"/>
      <c r="H74" s="15"/>
      <c r="I74" s="16"/>
      <c r="J74" s="15"/>
      <c r="K74" s="15"/>
      <c r="L74" s="15"/>
      <c r="M74" s="15"/>
      <c r="N74" s="15"/>
      <c r="O74" s="17"/>
      <c r="P74" s="17"/>
      <c r="Q74" s="15"/>
    </row>
    <row r="75" spans="1:18" s="14" customFormat="1" ht="9">
      <c r="A75" s="14" t="s">
        <v>536</v>
      </c>
      <c r="B75" s="15"/>
      <c r="C75" s="15"/>
      <c r="D75" s="15"/>
      <c r="E75" s="15"/>
      <c r="F75" s="15"/>
      <c r="G75" s="15"/>
      <c r="H75" s="15"/>
      <c r="I75" s="16"/>
      <c r="J75" s="15"/>
      <c r="K75" s="15"/>
      <c r="L75" s="15"/>
      <c r="M75" s="15"/>
      <c r="N75" s="15"/>
      <c r="O75" s="17"/>
      <c r="P75" s="17"/>
      <c r="Q75" s="15"/>
    </row>
    <row r="76" spans="1:18" s="14" customFormat="1" ht="9">
      <c r="A76" s="14" t="s">
        <v>367</v>
      </c>
      <c r="B76" s="15"/>
      <c r="C76" s="15"/>
      <c r="D76" s="15"/>
      <c r="E76" s="15"/>
      <c r="F76" s="15"/>
      <c r="G76" s="15"/>
      <c r="H76" s="15"/>
      <c r="I76" s="16"/>
      <c r="J76" s="15"/>
      <c r="K76" s="15"/>
      <c r="L76" s="15"/>
      <c r="M76" s="15"/>
      <c r="N76" s="15"/>
      <c r="O76" s="17"/>
      <c r="P76" s="17"/>
      <c r="Q76" s="15"/>
    </row>
    <row r="77" spans="1:18" s="14" customFormat="1" ht="10.5" customHeight="1">
      <c r="A77" s="353" t="s">
        <v>538</v>
      </c>
      <c r="B77" s="62"/>
      <c r="C77" s="62"/>
      <c r="D77" s="62"/>
      <c r="E77" s="62"/>
      <c r="F77" s="62"/>
      <c r="G77" s="62"/>
      <c r="H77" s="62"/>
      <c r="I77" s="62"/>
      <c r="J77" s="62"/>
      <c r="K77" s="62"/>
      <c r="L77" s="62"/>
      <c r="M77" s="62"/>
      <c r="N77" s="62"/>
      <c r="O77" s="62"/>
      <c r="P77" s="17"/>
      <c r="Q77" s="15"/>
    </row>
    <row r="78" spans="1:18" s="14" customFormat="1" ht="19.5" customHeight="1">
      <c r="A78" s="408" t="s">
        <v>373</v>
      </c>
      <c r="B78" s="408"/>
      <c r="C78" s="408"/>
      <c r="D78" s="408"/>
      <c r="E78" s="408"/>
      <c r="F78" s="408"/>
      <c r="G78" s="408"/>
      <c r="H78" s="408"/>
      <c r="I78" s="408"/>
      <c r="J78" s="408"/>
      <c r="K78" s="408"/>
      <c r="L78" s="408"/>
      <c r="M78" s="408"/>
      <c r="N78" s="408"/>
      <c r="O78" s="408"/>
      <c r="P78" s="17"/>
      <c r="Q78" s="15"/>
    </row>
    <row r="79" spans="1:18" s="14" customFormat="1" ht="9" customHeight="1">
      <c r="A79" s="14" t="s">
        <v>554</v>
      </c>
      <c r="B79" s="15"/>
      <c r="C79" s="15"/>
      <c r="D79" s="15"/>
      <c r="E79" s="15"/>
      <c r="F79" s="15"/>
      <c r="G79" s="15"/>
      <c r="H79" s="15"/>
      <c r="I79" s="16"/>
      <c r="J79" s="15"/>
      <c r="K79" s="15"/>
      <c r="L79" s="15"/>
      <c r="M79" s="15"/>
      <c r="N79" s="15"/>
      <c r="O79" s="17"/>
      <c r="P79" s="17"/>
      <c r="Q79" s="15"/>
    </row>
    <row r="80" spans="1:18" s="14" customFormat="1" ht="9">
      <c r="B80" s="15"/>
      <c r="C80" s="15"/>
      <c r="D80" s="15"/>
      <c r="E80" s="15"/>
      <c r="F80" s="15"/>
      <c r="G80" s="15"/>
      <c r="H80" s="15"/>
      <c r="I80" s="16"/>
      <c r="J80" s="15"/>
      <c r="K80" s="15"/>
      <c r="L80" s="15"/>
      <c r="M80" s="15"/>
      <c r="N80" s="15"/>
      <c r="O80" s="17"/>
      <c r="P80" s="17"/>
      <c r="Q80" s="15"/>
    </row>
    <row r="81" spans="2:17" s="14" customFormat="1" ht="9">
      <c r="B81" s="15"/>
      <c r="C81" s="15"/>
      <c r="D81" s="15"/>
      <c r="E81" s="15"/>
      <c r="F81" s="15"/>
      <c r="G81" s="15"/>
      <c r="H81" s="15"/>
      <c r="I81" s="16"/>
      <c r="J81" s="15"/>
      <c r="K81" s="15"/>
      <c r="L81" s="15"/>
      <c r="M81" s="15"/>
      <c r="N81" s="15"/>
      <c r="O81" s="17"/>
      <c r="P81" s="17"/>
      <c r="Q81" s="15"/>
    </row>
    <row r="82" spans="2:17" s="14" customFormat="1" ht="9">
      <c r="B82" s="15"/>
      <c r="C82" s="15"/>
      <c r="D82" s="15"/>
      <c r="E82" s="15"/>
      <c r="F82" s="15"/>
      <c r="G82" s="15"/>
      <c r="H82" s="15"/>
      <c r="I82" s="16"/>
      <c r="J82" s="15"/>
      <c r="K82" s="15"/>
      <c r="L82" s="15"/>
      <c r="M82" s="15"/>
      <c r="N82" s="15"/>
      <c r="O82" s="17"/>
      <c r="P82" s="17"/>
      <c r="Q82" s="15"/>
    </row>
    <row r="83" spans="2:17" s="14" customFormat="1" ht="9">
      <c r="B83" s="15"/>
      <c r="C83" s="15"/>
      <c r="D83" s="15"/>
      <c r="E83" s="15"/>
      <c r="F83" s="15"/>
      <c r="G83" s="15"/>
      <c r="H83" s="15"/>
      <c r="I83" s="16"/>
      <c r="J83" s="15"/>
      <c r="K83" s="15"/>
      <c r="L83" s="15"/>
      <c r="M83" s="15"/>
      <c r="N83" s="15"/>
      <c r="O83" s="17"/>
      <c r="P83" s="17"/>
      <c r="Q83" s="15"/>
    </row>
    <row r="84" spans="2:17" s="14" customFormat="1" ht="9">
      <c r="B84" s="15"/>
      <c r="C84" s="15"/>
      <c r="D84" s="15"/>
      <c r="E84" s="15"/>
      <c r="F84" s="15"/>
      <c r="G84" s="15"/>
      <c r="H84" s="15"/>
      <c r="I84" s="16"/>
      <c r="J84" s="15"/>
      <c r="K84" s="15"/>
      <c r="L84" s="15"/>
      <c r="M84" s="15"/>
      <c r="N84" s="15"/>
      <c r="O84" s="17"/>
      <c r="P84" s="17"/>
      <c r="Q84" s="15"/>
    </row>
    <row r="85" spans="2:17" s="14" customFormat="1" ht="9">
      <c r="B85" s="15"/>
      <c r="C85" s="15"/>
      <c r="D85" s="15"/>
      <c r="E85" s="15"/>
      <c r="F85" s="15"/>
      <c r="G85" s="15"/>
      <c r="H85" s="15"/>
      <c r="I85" s="16"/>
      <c r="J85" s="15"/>
      <c r="K85" s="15"/>
      <c r="L85" s="15"/>
      <c r="M85" s="15"/>
      <c r="N85" s="15"/>
      <c r="O85" s="17"/>
      <c r="P85" s="17"/>
      <c r="Q85" s="15"/>
    </row>
    <row r="86" spans="2:17" s="14" customFormat="1" ht="9">
      <c r="B86" s="15"/>
      <c r="C86" s="15"/>
      <c r="D86" s="15"/>
      <c r="E86" s="15"/>
      <c r="F86" s="15"/>
      <c r="G86" s="15"/>
      <c r="H86" s="15"/>
      <c r="I86" s="16"/>
      <c r="J86" s="15"/>
      <c r="K86" s="15"/>
      <c r="L86" s="15"/>
      <c r="M86" s="15"/>
      <c r="N86" s="15"/>
      <c r="O86" s="17"/>
      <c r="P86" s="17"/>
      <c r="Q86" s="15"/>
    </row>
    <row r="87" spans="2:17" s="14" customFormat="1" ht="9">
      <c r="B87" s="15"/>
      <c r="C87" s="15"/>
      <c r="D87" s="15"/>
      <c r="E87" s="15"/>
      <c r="F87" s="15"/>
      <c r="G87" s="15"/>
      <c r="H87" s="15"/>
      <c r="I87" s="16"/>
      <c r="J87" s="15"/>
      <c r="K87" s="15"/>
      <c r="L87" s="15"/>
      <c r="M87" s="15"/>
      <c r="N87" s="15"/>
      <c r="O87" s="17"/>
      <c r="P87" s="17"/>
      <c r="Q87" s="15"/>
    </row>
    <row r="88" spans="2:17" s="14" customFormat="1" ht="9">
      <c r="B88" s="15"/>
      <c r="C88" s="15"/>
      <c r="D88" s="15"/>
      <c r="E88" s="15"/>
      <c r="F88" s="15"/>
      <c r="G88" s="15"/>
      <c r="H88" s="15"/>
      <c r="I88" s="16"/>
      <c r="J88" s="15"/>
      <c r="K88" s="15"/>
      <c r="L88" s="15"/>
      <c r="M88" s="15"/>
      <c r="N88" s="15"/>
      <c r="O88" s="17"/>
      <c r="P88" s="17"/>
      <c r="Q88" s="15"/>
    </row>
    <row r="89" spans="2:17" s="14" customFormat="1" ht="9">
      <c r="B89" s="15"/>
      <c r="C89" s="15"/>
      <c r="D89" s="15"/>
      <c r="E89" s="15"/>
      <c r="F89" s="15"/>
      <c r="G89" s="15"/>
      <c r="H89" s="15"/>
      <c r="I89" s="16"/>
      <c r="J89" s="15"/>
      <c r="K89" s="15"/>
      <c r="L89" s="15"/>
      <c r="M89" s="15"/>
      <c r="N89" s="15"/>
      <c r="O89" s="17"/>
      <c r="P89" s="17"/>
      <c r="Q89" s="15"/>
    </row>
    <row r="90" spans="2:17" s="14" customFormat="1" ht="9">
      <c r="B90" s="15"/>
      <c r="C90" s="15"/>
      <c r="D90" s="15"/>
      <c r="E90" s="15"/>
      <c r="F90" s="15"/>
      <c r="G90" s="15"/>
      <c r="H90" s="15"/>
      <c r="I90" s="16"/>
      <c r="J90" s="15"/>
      <c r="K90" s="15"/>
      <c r="L90" s="15"/>
      <c r="M90" s="15"/>
      <c r="N90" s="15"/>
      <c r="O90" s="17"/>
      <c r="P90" s="17"/>
      <c r="Q90" s="15"/>
    </row>
    <row r="91" spans="2:17" s="14" customFormat="1" ht="9">
      <c r="B91" s="15"/>
      <c r="C91" s="15"/>
      <c r="D91" s="15"/>
      <c r="E91" s="15"/>
      <c r="F91" s="15"/>
      <c r="G91" s="15"/>
      <c r="H91" s="15"/>
      <c r="I91" s="16"/>
      <c r="J91" s="15"/>
      <c r="K91" s="15"/>
      <c r="L91" s="15"/>
      <c r="M91" s="15"/>
      <c r="N91" s="15"/>
      <c r="O91" s="17"/>
      <c r="P91" s="17"/>
      <c r="Q91" s="15"/>
    </row>
    <row r="92" spans="2:17" s="14" customFormat="1" ht="9">
      <c r="B92" s="15"/>
      <c r="C92" s="15"/>
      <c r="D92" s="15"/>
      <c r="E92" s="15"/>
      <c r="F92" s="15"/>
      <c r="G92" s="15"/>
      <c r="H92" s="15"/>
      <c r="I92" s="16"/>
      <c r="J92" s="15"/>
      <c r="K92" s="15"/>
      <c r="L92" s="15"/>
      <c r="M92" s="15"/>
      <c r="N92" s="15"/>
      <c r="O92" s="17"/>
      <c r="P92" s="17"/>
      <c r="Q92" s="15"/>
    </row>
    <row r="93" spans="2:17" s="14" customFormat="1" ht="9">
      <c r="B93" s="15"/>
      <c r="C93" s="15"/>
      <c r="D93" s="15"/>
      <c r="E93" s="15"/>
      <c r="F93" s="15"/>
      <c r="G93" s="15"/>
      <c r="H93" s="15"/>
      <c r="I93" s="16"/>
      <c r="J93" s="15"/>
      <c r="K93" s="15"/>
      <c r="L93" s="15"/>
      <c r="M93" s="15"/>
      <c r="N93" s="15"/>
      <c r="O93" s="17"/>
      <c r="P93" s="17"/>
      <c r="Q93" s="15"/>
    </row>
    <row r="94" spans="2:17" s="14" customFormat="1" ht="9">
      <c r="B94" s="15"/>
      <c r="C94" s="15"/>
      <c r="D94" s="15"/>
      <c r="E94" s="15"/>
      <c r="F94" s="15"/>
      <c r="G94" s="15"/>
      <c r="H94" s="15"/>
      <c r="I94" s="16"/>
      <c r="J94" s="15"/>
      <c r="K94" s="15"/>
      <c r="L94" s="15"/>
      <c r="M94" s="15"/>
      <c r="N94" s="15"/>
      <c r="O94" s="17"/>
      <c r="P94" s="17"/>
      <c r="Q94" s="15"/>
    </row>
    <row r="95" spans="2:17" s="14" customFormat="1" ht="9">
      <c r="B95" s="15"/>
      <c r="C95" s="15"/>
      <c r="D95" s="15"/>
      <c r="E95" s="15"/>
      <c r="F95" s="15"/>
      <c r="G95" s="15"/>
      <c r="H95" s="15"/>
      <c r="I95" s="16"/>
      <c r="J95" s="15"/>
      <c r="K95" s="15"/>
      <c r="L95" s="15"/>
      <c r="M95" s="15"/>
      <c r="N95" s="15"/>
      <c r="O95" s="17"/>
      <c r="P95" s="17"/>
      <c r="Q95" s="15"/>
    </row>
    <row r="96" spans="2:17" s="14" customFormat="1" ht="9">
      <c r="B96" s="15"/>
      <c r="C96" s="15"/>
      <c r="D96" s="15"/>
      <c r="E96" s="15"/>
      <c r="F96" s="15"/>
      <c r="G96" s="15"/>
      <c r="H96" s="15"/>
      <c r="I96" s="16"/>
      <c r="J96" s="15"/>
      <c r="K96" s="15"/>
      <c r="L96" s="15"/>
      <c r="M96" s="15"/>
      <c r="N96" s="15"/>
      <c r="O96" s="17"/>
      <c r="P96" s="17"/>
      <c r="Q96" s="15"/>
    </row>
    <row r="97" spans="2:17" s="14" customFormat="1" ht="9">
      <c r="B97" s="15"/>
      <c r="C97" s="15"/>
      <c r="D97" s="15"/>
      <c r="E97" s="15"/>
      <c r="F97" s="15"/>
      <c r="G97" s="15"/>
      <c r="H97" s="15"/>
      <c r="I97" s="16"/>
      <c r="J97" s="15"/>
      <c r="K97" s="15"/>
      <c r="L97" s="15"/>
      <c r="M97" s="15"/>
      <c r="N97" s="15"/>
      <c r="O97" s="17"/>
      <c r="P97" s="17"/>
      <c r="Q97" s="15"/>
    </row>
    <row r="98" spans="2:17" s="14" customFormat="1" ht="9">
      <c r="B98" s="15"/>
      <c r="C98" s="15"/>
      <c r="D98" s="15"/>
      <c r="E98" s="15"/>
      <c r="F98" s="15"/>
      <c r="G98" s="15"/>
      <c r="H98" s="15"/>
      <c r="I98" s="16"/>
      <c r="J98" s="15"/>
      <c r="K98" s="15"/>
      <c r="L98" s="15"/>
      <c r="M98" s="15"/>
      <c r="N98" s="15"/>
      <c r="O98" s="17"/>
      <c r="P98" s="17"/>
      <c r="Q98" s="15"/>
    </row>
    <row r="99" spans="2:17" s="14" customFormat="1" ht="9">
      <c r="B99" s="15"/>
      <c r="C99" s="15"/>
      <c r="D99" s="15"/>
      <c r="E99" s="15"/>
      <c r="F99" s="15"/>
      <c r="G99" s="15"/>
      <c r="H99" s="15"/>
      <c r="I99" s="16"/>
      <c r="J99" s="15"/>
      <c r="K99" s="15"/>
      <c r="L99" s="15"/>
      <c r="M99" s="15"/>
      <c r="N99" s="15"/>
      <c r="O99" s="17"/>
      <c r="P99" s="17"/>
      <c r="Q99" s="15"/>
    </row>
    <row r="100" spans="2:17" s="14" customFormat="1" ht="9">
      <c r="B100" s="15"/>
      <c r="C100" s="15"/>
      <c r="D100" s="15"/>
      <c r="E100" s="15"/>
      <c r="F100" s="15"/>
      <c r="G100" s="15"/>
      <c r="H100" s="15"/>
      <c r="I100" s="16"/>
      <c r="J100" s="15"/>
      <c r="K100" s="15"/>
      <c r="L100" s="15"/>
      <c r="M100" s="15"/>
      <c r="N100" s="15"/>
      <c r="O100" s="17"/>
      <c r="P100" s="17"/>
      <c r="Q100" s="15"/>
    </row>
    <row r="101" spans="2:17" s="14" customFormat="1" ht="9">
      <c r="B101" s="15"/>
      <c r="C101" s="15"/>
      <c r="D101" s="15"/>
      <c r="E101" s="15"/>
      <c r="F101" s="15"/>
      <c r="G101" s="15"/>
      <c r="H101" s="15"/>
      <c r="I101" s="16"/>
      <c r="J101" s="15"/>
      <c r="K101" s="15"/>
      <c r="L101" s="15"/>
      <c r="M101" s="15"/>
      <c r="N101" s="15"/>
      <c r="O101" s="17"/>
      <c r="P101" s="17"/>
      <c r="Q101" s="15"/>
    </row>
    <row r="102" spans="2:17" s="14" customFormat="1" ht="9">
      <c r="B102" s="15"/>
      <c r="C102" s="15"/>
      <c r="D102" s="15"/>
      <c r="E102" s="15"/>
      <c r="F102" s="15"/>
      <c r="G102" s="15"/>
      <c r="H102" s="15"/>
      <c r="I102" s="16"/>
      <c r="J102" s="15"/>
      <c r="K102" s="15"/>
      <c r="L102" s="15"/>
      <c r="M102" s="15"/>
      <c r="N102" s="15"/>
      <c r="O102" s="17"/>
      <c r="P102" s="17"/>
      <c r="Q102" s="15"/>
    </row>
    <row r="103" spans="2:17" s="14" customFormat="1" ht="9">
      <c r="B103" s="15"/>
      <c r="C103" s="15"/>
      <c r="D103" s="15"/>
      <c r="E103" s="15"/>
      <c r="F103" s="15"/>
      <c r="G103" s="15"/>
      <c r="H103" s="15"/>
      <c r="I103" s="16"/>
      <c r="J103" s="15"/>
      <c r="K103" s="15"/>
      <c r="L103" s="15"/>
      <c r="M103" s="15"/>
      <c r="N103" s="15"/>
      <c r="O103" s="17"/>
      <c r="P103" s="17"/>
      <c r="Q103" s="15"/>
    </row>
    <row r="104" spans="2:17" s="14" customFormat="1" ht="9">
      <c r="B104" s="15"/>
      <c r="C104" s="15"/>
      <c r="D104" s="15"/>
      <c r="E104" s="15"/>
      <c r="F104" s="15"/>
      <c r="G104" s="15"/>
      <c r="H104" s="15"/>
      <c r="I104" s="16"/>
      <c r="J104" s="15"/>
      <c r="K104" s="15"/>
      <c r="L104" s="15"/>
      <c r="M104" s="15"/>
      <c r="N104" s="15"/>
      <c r="O104" s="17"/>
      <c r="P104" s="17"/>
      <c r="Q104" s="15"/>
    </row>
    <row r="105" spans="2:17" s="14" customFormat="1" ht="9">
      <c r="B105" s="15"/>
      <c r="C105" s="15"/>
      <c r="D105" s="15"/>
      <c r="E105" s="15"/>
      <c r="F105" s="15"/>
      <c r="G105" s="15"/>
      <c r="H105" s="15"/>
      <c r="I105" s="16"/>
      <c r="J105" s="15"/>
      <c r="K105" s="15"/>
      <c r="L105" s="15"/>
      <c r="M105" s="15"/>
      <c r="N105" s="15"/>
      <c r="O105" s="17"/>
      <c r="P105" s="17"/>
      <c r="Q105" s="15"/>
    </row>
    <row r="106" spans="2:17" s="14" customFormat="1" ht="9">
      <c r="B106" s="15"/>
      <c r="C106" s="15"/>
      <c r="D106" s="15"/>
      <c r="E106" s="15"/>
      <c r="F106" s="15"/>
      <c r="G106" s="15"/>
      <c r="H106" s="15"/>
      <c r="I106" s="16"/>
      <c r="J106" s="15"/>
      <c r="K106" s="15"/>
      <c r="L106" s="15"/>
      <c r="M106" s="15"/>
      <c r="N106" s="15"/>
      <c r="O106" s="17"/>
      <c r="P106" s="17"/>
      <c r="Q106" s="15"/>
    </row>
    <row r="107" spans="2:17" s="14" customFormat="1" ht="9">
      <c r="B107" s="15"/>
      <c r="C107" s="15"/>
      <c r="D107" s="15"/>
      <c r="E107" s="15"/>
      <c r="F107" s="15"/>
      <c r="G107" s="15"/>
      <c r="H107" s="15"/>
      <c r="I107" s="16"/>
      <c r="J107" s="15"/>
      <c r="K107" s="15"/>
      <c r="L107" s="15"/>
      <c r="M107" s="15"/>
      <c r="N107" s="15"/>
      <c r="O107" s="17"/>
      <c r="P107" s="17"/>
      <c r="Q107" s="15"/>
    </row>
    <row r="108" spans="2:17" s="14" customFormat="1" ht="9">
      <c r="B108" s="15"/>
      <c r="C108" s="15"/>
      <c r="D108" s="15"/>
      <c r="E108" s="15"/>
      <c r="F108" s="15"/>
      <c r="G108" s="15"/>
      <c r="H108" s="15"/>
      <c r="I108" s="16"/>
      <c r="J108" s="15"/>
      <c r="K108" s="15"/>
      <c r="L108" s="15"/>
      <c r="M108" s="15"/>
      <c r="N108" s="15"/>
      <c r="O108" s="17"/>
      <c r="P108" s="17"/>
      <c r="Q108" s="15"/>
    </row>
    <row r="109" spans="2:17" s="14" customFormat="1" ht="9">
      <c r="B109" s="15"/>
      <c r="C109" s="15"/>
      <c r="D109" s="15"/>
      <c r="E109" s="15"/>
      <c r="F109" s="15"/>
      <c r="G109" s="15"/>
      <c r="H109" s="15"/>
      <c r="I109" s="16"/>
      <c r="J109" s="15"/>
      <c r="K109" s="15"/>
      <c r="L109" s="15"/>
      <c r="M109" s="15"/>
      <c r="N109" s="15"/>
      <c r="O109" s="17"/>
      <c r="P109" s="17"/>
      <c r="Q109" s="15"/>
    </row>
    <row r="110" spans="2:17" s="14" customFormat="1" ht="9">
      <c r="B110" s="15"/>
      <c r="C110" s="15"/>
      <c r="D110" s="15"/>
      <c r="E110" s="15"/>
      <c r="F110" s="15"/>
      <c r="G110" s="15"/>
      <c r="H110" s="15"/>
      <c r="I110" s="16"/>
      <c r="J110" s="15"/>
      <c r="K110" s="15"/>
      <c r="L110" s="15"/>
      <c r="M110" s="15"/>
      <c r="N110" s="15"/>
      <c r="O110" s="17"/>
      <c r="P110" s="17"/>
      <c r="Q110" s="15"/>
    </row>
    <row r="111" spans="2:17" s="14" customFormat="1" ht="9">
      <c r="B111" s="15"/>
      <c r="C111" s="15"/>
      <c r="D111" s="15"/>
      <c r="E111" s="15"/>
      <c r="F111" s="15"/>
      <c r="G111" s="15"/>
      <c r="H111" s="15"/>
      <c r="I111" s="16"/>
      <c r="J111" s="15"/>
      <c r="K111" s="15"/>
      <c r="L111" s="15"/>
      <c r="M111" s="15"/>
      <c r="N111" s="15"/>
      <c r="O111" s="17"/>
      <c r="P111" s="17"/>
      <c r="Q111" s="15"/>
    </row>
    <row r="112" spans="2:17" s="14" customFormat="1" ht="9">
      <c r="B112" s="15"/>
      <c r="C112" s="15"/>
      <c r="D112" s="15"/>
      <c r="E112" s="15"/>
      <c r="F112" s="15"/>
      <c r="G112" s="15"/>
      <c r="H112" s="15"/>
      <c r="I112" s="16"/>
      <c r="J112" s="15"/>
      <c r="K112" s="15"/>
      <c r="L112" s="15"/>
      <c r="M112" s="15"/>
      <c r="N112" s="15"/>
      <c r="O112" s="17"/>
      <c r="P112" s="17"/>
      <c r="Q112" s="15"/>
    </row>
    <row r="113" spans="2:17" s="14" customFormat="1" ht="9">
      <c r="B113" s="15"/>
      <c r="C113" s="15"/>
      <c r="D113" s="15"/>
      <c r="E113" s="15"/>
      <c r="F113" s="15"/>
      <c r="G113" s="15"/>
      <c r="H113" s="15"/>
      <c r="I113" s="16"/>
      <c r="J113" s="15"/>
      <c r="K113" s="15"/>
      <c r="L113" s="15"/>
      <c r="M113" s="15"/>
      <c r="N113" s="15"/>
      <c r="O113" s="17"/>
      <c r="P113" s="17"/>
      <c r="Q113" s="15"/>
    </row>
    <row r="114" spans="2:17" s="14" customFormat="1" ht="9">
      <c r="B114" s="15"/>
      <c r="C114" s="15"/>
      <c r="D114" s="15"/>
      <c r="E114" s="15"/>
      <c r="F114" s="15"/>
      <c r="G114" s="15"/>
      <c r="H114" s="15"/>
      <c r="I114" s="16"/>
      <c r="J114" s="15"/>
      <c r="K114" s="15"/>
      <c r="L114" s="15"/>
      <c r="M114" s="15"/>
      <c r="N114" s="15"/>
      <c r="O114" s="17"/>
      <c r="P114" s="17"/>
      <c r="Q114" s="15"/>
    </row>
    <row r="115" spans="2:17" s="14" customFormat="1" ht="9">
      <c r="B115" s="15"/>
      <c r="C115" s="15"/>
      <c r="D115" s="15"/>
      <c r="E115" s="15"/>
      <c r="F115" s="15"/>
      <c r="G115" s="15"/>
      <c r="H115" s="15"/>
      <c r="I115" s="16"/>
      <c r="J115" s="15"/>
      <c r="K115" s="15"/>
      <c r="L115" s="15"/>
      <c r="M115" s="15"/>
      <c r="N115" s="15"/>
      <c r="O115" s="17"/>
      <c r="P115" s="17"/>
      <c r="Q115" s="15"/>
    </row>
    <row r="116" spans="2:17" s="14" customFormat="1" ht="9">
      <c r="B116" s="15"/>
      <c r="C116" s="15"/>
      <c r="D116" s="15"/>
      <c r="E116" s="15"/>
      <c r="F116" s="15"/>
      <c r="G116" s="15"/>
      <c r="H116" s="15"/>
      <c r="I116" s="16"/>
      <c r="J116" s="15"/>
      <c r="K116" s="15"/>
      <c r="L116" s="15"/>
      <c r="M116" s="15"/>
      <c r="N116" s="15"/>
      <c r="O116" s="17"/>
      <c r="P116" s="17"/>
      <c r="Q116" s="15"/>
    </row>
    <row r="117" spans="2:17" s="14" customFormat="1" ht="9">
      <c r="B117" s="15"/>
      <c r="C117" s="15"/>
      <c r="D117" s="15"/>
      <c r="E117" s="15"/>
      <c r="F117" s="15"/>
      <c r="G117" s="15"/>
      <c r="H117" s="15"/>
      <c r="I117" s="16"/>
      <c r="J117" s="15"/>
      <c r="K117" s="15"/>
      <c r="L117" s="15"/>
      <c r="M117" s="15"/>
      <c r="N117" s="15"/>
      <c r="O117" s="17"/>
      <c r="P117" s="17"/>
      <c r="Q117" s="15"/>
    </row>
    <row r="118" spans="2:17" s="14" customFormat="1" ht="9">
      <c r="B118" s="15"/>
      <c r="C118" s="15"/>
      <c r="D118" s="15"/>
      <c r="E118" s="15"/>
      <c r="F118" s="15"/>
      <c r="G118" s="15"/>
      <c r="H118" s="15"/>
      <c r="I118" s="16"/>
      <c r="J118" s="15"/>
      <c r="K118" s="15"/>
      <c r="L118" s="15"/>
      <c r="M118" s="15"/>
      <c r="N118" s="15"/>
      <c r="O118" s="17"/>
      <c r="P118" s="17"/>
      <c r="Q118" s="15"/>
    </row>
    <row r="119" spans="2:17" s="14" customFormat="1" ht="9">
      <c r="B119" s="15"/>
      <c r="C119" s="15"/>
      <c r="D119" s="15"/>
      <c r="E119" s="15"/>
      <c r="F119" s="15"/>
      <c r="G119" s="15"/>
      <c r="H119" s="15"/>
      <c r="I119" s="16"/>
      <c r="J119" s="15"/>
      <c r="K119" s="15"/>
      <c r="L119" s="15"/>
      <c r="M119" s="15"/>
      <c r="N119" s="15"/>
      <c r="O119" s="17"/>
      <c r="P119" s="17"/>
      <c r="Q119" s="15"/>
    </row>
    <row r="120" spans="2:17" s="14" customFormat="1" ht="9">
      <c r="B120" s="15"/>
      <c r="C120" s="15"/>
      <c r="D120" s="15"/>
      <c r="E120" s="15"/>
      <c r="F120" s="15"/>
      <c r="G120" s="15"/>
      <c r="H120" s="15"/>
      <c r="I120" s="16"/>
      <c r="J120" s="15"/>
      <c r="K120" s="15"/>
      <c r="L120" s="15"/>
      <c r="M120" s="15"/>
      <c r="N120" s="15"/>
      <c r="O120" s="17"/>
      <c r="P120" s="17"/>
      <c r="Q120" s="15"/>
    </row>
    <row r="121" spans="2:17" s="14" customFormat="1" ht="9">
      <c r="B121" s="15"/>
      <c r="C121" s="15"/>
      <c r="D121" s="15"/>
      <c r="E121" s="15"/>
      <c r="F121" s="15"/>
      <c r="G121" s="15"/>
      <c r="H121" s="15"/>
      <c r="I121" s="16"/>
      <c r="J121" s="15"/>
      <c r="K121" s="15"/>
      <c r="L121" s="15"/>
      <c r="M121" s="15"/>
      <c r="N121" s="15"/>
      <c r="O121" s="17"/>
      <c r="P121" s="17"/>
      <c r="Q121" s="15"/>
    </row>
    <row r="122" spans="2:17">
      <c r="P122" s="17"/>
    </row>
    <row r="123" spans="2:17">
      <c r="P123" s="17"/>
    </row>
  </sheetData>
  <mergeCells count="6">
    <mergeCell ref="A78:O78"/>
    <mergeCell ref="A1:Q1"/>
    <mergeCell ref="A2:Q2"/>
    <mergeCell ref="A72:Q72"/>
    <mergeCell ref="A70:O70"/>
    <mergeCell ref="A71:O71"/>
  </mergeCells>
  <phoneticPr fontId="7" type="noConversion"/>
  <pageMargins left="0.25" right="0.25" top="0.5" bottom="0.75" header="0.5" footer="0.5"/>
  <pageSetup scale="56" orientation="landscape" r:id="rId1"/>
  <headerFooter alignWithMargins="0"/>
</worksheet>
</file>

<file path=xl/worksheets/sheet14.xml><?xml version="1.0" encoding="utf-8"?>
<worksheet xmlns="http://schemas.openxmlformats.org/spreadsheetml/2006/main" xmlns:r="http://schemas.openxmlformats.org/officeDocument/2006/relationships">
  <sheetPr>
    <pageSetUpPr fitToPage="1"/>
  </sheetPr>
  <dimension ref="A1:IV123"/>
  <sheetViews>
    <sheetView zoomScale="110" zoomScaleNormal="110" workbookViewId="0">
      <pane xSplit="1" ySplit="3" topLeftCell="D14" activePane="bottomRight" state="frozen"/>
      <selection activeCell="P31" sqref="P31"/>
      <selection pane="topRight" activeCell="P31" sqref="P31"/>
      <selection pane="bottomLeft" activeCell="P31" sqref="P31"/>
      <selection pane="bottomRight" activeCell="A79" sqref="A79"/>
    </sheetView>
  </sheetViews>
  <sheetFormatPr defaultRowHeight="11.25"/>
  <cols>
    <col min="1" max="1" width="36.5703125" style="1" customWidth="1"/>
    <col min="2" max="2" width="8.85546875" style="7" bestFit="1" customWidth="1"/>
    <col min="3" max="3" width="8" style="7" hidden="1" customWidth="1"/>
    <col min="4" max="4" width="8.42578125" style="7" bestFit="1" customWidth="1"/>
    <col min="5" max="5" width="8.85546875" style="7" bestFit="1" customWidth="1"/>
    <col min="6" max="6" width="7.42578125" style="7" customWidth="1"/>
    <col min="7" max="7" width="9.28515625" style="7" bestFit="1" customWidth="1"/>
    <col min="8" max="8" width="7.85546875" style="7" bestFit="1" customWidth="1"/>
    <col min="9" max="9" width="9.42578125" style="11" bestFit="1" customWidth="1"/>
    <col min="10" max="11" width="6.85546875" style="7" bestFit="1" customWidth="1"/>
    <col min="12" max="12" width="8.85546875" style="7" customWidth="1"/>
    <col min="13" max="13" width="7.85546875" style="7" hidden="1" customWidth="1"/>
    <col min="14" max="14" width="10.140625" style="7" customWidth="1"/>
    <col min="15" max="15" width="10.140625" style="8" bestFit="1" customWidth="1"/>
    <col min="16" max="16" width="10" style="8" bestFit="1" customWidth="1"/>
    <col min="17" max="17" width="3.7109375" style="7" customWidth="1"/>
    <col min="18" max="19" width="9.140625" style="1" hidden="1" customWidth="1"/>
    <col min="20" max="20" width="11.140625" style="1" customWidth="1"/>
    <col min="21" max="21" width="8.5703125" style="1" customWidth="1"/>
    <col min="22" max="16384" width="9.140625" style="1"/>
  </cols>
  <sheetData>
    <row r="1" spans="1:21">
      <c r="A1" s="410" t="s">
        <v>183</v>
      </c>
      <c r="B1" s="410"/>
      <c r="C1" s="410"/>
      <c r="D1" s="410"/>
      <c r="E1" s="410"/>
      <c r="F1" s="410"/>
      <c r="G1" s="410"/>
      <c r="H1" s="410"/>
      <c r="I1" s="410"/>
      <c r="J1" s="410"/>
      <c r="K1" s="410"/>
      <c r="L1" s="410"/>
      <c r="M1" s="410"/>
      <c r="N1" s="410"/>
      <c r="O1" s="410"/>
      <c r="P1" s="410"/>
      <c r="Q1" s="410"/>
    </row>
    <row r="2" spans="1:21">
      <c r="A2" s="411" t="s">
        <v>99</v>
      </c>
      <c r="B2" s="411"/>
      <c r="C2" s="411"/>
      <c r="D2" s="411"/>
      <c r="E2" s="411"/>
      <c r="F2" s="411"/>
      <c r="G2" s="411"/>
      <c r="H2" s="411"/>
      <c r="I2" s="411"/>
      <c r="J2" s="411"/>
      <c r="K2" s="411"/>
      <c r="L2" s="411"/>
      <c r="M2" s="411"/>
      <c r="N2" s="411"/>
      <c r="O2" s="411"/>
      <c r="P2" s="411"/>
      <c r="Q2" s="411"/>
    </row>
    <row r="3" spans="1:21" s="3" customFormat="1" ht="63">
      <c r="A3" s="45" t="s">
        <v>392</v>
      </c>
      <c r="B3" s="45" t="s">
        <v>393</v>
      </c>
      <c r="C3" s="45" t="s">
        <v>430</v>
      </c>
      <c r="D3" s="45" t="s">
        <v>4</v>
      </c>
      <c r="E3" s="45" t="s">
        <v>6</v>
      </c>
      <c r="F3" s="45" t="s">
        <v>5</v>
      </c>
      <c r="G3" s="12" t="s">
        <v>176</v>
      </c>
      <c r="H3" s="45" t="s">
        <v>459</v>
      </c>
      <c r="I3" s="60" t="s">
        <v>460</v>
      </c>
      <c r="J3" s="100" t="s">
        <v>462</v>
      </c>
      <c r="K3" s="100" t="s">
        <v>463</v>
      </c>
      <c r="L3" s="100" t="s">
        <v>461</v>
      </c>
      <c r="M3" s="45" t="s">
        <v>391</v>
      </c>
      <c r="N3" s="45" t="s">
        <v>8</v>
      </c>
      <c r="O3" s="100" t="s">
        <v>9</v>
      </c>
      <c r="P3" s="100" t="s">
        <v>175</v>
      </c>
      <c r="Q3" s="182" t="s">
        <v>394</v>
      </c>
      <c r="R3" s="3" t="s">
        <v>307</v>
      </c>
      <c r="S3" s="3" t="s">
        <v>308</v>
      </c>
    </row>
    <row r="4" spans="1:21" s="6" customFormat="1" ht="9">
      <c r="A4" s="178" t="s">
        <v>405</v>
      </c>
      <c r="B4" s="179" t="s">
        <v>433</v>
      </c>
      <c r="C4" s="179"/>
      <c r="D4" s="181"/>
      <c r="E4" s="181"/>
      <c r="F4" s="181"/>
      <c r="G4" s="179"/>
      <c r="H4" s="179"/>
      <c r="I4" s="183"/>
      <c r="J4" s="183"/>
      <c r="K4" s="183"/>
      <c r="L4" s="183"/>
      <c r="M4" s="179"/>
      <c r="N4" s="181"/>
      <c r="O4" s="181"/>
      <c r="P4" s="181"/>
      <c r="Q4" s="249"/>
    </row>
    <row r="5" spans="1:21" s="6" customFormat="1" ht="9">
      <c r="A5" s="142" t="s">
        <v>406</v>
      </c>
      <c r="B5" s="44" t="s">
        <v>433</v>
      </c>
      <c r="C5" s="44"/>
      <c r="D5" s="52"/>
      <c r="E5" s="52"/>
      <c r="F5" s="52"/>
      <c r="G5" s="44"/>
      <c r="H5" s="44"/>
      <c r="I5" s="92"/>
      <c r="J5" s="92"/>
      <c r="K5" s="92"/>
      <c r="L5" s="92"/>
      <c r="M5" s="44"/>
      <c r="N5" s="52"/>
      <c r="O5" s="52"/>
      <c r="P5" s="52"/>
      <c r="Q5" s="94"/>
    </row>
    <row r="6" spans="1:21" s="6" customFormat="1" ht="9">
      <c r="A6" s="142" t="s">
        <v>407</v>
      </c>
      <c r="B6" s="44"/>
      <c r="C6" s="44"/>
      <c r="D6" s="52"/>
      <c r="E6" s="52"/>
      <c r="F6" s="52"/>
      <c r="G6" s="44"/>
      <c r="H6" s="44"/>
      <c r="I6" s="92"/>
      <c r="J6" s="92"/>
      <c r="K6" s="92"/>
      <c r="L6" s="92"/>
      <c r="M6" s="44"/>
      <c r="N6" s="52"/>
      <c r="O6" s="52"/>
      <c r="P6" s="52"/>
      <c r="Q6" s="94"/>
    </row>
    <row r="7" spans="1:21" s="6" customFormat="1" ht="9">
      <c r="A7" s="143" t="s">
        <v>408</v>
      </c>
      <c r="B7" s="44">
        <v>40</v>
      </c>
      <c r="C7" s="44"/>
      <c r="D7" s="52">
        <v>0</v>
      </c>
      <c r="E7" s="52">
        <v>0</v>
      </c>
      <c r="F7" s="52">
        <v>0</v>
      </c>
      <c r="G7" s="44">
        <v>1</v>
      </c>
      <c r="H7" s="44">
        <f>B7*G7</f>
        <v>40</v>
      </c>
      <c r="I7" s="91">
        <v>0</v>
      </c>
      <c r="J7" s="92">
        <f>H7*I7</f>
        <v>0</v>
      </c>
      <c r="K7" s="92">
        <f>J7*0.1</f>
        <v>0</v>
      </c>
      <c r="L7" s="91">
        <f>J7*0.05</f>
        <v>0</v>
      </c>
      <c r="M7" s="44">
        <f>C7*G7*I7</f>
        <v>0</v>
      </c>
      <c r="N7" s="52">
        <f>(J7*'Base Data'!$C$5)+(K7*'Base Data'!$C$6)+(L7*'Base Data'!$C$7)</f>
        <v>0</v>
      </c>
      <c r="O7" s="52">
        <f>(D7+E7+F7)*G7*I7</f>
        <v>0</v>
      </c>
      <c r="P7" s="92">
        <f>G7*I7</f>
        <v>0</v>
      </c>
      <c r="Q7" s="94" t="s">
        <v>387</v>
      </c>
    </row>
    <row r="8" spans="1:21" s="6" customFormat="1" ht="9">
      <c r="A8" s="142" t="s">
        <v>409</v>
      </c>
      <c r="B8" s="44"/>
      <c r="C8" s="44"/>
      <c r="D8" s="52"/>
      <c r="E8" s="52"/>
      <c r="F8" s="52"/>
      <c r="G8" s="44"/>
      <c r="H8" s="44"/>
      <c r="I8" s="92"/>
      <c r="J8" s="92"/>
      <c r="K8" s="92"/>
      <c r="L8" s="92"/>
      <c r="M8" s="44"/>
      <c r="N8" s="52"/>
      <c r="O8" s="52"/>
      <c r="P8" s="52"/>
      <c r="Q8" s="94"/>
      <c r="U8" s="30"/>
    </row>
    <row r="9" spans="1:21" s="6" customFormat="1" ht="9">
      <c r="A9" s="143" t="s">
        <v>423</v>
      </c>
      <c r="B9" s="44"/>
      <c r="C9" s="44"/>
      <c r="D9" s="95"/>
      <c r="E9" s="52"/>
      <c r="F9" s="52"/>
      <c r="G9" s="44"/>
      <c r="H9" s="44"/>
      <c r="I9" s="91"/>
      <c r="J9" s="92"/>
      <c r="K9" s="92"/>
      <c r="L9" s="92"/>
      <c r="M9" s="93"/>
      <c r="N9" s="52"/>
      <c r="O9" s="52"/>
      <c r="P9" s="52"/>
      <c r="Q9" s="94"/>
      <c r="U9" s="30"/>
    </row>
    <row r="10" spans="1:21" s="6" customFormat="1" ht="9">
      <c r="A10" s="142" t="s">
        <v>274</v>
      </c>
      <c r="B10" s="44">
        <v>20</v>
      </c>
      <c r="C10" s="44"/>
      <c r="D10" s="52">
        <v>854</v>
      </c>
      <c r="E10" s="52">
        <v>0</v>
      </c>
      <c r="F10" s="52">
        <v>0</v>
      </c>
      <c r="G10" s="44">
        <v>1</v>
      </c>
      <c r="H10" s="44">
        <f>B10*G10</f>
        <v>20</v>
      </c>
      <c r="I10" s="91">
        <f>ROUND('Testing Costs'!$C$22*(SUM('Base Data'!$H$43:$H$45)/2),0)</f>
        <v>4</v>
      </c>
      <c r="J10" s="92">
        <f>H10*I10</f>
        <v>80</v>
      </c>
      <c r="K10" s="92">
        <f t="shared" ref="K10:K24" si="0">J10*0.1</f>
        <v>8</v>
      </c>
      <c r="L10" s="92">
        <f>J10*0.05</f>
        <v>4</v>
      </c>
      <c r="M10" s="93">
        <f>C10*G10*I10</f>
        <v>0</v>
      </c>
      <c r="N10" s="52">
        <f>(J10*'Base Data'!$C$5)+(K10*'Base Data'!$C$6)+(L10*'Base Data'!$C$7)</f>
        <v>8702.1999999999989</v>
      </c>
      <c r="O10" s="52">
        <f>(D10+E10+F10)*G10*I10</f>
        <v>3416</v>
      </c>
      <c r="P10" s="92">
        <v>0</v>
      </c>
      <c r="Q10" s="94" t="s">
        <v>440</v>
      </c>
      <c r="U10" s="30"/>
    </row>
    <row r="11" spans="1:21" s="6" customFormat="1" ht="9">
      <c r="A11" s="142" t="s">
        <v>276</v>
      </c>
      <c r="B11" s="44">
        <v>20</v>
      </c>
      <c r="C11" s="44"/>
      <c r="D11" s="52">
        <v>18292</v>
      </c>
      <c r="E11" s="52">
        <v>0</v>
      </c>
      <c r="F11" s="52">
        <v>0</v>
      </c>
      <c r="G11" s="44">
        <v>1</v>
      </c>
      <c r="H11" s="44">
        <f>B11*G11</f>
        <v>20</v>
      </c>
      <c r="I11" s="91">
        <f>ROUNDDOWN('Testing Costs'!$C$23*(SUM('Base Data'!$H$43:$H$45)/2),0)</f>
        <v>25</v>
      </c>
      <c r="J11" s="92">
        <f>H11*I11</f>
        <v>500</v>
      </c>
      <c r="K11" s="92">
        <f t="shared" si="0"/>
        <v>50</v>
      </c>
      <c r="L11" s="92">
        <f>J11*0.05</f>
        <v>25</v>
      </c>
      <c r="M11" s="93">
        <f>C11*G11*I11</f>
        <v>0</v>
      </c>
      <c r="N11" s="52">
        <f>(J11*'Base Data'!$C$5)+(K11*'Base Data'!$C$6)+(L11*'Base Data'!$C$7)</f>
        <v>54388.75</v>
      </c>
      <c r="O11" s="52">
        <f>(D11+E11+F11)*G11*I11</f>
        <v>457300</v>
      </c>
      <c r="P11" s="92">
        <v>0</v>
      </c>
      <c r="Q11" s="94" t="s">
        <v>440</v>
      </c>
      <c r="U11" s="30"/>
    </row>
    <row r="12" spans="1:21" s="6" customFormat="1" ht="9">
      <c r="A12" s="143" t="s">
        <v>357</v>
      </c>
      <c r="B12" s="44">
        <v>12</v>
      </c>
      <c r="C12" s="44"/>
      <c r="D12" s="52">
        <v>0</v>
      </c>
      <c r="E12" s="52">
        <f>'Testing Costs'!$B$13</f>
        <v>5000</v>
      </c>
      <c r="F12" s="52">
        <v>0</v>
      </c>
      <c r="G12" s="44">
        <v>1</v>
      </c>
      <c r="H12" s="44">
        <f t="shared" ref="H12:H24" si="1">B12*G12</f>
        <v>12</v>
      </c>
      <c r="I12" s="91">
        <f>ROUNDDOWN(SUM('Base Data'!$D$43:$D$45)/2,0)</f>
        <v>253</v>
      </c>
      <c r="J12" s="92">
        <f t="shared" ref="J12:J24" si="2">H12*I12</f>
        <v>3036</v>
      </c>
      <c r="K12" s="92">
        <f t="shared" si="0"/>
        <v>303.60000000000002</v>
      </c>
      <c r="L12" s="92">
        <f t="shared" ref="L12:L24" si="3">J12*0.05</f>
        <v>151.80000000000001</v>
      </c>
      <c r="M12" s="93"/>
      <c r="N12" s="52">
        <f>(J12*'Base Data'!$C$5)+(K12*'Base Data'!$C$6)+(L12*'Base Data'!$C$7)</f>
        <v>330248.49</v>
      </c>
      <c r="O12" s="52">
        <f t="shared" ref="O12:O24" si="4">(D12+E12+F12)*G12*I12</f>
        <v>1265000</v>
      </c>
      <c r="P12" s="92">
        <v>0</v>
      </c>
      <c r="Q12" s="94" t="s">
        <v>91</v>
      </c>
      <c r="U12" s="30"/>
    </row>
    <row r="13" spans="1:21" s="6" customFormat="1" ht="9">
      <c r="A13" s="143" t="s">
        <v>358</v>
      </c>
      <c r="B13" s="44">
        <v>12</v>
      </c>
      <c r="C13" s="44"/>
      <c r="D13" s="52">
        <v>0</v>
      </c>
      <c r="E13" s="52">
        <f>'Testing Costs'!$B$17</f>
        <v>8000</v>
      </c>
      <c r="F13" s="52">
        <v>0</v>
      </c>
      <c r="G13" s="44">
        <v>1</v>
      </c>
      <c r="H13" s="44">
        <f t="shared" si="1"/>
        <v>12</v>
      </c>
      <c r="I13" s="91">
        <v>0</v>
      </c>
      <c r="J13" s="92">
        <f t="shared" si="2"/>
        <v>0</v>
      </c>
      <c r="K13" s="92">
        <f t="shared" si="0"/>
        <v>0</v>
      </c>
      <c r="L13" s="92">
        <f t="shared" si="3"/>
        <v>0</v>
      </c>
      <c r="M13" s="93"/>
      <c r="N13" s="52">
        <f>(J13*'Base Data'!$C$5)+(K13*'Base Data'!$C$6)+(L13*'Base Data'!$C$7)</f>
        <v>0</v>
      </c>
      <c r="O13" s="52">
        <f t="shared" si="4"/>
        <v>0</v>
      </c>
      <c r="P13" s="92">
        <v>0</v>
      </c>
      <c r="Q13" s="94" t="s">
        <v>388</v>
      </c>
      <c r="U13" s="30"/>
    </row>
    <row r="14" spans="1:21" s="6" customFormat="1" ht="9">
      <c r="A14" s="143" t="s">
        <v>359</v>
      </c>
      <c r="B14" s="44">
        <v>12</v>
      </c>
      <c r="C14" s="44"/>
      <c r="D14" s="52">
        <v>0</v>
      </c>
      <c r="E14" s="52">
        <f>'Testing Costs'!$B$15</f>
        <v>8000</v>
      </c>
      <c r="F14" s="52">
        <v>0</v>
      </c>
      <c r="G14" s="44">
        <v>1</v>
      </c>
      <c r="H14" s="44">
        <f t="shared" si="1"/>
        <v>12</v>
      </c>
      <c r="I14" s="91">
        <v>0</v>
      </c>
      <c r="J14" s="92">
        <f t="shared" si="2"/>
        <v>0</v>
      </c>
      <c r="K14" s="92">
        <f t="shared" si="0"/>
        <v>0</v>
      </c>
      <c r="L14" s="92">
        <f t="shared" si="3"/>
        <v>0</v>
      </c>
      <c r="M14" s="93"/>
      <c r="N14" s="52">
        <f>(J14*'Base Data'!$C$5)+(K14*'Base Data'!$C$6)+(L14*'Base Data'!$C$7)</f>
        <v>0</v>
      </c>
      <c r="O14" s="52">
        <f t="shared" si="4"/>
        <v>0</v>
      </c>
      <c r="P14" s="92">
        <v>0</v>
      </c>
      <c r="Q14" s="94" t="s">
        <v>388</v>
      </c>
      <c r="U14" s="30"/>
    </row>
    <row r="15" spans="1:21" s="6" customFormat="1" ht="9">
      <c r="A15" s="143" t="s">
        <v>198</v>
      </c>
      <c r="B15" s="44">
        <v>12</v>
      </c>
      <c r="C15" s="44"/>
      <c r="D15" s="52">
        <v>0</v>
      </c>
      <c r="E15" s="52">
        <f>'Testing Costs'!$B$14</f>
        <v>7000</v>
      </c>
      <c r="F15" s="52">
        <v>0</v>
      </c>
      <c r="G15" s="44">
        <v>1</v>
      </c>
      <c r="H15" s="44">
        <f t="shared" si="1"/>
        <v>12</v>
      </c>
      <c r="I15" s="91">
        <f>ROUNDDOWN(SUM('Base Data'!$D$43:$D$45)/2,0)</f>
        <v>253</v>
      </c>
      <c r="J15" s="92">
        <f t="shared" si="2"/>
        <v>3036</v>
      </c>
      <c r="K15" s="92">
        <f t="shared" si="0"/>
        <v>303.60000000000002</v>
      </c>
      <c r="L15" s="92">
        <f t="shared" si="3"/>
        <v>151.80000000000001</v>
      </c>
      <c r="M15" s="93"/>
      <c r="N15" s="52">
        <f>(J15*'Base Data'!$C$5)+(K15*'Base Data'!$C$6)+(L15*'Base Data'!$C$7)</f>
        <v>330248.49</v>
      </c>
      <c r="O15" s="52">
        <f t="shared" si="4"/>
        <v>1771000</v>
      </c>
      <c r="P15" s="92">
        <v>0</v>
      </c>
      <c r="Q15" s="94" t="s">
        <v>368</v>
      </c>
      <c r="U15" s="30"/>
    </row>
    <row r="16" spans="1:21" s="6" customFormat="1" ht="9">
      <c r="A16" s="143" t="s">
        <v>365</v>
      </c>
      <c r="B16" s="44">
        <v>12</v>
      </c>
      <c r="C16" s="44"/>
      <c r="D16" s="52">
        <v>0</v>
      </c>
      <c r="E16" s="52">
        <f>'Testing Costs'!$B$16</f>
        <v>16000</v>
      </c>
      <c r="F16" s="52">
        <v>0</v>
      </c>
      <c r="G16" s="44">
        <v>1</v>
      </c>
      <c r="H16" s="44">
        <f t="shared" si="1"/>
        <v>12</v>
      </c>
      <c r="I16" s="91">
        <f>ROUNDDOWN(SUM('Base Data'!$D$43:$D$45)/2,0)</f>
        <v>253</v>
      </c>
      <c r="J16" s="92">
        <f t="shared" si="2"/>
        <v>3036</v>
      </c>
      <c r="K16" s="92">
        <f t="shared" si="0"/>
        <v>303.60000000000002</v>
      </c>
      <c r="L16" s="92">
        <f t="shared" si="3"/>
        <v>151.80000000000001</v>
      </c>
      <c r="M16" s="93"/>
      <c r="N16" s="52">
        <f>(J16*'Base Data'!$C$5)+(K16*'Base Data'!$C$6)+(L16*'Base Data'!$C$7)</f>
        <v>330248.49</v>
      </c>
      <c r="O16" s="52">
        <f t="shared" si="4"/>
        <v>4048000</v>
      </c>
      <c r="P16" s="92">
        <v>0</v>
      </c>
      <c r="Q16" s="94" t="s">
        <v>388</v>
      </c>
      <c r="U16" s="30"/>
    </row>
    <row r="17" spans="1:21" s="6" customFormat="1" ht="9" customHeight="1">
      <c r="A17" s="143" t="s">
        <v>264</v>
      </c>
      <c r="B17" s="44">
        <v>12</v>
      </c>
      <c r="C17" s="44"/>
      <c r="D17" s="52">
        <v>0</v>
      </c>
      <c r="E17" s="52">
        <f>'Testing Costs'!$B$13</f>
        <v>5000</v>
      </c>
      <c r="F17" s="52">
        <v>0</v>
      </c>
      <c r="G17" s="44">
        <v>1</v>
      </c>
      <c r="H17" s="44">
        <f t="shared" si="1"/>
        <v>12</v>
      </c>
      <c r="I17" s="91">
        <f>'Fac-ExistLrgLiquid-Yr2'!I12</f>
        <v>253</v>
      </c>
      <c r="J17" s="92">
        <f t="shared" si="2"/>
        <v>3036</v>
      </c>
      <c r="K17" s="92">
        <f t="shared" si="0"/>
        <v>303.60000000000002</v>
      </c>
      <c r="L17" s="92">
        <f t="shared" si="3"/>
        <v>151.80000000000001</v>
      </c>
      <c r="M17" s="93"/>
      <c r="N17" s="52">
        <f>(J17*'Base Data'!$C$5)+(K17*'Base Data'!$C$6)+(L17*'Base Data'!$C$7)</f>
        <v>330248.49</v>
      </c>
      <c r="O17" s="52">
        <f t="shared" si="4"/>
        <v>1265000</v>
      </c>
      <c r="P17" s="92">
        <v>0</v>
      </c>
      <c r="Q17" s="94" t="s">
        <v>539</v>
      </c>
      <c r="U17" s="30"/>
    </row>
    <row r="18" spans="1:21" s="6" customFormat="1" ht="9">
      <c r="A18" s="143" t="s">
        <v>265</v>
      </c>
      <c r="B18" s="44">
        <v>12</v>
      </c>
      <c r="C18" s="44"/>
      <c r="D18" s="52">
        <v>0</v>
      </c>
      <c r="E18" s="52">
        <f>'Testing Costs'!$B$17</f>
        <v>8000</v>
      </c>
      <c r="F18" s="52">
        <v>0</v>
      </c>
      <c r="G18" s="44">
        <v>1</v>
      </c>
      <c r="H18" s="44">
        <f t="shared" si="1"/>
        <v>12</v>
      </c>
      <c r="I18" s="91">
        <f>'Fac-ExistLrgLiquid-Yr2'!I13</f>
        <v>0</v>
      </c>
      <c r="J18" s="92">
        <f t="shared" si="2"/>
        <v>0</v>
      </c>
      <c r="K18" s="92">
        <f t="shared" si="0"/>
        <v>0</v>
      </c>
      <c r="L18" s="92">
        <f t="shared" si="3"/>
        <v>0</v>
      </c>
      <c r="M18" s="93"/>
      <c r="N18" s="52">
        <f>(J18*'Base Data'!$C$5)+(K18*'Base Data'!$C$6)+(L18*'Base Data'!$C$7)</f>
        <v>0</v>
      </c>
      <c r="O18" s="52">
        <f t="shared" si="4"/>
        <v>0</v>
      </c>
      <c r="P18" s="92">
        <v>0</v>
      </c>
      <c r="Q18" s="94" t="s">
        <v>372</v>
      </c>
      <c r="U18" s="30"/>
    </row>
    <row r="19" spans="1:21" s="6" customFormat="1" ht="9">
      <c r="A19" s="143" t="s">
        <v>266</v>
      </c>
      <c r="B19" s="44">
        <v>12</v>
      </c>
      <c r="C19" s="44"/>
      <c r="D19" s="52">
        <v>0</v>
      </c>
      <c r="E19" s="52">
        <f>'Testing Costs'!$B$15</f>
        <v>8000</v>
      </c>
      <c r="F19" s="52">
        <v>0</v>
      </c>
      <c r="G19" s="44">
        <v>1</v>
      </c>
      <c r="H19" s="44">
        <f t="shared" si="1"/>
        <v>12</v>
      </c>
      <c r="I19" s="91">
        <f>'Fac-ExistLrgLiquid-Yr2'!I14</f>
        <v>0</v>
      </c>
      <c r="J19" s="92">
        <f t="shared" si="2"/>
        <v>0</v>
      </c>
      <c r="K19" s="92">
        <f t="shared" si="0"/>
        <v>0</v>
      </c>
      <c r="L19" s="92">
        <f t="shared" si="3"/>
        <v>0</v>
      </c>
      <c r="M19" s="93"/>
      <c r="N19" s="52">
        <f>(J19*'Base Data'!$C$5)+(K19*'Base Data'!$C$6)+(L19*'Base Data'!$C$7)</f>
        <v>0</v>
      </c>
      <c r="O19" s="52">
        <f t="shared" si="4"/>
        <v>0</v>
      </c>
      <c r="P19" s="92">
        <v>0</v>
      </c>
      <c r="Q19" s="94" t="s">
        <v>372</v>
      </c>
      <c r="U19" s="30"/>
    </row>
    <row r="20" spans="1:21" s="6" customFormat="1" ht="9">
      <c r="A20" s="143" t="s">
        <v>199</v>
      </c>
      <c r="B20" s="44">
        <v>12</v>
      </c>
      <c r="C20" s="44"/>
      <c r="D20" s="52">
        <v>0</v>
      </c>
      <c r="E20" s="52">
        <f>'Testing Costs'!$B$14</f>
        <v>7000</v>
      </c>
      <c r="F20" s="52">
        <v>0</v>
      </c>
      <c r="G20" s="44">
        <v>1</v>
      </c>
      <c r="H20" s="44">
        <f t="shared" si="1"/>
        <v>12</v>
      </c>
      <c r="I20" s="91">
        <f>'Fac-ExistLrgLiquid-Yr2'!I15</f>
        <v>253</v>
      </c>
      <c r="J20" s="92">
        <f t="shared" si="2"/>
        <v>3036</v>
      </c>
      <c r="K20" s="92">
        <f t="shared" si="0"/>
        <v>303.60000000000002</v>
      </c>
      <c r="L20" s="92">
        <f t="shared" si="3"/>
        <v>151.80000000000001</v>
      </c>
      <c r="M20" s="93"/>
      <c r="N20" s="52">
        <f>(J20*'Base Data'!$C$5)+(K20*'Base Data'!$C$6)+(L20*'Base Data'!$C$7)</f>
        <v>330248.49</v>
      </c>
      <c r="O20" s="52">
        <f t="shared" si="4"/>
        <v>1771000</v>
      </c>
      <c r="P20" s="92">
        <v>0</v>
      </c>
      <c r="Q20" s="94" t="s">
        <v>372</v>
      </c>
      <c r="U20" s="30"/>
    </row>
    <row r="21" spans="1:21" s="6" customFormat="1" ht="9">
      <c r="A21" s="143" t="s">
        <v>267</v>
      </c>
      <c r="B21" s="44">
        <v>12</v>
      </c>
      <c r="C21" s="44"/>
      <c r="D21" s="52">
        <v>0</v>
      </c>
      <c r="E21" s="52">
        <f>'Testing Costs'!$B$16</f>
        <v>16000</v>
      </c>
      <c r="F21" s="52">
        <v>0</v>
      </c>
      <c r="G21" s="44">
        <v>1</v>
      </c>
      <c r="H21" s="44">
        <f t="shared" si="1"/>
        <v>12</v>
      </c>
      <c r="I21" s="91">
        <f>'Fac-ExistLrgLiquid-Yr2'!I16</f>
        <v>253</v>
      </c>
      <c r="J21" s="92">
        <f t="shared" si="2"/>
        <v>3036</v>
      </c>
      <c r="K21" s="92">
        <f t="shared" si="0"/>
        <v>303.60000000000002</v>
      </c>
      <c r="L21" s="92">
        <f t="shared" si="3"/>
        <v>151.80000000000001</v>
      </c>
      <c r="M21" s="93"/>
      <c r="N21" s="52">
        <f>(J21*'Base Data'!$C$5)+(K21*'Base Data'!$C$6)+(L21*'Base Data'!$C$7)</f>
        <v>330248.49</v>
      </c>
      <c r="O21" s="52">
        <f t="shared" si="4"/>
        <v>4048000</v>
      </c>
      <c r="P21" s="92">
        <v>0</v>
      </c>
      <c r="Q21" s="94" t="s">
        <v>372</v>
      </c>
      <c r="U21" s="30"/>
    </row>
    <row r="22" spans="1:21" s="6" customFormat="1" ht="18.75" customHeight="1">
      <c r="A22" s="332" t="s">
        <v>481</v>
      </c>
      <c r="B22" s="44">
        <v>24</v>
      </c>
      <c r="C22" s="331"/>
      <c r="D22" s="52">
        <v>0</v>
      </c>
      <c r="E22" s="52">
        <f>$E$13+$E$14</f>
        <v>16000</v>
      </c>
      <c r="F22" s="39">
        <v>0</v>
      </c>
      <c r="G22" s="18">
        <v>1</v>
      </c>
      <c r="H22" s="18">
        <f t="shared" si="1"/>
        <v>24</v>
      </c>
      <c r="I22" s="91">
        <v>0</v>
      </c>
      <c r="J22" s="92">
        <f t="shared" si="2"/>
        <v>0</v>
      </c>
      <c r="K22" s="92">
        <f t="shared" si="0"/>
        <v>0</v>
      </c>
      <c r="L22" s="92">
        <f t="shared" si="3"/>
        <v>0</v>
      </c>
      <c r="M22" s="93"/>
      <c r="N22" s="52">
        <f>(J22*'Base Data'!$C$5)+(K22*'Base Data'!$C$6)+(L22*'Base Data'!$C$7)</f>
        <v>0</v>
      </c>
      <c r="O22" s="52">
        <f t="shared" si="4"/>
        <v>0</v>
      </c>
      <c r="P22" s="92">
        <v>0</v>
      </c>
      <c r="Q22" s="94" t="s">
        <v>92</v>
      </c>
    </row>
    <row r="23" spans="1:21" s="6" customFormat="1" ht="9" customHeight="1">
      <c r="A23" s="143" t="s">
        <v>483</v>
      </c>
      <c r="B23" s="44">
        <v>5</v>
      </c>
      <c r="C23" s="44"/>
      <c r="D23" s="52">
        <v>0</v>
      </c>
      <c r="E23" s="52">
        <v>400</v>
      </c>
      <c r="F23" s="52">
        <v>0</v>
      </c>
      <c r="G23" s="44">
        <v>1</v>
      </c>
      <c r="H23" s="44">
        <f t="shared" si="1"/>
        <v>5</v>
      </c>
      <c r="I23" s="91">
        <f>ROUNDDOWN(SUM('Base Data'!$D$43:$D$45)/2,0)</f>
        <v>253</v>
      </c>
      <c r="J23" s="92">
        <f t="shared" si="2"/>
        <v>1265</v>
      </c>
      <c r="K23" s="92">
        <f t="shared" si="0"/>
        <v>126.5</v>
      </c>
      <c r="L23" s="92">
        <f t="shared" si="3"/>
        <v>63.25</v>
      </c>
      <c r="M23" s="93"/>
      <c r="N23" s="52">
        <f>(J23*'Base Data'!$C$5)+(K23*'Base Data'!$C$6)+(L23*'Base Data'!$C$7)</f>
        <v>137603.53750000001</v>
      </c>
      <c r="O23" s="52">
        <f t="shared" si="4"/>
        <v>101200</v>
      </c>
      <c r="P23" s="92">
        <v>0</v>
      </c>
      <c r="Q23" s="94" t="s">
        <v>90</v>
      </c>
      <c r="U23" s="30"/>
    </row>
    <row r="24" spans="1:21" s="6" customFormat="1" ht="9" customHeight="1">
      <c r="A24" s="143" t="s">
        <v>484</v>
      </c>
      <c r="B24" s="44">
        <v>5</v>
      </c>
      <c r="C24" s="44"/>
      <c r="D24" s="52">
        <v>0</v>
      </c>
      <c r="E24" s="52">
        <v>400</v>
      </c>
      <c r="F24" s="52">
        <v>0</v>
      </c>
      <c r="G24" s="44">
        <v>12</v>
      </c>
      <c r="H24" s="44">
        <f t="shared" si="1"/>
        <v>60</v>
      </c>
      <c r="I24" s="91">
        <f>ROUND(SUM('Base Data'!$D$43:$D$45),0)</f>
        <v>506</v>
      </c>
      <c r="J24" s="92">
        <f t="shared" si="2"/>
        <v>30360</v>
      </c>
      <c r="K24" s="92">
        <f t="shared" si="0"/>
        <v>3036</v>
      </c>
      <c r="L24" s="92">
        <f t="shared" si="3"/>
        <v>1518</v>
      </c>
      <c r="M24" s="93"/>
      <c r="N24" s="52">
        <f>(J24*'Base Data'!$C$5)+(K24*'Base Data'!$C$6)+(L24*'Base Data'!$C$7)</f>
        <v>3302484.9</v>
      </c>
      <c r="O24" s="52">
        <f t="shared" si="4"/>
        <v>2428800</v>
      </c>
      <c r="P24" s="92">
        <v>0</v>
      </c>
      <c r="Q24" s="94" t="s">
        <v>90</v>
      </c>
      <c r="U24" s="30"/>
    </row>
    <row r="25" spans="1:21" s="6" customFormat="1" ht="9">
      <c r="A25" s="143" t="s">
        <v>485</v>
      </c>
      <c r="B25" s="44"/>
      <c r="C25" s="44"/>
      <c r="D25" s="52"/>
      <c r="E25" s="52"/>
      <c r="F25" s="52"/>
      <c r="G25" s="44"/>
      <c r="H25" s="44"/>
      <c r="I25" s="92"/>
      <c r="J25" s="92"/>
      <c r="K25" s="92"/>
      <c r="L25" s="92"/>
      <c r="M25" s="93"/>
      <c r="N25" s="52"/>
      <c r="O25" s="52"/>
      <c r="P25" s="92"/>
      <c r="Q25" s="94"/>
      <c r="U25" s="30"/>
    </row>
    <row r="26" spans="1:21" s="6" customFormat="1" ht="9">
      <c r="A26" s="143" t="s">
        <v>432</v>
      </c>
      <c r="B26" s="44">
        <v>40</v>
      </c>
      <c r="C26" s="44"/>
      <c r="D26" s="52">
        <v>0</v>
      </c>
      <c r="E26" s="52"/>
      <c r="F26" s="52">
        <v>0</v>
      </c>
      <c r="G26" s="44">
        <v>1</v>
      </c>
      <c r="H26" s="44">
        <f>B26*G26</f>
        <v>40</v>
      </c>
      <c r="I26" s="91">
        <f>ROUNDDOWN(SUM('Base Data'!$H$43:$H$45)/2,0)</f>
        <v>29</v>
      </c>
      <c r="J26" s="92">
        <f>H26*I26</f>
        <v>1160</v>
      </c>
      <c r="K26" s="92">
        <f>J26*0.1</f>
        <v>116</v>
      </c>
      <c r="L26" s="92">
        <f>J26*0.05</f>
        <v>58</v>
      </c>
      <c r="M26" s="93"/>
      <c r="N26" s="52">
        <f>(J26*'Base Data'!$C$5)+(K26*'Base Data'!$C$6)+(L26*'Base Data'!$C$7)</f>
        <v>126181.9</v>
      </c>
      <c r="O26" s="52">
        <f>(D26+E26+F26)*G26*I26</f>
        <v>0</v>
      </c>
      <c r="P26" s="92">
        <v>0</v>
      </c>
      <c r="Q26" s="94" t="s">
        <v>388</v>
      </c>
      <c r="U26" s="30"/>
    </row>
    <row r="27" spans="1:21" s="6" customFormat="1" ht="9">
      <c r="A27" s="142" t="s">
        <v>410</v>
      </c>
      <c r="B27" s="44"/>
      <c r="C27" s="44"/>
      <c r="D27" s="52"/>
      <c r="E27" s="52"/>
      <c r="F27" s="52"/>
      <c r="G27" s="44"/>
      <c r="H27" s="44"/>
      <c r="I27" s="92"/>
      <c r="J27" s="92"/>
      <c r="K27" s="92"/>
      <c r="L27" s="92"/>
      <c r="M27" s="93"/>
      <c r="N27" s="52"/>
      <c r="O27" s="52"/>
      <c r="P27" s="92"/>
      <c r="Q27" s="94"/>
      <c r="U27" s="30"/>
    </row>
    <row r="28" spans="1:21" s="6" customFormat="1" ht="9">
      <c r="A28" s="142" t="s">
        <v>411</v>
      </c>
      <c r="B28" s="44">
        <v>10</v>
      </c>
      <c r="C28" s="44"/>
      <c r="D28" s="52">
        <v>0</v>
      </c>
      <c r="E28" s="52">
        <v>0</v>
      </c>
      <c r="F28" s="52">
        <v>43100</v>
      </c>
      <c r="G28" s="44">
        <v>1</v>
      </c>
      <c r="H28" s="44">
        <f>B28*G28</f>
        <v>10</v>
      </c>
      <c r="I28" s="91">
        <f>ROUNDDOWN(Monitors!$C$8/2,0)</f>
        <v>18</v>
      </c>
      <c r="J28" s="92">
        <f>H28*I28</f>
        <v>180</v>
      </c>
      <c r="K28" s="92">
        <f>J28*0.1</f>
        <v>18</v>
      </c>
      <c r="L28" s="92">
        <f>J28*0.05</f>
        <v>9</v>
      </c>
      <c r="M28" s="93"/>
      <c r="N28" s="52">
        <f>(J28*'Base Data'!$C$5)+(K28*'Base Data'!$C$6)+(L28*'Base Data'!$C$7)</f>
        <v>19579.95</v>
      </c>
      <c r="O28" s="52">
        <f>(D28+E28+F28)*G28*I28</f>
        <v>775800</v>
      </c>
      <c r="P28" s="92">
        <v>0</v>
      </c>
      <c r="Q28" s="94" t="s">
        <v>388</v>
      </c>
      <c r="U28" s="30"/>
    </row>
    <row r="29" spans="1:21" s="6" customFormat="1" ht="9">
      <c r="A29" s="142" t="s">
        <v>414</v>
      </c>
      <c r="B29" s="44">
        <v>10</v>
      </c>
      <c r="C29" s="44"/>
      <c r="D29" s="52">
        <v>0</v>
      </c>
      <c r="E29" s="52">
        <v>0</v>
      </c>
      <c r="F29" s="52">
        <v>14700</v>
      </c>
      <c r="G29" s="44">
        <v>1</v>
      </c>
      <c r="H29" s="44">
        <f>B29*G29</f>
        <v>10</v>
      </c>
      <c r="I29" s="91">
        <f>ROUNDDOWN(Monitors!$C$8/2,0)</f>
        <v>18</v>
      </c>
      <c r="J29" s="92">
        <f>H29*I29</f>
        <v>180</v>
      </c>
      <c r="K29" s="92">
        <f>J29*0.1</f>
        <v>18</v>
      </c>
      <c r="L29" s="92">
        <f>J29*0.05</f>
        <v>9</v>
      </c>
      <c r="M29" s="93"/>
      <c r="N29" s="52">
        <f>(J29*'Base Data'!$C$5)+(K29*'Base Data'!$C$6)+(L29*'Base Data'!$C$7)</f>
        <v>19579.95</v>
      </c>
      <c r="O29" s="52">
        <f>(D29+E29+F29)*G29*I29</f>
        <v>264600</v>
      </c>
      <c r="P29" s="92">
        <v>0</v>
      </c>
      <c r="Q29" s="94" t="s">
        <v>388</v>
      </c>
      <c r="U29" s="30"/>
    </row>
    <row r="30" spans="1:21" s="6" customFormat="1" ht="9">
      <c r="A30" s="142" t="s">
        <v>356</v>
      </c>
      <c r="B30" s="44"/>
      <c r="C30" s="44"/>
      <c r="D30" s="52"/>
      <c r="E30" s="52"/>
      <c r="F30" s="52"/>
      <c r="G30" s="44"/>
      <c r="H30" s="44"/>
      <c r="I30" s="92"/>
      <c r="J30" s="92"/>
      <c r="K30" s="92"/>
      <c r="L30" s="92"/>
      <c r="M30" s="93"/>
      <c r="N30" s="52"/>
      <c r="O30" s="52"/>
      <c r="P30" s="92"/>
      <c r="Q30" s="94"/>
      <c r="U30" s="30"/>
    </row>
    <row r="31" spans="1:21" s="6" customFormat="1" ht="9">
      <c r="A31" s="142" t="s">
        <v>411</v>
      </c>
      <c r="B31" s="44">
        <v>10</v>
      </c>
      <c r="C31" s="44"/>
      <c r="D31" s="52">
        <v>0</v>
      </c>
      <c r="E31" s="52">
        <v>0</v>
      </c>
      <c r="F31" s="52">
        <v>158000</v>
      </c>
      <c r="G31" s="44">
        <v>1</v>
      </c>
      <c r="H31" s="44">
        <f>B31*G31</f>
        <v>10</v>
      </c>
      <c r="I31" s="91">
        <f>ROUNDDOWN('Base Data'!$D$45/2,0)</f>
        <v>29</v>
      </c>
      <c r="J31" s="92">
        <f>H31*I31</f>
        <v>290</v>
      </c>
      <c r="K31" s="92">
        <f>J31*0.1</f>
        <v>29</v>
      </c>
      <c r="L31" s="92">
        <f>J31*0.05</f>
        <v>14.5</v>
      </c>
      <c r="M31" s="93"/>
      <c r="N31" s="52">
        <f>(J31*'Base Data'!$C$5)+(K31*'Base Data'!$C$6)+(L31*'Base Data'!$C$7)</f>
        <v>31545.474999999999</v>
      </c>
      <c r="O31" s="52">
        <f>(D31+E31+F31)*G31*I31</f>
        <v>4582000</v>
      </c>
      <c r="P31" s="92">
        <v>0</v>
      </c>
      <c r="Q31" s="94" t="s">
        <v>388</v>
      </c>
      <c r="U31" s="30"/>
    </row>
    <row r="32" spans="1:21" s="6" customFormat="1" ht="9">
      <c r="A32" s="142" t="s">
        <v>414</v>
      </c>
      <c r="B32" s="44">
        <v>10</v>
      </c>
      <c r="C32" s="44"/>
      <c r="D32" s="52">
        <v>0</v>
      </c>
      <c r="E32" s="52">
        <v>0</v>
      </c>
      <c r="F32" s="52">
        <v>56100</v>
      </c>
      <c r="G32" s="44">
        <v>1</v>
      </c>
      <c r="H32" s="44">
        <f>B32*G32</f>
        <v>10</v>
      </c>
      <c r="I32" s="91">
        <f>ROUNDDOWN('Base Data'!$D$45/2,0)</f>
        <v>29</v>
      </c>
      <c r="J32" s="92">
        <f>H32*I32</f>
        <v>290</v>
      </c>
      <c r="K32" s="92">
        <f>J32*0.1</f>
        <v>29</v>
      </c>
      <c r="L32" s="92">
        <f>J32*0.05</f>
        <v>14.5</v>
      </c>
      <c r="M32" s="93"/>
      <c r="N32" s="52">
        <f>(J32*'Base Data'!$C$5)+(K32*'Base Data'!$C$6)+(L32*'Base Data'!$C$7)</f>
        <v>31545.474999999999</v>
      </c>
      <c r="O32" s="52">
        <f>(D32+E32+F32)*G32*I32</f>
        <v>1626900</v>
      </c>
      <c r="P32" s="92">
        <v>0</v>
      </c>
      <c r="Q32" s="94" t="s">
        <v>388</v>
      </c>
      <c r="U32" s="30"/>
    </row>
    <row r="33" spans="1:21" s="6" customFormat="1" ht="9">
      <c r="A33" s="142" t="s">
        <v>522</v>
      </c>
      <c r="B33" s="44"/>
      <c r="C33" s="44"/>
      <c r="D33" s="52"/>
      <c r="E33" s="52"/>
      <c r="F33" s="52"/>
      <c r="G33" s="44"/>
      <c r="H33" s="44"/>
      <c r="I33" s="91"/>
      <c r="J33" s="92"/>
      <c r="K33" s="92"/>
      <c r="L33" s="92"/>
      <c r="M33" s="93"/>
      <c r="N33" s="52"/>
      <c r="O33" s="52"/>
      <c r="P33" s="92"/>
      <c r="Q33" s="94"/>
    </row>
    <row r="34" spans="1:21" s="6" customFormat="1" ht="9">
      <c r="A34" s="142" t="s">
        <v>411</v>
      </c>
      <c r="B34" s="44">
        <v>10</v>
      </c>
      <c r="C34" s="44"/>
      <c r="D34" s="52">
        <v>0</v>
      </c>
      <c r="E34" s="52">
        <v>0</v>
      </c>
      <c r="F34" s="52">
        <f>Monitors!$F$32</f>
        <v>8523</v>
      </c>
      <c r="G34" s="44">
        <v>1</v>
      </c>
      <c r="H34" s="44">
        <f t="shared" ref="H34:H35" si="5">B34*G34</f>
        <v>10</v>
      </c>
      <c r="I34" s="91">
        <f>ROUNDDOWN(Monitors!$F$8/2,0)</f>
        <v>253</v>
      </c>
      <c r="J34" s="92">
        <f t="shared" ref="J34:J35" si="6">H34*I34</f>
        <v>2530</v>
      </c>
      <c r="K34" s="92">
        <f t="shared" ref="K34:K35" si="7">J34*0.1</f>
        <v>253</v>
      </c>
      <c r="L34" s="92">
        <f t="shared" ref="L34:L35" si="8">J34*0.05</f>
        <v>126.5</v>
      </c>
      <c r="M34" s="93"/>
      <c r="N34" s="52">
        <f>(J34*'Base Data'!$C$5)+(K34*'Base Data'!$C$6)+(L34*'Base Data'!$C$7)</f>
        <v>275207.07500000001</v>
      </c>
      <c r="O34" s="52">
        <f>(D34+E34+F34)*G34*I34</f>
        <v>2156319</v>
      </c>
      <c r="P34" s="92">
        <v>0</v>
      </c>
      <c r="Q34" s="94" t="s">
        <v>388</v>
      </c>
    </row>
    <row r="35" spans="1:21" s="6" customFormat="1" ht="9">
      <c r="A35" s="142" t="s">
        <v>414</v>
      </c>
      <c r="B35" s="44">
        <v>10</v>
      </c>
      <c r="C35" s="44"/>
      <c r="D35" s="52">
        <v>0</v>
      </c>
      <c r="E35" s="52">
        <v>0</v>
      </c>
      <c r="F35" s="52">
        <f>Monitors!$G$32</f>
        <v>1436</v>
      </c>
      <c r="G35" s="44">
        <v>1</v>
      </c>
      <c r="H35" s="44">
        <f t="shared" si="5"/>
        <v>10</v>
      </c>
      <c r="I35" s="91">
        <f>ROUNDDOWN(Monitors!$F$8/2,0)</f>
        <v>253</v>
      </c>
      <c r="J35" s="92">
        <f t="shared" si="6"/>
        <v>2530</v>
      </c>
      <c r="K35" s="92">
        <f t="shared" si="7"/>
        <v>253</v>
      </c>
      <c r="L35" s="92">
        <f t="shared" si="8"/>
        <v>126.5</v>
      </c>
      <c r="M35" s="93"/>
      <c r="N35" s="52">
        <f>(J35*'Base Data'!$C$5)+(K35*'Base Data'!$C$6)+(L35*'Base Data'!$C$7)</f>
        <v>275207.07500000001</v>
      </c>
      <c r="O35" s="52">
        <f>(D35+E35+F35)*G35*I35</f>
        <v>363308</v>
      </c>
      <c r="P35" s="92">
        <v>0</v>
      </c>
      <c r="Q35" s="94" t="s">
        <v>388</v>
      </c>
    </row>
    <row r="36" spans="1:21" s="6" customFormat="1" ht="18">
      <c r="A36" s="143" t="s">
        <v>173</v>
      </c>
      <c r="B36" s="44"/>
      <c r="C36" s="44"/>
      <c r="D36" s="52"/>
      <c r="E36" s="52"/>
      <c r="F36" s="95"/>
      <c r="G36" s="44"/>
      <c r="H36" s="44"/>
      <c r="I36" s="96"/>
      <c r="J36" s="92"/>
      <c r="K36" s="92"/>
      <c r="L36" s="92"/>
      <c r="M36" s="93"/>
      <c r="N36" s="52"/>
      <c r="O36" s="52"/>
      <c r="P36" s="92"/>
      <c r="Q36" s="94"/>
      <c r="U36" s="30"/>
    </row>
    <row r="37" spans="1:21" s="6" customFormat="1" ht="9">
      <c r="A37" s="142" t="s">
        <v>411</v>
      </c>
      <c r="B37" s="44">
        <v>10</v>
      </c>
      <c r="C37" s="44"/>
      <c r="D37" s="52">
        <v>0</v>
      </c>
      <c r="E37" s="52">
        <v>0</v>
      </c>
      <c r="F37" s="52">
        <v>24300</v>
      </c>
      <c r="G37" s="44">
        <v>1</v>
      </c>
      <c r="H37" s="44">
        <f>B37*G37</f>
        <v>10</v>
      </c>
      <c r="I37" s="91">
        <f>ROUNDDOWN(Monitors!$D$8/2,0)</f>
        <v>220</v>
      </c>
      <c r="J37" s="92">
        <f>H37*I37</f>
        <v>2200</v>
      </c>
      <c r="K37" s="92">
        <f>J37*0.1</f>
        <v>220</v>
      </c>
      <c r="L37" s="92">
        <f>J37*0.05</f>
        <v>110</v>
      </c>
      <c r="M37" s="93"/>
      <c r="N37" s="52">
        <f>(J37*'Base Data'!$C$5)+(K37*'Base Data'!$C$6)+(L37*'Base Data'!$C$7)</f>
        <v>239310.5</v>
      </c>
      <c r="O37" s="52">
        <f>(D37+E37+F37)*G37*I37</f>
        <v>5346000</v>
      </c>
      <c r="P37" s="92">
        <v>0</v>
      </c>
      <c r="Q37" s="94" t="s">
        <v>388</v>
      </c>
      <c r="U37" s="30"/>
    </row>
    <row r="38" spans="1:21" s="6" customFormat="1" ht="9">
      <c r="A38" s="142" t="s">
        <v>414</v>
      </c>
      <c r="B38" s="44">
        <v>10</v>
      </c>
      <c r="C38" s="44"/>
      <c r="D38" s="52">
        <v>0</v>
      </c>
      <c r="E38" s="52">
        <v>0</v>
      </c>
      <c r="F38" s="52">
        <v>5600</v>
      </c>
      <c r="G38" s="44">
        <v>1</v>
      </c>
      <c r="H38" s="44">
        <f>B38*G38</f>
        <v>10</v>
      </c>
      <c r="I38" s="91">
        <f>ROUNDDOWN(Monitors!$D$8/2,0)</f>
        <v>220</v>
      </c>
      <c r="J38" s="92">
        <f>H38*I38</f>
        <v>2200</v>
      </c>
      <c r="K38" s="92">
        <f>J38*0.1</f>
        <v>220</v>
      </c>
      <c r="L38" s="92">
        <f>J38*0.05</f>
        <v>110</v>
      </c>
      <c r="M38" s="93"/>
      <c r="N38" s="52">
        <f>(J38*'Base Data'!$C$5)+(K38*'Base Data'!$C$6)+(L38*'Base Data'!$C$7)</f>
        <v>239310.5</v>
      </c>
      <c r="O38" s="52">
        <f>(D38+E38+F38)*G38*I38</f>
        <v>1232000</v>
      </c>
      <c r="P38" s="92">
        <v>0</v>
      </c>
      <c r="Q38" s="94" t="s">
        <v>388</v>
      </c>
      <c r="U38" s="30"/>
    </row>
    <row r="39" spans="1:21" s="6" customFormat="1" ht="18">
      <c r="A39" s="143" t="s">
        <v>475</v>
      </c>
      <c r="B39" s="44"/>
      <c r="C39" s="44"/>
      <c r="D39" s="52"/>
      <c r="E39" s="52"/>
      <c r="F39" s="52"/>
      <c r="G39" s="44"/>
      <c r="H39" s="44"/>
      <c r="I39" s="91"/>
      <c r="J39" s="92"/>
      <c r="K39" s="92"/>
      <c r="L39" s="92"/>
      <c r="M39" s="93"/>
      <c r="N39" s="52"/>
      <c r="O39" s="238"/>
      <c r="P39" s="92"/>
      <c r="Q39" s="94"/>
      <c r="U39" s="30"/>
    </row>
    <row r="40" spans="1:21" s="6" customFormat="1" ht="9">
      <c r="A40" s="142" t="s">
        <v>411</v>
      </c>
      <c r="B40" s="44">
        <v>10</v>
      </c>
      <c r="C40" s="44"/>
      <c r="D40" s="52">
        <v>0</v>
      </c>
      <c r="E40" s="52">
        <v>0</v>
      </c>
      <c r="F40" s="52">
        <f>25500</f>
        <v>25500</v>
      </c>
      <c r="G40" s="44">
        <v>1</v>
      </c>
      <c r="H40" s="44">
        <f>B40*G40</f>
        <v>10</v>
      </c>
      <c r="I40" s="91">
        <f>ROUNDDOWN(Monitors!$B$8/2,0)</f>
        <v>219</v>
      </c>
      <c r="J40" s="92">
        <f>H40*I40</f>
        <v>2190</v>
      </c>
      <c r="K40" s="92">
        <f>J40*0.1</f>
        <v>219</v>
      </c>
      <c r="L40" s="92">
        <f>J40*0.05</f>
        <v>109.5</v>
      </c>
      <c r="M40" s="93"/>
      <c r="N40" s="52">
        <f>(J40*'Base Data'!$C$5)+(K40*'Base Data'!$C$6)+(L40*'Base Data'!$C$7)</f>
        <v>238222.72500000001</v>
      </c>
      <c r="O40" s="52">
        <f>(D40+E40+F40)*G40*I40</f>
        <v>5584500</v>
      </c>
      <c r="P40" s="92">
        <v>0</v>
      </c>
      <c r="Q40" s="94" t="s">
        <v>388</v>
      </c>
      <c r="U40" s="30"/>
    </row>
    <row r="41" spans="1:21" s="6" customFormat="1" ht="9">
      <c r="A41" s="142" t="s">
        <v>414</v>
      </c>
      <c r="B41" s="44">
        <v>10</v>
      </c>
      <c r="C41" s="44"/>
      <c r="D41" s="52">
        <v>0</v>
      </c>
      <c r="E41" s="52">
        <v>0</v>
      </c>
      <c r="F41" s="52">
        <v>9700</v>
      </c>
      <c r="G41" s="44">
        <v>1</v>
      </c>
      <c r="H41" s="44">
        <f>B41*G41</f>
        <v>10</v>
      </c>
      <c r="I41" s="91">
        <f>ROUNDDOWN(Monitors!$B$8/2,0)</f>
        <v>219</v>
      </c>
      <c r="J41" s="92">
        <f>H41*I41</f>
        <v>2190</v>
      </c>
      <c r="K41" s="92">
        <f>J41*0.1</f>
        <v>219</v>
      </c>
      <c r="L41" s="92">
        <f>J41*0.05</f>
        <v>109.5</v>
      </c>
      <c r="M41" s="93"/>
      <c r="N41" s="52">
        <f>(J41*'Base Data'!$C$5)+(K41*'Base Data'!$C$6)+(L41*'Base Data'!$C$7)</f>
        <v>238222.72500000001</v>
      </c>
      <c r="O41" s="52">
        <f>(D41+E41+F41)*G41*I41</f>
        <v>2124300</v>
      </c>
      <c r="P41" s="92">
        <v>0</v>
      </c>
      <c r="Q41" s="94" t="s">
        <v>388</v>
      </c>
      <c r="U41" s="30"/>
    </row>
    <row r="42" spans="1:21" s="6" customFormat="1" ht="18">
      <c r="A42" s="143" t="s">
        <v>174</v>
      </c>
      <c r="B42" s="44"/>
      <c r="C42" s="44"/>
      <c r="D42" s="52"/>
      <c r="E42" s="52"/>
      <c r="F42" s="52"/>
      <c r="G42" s="44"/>
      <c r="H42" s="44"/>
      <c r="I42" s="91"/>
      <c r="J42" s="92"/>
      <c r="K42" s="92"/>
      <c r="L42" s="92"/>
      <c r="M42" s="93"/>
      <c r="N42" s="52"/>
      <c r="O42" s="52"/>
      <c r="P42" s="92"/>
      <c r="Q42" s="94"/>
      <c r="U42" s="30"/>
    </row>
    <row r="43" spans="1:21" s="6" customFormat="1" ht="9">
      <c r="A43" s="142" t="s">
        <v>411</v>
      </c>
      <c r="B43" s="44">
        <v>10</v>
      </c>
      <c r="C43" s="44"/>
      <c r="D43" s="52">
        <v>0</v>
      </c>
      <c r="E43" s="52">
        <v>0</v>
      </c>
      <c r="F43" s="52">
        <v>115000</v>
      </c>
      <c r="G43" s="44">
        <v>1</v>
      </c>
      <c r="H43" s="44">
        <f>B43*G43</f>
        <v>10</v>
      </c>
      <c r="I43" s="91">
        <f>ROUND(Monitors!$E$8,0)</f>
        <v>0</v>
      </c>
      <c r="J43" s="92">
        <f>H43*I43</f>
        <v>0</v>
      </c>
      <c r="K43" s="92">
        <f>J43*0.1</f>
        <v>0</v>
      </c>
      <c r="L43" s="92">
        <f>J43*0.05</f>
        <v>0</v>
      </c>
      <c r="M43" s="93"/>
      <c r="N43" s="52">
        <f>(J43*'Base Data'!$C$5)+(K43*'Base Data'!$C$6)+(L43*'Base Data'!$C$7)</f>
        <v>0</v>
      </c>
      <c r="O43" s="52">
        <f>(D43+E43+F43)*G43*I43</f>
        <v>0</v>
      </c>
      <c r="P43" s="92">
        <v>0</v>
      </c>
      <c r="Q43" s="94" t="s">
        <v>368</v>
      </c>
      <c r="U43" s="30"/>
    </row>
    <row r="44" spans="1:21" s="6" customFormat="1" ht="9">
      <c r="A44" s="142" t="s">
        <v>414</v>
      </c>
      <c r="B44" s="44">
        <v>10</v>
      </c>
      <c r="C44" s="44"/>
      <c r="D44" s="52">
        <v>0</v>
      </c>
      <c r="E44" s="52">
        <v>0</v>
      </c>
      <c r="F44" s="52">
        <v>9700</v>
      </c>
      <c r="G44" s="44">
        <v>1</v>
      </c>
      <c r="H44" s="44">
        <f>B44*G44</f>
        <v>10</v>
      </c>
      <c r="I44" s="91">
        <f>ROUND(Monitors!$E$8,0)</f>
        <v>0</v>
      </c>
      <c r="J44" s="92">
        <f>H44*I44</f>
        <v>0</v>
      </c>
      <c r="K44" s="92">
        <f>J44*0.1</f>
        <v>0</v>
      </c>
      <c r="L44" s="92">
        <f>J44*0.05</f>
        <v>0</v>
      </c>
      <c r="M44" s="93"/>
      <c r="N44" s="52">
        <f>(J44*'Base Data'!$C$5)+(K44*'Base Data'!$C$6)+(L44*'Base Data'!$C$7)</f>
        <v>0</v>
      </c>
      <c r="O44" s="52">
        <f>(D44+E44+F44)*G44*I44</f>
        <v>0</v>
      </c>
      <c r="P44" s="92">
        <v>0</v>
      </c>
      <c r="Q44" s="94" t="s">
        <v>388</v>
      </c>
      <c r="U44" s="30"/>
    </row>
    <row r="45" spans="1:21" s="6" customFormat="1" ht="9">
      <c r="A45" s="142" t="s">
        <v>415</v>
      </c>
      <c r="B45" s="44" t="s">
        <v>433</v>
      </c>
      <c r="C45" s="44"/>
      <c r="D45" s="52"/>
      <c r="E45" s="52"/>
      <c r="F45" s="52"/>
      <c r="G45" s="44"/>
      <c r="H45" s="44"/>
      <c r="I45" s="92"/>
      <c r="J45" s="92"/>
      <c r="K45" s="92"/>
      <c r="L45" s="92"/>
      <c r="M45" s="44"/>
      <c r="N45" s="52"/>
      <c r="O45" s="52"/>
      <c r="P45" s="52"/>
      <c r="Q45" s="94"/>
      <c r="U45" s="30"/>
    </row>
    <row r="46" spans="1:21" s="6" customFormat="1" ht="9">
      <c r="A46" s="142" t="s">
        <v>416</v>
      </c>
      <c r="B46" s="44" t="s">
        <v>433</v>
      </c>
      <c r="C46" s="44"/>
      <c r="D46" s="52"/>
      <c r="E46" s="52"/>
      <c r="F46" s="52"/>
      <c r="G46" s="44"/>
      <c r="H46" s="44"/>
      <c r="I46" s="92"/>
      <c r="J46" s="92"/>
      <c r="K46" s="92"/>
      <c r="L46" s="92"/>
      <c r="M46" s="44"/>
      <c r="N46" s="52"/>
      <c r="O46" s="52"/>
      <c r="P46" s="52"/>
      <c r="Q46" s="94"/>
    </row>
    <row r="47" spans="1:21" s="6" customFormat="1" ht="9">
      <c r="A47" s="142" t="s">
        <v>417</v>
      </c>
      <c r="B47" s="44"/>
      <c r="C47" s="44"/>
      <c r="D47" s="52"/>
      <c r="E47" s="52"/>
      <c r="F47" s="52"/>
      <c r="G47" s="44"/>
      <c r="H47" s="44"/>
      <c r="I47" s="92"/>
      <c r="J47" s="92"/>
      <c r="K47" s="92"/>
      <c r="L47" s="92"/>
      <c r="M47" s="44"/>
      <c r="N47" s="52"/>
      <c r="O47" s="52"/>
      <c r="P47" s="52"/>
      <c r="Q47" s="94"/>
    </row>
    <row r="48" spans="1:21" s="6" customFormat="1" ht="9">
      <c r="A48" s="177" t="s">
        <v>435</v>
      </c>
      <c r="B48" s="44">
        <v>2</v>
      </c>
      <c r="C48" s="44"/>
      <c r="D48" s="52">
        <v>0</v>
      </c>
      <c r="E48" s="52">
        <v>0</v>
      </c>
      <c r="F48" s="52">
        <v>0</v>
      </c>
      <c r="G48" s="44">
        <v>1</v>
      </c>
      <c r="H48" s="44">
        <f>B48*G48</f>
        <v>2</v>
      </c>
      <c r="I48" s="91">
        <v>0</v>
      </c>
      <c r="J48" s="92">
        <f>H48*I48</f>
        <v>0</v>
      </c>
      <c r="K48" s="92">
        <f>J48*0.1</f>
        <v>0</v>
      </c>
      <c r="L48" s="92">
        <f>J48*0.05</f>
        <v>0</v>
      </c>
      <c r="M48" s="44">
        <f>C48*G48*I48</f>
        <v>0</v>
      </c>
      <c r="N48" s="52">
        <f>(J48*'Base Data'!$C$5)+(K48*'Base Data'!$C$6)+(L48*'Base Data'!$C$7)</f>
        <v>0</v>
      </c>
      <c r="O48" s="52">
        <f>(D48+E48+F48)*G48*I48</f>
        <v>0</v>
      </c>
      <c r="P48" s="92">
        <f>G48*I48</f>
        <v>0</v>
      </c>
      <c r="Q48" s="94" t="s">
        <v>387</v>
      </c>
    </row>
    <row r="49" spans="1:19" s="6" customFormat="1" ht="9" customHeight="1">
      <c r="A49" s="177" t="s">
        <v>377</v>
      </c>
      <c r="B49" s="44">
        <v>8</v>
      </c>
      <c r="C49" s="44"/>
      <c r="D49" s="52">
        <v>0</v>
      </c>
      <c r="E49" s="52">
        <v>0</v>
      </c>
      <c r="F49" s="52">
        <v>0</v>
      </c>
      <c r="G49" s="44">
        <v>1</v>
      </c>
      <c r="H49" s="44">
        <f>B49*G49</f>
        <v>8</v>
      </c>
      <c r="I49" s="91">
        <f>ROUND(SUM('Base Data'!$H$43:$H$45),0)</f>
        <v>58</v>
      </c>
      <c r="J49" s="92">
        <f>H49*I49</f>
        <v>464</v>
      </c>
      <c r="K49" s="92">
        <f>J49*0.1</f>
        <v>46.400000000000006</v>
      </c>
      <c r="L49" s="92">
        <f>J49*0.05</f>
        <v>23.200000000000003</v>
      </c>
      <c r="M49" s="44">
        <f>C49*G49*I49</f>
        <v>0</v>
      </c>
      <c r="N49" s="52">
        <f>(J49*'Base Data'!$C$5)+(K49*'Base Data'!$C$6)+(L49*'Base Data'!$C$7)</f>
        <v>50472.76</v>
      </c>
      <c r="O49" s="52">
        <f>(D49+E49+F49)*G49*I49</f>
        <v>0</v>
      </c>
      <c r="P49" s="92">
        <f>G49*I49</f>
        <v>58</v>
      </c>
      <c r="Q49" s="94" t="s">
        <v>388</v>
      </c>
    </row>
    <row r="50" spans="1:19" s="6" customFormat="1" ht="9">
      <c r="A50" s="177" t="s">
        <v>378</v>
      </c>
      <c r="B50" s="44">
        <v>5</v>
      </c>
      <c r="C50" s="44"/>
      <c r="D50" s="52">
        <v>0</v>
      </c>
      <c r="E50" s="52">
        <v>0</v>
      </c>
      <c r="F50" s="52">
        <v>0</v>
      </c>
      <c r="G50" s="44">
        <v>1</v>
      </c>
      <c r="H50" s="44">
        <f>B50*G50</f>
        <v>5</v>
      </c>
      <c r="I50" s="91">
        <f>ROUND(SUM('Base Data'!$H$43:$H$45),0)</f>
        <v>58</v>
      </c>
      <c r="J50" s="92">
        <f>H50*I50</f>
        <v>290</v>
      </c>
      <c r="K50" s="92">
        <f>J50*0.1</f>
        <v>29</v>
      </c>
      <c r="L50" s="92">
        <f>J50*0.05</f>
        <v>14.5</v>
      </c>
      <c r="M50" s="44">
        <f>C50*G50*I50</f>
        <v>0</v>
      </c>
      <c r="N50" s="52">
        <f>(J50*'Base Data'!$C$5)+(K50*'Base Data'!$C$6)+(L50*'Base Data'!$C$7)</f>
        <v>31545.474999999999</v>
      </c>
      <c r="O50" s="52">
        <f>(D50+E50+F50)*G50*I50</f>
        <v>0</v>
      </c>
      <c r="P50" s="92">
        <f>G50*I50</f>
        <v>58</v>
      </c>
      <c r="Q50" s="94" t="s">
        <v>388</v>
      </c>
    </row>
    <row r="51" spans="1:19" s="6" customFormat="1" ht="9">
      <c r="A51" s="144" t="s">
        <v>456</v>
      </c>
      <c r="B51" s="44">
        <v>20</v>
      </c>
      <c r="C51" s="44">
        <v>0</v>
      </c>
      <c r="D51" s="52">
        <v>0</v>
      </c>
      <c r="E51" s="52">
        <v>0</v>
      </c>
      <c r="F51" s="52">
        <v>0</v>
      </c>
      <c r="G51" s="44">
        <v>2</v>
      </c>
      <c r="H51" s="44">
        <f>B51*G51</f>
        <v>40</v>
      </c>
      <c r="I51" s="91">
        <f>ROUND(SUM('Base Data'!$H$43:$H$45),0)</f>
        <v>58</v>
      </c>
      <c r="J51" s="92">
        <f>H51*I51</f>
        <v>2320</v>
      </c>
      <c r="K51" s="92">
        <f>J51*0.1</f>
        <v>232</v>
      </c>
      <c r="L51" s="92">
        <f>J51*0.05</f>
        <v>116</v>
      </c>
      <c r="M51" s="92">
        <f>C51*G51*I51</f>
        <v>0</v>
      </c>
      <c r="N51" s="52">
        <f>(J51*'Base Data'!$C$5)+(K51*'Base Data'!$C$6)+(L51*'Base Data'!$C$7)</f>
        <v>252363.8</v>
      </c>
      <c r="O51" s="52">
        <f>(D51+E51+F51)*G51*I51</f>
        <v>0</v>
      </c>
      <c r="P51" s="92">
        <f>G51*I51</f>
        <v>116</v>
      </c>
      <c r="Q51" s="94" t="s">
        <v>388</v>
      </c>
      <c r="R51" s="37"/>
    </row>
    <row r="52" spans="1:19" s="6" customFormat="1" ht="9">
      <c r="A52" s="145" t="s">
        <v>7</v>
      </c>
      <c r="B52" s="44"/>
      <c r="C52" s="44"/>
      <c r="D52" s="52"/>
      <c r="E52" s="52"/>
      <c r="F52" s="52"/>
      <c r="G52" s="44"/>
      <c r="H52" s="44"/>
      <c r="I52" s="91"/>
      <c r="J52" s="92">
        <f t="shared" ref="J52:O52" si="9">SUM(J7:J51)</f>
        <v>69435</v>
      </c>
      <c r="K52" s="92">
        <f t="shared" si="9"/>
        <v>6943.5</v>
      </c>
      <c r="L52" s="92">
        <f t="shared" si="9"/>
        <v>3471.75</v>
      </c>
      <c r="M52" s="92">
        <f t="shared" si="9"/>
        <v>0</v>
      </c>
      <c r="N52" s="52">
        <f t="shared" si="9"/>
        <v>7552965.7124999985</v>
      </c>
      <c r="O52" s="52">
        <f t="shared" si="9"/>
        <v>41214443</v>
      </c>
      <c r="P52" s="92">
        <f>SUM(P48:P51)</f>
        <v>232</v>
      </c>
      <c r="Q52" s="94"/>
      <c r="R52" s="335">
        <f>SUM(O7,O10:O24,O29,O32,O35,O38,O41,O44)</f>
        <v>22769824</v>
      </c>
      <c r="S52" s="336">
        <f>SUM(O28,O31,O34,O37,O40,O43)</f>
        <v>18444619</v>
      </c>
    </row>
    <row r="53" spans="1:19" s="6" customFormat="1" ht="9">
      <c r="A53" s="142" t="s">
        <v>431</v>
      </c>
      <c r="B53" s="44"/>
      <c r="C53" s="44"/>
      <c r="D53" s="52"/>
      <c r="E53" s="52"/>
      <c r="F53" s="52"/>
      <c r="G53" s="44"/>
      <c r="H53" s="44"/>
      <c r="I53" s="92"/>
      <c r="J53" s="92"/>
      <c r="K53" s="92"/>
      <c r="L53" s="92"/>
      <c r="M53" s="44"/>
      <c r="N53" s="52"/>
      <c r="O53" s="52"/>
      <c r="P53" s="52"/>
      <c r="Q53" s="94"/>
    </row>
    <row r="54" spans="1:19" s="6" customFormat="1" ht="9">
      <c r="A54" s="142" t="s">
        <v>418</v>
      </c>
      <c r="B54" s="44" t="s">
        <v>422</v>
      </c>
      <c r="C54" s="44"/>
      <c r="D54" s="52"/>
      <c r="E54" s="52"/>
      <c r="F54" s="52"/>
      <c r="G54" s="44"/>
      <c r="H54" s="44"/>
      <c r="I54" s="92"/>
      <c r="J54" s="92"/>
      <c r="K54" s="92"/>
      <c r="L54" s="92"/>
      <c r="M54" s="44"/>
      <c r="N54" s="52"/>
      <c r="O54" s="52"/>
      <c r="P54" s="52"/>
      <c r="Q54" s="94"/>
    </row>
    <row r="55" spans="1:19" s="6" customFormat="1" ht="9">
      <c r="A55" s="142" t="s">
        <v>419</v>
      </c>
      <c r="B55" s="44" t="s">
        <v>433</v>
      </c>
      <c r="C55" s="44"/>
      <c r="D55" s="52"/>
      <c r="E55" s="52"/>
      <c r="F55" s="52"/>
      <c r="G55" s="44"/>
      <c r="H55" s="44"/>
      <c r="I55" s="92"/>
      <c r="J55" s="92"/>
      <c r="K55" s="92"/>
      <c r="L55" s="92"/>
      <c r="M55" s="44"/>
      <c r="N55" s="52"/>
      <c r="O55" s="52"/>
      <c r="P55" s="52"/>
      <c r="Q55" s="94"/>
    </row>
    <row r="56" spans="1:19" s="6" customFormat="1" ht="9">
      <c r="A56" s="142" t="s">
        <v>420</v>
      </c>
      <c r="B56" s="44" t="s">
        <v>433</v>
      </c>
      <c r="C56" s="44"/>
      <c r="D56" s="52"/>
      <c r="E56" s="52"/>
      <c r="F56" s="52"/>
      <c r="G56" s="44"/>
      <c r="H56" s="44"/>
      <c r="I56" s="92"/>
      <c r="J56" s="92"/>
      <c r="K56" s="92"/>
      <c r="L56" s="92"/>
      <c r="M56" s="44"/>
      <c r="N56" s="52"/>
      <c r="O56" s="52"/>
      <c r="P56" s="52"/>
      <c r="Q56" s="94" t="s">
        <v>389</v>
      </c>
    </row>
    <row r="57" spans="1:19" s="6" customFormat="1" ht="9">
      <c r="A57" s="142" t="s">
        <v>421</v>
      </c>
      <c r="B57" s="44"/>
      <c r="C57" s="44"/>
      <c r="D57" s="52"/>
      <c r="E57" s="52"/>
      <c r="F57" s="52"/>
      <c r="G57" s="44"/>
      <c r="H57" s="44"/>
      <c r="I57" s="92"/>
      <c r="J57" s="92"/>
      <c r="K57" s="92"/>
      <c r="L57" s="92"/>
      <c r="M57" s="44"/>
      <c r="N57" s="52"/>
      <c r="O57" s="52"/>
      <c r="P57" s="52"/>
      <c r="Q57" s="94"/>
    </row>
    <row r="58" spans="1:19" s="6" customFormat="1" ht="9.75" customHeight="1">
      <c r="A58" s="142" t="s">
        <v>429</v>
      </c>
      <c r="B58" s="44">
        <v>20</v>
      </c>
      <c r="C58" s="44"/>
      <c r="D58" s="52">
        <v>0</v>
      </c>
      <c r="E58" s="52">
        <v>0</v>
      </c>
      <c r="F58" s="52">
        <v>0</v>
      </c>
      <c r="G58" s="44">
        <v>1</v>
      </c>
      <c r="H58" s="44">
        <f t="shared" ref="H58:H64" si="10">B58*G58</f>
        <v>20</v>
      </c>
      <c r="I58" s="91">
        <f>SUM('Base Data'!$D$43:$D$45)</f>
        <v>506</v>
      </c>
      <c r="J58" s="92">
        <f t="shared" ref="J58:J64" si="11">H58*I58</f>
        <v>10120</v>
      </c>
      <c r="K58" s="92">
        <f t="shared" ref="K58:K64" si="12">J58*0.1</f>
        <v>1012</v>
      </c>
      <c r="L58" s="92">
        <f t="shared" ref="L58:L64" si="13">J58*0.05</f>
        <v>506</v>
      </c>
      <c r="M58" s="44"/>
      <c r="N58" s="52">
        <f>(J58*'Base Data'!$C$5)+(K58*'Base Data'!$C$6)+(L58*'Base Data'!$C$7)</f>
        <v>1100828.3</v>
      </c>
      <c r="O58" s="52">
        <f t="shared" ref="O58:O64" si="14">(D58+E58+F58)*G58*I58</f>
        <v>0</v>
      </c>
      <c r="P58" s="92">
        <v>0</v>
      </c>
      <c r="Q58" s="94" t="s">
        <v>388</v>
      </c>
    </row>
    <row r="59" spans="1:19" s="6" customFormat="1" ht="9">
      <c r="A59" s="143" t="s">
        <v>425</v>
      </c>
      <c r="B59" s="44">
        <v>15</v>
      </c>
      <c r="C59" s="44">
        <v>0</v>
      </c>
      <c r="D59" s="52">
        <v>0</v>
      </c>
      <c r="E59" s="52">
        <v>0</v>
      </c>
      <c r="F59" s="52">
        <v>0</v>
      </c>
      <c r="G59" s="44">
        <v>1</v>
      </c>
      <c r="H59" s="44">
        <f t="shared" si="10"/>
        <v>15</v>
      </c>
      <c r="I59" s="91">
        <f>SUM('Base Data'!$D$43:$D$45)</f>
        <v>506</v>
      </c>
      <c r="J59" s="92">
        <f t="shared" si="11"/>
        <v>7590</v>
      </c>
      <c r="K59" s="92">
        <f t="shared" si="12"/>
        <v>759</v>
      </c>
      <c r="L59" s="92">
        <f t="shared" si="13"/>
        <v>379.5</v>
      </c>
      <c r="M59" s="44">
        <f>C59*G59*I59</f>
        <v>0</v>
      </c>
      <c r="N59" s="52">
        <f>(J59*'Base Data'!$C$5)+(K59*'Base Data'!$C$6)+(L59*'Base Data'!$C$7)</f>
        <v>825621.22499999998</v>
      </c>
      <c r="O59" s="52">
        <f t="shared" si="14"/>
        <v>0</v>
      </c>
      <c r="P59" s="92">
        <v>0</v>
      </c>
      <c r="Q59" s="94" t="s">
        <v>388</v>
      </c>
    </row>
    <row r="60" spans="1:19" s="6" customFormat="1" ht="9.75" customHeight="1">
      <c r="A60" s="142" t="s">
        <v>426</v>
      </c>
      <c r="B60" s="44">
        <v>2</v>
      </c>
      <c r="C60" s="44"/>
      <c r="D60" s="52">
        <v>0</v>
      </c>
      <c r="E60" s="52">
        <v>0</v>
      </c>
      <c r="F60" s="52">
        <v>0</v>
      </c>
      <c r="G60" s="44">
        <v>1</v>
      </c>
      <c r="H60" s="44">
        <f t="shared" si="10"/>
        <v>2</v>
      </c>
      <c r="I60" s="91">
        <f>SUM('Base Data'!$D$43:$D$45)</f>
        <v>506</v>
      </c>
      <c r="J60" s="92">
        <f t="shared" si="11"/>
        <v>1012</v>
      </c>
      <c r="K60" s="92">
        <f t="shared" si="12"/>
        <v>101.2</v>
      </c>
      <c r="L60" s="92">
        <f t="shared" si="13"/>
        <v>50.6</v>
      </c>
      <c r="M60" s="44"/>
      <c r="N60" s="52">
        <f>(J60*'Base Data'!$C$5)+(K60*'Base Data'!$C$6)+(L60*'Base Data'!$C$7)</f>
        <v>110082.83000000002</v>
      </c>
      <c r="O60" s="52">
        <f t="shared" si="14"/>
        <v>0</v>
      </c>
      <c r="P60" s="92">
        <v>0</v>
      </c>
      <c r="Q60" s="94" t="s">
        <v>388</v>
      </c>
    </row>
    <row r="61" spans="1:19" s="6" customFormat="1" ht="9">
      <c r="A61" s="143" t="s">
        <v>436</v>
      </c>
      <c r="B61" s="44">
        <v>2</v>
      </c>
      <c r="C61" s="44"/>
      <c r="D61" s="52">
        <v>0</v>
      </c>
      <c r="E61" s="52">
        <v>0</v>
      </c>
      <c r="F61" s="52">
        <v>0</v>
      </c>
      <c r="G61" s="44">
        <v>1</v>
      </c>
      <c r="H61" s="44">
        <f t="shared" si="10"/>
        <v>2</v>
      </c>
      <c r="I61" s="91">
        <f>SUM('Base Data'!$D$43:$D$45)</f>
        <v>506</v>
      </c>
      <c r="J61" s="92">
        <f t="shared" si="11"/>
        <v>1012</v>
      </c>
      <c r="K61" s="92">
        <f t="shared" si="12"/>
        <v>101.2</v>
      </c>
      <c r="L61" s="92">
        <f t="shared" si="13"/>
        <v>50.6</v>
      </c>
      <c r="M61" s="44"/>
      <c r="N61" s="52">
        <f>(J61*'Base Data'!$C$5)+(K61*'Base Data'!$C$6)+(L61*'Base Data'!$C$7)</f>
        <v>110082.83000000002</v>
      </c>
      <c r="O61" s="52">
        <f t="shared" si="14"/>
        <v>0</v>
      </c>
      <c r="P61" s="92">
        <v>0</v>
      </c>
      <c r="Q61" s="94" t="s">
        <v>388</v>
      </c>
    </row>
    <row r="62" spans="1:19" s="6" customFormat="1" ht="9">
      <c r="A62" s="143" t="s">
        <v>437</v>
      </c>
      <c r="B62" s="44">
        <v>2</v>
      </c>
      <c r="C62" s="44">
        <v>0</v>
      </c>
      <c r="D62" s="52">
        <v>0</v>
      </c>
      <c r="E62" s="52">
        <v>0</v>
      </c>
      <c r="F62" s="52">
        <v>0</v>
      </c>
      <c r="G62" s="44">
        <v>2</v>
      </c>
      <c r="H62" s="44">
        <f t="shared" si="10"/>
        <v>4</v>
      </c>
      <c r="I62" s="91">
        <f>SUM('Base Data'!$D$43:$D$45)</f>
        <v>506</v>
      </c>
      <c r="J62" s="92">
        <f t="shared" si="11"/>
        <v>2024</v>
      </c>
      <c r="K62" s="92">
        <f t="shared" si="12"/>
        <v>202.4</v>
      </c>
      <c r="L62" s="92">
        <f t="shared" si="13"/>
        <v>101.2</v>
      </c>
      <c r="M62" s="44">
        <f>C62*G62*I62</f>
        <v>0</v>
      </c>
      <c r="N62" s="52">
        <f>(J62*'Base Data'!$C$5)+(K62*'Base Data'!$C$6)+(L62*'Base Data'!$C$7)</f>
        <v>220165.66000000003</v>
      </c>
      <c r="O62" s="52">
        <f t="shared" si="14"/>
        <v>0</v>
      </c>
      <c r="P62" s="92">
        <v>0</v>
      </c>
      <c r="Q62" s="94" t="s">
        <v>388</v>
      </c>
    </row>
    <row r="63" spans="1:19" s="6" customFormat="1" ht="9">
      <c r="A63" s="143" t="s">
        <v>438</v>
      </c>
      <c r="B63" s="44">
        <v>0.5</v>
      </c>
      <c r="C63" s="44"/>
      <c r="D63" s="52">
        <v>0</v>
      </c>
      <c r="E63" s="52">
        <v>0</v>
      </c>
      <c r="F63" s="52">
        <v>0</v>
      </c>
      <c r="G63" s="44">
        <v>12</v>
      </c>
      <c r="H63" s="44">
        <f t="shared" si="10"/>
        <v>6</v>
      </c>
      <c r="I63" s="91">
        <f>SUM('Base Data'!$D$43:$D$45)</f>
        <v>506</v>
      </c>
      <c r="J63" s="92">
        <f t="shared" si="11"/>
        <v>3036</v>
      </c>
      <c r="K63" s="92">
        <f t="shared" si="12"/>
        <v>303.60000000000002</v>
      </c>
      <c r="L63" s="92">
        <f t="shared" si="13"/>
        <v>151.80000000000001</v>
      </c>
      <c r="M63" s="44"/>
      <c r="N63" s="52">
        <f>(J63*'Base Data'!$C$5)+(K63*'Base Data'!$C$6)+(L63*'Base Data'!$C$7)</f>
        <v>330248.49</v>
      </c>
      <c r="O63" s="52">
        <f t="shared" si="14"/>
        <v>0</v>
      </c>
      <c r="P63" s="92">
        <v>0</v>
      </c>
      <c r="Q63" s="94" t="s">
        <v>388</v>
      </c>
    </row>
    <row r="64" spans="1:19" s="6" customFormat="1" ht="9">
      <c r="A64" s="142" t="s">
        <v>427</v>
      </c>
      <c r="B64" s="44">
        <v>40</v>
      </c>
      <c r="C64" s="18"/>
      <c r="D64" s="39">
        <v>0</v>
      </c>
      <c r="E64" s="39">
        <v>0</v>
      </c>
      <c r="F64" s="39">
        <v>0</v>
      </c>
      <c r="G64" s="18">
        <v>1</v>
      </c>
      <c r="H64" s="18">
        <f t="shared" si="10"/>
        <v>40</v>
      </c>
      <c r="I64" s="91">
        <f>ROUNDDOWN(SUM('Base Data'!$H$43:$H$45)/2,0)</f>
        <v>29</v>
      </c>
      <c r="J64" s="92">
        <f t="shared" si="11"/>
        <v>1160</v>
      </c>
      <c r="K64" s="92">
        <f t="shared" si="12"/>
        <v>116</v>
      </c>
      <c r="L64" s="92">
        <f t="shared" si="13"/>
        <v>58</v>
      </c>
      <c r="M64" s="44"/>
      <c r="N64" s="52">
        <f>(J64*'Base Data'!$C$5)+(K64*'Base Data'!$C$6)+(L64*'Base Data'!$C$7)</f>
        <v>126181.9</v>
      </c>
      <c r="O64" s="52">
        <f t="shared" si="14"/>
        <v>0</v>
      </c>
      <c r="P64" s="92">
        <v>0</v>
      </c>
      <c r="Q64" s="94" t="s">
        <v>555</v>
      </c>
    </row>
    <row r="65" spans="1:256" s="6" customFormat="1" ht="9">
      <c r="A65" s="146" t="s">
        <v>428</v>
      </c>
      <c r="B65" s="44" t="s">
        <v>433</v>
      </c>
      <c r="C65" s="44"/>
      <c r="D65" s="52"/>
      <c r="E65" s="52"/>
      <c r="F65" s="52"/>
      <c r="G65" s="44"/>
      <c r="H65" s="44"/>
      <c r="I65" s="92"/>
      <c r="J65" s="92"/>
      <c r="K65" s="92"/>
      <c r="L65" s="92"/>
      <c r="M65" s="44"/>
      <c r="N65" s="52"/>
      <c r="O65" s="52"/>
      <c r="P65" s="39"/>
      <c r="Q65" s="94"/>
    </row>
    <row r="66" spans="1:256" s="6" customFormat="1" ht="9">
      <c r="A66" s="61" t="s">
        <v>27</v>
      </c>
      <c r="B66" s="245"/>
      <c r="C66" s="245"/>
      <c r="D66" s="246"/>
      <c r="E66" s="246"/>
      <c r="F66" s="246"/>
      <c r="G66" s="245"/>
      <c r="H66" s="245"/>
      <c r="I66" s="247"/>
      <c r="J66" s="247">
        <f t="shared" ref="J66:O66" si="15">SUM(J54:J65)</f>
        <v>25954</v>
      </c>
      <c r="K66" s="247">
        <f t="shared" si="15"/>
        <v>2595.4</v>
      </c>
      <c r="L66" s="247">
        <f t="shared" si="15"/>
        <v>1297.7</v>
      </c>
      <c r="M66" s="246">
        <f t="shared" si="15"/>
        <v>0</v>
      </c>
      <c r="N66" s="246">
        <f t="shared" si="15"/>
        <v>2823211.2349999999</v>
      </c>
      <c r="O66" s="246">
        <f t="shared" si="15"/>
        <v>0</v>
      </c>
      <c r="P66" s="247">
        <f t="shared" ref="P66" si="16">SUM(P54:P65)</f>
        <v>0</v>
      </c>
      <c r="Q66" s="248"/>
      <c r="R66" s="39">
        <f>SUM(R54:R65)</f>
        <v>0</v>
      </c>
    </row>
    <row r="67" spans="1:256" s="2" customFormat="1">
      <c r="A67" s="24" t="s">
        <v>400</v>
      </c>
      <c r="B67" s="25"/>
      <c r="C67" s="25"/>
      <c r="D67" s="25"/>
      <c r="E67" s="25"/>
      <c r="F67" s="50"/>
      <c r="G67" s="25"/>
      <c r="H67" s="25"/>
      <c r="I67" s="26"/>
      <c r="J67" s="27">
        <f t="shared" ref="J67:P67" si="17">J52+J66</f>
        <v>95389</v>
      </c>
      <c r="K67" s="27">
        <f t="shared" si="17"/>
        <v>9538.9</v>
      </c>
      <c r="L67" s="27">
        <f t="shared" si="17"/>
        <v>4769.45</v>
      </c>
      <c r="M67" s="40">
        <f t="shared" si="17"/>
        <v>0</v>
      </c>
      <c r="N67" s="40">
        <f t="shared" si="17"/>
        <v>10376176.947499998</v>
      </c>
      <c r="O67" s="40">
        <f t="shared" si="17"/>
        <v>41214443</v>
      </c>
      <c r="P67" s="27">
        <f t="shared" si="17"/>
        <v>232</v>
      </c>
      <c r="Q67" s="47"/>
    </row>
    <row r="68" spans="1:256" ht="6" customHeight="1">
      <c r="B68" s="54"/>
      <c r="C68" s="54"/>
      <c r="D68" s="54"/>
      <c r="E68" s="54"/>
      <c r="F68" s="54"/>
      <c r="G68" s="54"/>
      <c r="H68" s="54"/>
      <c r="I68" s="55"/>
    </row>
    <row r="69" spans="1:256" s="14" customFormat="1" ht="9">
      <c r="A69" s="14" t="s">
        <v>390</v>
      </c>
      <c r="B69" s="56"/>
      <c r="C69" s="56"/>
      <c r="D69" s="56"/>
      <c r="E69" s="56"/>
      <c r="F69" s="56"/>
      <c r="G69" s="56"/>
      <c r="H69" s="56"/>
      <c r="I69" s="57"/>
      <c r="J69" s="15"/>
      <c r="K69" s="15"/>
      <c r="L69" s="15"/>
      <c r="M69" s="15"/>
      <c r="N69" s="15"/>
      <c r="O69" s="17"/>
      <c r="P69" s="17"/>
      <c r="Q69" s="15"/>
    </row>
    <row r="70" spans="1:256" s="14" customFormat="1" ht="18" customHeight="1">
      <c r="A70" s="408" t="s">
        <v>165</v>
      </c>
      <c r="B70" s="408"/>
      <c r="C70" s="408"/>
      <c r="D70" s="408"/>
      <c r="E70" s="408"/>
      <c r="F70" s="408"/>
      <c r="G70" s="408"/>
      <c r="H70" s="408"/>
      <c r="I70" s="408"/>
      <c r="J70" s="408"/>
      <c r="K70" s="408"/>
      <c r="L70" s="408"/>
      <c r="M70" s="408"/>
      <c r="N70" s="408"/>
      <c r="O70" s="408"/>
      <c r="P70" s="62"/>
      <c r="Q70" s="15"/>
    </row>
    <row r="71" spans="1:256" s="14" customFormat="1" ht="26.25" customHeight="1">
      <c r="A71" s="408" t="s">
        <v>2</v>
      </c>
      <c r="B71" s="408"/>
      <c r="C71" s="408"/>
      <c r="D71" s="408"/>
      <c r="E71" s="408"/>
      <c r="F71" s="408"/>
      <c r="G71" s="408"/>
      <c r="H71" s="408"/>
      <c r="I71" s="408"/>
      <c r="J71" s="408"/>
      <c r="K71" s="408"/>
      <c r="L71" s="408"/>
      <c r="M71" s="408"/>
      <c r="N71" s="408"/>
      <c r="O71" s="408"/>
      <c r="P71" s="62"/>
      <c r="Q71" s="15"/>
    </row>
    <row r="72" spans="1:256" s="14" customFormat="1" ht="18" customHeight="1">
      <c r="A72" s="408" t="s">
        <v>95</v>
      </c>
      <c r="B72" s="408"/>
      <c r="C72" s="408"/>
      <c r="D72" s="408"/>
      <c r="E72" s="408"/>
      <c r="F72" s="408"/>
      <c r="G72" s="408"/>
      <c r="H72" s="408"/>
      <c r="I72" s="408"/>
      <c r="J72" s="408"/>
      <c r="K72" s="408"/>
      <c r="L72" s="408"/>
      <c r="M72" s="408"/>
      <c r="N72" s="408"/>
      <c r="O72" s="408"/>
      <c r="P72" s="408"/>
      <c r="Q72" s="408"/>
    </row>
    <row r="73" spans="1:256" s="14" customFormat="1" ht="9" customHeight="1">
      <c r="A73" s="14" t="s">
        <v>441</v>
      </c>
      <c r="B73" s="15"/>
      <c r="C73" s="15"/>
      <c r="D73" s="15"/>
      <c r="E73" s="15"/>
      <c r="F73" s="15"/>
      <c r="G73" s="15"/>
      <c r="H73" s="15"/>
      <c r="I73" s="16"/>
      <c r="J73" s="15"/>
      <c r="K73" s="15"/>
      <c r="L73" s="15"/>
      <c r="M73" s="15"/>
      <c r="N73" s="15"/>
      <c r="O73" s="17"/>
      <c r="P73" s="17"/>
      <c r="Q73" s="15"/>
    </row>
    <row r="74" spans="1:256" s="14" customFormat="1" ht="9" customHeight="1">
      <c r="A74" s="408" t="s">
        <v>551</v>
      </c>
      <c r="B74" s="408"/>
      <c r="C74" s="408"/>
      <c r="D74" s="408"/>
      <c r="E74" s="408"/>
      <c r="F74" s="408"/>
      <c r="G74" s="408"/>
      <c r="H74" s="408"/>
      <c r="I74" s="408"/>
      <c r="J74" s="408"/>
      <c r="K74" s="408"/>
      <c r="L74" s="408"/>
      <c r="M74" s="408"/>
      <c r="N74" s="15"/>
      <c r="O74" s="17"/>
      <c r="P74" s="17"/>
      <c r="Q74" s="15"/>
    </row>
    <row r="75" spans="1:256" s="14" customFormat="1" ht="9">
      <c r="A75" s="14" t="s">
        <v>536</v>
      </c>
      <c r="B75" s="15"/>
      <c r="C75" s="15"/>
      <c r="D75" s="15"/>
      <c r="E75" s="15"/>
      <c r="F75" s="15"/>
      <c r="G75" s="15"/>
      <c r="H75" s="15"/>
      <c r="I75" s="16"/>
      <c r="J75" s="15"/>
      <c r="K75" s="15"/>
      <c r="L75" s="15"/>
      <c r="M75" s="15"/>
      <c r="N75" s="15"/>
      <c r="O75" s="17"/>
      <c r="P75" s="17"/>
      <c r="Q75" s="15"/>
    </row>
    <row r="76" spans="1:256" s="14" customFormat="1" ht="9">
      <c r="A76" s="14" t="s">
        <v>367</v>
      </c>
      <c r="B76" s="15"/>
      <c r="C76" s="15"/>
      <c r="D76" s="15"/>
      <c r="E76" s="15"/>
      <c r="F76" s="15"/>
      <c r="G76" s="15"/>
      <c r="H76" s="15"/>
      <c r="I76" s="16"/>
      <c r="J76" s="15"/>
      <c r="K76" s="15"/>
      <c r="L76" s="15"/>
      <c r="M76" s="15"/>
      <c r="N76" s="15"/>
      <c r="O76" s="17"/>
      <c r="P76" s="17"/>
      <c r="Q76" s="15"/>
    </row>
    <row r="77" spans="1:256" s="14" customFormat="1" ht="11.25" customHeight="1">
      <c r="A77" s="384" t="s">
        <v>538</v>
      </c>
      <c r="B77" s="77"/>
      <c r="C77" s="77"/>
      <c r="D77" s="77"/>
      <c r="E77" s="77"/>
      <c r="F77" s="77"/>
      <c r="G77" s="77"/>
      <c r="H77" s="77"/>
      <c r="I77" s="77"/>
      <c r="J77" s="77"/>
      <c r="K77" s="77"/>
      <c r="L77" s="77"/>
      <c r="M77" s="77"/>
      <c r="N77" s="77"/>
      <c r="O77" s="77"/>
      <c r="P77" s="17"/>
      <c r="Q77" s="77"/>
      <c r="S77" s="77"/>
      <c r="T77" s="77"/>
      <c r="U77" s="77"/>
      <c r="V77" s="77"/>
      <c r="W77" s="77"/>
      <c r="X77" s="77"/>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c r="BF77" s="77"/>
      <c r="BG77" s="77"/>
      <c r="BH77" s="77"/>
      <c r="BI77" s="77"/>
      <c r="BJ77" s="77"/>
      <c r="BK77" s="77"/>
      <c r="BL77" s="77"/>
      <c r="BM77" s="77"/>
      <c r="BN77" s="77"/>
      <c r="BO77" s="77"/>
      <c r="BP77" s="77"/>
      <c r="BQ77" s="77"/>
      <c r="BR77" s="77"/>
      <c r="BS77" s="77"/>
      <c r="BT77" s="77"/>
      <c r="BU77" s="77"/>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c r="EO77" s="77"/>
      <c r="EP77" s="77"/>
      <c r="EQ77" s="77"/>
      <c r="ER77" s="77"/>
      <c r="ES77" s="77"/>
      <c r="ET77" s="77"/>
      <c r="EU77" s="77"/>
      <c r="EV77" s="77"/>
      <c r="EW77" s="77"/>
      <c r="EX77" s="77"/>
      <c r="EY77" s="77"/>
      <c r="EZ77" s="77"/>
      <c r="FA77" s="77"/>
      <c r="FB77" s="77"/>
      <c r="FC77" s="77"/>
      <c r="FD77" s="77"/>
      <c r="FE77" s="77"/>
      <c r="FF77" s="77"/>
      <c r="FG77" s="77"/>
      <c r="FH77" s="77"/>
      <c r="FI77" s="77"/>
      <c r="FJ77" s="77"/>
      <c r="FK77" s="77"/>
      <c r="FL77" s="77"/>
      <c r="FM77" s="77"/>
      <c r="FN77" s="77"/>
      <c r="FO77" s="77"/>
      <c r="FP77" s="77"/>
      <c r="FQ77" s="77"/>
      <c r="FR77" s="77"/>
      <c r="FS77" s="77"/>
      <c r="FT77" s="77"/>
      <c r="FU77" s="77"/>
      <c r="FV77" s="77"/>
      <c r="FW77" s="77"/>
      <c r="FX77" s="77"/>
      <c r="FY77" s="77"/>
      <c r="FZ77" s="77"/>
      <c r="GA77" s="77"/>
      <c r="GB77" s="77"/>
      <c r="GC77" s="77"/>
      <c r="GD77" s="77"/>
      <c r="GE77" s="77"/>
      <c r="GF77" s="77"/>
      <c r="GG77" s="77"/>
      <c r="GH77" s="77"/>
      <c r="GI77" s="77"/>
      <c r="GJ77" s="77"/>
      <c r="GK77" s="77"/>
      <c r="GL77" s="77"/>
      <c r="GM77" s="77"/>
      <c r="GN77" s="77"/>
      <c r="GO77" s="77"/>
      <c r="GP77" s="77"/>
      <c r="GQ77" s="77"/>
      <c r="GR77" s="77"/>
      <c r="GS77" s="77"/>
      <c r="GT77" s="77"/>
      <c r="GU77" s="77"/>
      <c r="GV77" s="77"/>
      <c r="GW77" s="77"/>
      <c r="GX77" s="77"/>
      <c r="GY77" s="77"/>
      <c r="GZ77" s="77"/>
      <c r="HA77" s="77"/>
      <c r="HB77" s="77"/>
      <c r="HC77" s="77"/>
      <c r="HD77" s="77"/>
      <c r="HE77" s="77"/>
      <c r="HF77" s="77"/>
      <c r="HG77" s="77"/>
      <c r="HH77" s="77"/>
      <c r="HI77" s="77"/>
      <c r="HJ77" s="77"/>
      <c r="HK77" s="77"/>
      <c r="HL77" s="77"/>
      <c r="HM77" s="77"/>
      <c r="HN77" s="77"/>
      <c r="HO77" s="77"/>
      <c r="HP77" s="77"/>
      <c r="HQ77" s="77"/>
      <c r="HR77" s="77"/>
      <c r="HS77" s="77"/>
      <c r="HT77" s="77"/>
      <c r="HU77" s="77"/>
      <c r="HV77" s="77"/>
      <c r="HW77" s="77"/>
      <c r="HX77" s="77"/>
      <c r="HY77" s="77"/>
      <c r="HZ77" s="77"/>
      <c r="IA77" s="77"/>
      <c r="IB77" s="77"/>
      <c r="IC77" s="77"/>
      <c r="ID77" s="77"/>
      <c r="IE77" s="77"/>
      <c r="IF77" s="77"/>
      <c r="IG77" s="77"/>
      <c r="IH77" s="77"/>
      <c r="II77" s="77"/>
      <c r="IJ77" s="77"/>
      <c r="IK77" s="77"/>
      <c r="IL77" s="77"/>
      <c r="IM77" s="77"/>
      <c r="IN77" s="77"/>
      <c r="IO77" s="77"/>
      <c r="IP77" s="77"/>
      <c r="IQ77" s="77"/>
      <c r="IR77" s="77"/>
      <c r="IS77" s="77"/>
      <c r="IT77" s="77"/>
      <c r="IU77" s="77"/>
      <c r="IV77" s="77"/>
    </row>
    <row r="78" spans="1:256" s="14" customFormat="1" ht="19.5" customHeight="1">
      <c r="A78" s="408" t="s">
        <v>373</v>
      </c>
      <c r="B78" s="408"/>
      <c r="C78" s="408"/>
      <c r="D78" s="408"/>
      <c r="E78" s="408"/>
      <c r="F78" s="408"/>
      <c r="G78" s="408"/>
      <c r="H78" s="408"/>
      <c r="I78" s="408"/>
      <c r="J78" s="408"/>
      <c r="K78" s="408"/>
      <c r="L78" s="408"/>
      <c r="M78" s="408"/>
      <c r="N78" s="408"/>
      <c r="O78" s="408"/>
      <c r="P78" s="17"/>
      <c r="Q78" s="15"/>
    </row>
    <row r="79" spans="1:256" s="14" customFormat="1" ht="9">
      <c r="A79" s="14" t="s">
        <v>554</v>
      </c>
      <c r="B79" s="15"/>
      <c r="C79" s="15"/>
      <c r="D79" s="15"/>
      <c r="E79" s="15"/>
      <c r="F79" s="15"/>
      <c r="G79" s="15"/>
      <c r="H79" s="15"/>
      <c r="I79" s="16"/>
      <c r="J79" s="15"/>
      <c r="K79" s="15"/>
      <c r="L79" s="15"/>
      <c r="M79" s="15"/>
      <c r="N79" s="15"/>
      <c r="O79" s="17"/>
      <c r="P79" s="17"/>
      <c r="Q79" s="15"/>
    </row>
    <row r="80" spans="1:256" s="14" customFormat="1" ht="9">
      <c r="B80" s="15"/>
      <c r="C80" s="15"/>
      <c r="D80" s="15"/>
      <c r="E80" s="15"/>
      <c r="F80" s="15"/>
      <c r="G80" s="15"/>
      <c r="H80" s="15"/>
      <c r="I80" s="16"/>
      <c r="J80" s="15"/>
      <c r="K80" s="15"/>
      <c r="L80" s="15"/>
      <c r="M80" s="15"/>
      <c r="N80" s="15"/>
      <c r="O80" s="17"/>
      <c r="P80" s="17"/>
      <c r="Q80" s="15"/>
    </row>
    <row r="81" spans="2:17" s="14" customFormat="1" ht="9">
      <c r="B81" s="15"/>
      <c r="C81" s="15"/>
      <c r="D81" s="15"/>
      <c r="E81" s="15"/>
      <c r="F81" s="15"/>
      <c r="G81" s="15"/>
      <c r="H81" s="15"/>
      <c r="I81" s="16"/>
      <c r="J81" s="15"/>
      <c r="K81" s="15"/>
      <c r="L81" s="15"/>
      <c r="M81" s="15"/>
      <c r="N81" s="15"/>
      <c r="O81" s="17"/>
      <c r="P81" s="17"/>
      <c r="Q81" s="15"/>
    </row>
    <row r="82" spans="2:17" s="14" customFormat="1" ht="9">
      <c r="B82" s="15"/>
      <c r="C82" s="15"/>
      <c r="D82" s="15"/>
      <c r="E82" s="15"/>
      <c r="F82" s="15"/>
      <c r="G82" s="15"/>
      <c r="H82" s="15"/>
      <c r="I82" s="16"/>
      <c r="J82" s="15"/>
      <c r="K82" s="15"/>
      <c r="L82" s="15"/>
      <c r="M82" s="15"/>
      <c r="N82" s="15"/>
      <c r="O82" s="17"/>
      <c r="P82" s="17"/>
      <c r="Q82" s="15"/>
    </row>
    <row r="83" spans="2:17" s="14" customFormat="1" ht="9">
      <c r="B83" s="15"/>
      <c r="C83" s="15"/>
      <c r="D83" s="15"/>
      <c r="E83" s="15"/>
      <c r="F83" s="15"/>
      <c r="G83" s="15"/>
      <c r="H83" s="15"/>
      <c r="I83" s="16"/>
      <c r="J83" s="15"/>
      <c r="K83" s="15"/>
      <c r="L83" s="15"/>
      <c r="M83" s="15"/>
      <c r="N83" s="15"/>
      <c r="O83" s="17"/>
      <c r="P83" s="17"/>
      <c r="Q83" s="15"/>
    </row>
    <row r="84" spans="2:17" s="14" customFormat="1" ht="9">
      <c r="B84" s="15"/>
      <c r="C84" s="15"/>
      <c r="D84" s="15"/>
      <c r="E84" s="15"/>
      <c r="F84" s="15"/>
      <c r="G84" s="15"/>
      <c r="H84" s="15"/>
      <c r="I84" s="16"/>
      <c r="J84" s="15"/>
      <c r="K84" s="15"/>
      <c r="L84" s="15"/>
      <c r="M84" s="15"/>
      <c r="N84" s="15"/>
      <c r="O84" s="17"/>
      <c r="P84" s="17"/>
      <c r="Q84" s="15"/>
    </row>
    <row r="85" spans="2:17" s="14" customFormat="1" ht="9">
      <c r="B85" s="15"/>
      <c r="C85" s="15"/>
      <c r="D85" s="15"/>
      <c r="E85" s="15"/>
      <c r="F85" s="15"/>
      <c r="G85" s="15"/>
      <c r="H85" s="15"/>
      <c r="I85" s="16"/>
      <c r="J85" s="15"/>
      <c r="K85" s="15"/>
      <c r="L85" s="15"/>
      <c r="M85" s="15"/>
      <c r="N85" s="15"/>
      <c r="O85" s="17"/>
      <c r="P85" s="17"/>
      <c r="Q85" s="15"/>
    </row>
    <row r="86" spans="2:17" s="14" customFormat="1" ht="9">
      <c r="B86" s="15"/>
      <c r="C86" s="15"/>
      <c r="D86" s="15"/>
      <c r="E86" s="15"/>
      <c r="F86" s="15"/>
      <c r="G86" s="15"/>
      <c r="H86" s="15"/>
      <c r="I86" s="16"/>
      <c r="J86" s="15"/>
      <c r="K86" s="15"/>
      <c r="L86" s="15"/>
      <c r="M86" s="15"/>
      <c r="N86" s="15"/>
      <c r="O86" s="17"/>
      <c r="P86" s="17"/>
      <c r="Q86" s="15"/>
    </row>
    <row r="87" spans="2:17" s="14" customFormat="1" ht="9">
      <c r="B87" s="15"/>
      <c r="C87" s="15"/>
      <c r="D87" s="15"/>
      <c r="E87" s="15"/>
      <c r="F87" s="15"/>
      <c r="G87" s="15"/>
      <c r="H87" s="15"/>
      <c r="I87" s="16"/>
      <c r="J87" s="15"/>
      <c r="K87" s="15"/>
      <c r="L87" s="15"/>
      <c r="M87" s="15"/>
      <c r="N87" s="15"/>
      <c r="O87" s="17"/>
      <c r="P87" s="17"/>
      <c r="Q87" s="15"/>
    </row>
    <row r="88" spans="2:17" s="14" customFormat="1" ht="9">
      <c r="B88" s="15"/>
      <c r="C88" s="15"/>
      <c r="D88" s="15"/>
      <c r="E88" s="15"/>
      <c r="F88" s="15"/>
      <c r="G88" s="15"/>
      <c r="H88" s="15"/>
      <c r="I88" s="16"/>
      <c r="J88" s="15"/>
      <c r="K88" s="15"/>
      <c r="L88" s="15"/>
      <c r="M88" s="15"/>
      <c r="N88" s="15"/>
      <c r="O88" s="17"/>
      <c r="P88" s="17"/>
      <c r="Q88" s="15"/>
    </row>
    <row r="89" spans="2:17" s="14" customFormat="1" ht="9">
      <c r="B89" s="15"/>
      <c r="C89" s="15"/>
      <c r="D89" s="15"/>
      <c r="E89" s="15"/>
      <c r="F89" s="15"/>
      <c r="G89" s="15"/>
      <c r="H89" s="15"/>
      <c r="I89" s="16"/>
      <c r="J89" s="15"/>
      <c r="K89" s="15"/>
      <c r="L89" s="15"/>
      <c r="M89" s="15"/>
      <c r="N89" s="15"/>
      <c r="O89" s="17"/>
      <c r="P89" s="17"/>
      <c r="Q89" s="15"/>
    </row>
    <row r="90" spans="2:17" s="14" customFormat="1" ht="9">
      <c r="B90" s="15"/>
      <c r="C90" s="15"/>
      <c r="D90" s="15"/>
      <c r="E90" s="15"/>
      <c r="F90" s="15"/>
      <c r="G90" s="15"/>
      <c r="H90" s="15"/>
      <c r="I90" s="16"/>
      <c r="J90" s="15"/>
      <c r="K90" s="15"/>
      <c r="L90" s="15"/>
      <c r="M90" s="15"/>
      <c r="N90" s="15"/>
      <c r="O90" s="17"/>
      <c r="P90" s="17"/>
      <c r="Q90" s="15"/>
    </row>
    <row r="91" spans="2:17" s="14" customFormat="1" ht="9">
      <c r="B91" s="15"/>
      <c r="C91" s="15"/>
      <c r="D91" s="15"/>
      <c r="E91" s="15"/>
      <c r="F91" s="15"/>
      <c r="G91" s="15"/>
      <c r="H91" s="15"/>
      <c r="I91" s="16"/>
      <c r="J91" s="15"/>
      <c r="K91" s="15"/>
      <c r="L91" s="15"/>
      <c r="M91" s="15"/>
      <c r="N91" s="15"/>
      <c r="O91" s="17"/>
      <c r="P91" s="17"/>
      <c r="Q91" s="15"/>
    </row>
    <row r="92" spans="2:17" s="14" customFormat="1" ht="9">
      <c r="B92" s="15"/>
      <c r="C92" s="15"/>
      <c r="D92" s="15"/>
      <c r="E92" s="15"/>
      <c r="F92" s="15"/>
      <c r="G92" s="15"/>
      <c r="H92" s="15"/>
      <c r="I92" s="16"/>
      <c r="J92" s="15"/>
      <c r="K92" s="15"/>
      <c r="L92" s="15"/>
      <c r="M92" s="15"/>
      <c r="N92" s="15"/>
      <c r="O92" s="17"/>
      <c r="P92" s="17"/>
      <c r="Q92" s="15"/>
    </row>
    <row r="93" spans="2:17" s="14" customFormat="1" ht="9">
      <c r="B93" s="15"/>
      <c r="C93" s="15"/>
      <c r="D93" s="15"/>
      <c r="E93" s="15"/>
      <c r="F93" s="15"/>
      <c r="G93" s="15"/>
      <c r="H93" s="15"/>
      <c r="I93" s="16"/>
      <c r="J93" s="15"/>
      <c r="K93" s="15"/>
      <c r="L93" s="15"/>
      <c r="M93" s="15"/>
      <c r="N93" s="15"/>
      <c r="O93" s="17"/>
      <c r="P93" s="17"/>
      <c r="Q93" s="15"/>
    </row>
    <row r="94" spans="2:17" s="14" customFormat="1" ht="9">
      <c r="B94" s="15"/>
      <c r="C94" s="15"/>
      <c r="D94" s="15"/>
      <c r="E94" s="15"/>
      <c r="F94" s="15"/>
      <c r="G94" s="15"/>
      <c r="H94" s="15"/>
      <c r="I94" s="16"/>
      <c r="J94" s="15"/>
      <c r="K94" s="15"/>
      <c r="L94" s="15"/>
      <c r="M94" s="15"/>
      <c r="N94" s="15"/>
      <c r="O94" s="17"/>
      <c r="P94" s="17"/>
      <c r="Q94" s="15"/>
    </row>
    <row r="95" spans="2:17" s="14" customFormat="1" ht="9">
      <c r="B95" s="15"/>
      <c r="C95" s="15"/>
      <c r="D95" s="15"/>
      <c r="E95" s="15"/>
      <c r="F95" s="15"/>
      <c r="G95" s="15"/>
      <c r="H95" s="15"/>
      <c r="I95" s="16"/>
      <c r="J95" s="15"/>
      <c r="K95" s="15"/>
      <c r="L95" s="15"/>
      <c r="M95" s="15"/>
      <c r="N95" s="15"/>
      <c r="O95" s="17"/>
      <c r="P95" s="17"/>
      <c r="Q95" s="15"/>
    </row>
    <row r="96" spans="2:17" s="14" customFormat="1" ht="9">
      <c r="B96" s="15"/>
      <c r="C96" s="15"/>
      <c r="D96" s="15"/>
      <c r="E96" s="15"/>
      <c r="F96" s="15"/>
      <c r="G96" s="15"/>
      <c r="H96" s="15"/>
      <c r="I96" s="16"/>
      <c r="J96" s="15"/>
      <c r="K96" s="15"/>
      <c r="L96" s="15"/>
      <c r="M96" s="15"/>
      <c r="N96" s="15"/>
      <c r="O96" s="17"/>
      <c r="P96" s="17"/>
      <c r="Q96" s="15"/>
    </row>
    <row r="97" spans="2:17" s="14" customFormat="1" ht="9">
      <c r="B97" s="15"/>
      <c r="C97" s="15"/>
      <c r="D97" s="15"/>
      <c r="E97" s="15"/>
      <c r="F97" s="15"/>
      <c r="G97" s="15"/>
      <c r="H97" s="15"/>
      <c r="I97" s="16"/>
      <c r="J97" s="15"/>
      <c r="K97" s="15"/>
      <c r="L97" s="15"/>
      <c r="M97" s="15"/>
      <c r="N97" s="15"/>
      <c r="O97" s="17"/>
      <c r="P97" s="17"/>
      <c r="Q97" s="15"/>
    </row>
    <row r="98" spans="2:17" s="14" customFormat="1" ht="9">
      <c r="B98" s="15"/>
      <c r="C98" s="15"/>
      <c r="D98" s="15"/>
      <c r="E98" s="15"/>
      <c r="F98" s="15"/>
      <c r="G98" s="15"/>
      <c r="H98" s="15"/>
      <c r="I98" s="16"/>
      <c r="J98" s="15"/>
      <c r="K98" s="15"/>
      <c r="L98" s="15"/>
      <c r="M98" s="15"/>
      <c r="N98" s="15"/>
      <c r="O98" s="17"/>
      <c r="P98" s="17"/>
      <c r="Q98" s="15"/>
    </row>
    <row r="99" spans="2:17" s="14" customFormat="1" ht="9">
      <c r="B99" s="15"/>
      <c r="C99" s="15"/>
      <c r="D99" s="15"/>
      <c r="E99" s="15"/>
      <c r="F99" s="15"/>
      <c r="G99" s="15"/>
      <c r="H99" s="15"/>
      <c r="I99" s="16"/>
      <c r="J99" s="15"/>
      <c r="K99" s="15"/>
      <c r="L99" s="15"/>
      <c r="M99" s="15"/>
      <c r="N99" s="15"/>
      <c r="O99" s="17"/>
      <c r="P99" s="17"/>
      <c r="Q99" s="15"/>
    </row>
    <row r="100" spans="2:17" s="14" customFormat="1" ht="9">
      <c r="B100" s="15"/>
      <c r="C100" s="15"/>
      <c r="D100" s="15"/>
      <c r="E100" s="15"/>
      <c r="F100" s="15"/>
      <c r="G100" s="15"/>
      <c r="H100" s="15"/>
      <c r="I100" s="16"/>
      <c r="J100" s="15"/>
      <c r="K100" s="15"/>
      <c r="L100" s="15"/>
      <c r="M100" s="15"/>
      <c r="N100" s="15"/>
      <c r="O100" s="17"/>
      <c r="P100" s="17"/>
      <c r="Q100" s="15"/>
    </row>
    <row r="101" spans="2:17" s="14" customFormat="1" ht="9">
      <c r="B101" s="15"/>
      <c r="C101" s="15"/>
      <c r="D101" s="15"/>
      <c r="E101" s="15"/>
      <c r="F101" s="15"/>
      <c r="G101" s="15"/>
      <c r="H101" s="15"/>
      <c r="I101" s="16"/>
      <c r="J101" s="15"/>
      <c r="K101" s="15"/>
      <c r="L101" s="15"/>
      <c r="M101" s="15"/>
      <c r="N101" s="15"/>
      <c r="O101" s="17"/>
      <c r="P101" s="17"/>
      <c r="Q101" s="15"/>
    </row>
    <row r="102" spans="2:17" s="14" customFormat="1" ht="9">
      <c r="B102" s="15"/>
      <c r="C102" s="15"/>
      <c r="D102" s="15"/>
      <c r="E102" s="15"/>
      <c r="F102" s="15"/>
      <c r="G102" s="15"/>
      <c r="H102" s="15"/>
      <c r="I102" s="16"/>
      <c r="J102" s="15"/>
      <c r="K102" s="15"/>
      <c r="L102" s="15"/>
      <c r="M102" s="15"/>
      <c r="N102" s="15"/>
      <c r="O102" s="17"/>
      <c r="P102" s="17"/>
      <c r="Q102" s="15"/>
    </row>
    <row r="103" spans="2:17" s="14" customFormat="1" ht="9">
      <c r="B103" s="15"/>
      <c r="C103" s="15"/>
      <c r="D103" s="15"/>
      <c r="E103" s="15"/>
      <c r="F103" s="15"/>
      <c r="G103" s="15"/>
      <c r="H103" s="15"/>
      <c r="I103" s="16"/>
      <c r="J103" s="15"/>
      <c r="K103" s="15"/>
      <c r="L103" s="15"/>
      <c r="M103" s="15"/>
      <c r="N103" s="15"/>
      <c r="O103" s="17"/>
      <c r="P103" s="17"/>
      <c r="Q103" s="15"/>
    </row>
    <row r="104" spans="2:17" s="14" customFormat="1" ht="9">
      <c r="B104" s="15"/>
      <c r="C104" s="15"/>
      <c r="D104" s="15"/>
      <c r="E104" s="15"/>
      <c r="F104" s="15"/>
      <c r="G104" s="15"/>
      <c r="H104" s="15"/>
      <c r="I104" s="16"/>
      <c r="J104" s="15"/>
      <c r="K104" s="15"/>
      <c r="L104" s="15"/>
      <c r="M104" s="15"/>
      <c r="N104" s="15"/>
      <c r="O104" s="17"/>
      <c r="P104" s="17"/>
      <c r="Q104" s="15"/>
    </row>
    <row r="105" spans="2:17" s="14" customFormat="1" ht="9">
      <c r="B105" s="15"/>
      <c r="C105" s="15"/>
      <c r="D105" s="15"/>
      <c r="E105" s="15"/>
      <c r="F105" s="15"/>
      <c r="G105" s="15"/>
      <c r="H105" s="15"/>
      <c r="I105" s="16"/>
      <c r="J105" s="15"/>
      <c r="K105" s="15"/>
      <c r="L105" s="15"/>
      <c r="M105" s="15"/>
      <c r="N105" s="15"/>
      <c r="O105" s="17"/>
      <c r="P105" s="17"/>
      <c r="Q105" s="15"/>
    </row>
    <row r="106" spans="2:17" s="14" customFormat="1" ht="9">
      <c r="B106" s="15"/>
      <c r="C106" s="15"/>
      <c r="D106" s="15"/>
      <c r="E106" s="15"/>
      <c r="F106" s="15"/>
      <c r="G106" s="15"/>
      <c r="H106" s="15"/>
      <c r="I106" s="16"/>
      <c r="J106" s="15"/>
      <c r="K106" s="15"/>
      <c r="L106" s="15"/>
      <c r="M106" s="15"/>
      <c r="N106" s="15"/>
      <c r="O106" s="17"/>
      <c r="P106" s="17"/>
      <c r="Q106" s="15"/>
    </row>
    <row r="107" spans="2:17" s="14" customFormat="1" ht="9">
      <c r="B107" s="15"/>
      <c r="C107" s="15"/>
      <c r="D107" s="15"/>
      <c r="E107" s="15"/>
      <c r="F107" s="15"/>
      <c r="G107" s="15"/>
      <c r="H107" s="15"/>
      <c r="I107" s="16"/>
      <c r="J107" s="15"/>
      <c r="K107" s="15"/>
      <c r="L107" s="15"/>
      <c r="M107" s="15"/>
      <c r="N107" s="15"/>
      <c r="O107" s="17"/>
      <c r="P107" s="17"/>
      <c r="Q107" s="15"/>
    </row>
    <row r="108" spans="2:17" s="14" customFormat="1" ht="9">
      <c r="B108" s="15"/>
      <c r="C108" s="15"/>
      <c r="D108" s="15"/>
      <c r="E108" s="15"/>
      <c r="F108" s="15"/>
      <c r="G108" s="15"/>
      <c r="H108" s="15"/>
      <c r="I108" s="16"/>
      <c r="J108" s="15"/>
      <c r="K108" s="15"/>
      <c r="L108" s="15"/>
      <c r="M108" s="15"/>
      <c r="N108" s="15"/>
      <c r="O108" s="17"/>
      <c r="P108" s="17"/>
      <c r="Q108" s="15"/>
    </row>
    <row r="109" spans="2:17" s="14" customFormat="1" ht="9">
      <c r="B109" s="15"/>
      <c r="C109" s="15"/>
      <c r="D109" s="15"/>
      <c r="E109" s="15"/>
      <c r="F109" s="15"/>
      <c r="G109" s="15"/>
      <c r="H109" s="15"/>
      <c r="I109" s="16"/>
      <c r="J109" s="15"/>
      <c r="K109" s="15"/>
      <c r="L109" s="15"/>
      <c r="M109" s="15"/>
      <c r="N109" s="15"/>
      <c r="O109" s="17"/>
      <c r="P109" s="17"/>
      <c r="Q109" s="15"/>
    </row>
    <row r="110" spans="2:17" s="14" customFormat="1" ht="9">
      <c r="B110" s="15"/>
      <c r="C110" s="15"/>
      <c r="D110" s="15"/>
      <c r="E110" s="15"/>
      <c r="F110" s="15"/>
      <c r="G110" s="15"/>
      <c r="H110" s="15"/>
      <c r="I110" s="16"/>
      <c r="J110" s="15"/>
      <c r="K110" s="15"/>
      <c r="L110" s="15"/>
      <c r="M110" s="15"/>
      <c r="N110" s="15"/>
      <c r="O110" s="17"/>
      <c r="P110" s="17"/>
      <c r="Q110" s="15"/>
    </row>
    <row r="111" spans="2:17" s="14" customFormat="1" ht="9">
      <c r="B111" s="15"/>
      <c r="C111" s="15"/>
      <c r="D111" s="15"/>
      <c r="E111" s="15"/>
      <c r="F111" s="15"/>
      <c r="G111" s="15"/>
      <c r="H111" s="15"/>
      <c r="I111" s="16"/>
      <c r="J111" s="15"/>
      <c r="K111" s="15"/>
      <c r="L111" s="15"/>
      <c r="M111" s="15"/>
      <c r="N111" s="15"/>
      <c r="O111" s="17"/>
      <c r="P111" s="17"/>
      <c r="Q111" s="15"/>
    </row>
    <row r="112" spans="2:17" s="14" customFormat="1" ht="9">
      <c r="B112" s="15"/>
      <c r="C112" s="15"/>
      <c r="D112" s="15"/>
      <c r="E112" s="15"/>
      <c r="F112" s="15"/>
      <c r="G112" s="15"/>
      <c r="H112" s="15"/>
      <c r="I112" s="16"/>
      <c r="J112" s="15"/>
      <c r="K112" s="15"/>
      <c r="L112" s="15"/>
      <c r="M112" s="15"/>
      <c r="N112" s="15"/>
      <c r="O112" s="17"/>
      <c r="P112" s="17"/>
      <c r="Q112" s="15"/>
    </row>
    <row r="113" spans="2:17" s="14" customFormat="1" ht="9">
      <c r="B113" s="15"/>
      <c r="C113" s="15"/>
      <c r="D113" s="15"/>
      <c r="E113" s="15"/>
      <c r="F113" s="15"/>
      <c r="G113" s="15"/>
      <c r="H113" s="15"/>
      <c r="I113" s="16"/>
      <c r="J113" s="15"/>
      <c r="K113" s="15"/>
      <c r="L113" s="15"/>
      <c r="M113" s="15"/>
      <c r="N113" s="15"/>
      <c r="O113" s="17"/>
      <c r="P113" s="17"/>
      <c r="Q113" s="15"/>
    </row>
    <row r="114" spans="2:17" s="14" customFormat="1" ht="9">
      <c r="B114" s="15"/>
      <c r="C114" s="15"/>
      <c r="D114" s="15"/>
      <c r="E114" s="15"/>
      <c r="F114" s="15"/>
      <c r="G114" s="15"/>
      <c r="H114" s="15"/>
      <c r="I114" s="16"/>
      <c r="J114" s="15"/>
      <c r="K114" s="15"/>
      <c r="L114" s="15"/>
      <c r="M114" s="15"/>
      <c r="N114" s="15"/>
      <c r="O114" s="17"/>
      <c r="P114" s="17"/>
      <c r="Q114" s="15"/>
    </row>
    <row r="115" spans="2:17" s="14" customFormat="1" ht="9">
      <c r="B115" s="15"/>
      <c r="C115" s="15"/>
      <c r="D115" s="15"/>
      <c r="E115" s="15"/>
      <c r="F115" s="15"/>
      <c r="G115" s="15"/>
      <c r="H115" s="15"/>
      <c r="I115" s="16"/>
      <c r="J115" s="15"/>
      <c r="K115" s="15"/>
      <c r="L115" s="15"/>
      <c r="M115" s="15"/>
      <c r="N115" s="15"/>
      <c r="O115" s="17"/>
      <c r="P115" s="17"/>
      <c r="Q115" s="15"/>
    </row>
    <row r="116" spans="2:17" s="14" customFormat="1" ht="9">
      <c r="B116" s="15"/>
      <c r="C116" s="15"/>
      <c r="D116" s="15"/>
      <c r="E116" s="15"/>
      <c r="F116" s="15"/>
      <c r="G116" s="15"/>
      <c r="H116" s="15"/>
      <c r="I116" s="16"/>
      <c r="J116" s="15"/>
      <c r="K116" s="15"/>
      <c r="L116" s="15"/>
      <c r="M116" s="15"/>
      <c r="N116" s="15"/>
      <c r="O116" s="17"/>
      <c r="P116" s="17"/>
      <c r="Q116" s="15"/>
    </row>
    <row r="117" spans="2:17" s="14" customFormat="1" ht="9">
      <c r="B117" s="15"/>
      <c r="C117" s="15"/>
      <c r="D117" s="15"/>
      <c r="E117" s="15"/>
      <c r="F117" s="15"/>
      <c r="G117" s="15"/>
      <c r="H117" s="15"/>
      <c r="I117" s="16"/>
      <c r="J117" s="15"/>
      <c r="K117" s="15"/>
      <c r="L117" s="15"/>
      <c r="M117" s="15"/>
      <c r="N117" s="15"/>
      <c r="O117" s="17"/>
      <c r="P117" s="17"/>
      <c r="Q117" s="15"/>
    </row>
    <row r="118" spans="2:17" s="14" customFormat="1" ht="9">
      <c r="B118" s="15"/>
      <c r="C118" s="15"/>
      <c r="D118" s="15"/>
      <c r="E118" s="15"/>
      <c r="F118" s="15"/>
      <c r="G118" s="15"/>
      <c r="H118" s="15"/>
      <c r="I118" s="16"/>
      <c r="J118" s="15"/>
      <c r="K118" s="15"/>
      <c r="L118" s="15"/>
      <c r="M118" s="15"/>
      <c r="N118" s="15"/>
      <c r="O118" s="17"/>
      <c r="P118" s="17"/>
      <c r="Q118" s="15"/>
    </row>
    <row r="119" spans="2:17" s="14" customFormat="1" ht="9">
      <c r="B119" s="15"/>
      <c r="C119" s="15"/>
      <c r="D119" s="15"/>
      <c r="E119" s="15"/>
      <c r="F119" s="15"/>
      <c r="G119" s="15"/>
      <c r="H119" s="15"/>
      <c r="I119" s="16"/>
      <c r="J119" s="15"/>
      <c r="K119" s="15"/>
      <c r="L119" s="15"/>
      <c r="M119" s="15"/>
      <c r="N119" s="15"/>
      <c r="O119" s="17"/>
      <c r="P119" s="17"/>
      <c r="Q119" s="15"/>
    </row>
    <row r="120" spans="2:17" s="14" customFormat="1" ht="9">
      <c r="B120" s="15"/>
      <c r="C120" s="15"/>
      <c r="D120" s="15"/>
      <c r="E120" s="15"/>
      <c r="F120" s="15"/>
      <c r="G120" s="15"/>
      <c r="H120" s="15"/>
      <c r="I120" s="16"/>
      <c r="J120" s="15"/>
      <c r="K120" s="15"/>
      <c r="L120" s="15"/>
      <c r="M120" s="15"/>
      <c r="N120" s="15"/>
      <c r="O120" s="17"/>
      <c r="P120" s="17"/>
      <c r="Q120" s="15"/>
    </row>
    <row r="121" spans="2:17" s="14" customFormat="1" ht="9">
      <c r="B121" s="15"/>
      <c r="C121" s="15"/>
      <c r="D121" s="15"/>
      <c r="E121" s="15"/>
      <c r="F121" s="15"/>
      <c r="G121" s="15"/>
      <c r="H121" s="15"/>
      <c r="I121" s="16"/>
      <c r="J121" s="15"/>
      <c r="K121" s="15"/>
      <c r="L121" s="15"/>
      <c r="M121" s="15"/>
      <c r="N121" s="15"/>
      <c r="O121" s="17"/>
      <c r="P121" s="17"/>
      <c r="Q121" s="15"/>
    </row>
    <row r="122" spans="2:17">
      <c r="P122" s="17"/>
    </row>
    <row r="123" spans="2:17">
      <c r="P123" s="17"/>
    </row>
  </sheetData>
  <mergeCells count="7">
    <mergeCell ref="A78:O78"/>
    <mergeCell ref="A74:M74"/>
    <mergeCell ref="A1:Q1"/>
    <mergeCell ref="A2:Q2"/>
    <mergeCell ref="A72:Q72"/>
    <mergeCell ref="A70:O70"/>
    <mergeCell ref="A71:O71"/>
  </mergeCells>
  <phoneticPr fontId="7" type="noConversion"/>
  <pageMargins left="0.25" right="0.25" top="0.5" bottom="0.75" header="0.5" footer="0.5"/>
  <pageSetup scale="54" orientation="landscape" r:id="rId1"/>
  <headerFooter alignWithMargins="0"/>
</worksheet>
</file>

<file path=xl/worksheets/sheet15.xml><?xml version="1.0" encoding="utf-8"?>
<worksheet xmlns="http://schemas.openxmlformats.org/spreadsheetml/2006/main" xmlns:r="http://schemas.openxmlformats.org/officeDocument/2006/relationships">
  <sheetPr>
    <pageSetUpPr fitToPage="1"/>
  </sheetPr>
  <dimension ref="A1:S132"/>
  <sheetViews>
    <sheetView zoomScaleNormal="100" workbookViewId="0">
      <pane xSplit="1" ySplit="3" topLeftCell="B40" activePane="bottomRight" state="frozen"/>
      <selection activeCell="P31" sqref="P31"/>
      <selection pane="topRight" activeCell="P31" sqref="P31"/>
      <selection pane="bottomLeft" activeCell="P31" sqref="P31"/>
      <selection pane="bottomRight" activeCell="A85" sqref="A85"/>
    </sheetView>
  </sheetViews>
  <sheetFormatPr defaultRowHeight="11.25"/>
  <cols>
    <col min="1" max="1" width="37.42578125" style="1" customWidth="1"/>
    <col min="2" max="2" width="8.85546875" style="7" bestFit="1" customWidth="1"/>
    <col min="3" max="3" width="8" style="7" hidden="1" customWidth="1"/>
    <col min="4" max="4" width="8.42578125" style="7" bestFit="1" customWidth="1"/>
    <col min="5" max="5" width="8.85546875" style="7" bestFit="1" customWidth="1"/>
    <col min="6" max="6" width="7.85546875" style="7" customWidth="1"/>
    <col min="7" max="7" width="9.28515625" style="7" bestFit="1" customWidth="1"/>
    <col min="8" max="8" width="8.28515625" style="7" customWidth="1"/>
    <col min="9" max="9" width="9.42578125" style="11" bestFit="1" customWidth="1"/>
    <col min="10" max="11" width="6.85546875" style="7" bestFit="1" customWidth="1"/>
    <col min="12" max="12" width="8.85546875" style="7" customWidth="1"/>
    <col min="13" max="13" width="7.85546875" style="7" hidden="1" customWidth="1"/>
    <col min="14" max="14" width="10.140625" style="7" customWidth="1"/>
    <col min="15" max="15" width="10.140625" style="8" bestFit="1" customWidth="1"/>
    <col min="16" max="16" width="10" style="8" bestFit="1" customWidth="1"/>
    <col min="17" max="17" width="3.7109375" style="7" customWidth="1"/>
    <col min="18" max="19" width="9.140625" style="1" hidden="1" customWidth="1"/>
    <col min="20" max="16384" width="9.140625" style="1"/>
  </cols>
  <sheetData>
    <row r="1" spans="1:19">
      <c r="A1" s="410" t="s">
        <v>184</v>
      </c>
      <c r="B1" s="410"/>
      <c r="C1" s="410"/>
      <c r="D1" s="410"/>
      <c r="E1" s="410"/>
      <c r="F1" s="410"/>
      <c r="G1" s="410"/>
      <c r="H1" s="410"/>
      <c r="I1" s="410"/>
      <c r="J1" s="410"/>
      <c r="K1" s="410"/>
      <c r="L1" s="410"/>
      <c r="M1" s="410"/>
      <c r="N1" s="410"/>
      <c r="O1" s="410"/>
      <c r="P1" s="410"/>
      <c r="Q1" s="410"/>
    </row>
    <row r="2" spans="1:19">
      <c r="A2" s="411" t="s">
        <v>100</v>
      </c>
      <c r="B2" s="411"/>
      <c r="C2" s="411"/>
      <c r="D2" s="411"/>
      <c r="E2" s="411"/>
      <c r="F2" s="411"/>
      <c r="G2" s="411"/>
      <c r="H2" s="411"/>
      <c r="I2" s="411"/>
      <c r="J2" s="411"/>
      <c r="K2" s="411"/>
      <c r="L2" s="411"/>
      <c r="M2" s="411"/>
      <c r="N2" s="411"/>
      <c r="O2" s="411"/>
      <c r="P2" s="411"/>
      <c r="Q2" s="411"/>
    </row>
    <row r="3" spans="1:19" s="3" customFormat="1" ht="63">
      <c r="A3" s="45" t="s">
        <v>392</v>
      </c>
      <c r="B3" s="45" t="s">
        <v>393</v>
      </c>
      <c r="C3" s="45" t="s">
        <v>430</v>
      </c>
      <c r="D3" s="45" t="s">
        <v>4</v>
      </c>
      <c r="E3" s="45" t="s">
        <v>6</v>
      </c>
      <c r="F3" s="45" t="s">
        <v>5</v>
      </c>
      <c r="G3" s="45" t="s">
        <v>176</v>
      </c>
      <c r="H3" s="45" t="s">
        <v>459</v>
      </c>
      <c r="I3" s="60" t="s">
        <v>460</v>
      </c>
      <c r="J3" s="100" t="s">
        <v>462</v>
      </c>
      <c r="K3" s="100" t="s">
        <v>463</v>
      </c>
      <c r="L3" s="100" t="s">
        <v>461</v>
      </c>
      <c r="M3" s="45" t="s">
        <v>391</v>
      </c>
      <c r="N3" s="45" t="s">
        <v>8</v>
      </c>
      <c r="O3" s="100" t="s">
        <v>9</v>
      </c>
      <c r="P3" s="100" t="s">
        <v>175</v>
      </c>
      <c r="Q3" s="182" t="s">
        <v>394</v>
      </c>
      <c r="R3" s="3" t="s">
        <v>307</v>
      </c>
      <c r="S3" s="3" t="s">
        <v>308</v>
      </c>
    </row>
    <row r="4" spans="1:19" s="6" customFormat="1" ht="9">
      <c r="A4" s="178" t="s">
        <v>405</v>
      </c>
      <c r="B4" s="179" t="s">
        <v>433</v>
      </c>
      <c r="C4" s="179"/>
      <c r="D4" s="181"/>
      <c r="E4" s="181"/>
      <c r="F4" s="181"/>
      <c r="G4" s="179"/>
      <c r="H4" s="179"/>
      <c r="I4" s="183"/>
      <c r="J4" s="183"/>
      <c r="K4" s="183"/>
      <c r="L4" s="183"/>
      <c r="M4" s="179"/>
      <c r="N4" s="181"/>
      <c r="O4" s="181"/>
      <c r="P4" s="181"/>
      <c r="Q4" s="249"/>
    </row>
    <row r="5" spans="1:19" s="6" customFormat="1" ht="9">
      <c r="A5" s="142" t="s">
        <v>406</v>
      </c>
      <c r="B5" s="44" t="s">
        <v>433</v>
      </c>
      <c r="C5" s="44"/>
      <c r="D5" s="52"/>
      <c r="E5" s="52"/>
      <c r="F5" s="52"/>
      <c r="G5" s="44"/>
      <c r="H5" s="44"/>
      <c r="I5" s="92"/>
      <c r="J5" s="92"/>
      <c r="K5" s="92"/>
      <c r="L5" s="92"/>
      <c r="M5" s="44"/>
      <c r="N5" s="52"/>
      <c r="O5" s="52"/>
      <c r="P5" s="52"/>
      <c r="Q5" s="94"/>
    </row>
    <row r="6" spans="1:19" s="6" customFormat="1" ht="9">
      <c r="A6" s="142" t="s">
        <v>407</v>
      </c>
      <c r="B6" s="44"/>
      <c r="C6" s="44"/>
      <c r="D6" s="52"/>
      <c r="E6" s="52"/>
      <c r="F6" s="52"/>
      <c r="G6" s="44"/>
      <c r="H6" s="44"/>
      <c r="I6" s="92"/>
      <c r="J6" s="92"/>
      <c r="K6" s="92"/>
      <c r="L6" s="92"/>
      <c r="M6" s="44"/>
      <c r="N6" s="52"/>
      <c r="O6" s="52"/>
      <c r="P6" s="52"/>
      <c r="Q6" s="94"/>
    </row>
    <row r="7" spans="1:19" s="6" customFormat="1" ht="9">
      <c r="A7" s="143" t="s">
        <v>408</v>
      </c>
      <c r="B7" s="44">
        <v>40</v>
      </c>
      <c r="C7" s="44"/>
      <c r="D7" s="52">
        <v>0</v>
      </c>
      <c r="E7" s="52">
        <v>0</v>
      </c>
      <c r="F7" s="52">
        <v>0</v>
      </c>
      <c r="G7" s="44">
        <v>1</v>
      </c>
      <c r="H7" s="44">
        <f>B7*G7</f>
        <v>40</v>
      </c>
      <c r="I7" s="91">
        <f>ROUND(SUM('Base Data'!$H$28:$H$30,'Base Data'!$H$33:$H$35,'Base Data'!$H$38:$H$40),0)</f>
        <v>529</v>
      </c>
      <c r="J7" s="92">
        <f>H7*I7</f>
        <v>21160</v>
      </c>
      <c r="K7" s="92">
        <f>J7*0.1</f>
        <v>2116</v>
      </c>
      <c r="L7" s="91">
        <f>J7*0.05</f>
        <v>1058</v>
      </c>
      <c r="M7" s="44">
        <f>C7*G7*I7</f>
        <v>0</v>
      </c>
      <c r="N7" s="52">
        <f>(J7*'Base Data'!$C$5)+(K7*'Base Data'!$C$6)+(L7*'Base Data'!$C$7)</f>
        <v>2301731.9</v>
      </c>
      <c r="O7" s="52">
        <f>(D7+E7+F7)*G7*I7</f>
        <v>0</v>
      </c>
      <c r="P7" s="92">
        <v>0</v>
      </c>
      <c r="Q7" s="94" t="s">
        <v>387</v>
      </c>
    </row>
    <row r="8" spans="1:19" s="6" customFormat="1" ht="9">
      <c r="A8" s="142" t="s">
        <v>409</v>
      </c>
      <c r="B8" s="44"/>
      <c r="C8" s="44"/>
      <c r="D8" s="52"/>
      <c r="E8" s="52"/>
      <c r="F8" s="52"/>
      <c r="G8" s="44"/>
      <c r="H8" s="44"/>
      <c r="I8" s="92"/>
      <c r="J8" s="92"/>
      <c r="K8" s="92"/>
      <c r="L8" s="92"/>
      <c r="M8" s="44"/>
      <c r="N8" s="52"/>
      <c r="O8" s="52"/>
      <c r="P8" s="92"/>
      <c r="Q8" s="94"/>
    </row>
    <row r="9" spans="1:19" s="6" customFormat="1" ht="9">
      <c r="A9" s="143" t="s">
        <v>423</v>
      </c>
      <c r="B9" s="44"/>
      <c r="C9" s="44"/>
      <c r="D9" s="95"/>
      <c r="E9" s="52"/>
      <c r="F9" s="52"/>
      <c r="G9" s="44"/>
      <c r="H9" s="44"/>
      <c r="I9" s="91"/>
      <c r="J9" s="92"/>
      <c r="K9" s="92"/>
      <c r="L9" s="92"/>
      <c r="M9" s="93"/>
      <c r="N9" s="52"/>
      <c r="O9" s="52"/>
      <c r="P9" s="92"/>
      <c r="Q9" s="94"/>
    </row>
    <row r="10" spans="1:19" s="6" customFormat="1" ht="9">
      <c r="A10" s="142" t="s">
        <v>274</v>
      </c>
      <c r="B10" s="44">
        <v>20</v>
      </c>
      <c r="C10" s="44"/>
      <c r="D10" s="52">
        <v>854</v>
      </c>
      <c r="E10" s="52">
        <v>0</v>
      </c>
      <c r="F10" s="52">
        <v>0</v>
      </c>
      <c r="G10" s="44">
        <v>1</v>
      </c>
      <c r="H10" s="44">
        <f>B10*G10</f>
        <v>20</v>
      </c>
      <c r="I10" s="91">
        <v>0</v>
      </c>
      <c r="J10" s="92">
        <f>H10*I10</f>
        <v>0</v>
      </c>
      <c r="K10" s="92">
        <f t="shared" ref="K10:K24" si="0">J10*0.1</f>
        <v>0</v>
      </c>
      <c r="L10" s="92">
        <f>J10*0.05</f>
        <v>0</v>
      </c>
      <c r="M10" s="93">
        <f>C10*G10*I10</f>
        <v>0</v>
      </c>
      <c r="N10" s="52">
        <f>(J10*'Base Data'!$C$5)+(K10*'Base Data'!$C$6)+(L10*'Base Data'!$C$7)</f>
        <v>0</v>
      </c>
      <c r="O10" s="52">
        <f>(D10+E10+F10)*G10*I10</f>
        <v>0</v>
      </c>
      <c r="P10" s="92">
        <v>0</v>
      </c>
      <c r="Q10" s="94" t="s">
        <v>440</v>
      </c>
    </row>
    <row r="11" spans="1:19" s="6" customFormat="1" ht="9">
      <c r="A11" s="142" t="s">
        <v>276</v>
      </c>
      <c r="B11" s="44">
        <v>20</v>
      </c>
      <c r="C11" s="44"/>
      <c r="D11" s="52">
        <v>18292</v>
      </c>
      <c r="E11" s="52">
        <v>0</v>
      </c>
      <c r="F11" s="52">
        <v>0</v>
      </c>
      <c r="G11" s="44">
        <v>1</v>
      </c>
      <c r="H11" s="44">
        <f>B11*G11</f>
        <v>20</v>
      </c>
      <c r="I11" s="91">
        <v>0</v>
      </c>
      <c r="J11" s="92">
        <f>H11*I11</f>
        <v>0</v>
      </c>
      <c r="K11" s="92">
        <f t="shared" si="0"/>
        <v>0</v>
      </c>
      <c r="L11" s="92">
        <f>J11*0.05</f>
        <v>0</v>
      </c>
      <c r="M11" s="93">
        <f>C11*G11*I11</f>
        <v>0</v>
      </c>
      <c r="N11" s="52">
        <f>(J11*'Base Data'!$C$5)+(K11*'Base Data'!$C$6)+(L11*'Base Data'!$C$7)</f>
        <v>0</v>
      </c>
      <c r="O11" s="52">
        <f>(D11+E11+F11)*G11*I11</f>
        <v>0</v>
      </c>
      <c r="P11" s="92">
        <v>0</v>
      </c>
      <c r="Q11" s="94" t="s">
        <v>440</v>
      </c>
    </row>
    <row r="12" spans="1:19" s="6" customFormat="1" ht="9">
      <c r="A12" s="143" t="s">
        <v>357</v>
      </c>
      <c r="B12" s="44">
        <v>12</v>
      </c>
      <c r="C12" s="44"/>
      <c r="D12" s="52">
        <v>0</v>
      </c>
      <c r="E12" s="52">
        <f>'Testing Costs'!$B$13</f>
        <v>5000</v>
      </c>
      <c r="F12" s="52">
        <v>0</v>
      </c>
      <c r="G12" s="44">
        <v>1</v>
      </c>
      <c r="H12" s="44">
        <f t="shared" ref="H12:H24" si="1">B12*G12</f>
        <v>12</v>
      </c>
      <c r="I12" s="91">
        <v>0</v>
      </c>
      <c r="J12" s="92">
        <f t="shared" ref="J12:J24" si="2">H12*I12</f>
        <v>0</v>
      </c>
      <c r="K12" s="92">
        <f t="shared" si="0"/>
        <v>0</v>
      </c>
      <c r="L12" s="92">
        <f t="shared" ref="L12:L24" si="3">J12*0.05</f>
        <v>0</v>
      </c>
      <c r="M12" s="93"/>
      <c r="N12" s="52">
        <f>(J12*'Base Data'!$C$5)+(K12*'Base Data'!$C$6)+(L12*'Base Data'!$C$7)</f>
        <v>0</v>
      </c>
      <c r="O12" s="52">
        <f t="shared" ref="O12:O24" si="4">(D12+E12+F12)*G12*I12</f>
        <v>0</v>
      </c>
      <c r="P12" s="92">
        <v>0</v>
      </c>
      <c r="Q12" s="94" t="s">
        <v>257</v>
      </c>
    </row>
    <row r="13" spans="1:19" s="6" customFormat="1" ht="9">
      <c r="A13" s="143" t="s">
        <v>358</v>
      </c>
      <c r="B13" s="44">
        <v>12</v>
      </c>
      <c r="C13" s="44"/>
      <c r="D13" s="52">
        <v>0</v>
      </c>
      <c r="E13" s="52">
        <f>'Testing Costs'!$B$17</f>
        <v>8000</v>
      </c>
      <c r="F13" s="52">
        <v>0</v>
      </c>
      <c r="G13" s="44">
        <v>1</v>
      </c>
      <c r="H13" s="44">
        <f t="shared" si="1"/>
        <v>12</v>
      </c>
      <c r="I13" s="91">
        <v>0</v>
      </c>
      <c r="J13" s="92">
        <f t="shared" si="2"/>
        <v>0</v>
      </c>
      <c r="K13" s="92">
        <f t="shared" si="0"/>
        <v>0</v>
      </c>
      <c r="L13" s="92">
        <f t="shared" si="3"/>
        <v>0</v>
      </c>
      <c r="M13" s="93"/>
      <c r="N13" s="52">
        <f>(J13*'Base Data'!$C$5)+(K13*'Base Data'!$C$6)+(L13*'Base Data'!$C$7)</f>
        <v>0</v>
      </c>
      <c r="O13" s="52">
        <f t="shared" si="4"/>
        <v>0</v>
      </c>
      <c r="P13" s="92">
        <v>0</v>
      </c>
      <c r="Q13" s="94" t="s">
        <v>257</v>
      </c>
    </row>
    <row r="14" spans="1:19" s="6" customFormat="1" ht="9">
      <c r="A14" s="143" t="s">
        <v>359</v>
      </c>
      <c r="B14" s="44">
        <v>12</v>
      </c>
      <c r="C14" s="44"/>
      <c r="D14" s="52">
        <v>0</v>
      </c>
      <c r="E14" s="52">
        <f>'Testing Costs'!$B$15</f>
        <v>8000</v>
      </c>
      <c r="F14" s="52">
        <v>0</v>
      </c>
      <c r="G14" s="44">
        <v>1</v>
      </c>
      <c r="H14" s="44">
        <f t="shared" si="1"/>
        <v>12</v>
      </c>
      <c r="I14" s="91">
        <v>0</v>
      </c>
      <c r="J14" s="92">
        <f t="shared" si="2"/>
        <v>0</v>
      </c>
      <c r="K14" s="92">
        <f t="shared" si="0"/>
        <v>0</v>
      </c>
      <c r="L14" s="92">
        <f t="shared" si="3"/>
        <v>0</v>
      </c>
      <c r="M14" s="93"/>
      <c r="N14" s="52">
        <f>(J14*'Base Data'!$C$5)+(K14*'Base Data'!$C$6)+(L14*'Base Data'!$C$7)</f>
        <v>0</v>
      </c>
      <c r="O14" s="52">
        <f t="shared" si="4"/>
        <v>0</v>
      </c>
      <c r="P14" s="92">
        <v>0</v>
      </c>
      <c r="Q14" s="94" t="s">
        <v>257</v>
      </c>
    </row>
    <row r="15" spans="1:19" s="6" customFormat="1" ht="9">
      <c r="A15" s="143" t="s">
        <v>198</v>
      </c>
      <c r="B15" s="44">
        <v>12</v>
      </c>
      <c r="C15" s="44"/>
      <c r="D15" s="52">
        <v>0</v>
      </c>
      <c r="E15" s="52">
        <f>'Testing Costs'!$B$14</f>
        <v>7000</v>
      </c>
      <c r="F15" s="52">
        <v>0</v>
      </c>
      <c r="G15" s="44">
        <v>1</v>
      </c>
      <c r="H15" s="44">
        <f t="shared" si="1"/>
        <v>12</v>
      </c>
      <c r="I15" s="91">
        <v>0</v>
      </c>
      <c r="J15" s="92">
        <f t="shared" si="2"/>
        <v>0</v>
      </c>
      <c r="K15" s="92">
        <f t="shared" si="0"/>
        <v>0</v>
      </c>
      <c r="L15" s="92">
        <f t="shared" si="3"/>
        <v>0</v>
      </c>
      <c r="M15" s="93"/>
      <c r="N15" s="52">
        <f>(J15*'Base Data'!$C$5)+(K15*'Base Data'!$C$6)+(L15*'Base Data'!$C$7)</f>
        <v>0</v>
      </c>
      <c r="O15" s="52">
        <f t="shared" si="4"/>
        <v>0</v>
      </c>
      <c r="P15" s="92">
        <v>0</v>
      </c>
      <c r="Q15" s="94" t="s">
        <v>257</v>
      </c>
    </row>
    <row r="16" spans="1:19" s="6" customFormat="1" ht="9">
      <c r="A16" s="143" t="s">
        <v>365</v>
      </c>
      <c r="B16" s="44">
        <v>12</v>
      </c>
      <c r="C16" s="44"/>
      <c r="D16" s="52">
        <v>0</v>
      </c>
      <c r="E16" s="52">
        <f>'Testing Costs'!$B$16</f>
        <v>16000</v>
      </c>
      <c r="F16" s="52">
        <v>0</v>
      </c>
      <c r="G16" s="44">
        <v>1</v>
      </c>
      <c r="H16" s="44">
        <f t="shared" si="1"/>
        <v>12</v>
      </c>
      <c r="I16" s="91">
        <v>0</v>
      </c>
      <c r="J16" s="92">
        <f t="shared" si="2"/>
        <v>0</v>
      </c>
      <c r="K16" s="92">
        <f t="shared" si="0"/>
        <v>0</v>
      </c>
      <c r="L16" s="92">
        <f t="shared" si="3"/>
        <v>0</v>
      </c>
      <c r="M16" s="93"/>
      <c r="N16" s="52">
        <f>(J16*'Base Data'!$C$5)+(K16*'Base Data'!$C$6)+(L16*'Base Data'!$C$7)</f>
        <v>0</v>
      </c>
      <c r="O16" s="52">
        <f t="shared" si="4"/>
        <v>0</v>
      </c>
      <c r="P16" s="92">
        <v>0</v>
      </c>
      <c r="Q16" s="94" t="s">
        <v>257</v>
      </c>
    </row>
    <row r="17" spans="1:17" s="6" customFormat="1" ht="9" customHeight="1">
      <c r="A17" s="143" t="s">
        <v>264</v>
      </c>
      <c r="B17" s="44">
        <v>12</v>
      </c>
      <c r="C17" s="44"/>
      <c r="D17" s="52">
        <v>0</v>
      </c>
      <c r="E17" s="52">
        <f>'Testing Costs'!$B$13</f>
        <v>5000</v>
      </c>
      <c r="F17" s="52">
        <v>0</v>
      </c>
      <c r="G17" s="44">
        <v>1</v>
      </c>
      <c r="H17" s="44">
        <f t="shared" si="1"/>
        <v>12</v>
      </c>
      <c r="I17" s="91">
        <v>0</v>
      </c>
      <c r="J17" s="92">
        <f t="shared" si="2"/>
        <v>0</v>
      </c>
      <c r="K17" s="92">
        <f t="shared" si="0"/>
        <v>0</v>
      </c>
      <c r="L17" s="92">
        <f t="shared" si="3"/>
        <v>0</v>
      </c>
      <c r="M17" s="93"/>
      <c r="N17" s="52">
        <f>(J17*'Base Data'!$C$5)+(K17*'Base Data'!$C$6)+(L17*'Base Data'!$C$7)</f>
        <v>0</v>
      </c>
      <c r="O17" s="52">
        <f t="shared" si="4"/>
        <v>0</v>
      </c>
      <c r="P17" s="92">
        <v>0</v>
      </c>
      <c r="Q17" s="94" t="s">
        <v>257</v>
      </c>
    </row>
    <row r="18" spans="1:17" s="6" customFormat="1" ht="9">
      <c r="A18" s="143" t="s">
        <v>265</v>
      </c>
      <c r="B18" s="44">
        <v>12</v>
      </c>
      <c r="C18" s="44"/>
      <c r="D18" s="52">
        <v>0</v>
      </c>
      <c r="E18" s="52">
        <f>'Testing Costs'!$B$17</f>
        <v>8000</v>
      </c>
      <c r="F18" s="52">
        <v>0</v>
      </c>
      <c r="G18" s="44">
        <v>1</v>
      </c>
      <c r="H18" s="44">
        <f t="shared" si="1"/>
        <v>12</v>
      </c>
      <c r="I18" s="91">
        <v>0</v>
      </c>
      <c r="J18" s="92">
        <f t="shared" si="2"/>
        <v>0</v>
      </c>
      <c r="K18" s="92">
        <f t="shared" si="0"/>
        <v>0</v>
      </c>
      <c r="L18" s="92">
        <f t="shared" si="3"/>
        <v>0</v>
      </c>
      <c r="M18" s="93"/>
      <c r="N18" s="52">
        <f>(J18*'Base Data'!$C$5)+(K18*'Base Data'!$C$6)+(L18*'Base Data'!$C$7)</f>
        <v>0</v>
      </c>
      <c r="O18" s="52">
        <f t="shared" si="4"/>
        <v>0</v>
      </c>
      <c r="P18" s="92">
        <v>0</v>
      </c>
      <c r="Q18" s="94" t="s">
        <v>257</v>
      </c>
    </row>
    <row r="19" spans="1:17" s="6" customFormat="1" ht="9">
      <c r="A19" s="143" t="s">
        <v>266</v>
      </c>
      <c r="B19" s="44">
        <v>12</v>
      </c>
      <c r="C19" s="44"/>
      <c r="D19" s="52">
        <v>0</v>
      </c>
      <c r="E19" s="52">
        <f>'Testing Costs'!$B$15</f>
        <v>8000</v>
      </c>
      <c r="F19" s="52">
        <v>0</v>
      </c>
      <c r="G19" s="44">
        <v>1</v>
      </c>
      <c r="H19" s="44">
        <f t="shared" si="1"/>
        <v>12</v>
      </c>
      <c r="I19" s="91">
        <v>0</v>
      </c>
      <c r="J19" s="92">
        <f t="shared" si="2"/>
        <v>0</v>
      </c>
      <c r="K19" s="92">
        <f t="shared" si="0"/>
        <v>0</v>
      </c>
      <c r="L19" s="92">
        <f t="shared" si="3"/>
        <v>0</v>
      </c>
      <c r="M19" s="93"/>
      <c r="N19" s="52">
        <f>(J19*'Base Data'!$C$5)+(K19*'Base Data'!$C$6)+(L19*'Base Data'!$C$7)</f>
        <v>0</v>
      </c>
      <c r="O19" s="52">
        <f t="shared" si="4"/>
        <v>0</v>
      </c>
      <c r="P19" s="92">
        <v>0</v>
      </c>
      <c r="Q19" s="94" t="s">
        <v>257</v>
      </c>
    </row>
    <row r="20" spans="1:17" s="6" customFormat="1" ht="9">
      <c r="A20" s="143" t="s">
        <v>199</v>
      </c>
      <c r="B20" s="44">
        <v>12</v>
      </c>
      <c r="C20" s="44"/>
      <c r="D20" s="52">
        <v>0</v>
      </c>
      <c r="E20" s="52">
        <f>'Testing Costs'!$B$14</f>
        <v>7000</v>
      </c>
      <c r="F20" s="52">
        <v>0</v>
      </c>
      <c r="G20" s="44">
        <v>1</v>
      </c>
      <c r="H20" s="44">
        <f t="shared" si="1"/>
        <v>12</v>
      </c>
      <c r="I20" s="91">
        <v>0</v>
      </c>
      <c r="J20" s="92">
        <f t="shared" si="2"/>
        <v>0</v>
      </c>
      <c r="K20" s="92">
        <f t="shared" si="0"/>
        <v>0</v>
      </c>
      <c r="L20" s="92">
        <f t="shared" si="3"/>
        <v>0</v>
      </c>
      <c r="M20" s="93"/>
      <c r="N20" s="52">
        <f>(J20*'Base Data'!$C$5)+(K20*'Base Data'!$C$6)+(L20*'Base Data'!$C$7)</f>
        <v>0</v>
      </c>
      <c r="O20" s="52">
        <f t="shared" si="4"/>
        <v>0</v>
      </c>
      <c r="P20" s="92">
        <v>0</v>
      </c>
      <c r="Q20" s="94" t="s">
        <v>257</v>
      </c>
    </row>
    <row r="21" spans="1:17" s="6" customFormat="1" ht="9">
      <c r="A21" s="143" t="s">
        <v>267</v>
      </c>
      <c r="B21" s="44">
        <v>12</v>
      </c>
      <c r="C21" s="44"/>
      <c r="D21" s="52">
        <v>0</v>
      </c>
      <c r="E21" s="52">
        <f>'Testing Costs'!$B$16</f>
        <v>16000</v>
      </c>
      <c r="F21" s="52">
        <v>0</v>
      </c>
      <c r="G21" s="44">
        <v>1</v>
      </c>
      <c r="H21" s="44">
        <f t="shared" si="1"/>
        <v>12</v>
      </c>
      <c r="I21" s="91">
        <v>0</v>
      </c>
      <c r="J21" s="92">
        <f t="shared" si="2"/>
        <v>0</v>
      </c>
      <c r="K21" s="92">
        <f t="shared" si="0"/>
        <v>0</v>
      </c>
      <c r="L21" s="92">
        <f t="shared" si="3"/>
        <v>0</v>
      </c>
      <c r="M21" s="93"/>
      <c r="N21" s="52">
        <f>(J21*'Base Data'!$C$5)+(K21*'Base Data'!$C$6)+(L21*'Base Data'!$C$7)</f>
        <v>0</v>
      </c>
      <c r="O21" s="52">
        <f t="shared" si="4"/>
        <v>0</v>
      </c>
      <c r="P21" s="92">
        <v>0</v>
      </c>
      <c r="Q21" s="94" t="s">
        <v>257</v>
      </c>
    </row>
    <row r="22" spans="1:17" s="6" customFormat="1" ht="18.75" customHeight="1">
      <c r="A22" s="332" t="s">
        <v>481</v>
      </c>
      <c r="B22" s="44">
        <v>24</v>
      </c>
      <c r="C22" s="331"/>
      <c r="D22" s="52">
        <v>0</v>
      </c>
      <c r="E22" s="52">
        <f>$E$13+$E$14</f>
        <v>16000</v>
      </c>
      <c r="F22" s="52">
        <v>0</v>
      </c>
      <c r="G22" s="44">
        <v>1</v>
      </c>
      <c r="H22" s="44">
        <f t="shared" si="1"/>
        <v>24</v>
      </c>
      <c r="I22" s="91">
        <v>0</v>
      </c>
      <c r="J22" s="92">
        <f t="shared" si="2"/>
        <v>0</v>
      </c>
      <c r="K22" s="92">
        <f t="shared" si="0"/>
        <v>0</v>
      </c>
      <c r="L22" s="92">
        <f t="shared" si="3"/>
        <v>0</v>
      </c>
      <c r="M22" s="93"/>
      <c r="N22" s="52">
        <f>(J22*'Base Data'!$C$5)+(K22*'Base Data'!$C$6)+(L22*'Base Data'!$C$7)</f>
        <v>0</v>
      </c>
      <c r="O22" s="52">
        <f t="shared" si="4"/>
        <v>0</v>
      </c>
      <c r="P22" s="92">
        <v>0</v>
      </c>
      <c r="Q22" s="94" t="s">
        <v>92</v>
      </c>
    </row>
    <row r="23" spans="1:17" s="6" customFormat="1" ht="9" customHeight="1">
      <c r="A23" s="143" t="s">
        <v>483</v>
      </c>
      <c r="B23" s="44">
        <v>5</v>
      </c>
      <c r="C23" s="44"/>
      <c r="D23" s="52">
        <v>0</v>
      </c>
      <c r="E23" s="52">
        <v>400</v>
      </c>
      <c r="F23" s="52">
        <v>0</v>
      </c>
      <c r="G23" s="44">
        <v>1</v>
      </c>
      <c r="H23" s="44">
        <f t="shared" si="1"/>
        <v>5</v>
      </c>
      <c r="I23" s="91">
        <v>0</v>
      </c>
      <c r="J23" s="92">
        <f t="shared" si="2"/>
        <v>0</v>
      </c>
      <c r="K23" s="92">
        <f t="shared" si="0"/>
        <v>0</v>
      </c>
      <c r="L23" s="92">
        <f t="shared" si="3"/>
        <v>0</v>
      </c>
      <c r="M23" s="93"/>
      <c r="N23" s="52">
        <f>(J23*'Base Data'!$C$5)+(K23*'Base Data'!$C$6)+(L23*'Base Data'!$C$7)</f>
        <v>0</v>
      </c>
      <c r="O23" s="52">
        <f t="shared" si="4"/>
        <v>0</v>
      </c>
      <c r="P23" s="92">
        <v>0</v>
      </c>
      <c r="Q23" s="94" t="s">
        <v>90</v>
      </c>
    </row>
    <row r="24" spans="1:17" s="6" customFormat="1" ht="9" customHeight="1">
      <c r="A24" s="143" t="s">
        <v>484</v>
      </c>
      <c r="B24" s="44">
        <v>5</v>
      </c>
      <c r="C24" s="44"/>
      <c r="D24" s="52">
        <v>0</v>
      </c>
      <c r="E24" s="52">
        <v>400</v>
      </c>
      <c r="F24" s="52">
        <v>0</v>
      </c>
      <c r="G24" s="44">
        <v>12</v>
      </c>
      <c r="H24" s="44">
        <f t="shared" si="1"/>
        <v>60</v>
      </c>
      <c r="I24" s="91">
        <v>0</v>
      </c>
      <c r="J24" s="92">
        <f t="shared" si="2"/>
        <v>0</v>
      </c>
      <c r="K24" s="92">
        <f t="shared" si="0"/>
        <v>0</v>
      </c>
      <c r="L24" s="92">
        <f t="shared" si="3"/>
        <v>0</v>
      </c>
      <c r="M24" s="93"/>
      <c r="N24" s="52">
        <f>(J24*'Base Data'!$C$5)+(K24*'Base Data'!$C$6)+(L24*'Base Data'!$C$7)</f>
        <v>0</v>
      </c>
      <c r="O24" s="52">
        <f t="shared" si="4"/>
        <v>0</v>
      </c>
      <c r="P24" s="92">
        <v>0</v>
      </c>
      <c r="Q24" s="94" t="s">
        <v>90</v>
      </c>
    </row>
    <row r="25" spans="1:17" s="6" customFormat="1" ht="9">
      <c r="A25" s="143" t="s">
        <v>485</v>
      </c>
      <c r="B25" s="44"/>
      <c r="C25" s="44"/>
      <c r="D25" s="52"/>
      <c r="E25" s="52"/>
      <c r="F25" s="52"/>
      <c r="G25" s="44"/>
      <c r="H25" s="44"/>
      <c r="I25" s="92"/>
      <c r="J25" s="92"/>
      <c r="K25" s="92"/>
      <c r="L25" s="92"/>
      <c r="M25" s="93"/>
      <c r="N25" s="52"/>
      <c r="O25" s="52"/>
      <c r="P25" s="92"/>
      <c r="Q25" s="94"/>
    </row>
    <row r="26" spans="1:17" s="6" customFormat="1" ht="9">
      <c r="A26" s="143" t="s">
        <v>432</v>
      </c>
      <c r="B26" s="44">
        <v>40</v>
      </c>
      <c r="C26" s="44"/>
      <c r="D26" s="52">
        <v>0</v>
      </c>
      <c r="E26" s="52"/>
      <c r="F26" s="52">
        <v>0</v>
      </c>
      <c r="G26" s="44">
        <v>1</v>
      </c>
      <c r="H26" s="44">
        <f>B26*G26</f>
        <v>40</v>
      </c>
      <c r="I26" s="91">
        <v>0</v>
      </c>
      <c r="J26" s="92">
        <f>H26*I26</f>
        <v>0</v>
      </c>
      <c r="K26" s="92">
        <f>J26*0.1</f>
        <v>0</v>
      </c>
      <c r="L26" s="92">
        <f>J26*0.05</f>
        <v>0</v>
      </c>
      <c r="M26" s="93"/>
      <c r="N26" s="52">
        <f>(J26*'Base Data'!$C$5)+(K26*'Base Data'!$C$6)+(L26*'Base Data'!$C$7)</f>
        <v>0</v>
      </c>
      <c r="O26" s="52">
        <f>(D26+E26+F26)*G26*I26</f>
        <v>0</v>
      </c>
      <c r="P26" s="92">
        <v>0</v>
      </c>
      <c r="Q26" s="94" t="s">
        <v>388</v>
      </c>
    </row>
    <row r="27" spans="1:17" s="6" customFormat="1" ht="9">
      <c r="A27" s="142" t="s">
        <v>410</v>
      </c>
      <c r="B27" s="44"/>
      <c r="C27" s="44"/>
      <c r="D27" s="52"/>
      <c r="E27" s="52"/>
      <c r="F27" s="52"/>
      <c r="G27" s="44"/>
      <c r="H27" s="44"/>
      <c r="I27" s="92"/>
      <c r="J27" s="92"/>
      <c r="K27" s="92"/>
      <c r="L27" s="92"/>
      <c r="M27" s="93"/>
      <c r="N27" s="52"/>
      <c r="O27" s="52"/>
      <c r="P27" s="92"/>
      <c r="Q27" s="94"/>
    </row>
    <row r="28" spans="1:17" s="6" customFormat="1" ht="9">
      <c r="A28" s="142" t="s">
        <v>411</v>
      </c>
      <c r="B28" s="44">
        <v>10</v>
      </c>
      <c r="C28" s="44"/>
      <c r="D28" s="52">
        <v>0</v>
      </c>
      <c r="E28" s="52">
        <v>0</v>
      </c>
      <c r="F28" s="52">
        <v>43100</v>
      </c>
      <c r="G28" s="44">
        <v>1</v>
      </c>
      <c r="H28" s="44">
        <f>B28*G28</f>
        <v>10</v>
      </c>
      <c r="I28" s="91">
        <v>0</v>
      </c>
      <c r="J28" s="92">
        <f>H28*I28</f>
        <v>0</v>
      </c>
      <c r="K28" s="92">
        <f>J28*0.1</f>
        <v>0</v>
      </c>
      <c r="L28" s="92">
        <f>J28*0.05</f>
        <v>0</v>
      </c>
      <c r="M28" s="93"/>
      <c r="N28" s="52">
        <f>(J28*'Base Data'!$C$5)+(K28*'Base Data'!$C$6)+(L28*'Base Data'!$C$7)</f>
        <v>0</v>
      </c>
      <c r="O28" s="52">
        <f>(D28+E28+F28)*G28*I28</f>
        <v>0</v>
      </c>
      <c r="P28" s="92">
        <v>0</v>
      </c>
      <c r="Q28" s="94" t="s">
        <v>91</v>
      </c>
    </row>
    <row r="29" spans="1:17" s="6" customFormat="1" ht="9">
      <c r="A29" s="142" t="s">
        <v>414</v>
      </c>
      <c r="B29" s="44">
        <v>10</v>
      </c>
      <c r="C29" s="44"/>
      <c r="D29" s="52">
        <v>0</v>
      </c>
      <c r="E29" s="52">
        <v>0</v>
      </c>
      <c r="F29" s="52">
        <v>14700</v>
      </c>
      <c r="G29" s="44">
        <v>1</v>
      </c>
      <c r="H29" s="44">
        <f>B29*G29</f>
        <v>10</v>
      </c>
      <c r="I29" s="91">
        <v>0</v>
      </c>
      <c r="J29" s="92">
        <f>H29*I29</f>
        <v>0</v>
      </c>
      <c r="K29" s="92">
        <f>J29*0.1</f>
        <v>0</v>
      </c>
      <c r="L29" s="92">
        <f>J29*0.05</f>
        <v>0</v>
      </c>
      <c r="M29" s="93"/>
      <c r="N29" s="52">
        <f>(J29*'Base Data'!$C$5)+(K29*'Base Data'!$C$6)+(L29*'Base Data'!$C$7)</f>
        <v>0</v>
      </c>
      <c r="O29" s="52">
        <f>(D29+E29+F29)*G29*I29</f>
        <v>0</v>
      </c>
      <c r="P29" s="92">
        <v>0</v>
      </c>
      <c r="Q29" s="94" t="s">
        <v>91</v>
      </c>
    </row>
    <row r="30" spans="1:17" s="6" customFormat="1" ht="9">
      <c r="A30" s="142" t="s">
        <v>356</v>
      </c>
      <c r="B30" s="44"/>
      <c r="C30" s="44"/>
      <c r="D30" s="52"/>
      <c r="E30" s="52"/>
      <c r="F30" s="52"/>
      <c r="G30" s="44"/>
      <c r="H30" s="44"/>
      <c r="I30" s="92"/>
      <c r="J30" s="92"/>
      <c r="K30" s="92"/>
      <c r="L30" s="92"/>
      <c r="M30" s="93"/>
      <c r="N30" s="52"/>
      <c r="O30" s="52"/>
      <c r="P30" s="92"/>
      <c r="Q30" s="94"/>
    </row>
    <row r="31" spans="1:17" s="6" customFormat="1" ht="9">
      <c r="A31" s="142" t="s">
        <v>411</v>
      </c>
      <c r="B31" s="44">
        <v>10</v>
      </c>
      <c r="C31" s="44"/>
      <c r="D31" s="52">
        <v>0</v>
      </c>
      <c r="E31" s="52">
        <v>0</v>
      </c>
      <c r="F31" s="52">
        <v>158000</v>
      </c>
      <c r="G31" s="44">
        <v>1</v>
      </c>
      <c r="H31" s="44">
        <f>B31*G31</f>
        <v>10</v>
      </c>
      <c r="I31" s="91">
        <v>0</v>
      </c>
      <c r="J31" s="92">
        <f>H31*I31</f>
        <v>0</v>
      </c>
      <c r="K31" s="92">
        <f>J31*0.1</f>
        <v>0</v>
      </c>
      <c r="L31" s="92">
        <f>J31*0.05</f>
        <v>0</v>
      </c>
      <c r="M31" s="93"/>
      <c r="N31" s="52">
        <f>(J31*'Base Data'!$C$5)+(K31*'Base Data'!$C$6)+(L31*'Base Data'!$C$7)</f>
        <v>0</v>
      </c>
      <c r="O31" s="52">
        <f>(D31+E31+F31)*G31*I31</f>
        <v>0</v>
      </c>
      <c r="P31" s="92">
        <v>0</v>
      </c>
      <c r="Q31" s="94" t="s">
        <v>91</v>
      </c>
    </row>
    <row r="32" spans="1:17" s="6" customFormat="1" ht="9">
      <c r="A32" s="142" t="s">
        <v>414</v>
      </c>
      <c r="B32" s="44">
        <v>10</v>
      </c>
      <c r="C32" s="44"/>
      <c r="D32" s="52">
        <v>0</v>
      </c>
      <c r="E32" s="52">
        <v>0</v>
      </c>
      <c r="F32" s="52">
        <v>56100</v>
      </c>
      <c r="G32" s="44">
        <v>1</v>
      </c>
      <c r="H32" s="44">
        <f>B32*G32</f>
        <v>10</v>
      </c>
      <c r="I32" s="91">
        <v>0</v>
      </c>
      <c r="J32" s="92">
        <f>H32*I32</f>
        <v>0</v>
      </c>
      <c r="K32" s="92">
        <f>J32*0.1</f>
        <v>0</v>
      </c>
      <c r="L32" s="92">
        <f>J32*0.05</f>
        <v>0</v>
      </c>
      <c r="M32" s="93"/>
      <c r="N32" s="52">
        <f>(J32*'Base Data'!$C$5)+(K32*'Base Data'!$C$6)+(L32*'Base Data'!$C$7)</f>
        <v>0</v>
      </c>
      <c r="O32" s="52">
        <f>(D32+E32+F32)*G32*I32</f>
        <v>0</v>
      </c>
      <c r="P32" s="92">
        <v>0</v>
      </c>
      <c r="Q32" s="94" t="s">
        <v>91</v>
      </c>
    </row>
    <row r="33" spans="1:17" s="6" customFormat="1" ht="9">
      <c r="A33" s="142" t="s">
        <v>522</v>
      </c>
      <c r="B33" s="44"/>
      <c r="C33" s="44"/>
      <c r="D33" s="52"/>
      <c r="E33" s="52"/>
      <c r="F33" s="52"/>
      <c r="G33" s="44"/>
      <c r="H33" s="44"/>
      <c r="I33" s="91"/>
      <c r="J33" s="92"/>
      <c r="K33" s="92"/>
      <c r="L33" s="92"/>
      <c r="M33" s="93"/>
      <c r="N33" s="52"/>
      <c r="O33" s="52"/>
      <c r="P33" s="92"/>
      <c r="Q33" s="94"/>
    </row>
    <row r="34" spans="1:17" s="6" customFormat="1" ht="9">
      <c r="A34" s="142" t="s">
        <v>411</v>
      </c>
      <c r="B34" s="44">
        <v>10</v>
      </c>
      <c r="C34" s="44"/>
      <c r="D34" s="52">
        <v>0</v>
      </c>
      <c r="E34" s="52">
        <v>0</v>
      </c>
      <c r="F34" s="52">
        <f>Monitors!$F$32</f>
        <v>8523</v>
      </c>
      <c r="G34" s="44">
        <v>1</v>
      </c>
      <c r="H34" s="44">
        <f t="shared" ref="H34:H35" si="5">B34*G34</f>
        <v>10</v>
      </c>
      <c r="I34" s="91">
        <v>0</v>
      </c>
      <c r="J34" s="92">
        <f t="shared" ref="J34:J35" si="6">H34*I34</f>
        <v>0</v>
      </c>
      <c r="K34" s="92">
        <f t="shared" ref="K34:K35" si="7">J34*0.1</f>
        <v>0</v>
      </c>
      <c r="L34" s="92">
        <f t="shared" ref="L34:L35" si="8">J34*0.05</f>
        <v>0</v>
      </c>
      <c r="M34" s="93"/>
      <c r="N34" s="52">
        <f>(J34*'Base Data'!$C$5)+(K34*'Base Data'!$C$6)+(L34*'Base Data'!$C$7)</f>
        <v>0</v>
      </c>
      <c r="O34" s="52">
        <f>(D34+E34+F34)*G34*I34</f>
        <v>0</v>
      </c>
      <c r="P34" s="92">
        <v>0</v>
      </c>
      <c r="Q34" s="94" t="s">
        <v>388</v>
      </c>
    </row>
    <row r="35" spans="1:17" s="6" customFormat="1" ht="9">
      <c r="A35" s="142" t="s">
        <v>414</v>
      </c>
      <c r="B35" s="44">
        <v>10</v>
      </c>
      <c r="C35" s="44"/>
      <c r="D35" s="52">
        <v>0</v>
      </c>
      <c r="E35" s="52">
        <v>0</v>
      </c>
      <c r="F35" s="52">
        <f>Monitors!$G$32</f>
        <v>1436</v>
      </c>
      <c r="G35" s="44">
        <v>1</v>
      </c>
      <c r="H35" s="44">
        <f t="shared" si="5"/>
        <v>10</v>
      </c>
      <c r="I35" s="91">
        <v>0</v>
      </c>
      <c r="J35" s="92">
        <f t="shared" si="6"/>
        <v>0</v>
      </c>
      <c r="K35" s="92">
        <f t="shared" si="7"/>
        <v>0</v>
      </c>
      <c r="L35" s="92">
        <f t="shared" si="8"/>
        <v>0</v>
      </c>
      <c r="M35" s="93"/>
      <c r="N35" s="52">
        <f>(J35*'Base Data'!$C$5)+(K35*'Base Data'!$C$6)+(L35*'Base Data'!$C$7)</f>
        <v>0</v>
      </c>
      <c r="O35" s="52">
        <f>(D35+E35+F35)*G35*I35</f>
        <v>0</v>
      </c>
      <c r="P35" s="92">
        <v>0</v>
      </c>
      <c r="Q35" s="94" t="s">
        <v>388</v>
      </c>
    </row>
    <row r="36" spans="1:17" s="6" customFormat="1" ht="18">
      <c r="A36" s="143" t="s">
        <v>173</v>
      </c>
      <c r="B36" s="44"/>
      <c r="C36" s="44"/>
      <c r="D36" s="52"/>
      <c r="E36" s="52"/>
      <c r="F36" s="95"/>
      <c r="G36" s="44"/>
      <c r="H36" s="44"/>
      <c r="I36" s="91"/>
      <c r="J36" s="92"/>
      <c r="K36" s="92"/>
      <c r="L36" s="92"/>
      <c r="M36" s="93"/>
      <c r="N36" s="52"/>
      <c r="O36" s="52"/>
      <c r="P36" s="92"/>
      <c r="Q36" s="94"/>
    </row>
    <row r="37" spans="1:17" s="6" customFormat="1" ht="9">
      <c r="A37" s="142" t="s">
        <v>411</v>
      </c>
      <c r="B37" s="44">
        <v>10</v>
      </c>
      <c r="C37" s="44"/>
      <c r="D37" s="52">
        <v>0</v>
      </c>
      <c r="E37" s="52">
        <v>0</v>
      </c>
      <c r="F37" s="52">
        <v>24300</v>
      </c>
      <c r="G37" s="44">
        <v>1</v>
      </c>
      <c r="H37" s="44">
        <f>B37*G37</f>
        <v>10</v>
      </c>
      <c r="I37" s="91">
        <v>0</v>
      </c>
      <c r="J37" s="92">
        <f>H37*I37</f>
        <v>0</v>
      </c>
      <c r="K37" s="92">
        <f>J37*0.1</f>
        <v>0</v>
      </c>
      <c r="L37" s="92">
        <f>J37*0.05</f>
        <v>0</v>
      </c>
      <c r="M37" s="93"/>
      <c r="N37" s="52">
        <f>(J37*'Base Data'!$C$5)+(K37*'Base Data'!$C$6)+(L37*'Base Data'!$C$7)</f>
        <v>0</v>
      </c>
      <c r="O37" s="52">
        <f>(D37+E37+F37)*G37*I37</f>
        <v>0</v>
      </c>
      <c r="P37" s="92">
        <v>0</v>
      </c>
      <c r="Q37" s="94" t="s">
        <v>388</v>
      </c>
    </row>
    <row r="38" spans="1:17" s="6" customFormat="1" ht="9">
      <c r="A38" s="142" t="s">
        <v>414</v>
      </c>
      <c r="B38" s="44">
        <v>10</v>
      </c>
      <c r="C38" s="44"/>
      <c r="D38" s="52">
        <v>0</v>
      </c>
      <c r="E38" s="52">
        <v>0</v>
      </c>
      <c r="F38" s="52">
        <v>5600</v>
      </c>
      <c r="G38" s="44">
        <v>1</v>
      </c>
      <c r="H38" s="44">
        <f>B38*G38</f>
        <v>10</v>
      </c>
      <c r="I38" s="91">
        <v>0</v>
      </c>
      <c r="J38" s="92">
        <f>H38*I38</f>
        <v>0</v>
      </c>
      <c r="K38" s="92">
        <f>J38*0.1</f>
        <v>0</v>
      </c>
      <c r="L38" s="92">
        <f>J38*0.05</f>
        <v>0</v>
      </c>
      <c r="M38" s="93"/>
      <c r="N38" s="52">
        <f>(J38*'Base Data'!$C$5)+(K38*'Base Data'!$C$6)+(L38*'Base Data'!$C$7)</f>
        <v>0</v>
      </c>
      <c r="O38" s="52">
        <f>(D38+E38+F38)*G38*I38</f>
        <v>0</v>
      </c>
      <c r="P38" s="92">
        <v>0</v>
      </c>
      <c r="Q38" s="94" t="s">
        <v>388</v>
      </c>
    </row>
    <row r="39" spans="1:17" s="6" customFormat="1" ht="18">
      <c r="A39" s="143" t="s">
        <v>475</v>
      </c>
      <c r="B39" s="44"/>
      <c r="C39" s="44"/>
      <c r="D39" s="52"/>
      <c r="E39" s="52"/>
      <c r="F39" s="52"/>
      <c r="G39" s="44"/>
      <c r="H39" s="44"/>
      <c r="I39" s="91"/>
      <c r="J39" s="92"/>
      <c r="K39" s="92"/>
      <c r="L39" s="92"/>
      <c r="M39" s="93"/>
      <c r="N39" s="52"/>
      <c r="O39" s="238"/>
      <c r="P39" s="92"/>
      <c r="Q39" s="94"/>
    </row>
    <row r="40" spans="1:17" s="6" customFormat="1" ht="9">
      <c r="A40" s="142" t="s">
        <v>411</v>
      </c>
      <c r="B40" s="44">
        <v>10</v>
      </c>
      <c r="C40" s="44"/>
      <c r="D40" s="52">
        <v>0</v>
      </c>
      <c r="E40" s="52">
        <v>0</v>
      </c>
      <c r="F40" s="52">
        <f>25500</f>
        <v>25500</v>
      </c>
      <c r="G40" s="44">
        <v>1</v>
      </c>
      <c r="H40" s="44">
        <f>B40*G40</f>
        <v>10</v>
      </c>
      <c r="I40" s="91">
        <v>0</v>
      </c>
      <c r="J40" s="92">
        <f>H40*I40</f>
        <v>0</v>
      </c>
      <c r="K40" s="92">
        <f>J40*0.1</f>
        <v>0</v>
      </c>
      <c r="L40" s="92">
        <f>J40*0.05</f>
        <v>0</v>
      </c>
      <c r="M40" s="93"/>
      <c r="N40" s="52">
        <f>(J40*'Base Data'!$C$5)+(K40*'Base Data'!$C$6)+(L40*'Base Data'!$C$7)</f>
        <v>0</v>
      </c>
      <c r="O40" s="52">
        <f>(D40+E40+F40)*G40*I40</f>
        <v>0</v>
      </c>
      <c r="P40" s="92">
        <v>0</v>
      </c>
      <c r="Q40" s="94" t="s">
        <v>388</v>
      </c>
    </row>
    <row r="41" spans="1:17" s="6" customFormat="1" ht="9">
      <c r="A41" s="142" t="s">
        <v>414</v>
      </c>
      <c r="B41" s="44">
        <v>10</v>
      </c>
      <c r="C41" s="44"/>
      <c r="D41" s="52">
        <v>0</v>
      </c>
      <c r="E41" s="52">
        <v>0</v>
      </c>
      <c r="F41" s="52">
        <v>9700</v>
      </c>
      <c r="G41" s="44">
        <v>1</v>
      </c>
      <c r="H41" s="44">
        <f>B41*G41</f>
        <v>10</v>
      </c>
      <c r="I41" s="91">
        <v>0</v>
      </c>
      <c r="J41" s="92">
        <f>H41*I41</f>
        <v>0</v>
      </c>
      <c r="K41" s="92">
        <f>J41*0.1</f>
        <v>0</v>
      </c>
      <c r="L41" s="92">
        <f>J41*0.05</f>
        <v>0</v>
      </c>
      <c r="M41" s="93"/>
      <c r="N41" s="52">
        <f>(J41*'Base Data'!$C$5)+(K41*'Base Data'!$C$6)+(L41*'Base Data'!$C$7)</f>
        <v>0</v>
      </c>
      <c r="O41" s="52">
        <f>(D41+E41+F41)*G41*I41</f>
        <v>0</v>
      </c>
      <c r="P41" s="92">
        <v>0</v>
      </c>
      <c r="Q41" s="94" t="s">
        <v>388</v>
      </c>
    </row>
    <row r="42" spans="1:17" s="6" customFormat="1" ht="9">
      <c r="A42" s="142" t="s">
        <v>487</v>
      </c>
      <c r="B42" s="44">
        <v>12</v>
      </c>
      <c r="C42" s="44"/>
      <c r="D42" s="52">
        <v>0</v>
      </c>
      <c r="E42" s="52">
        <v>2875</v>
      </c>
      <c r="F42" s="52">
        <v>0</v>
      </c>
      <c r="G42" s="44">
        <v>1</v>
      </c>
      <c r="H42" s="44">
        <f>B42*G42</f>
        <v>12</v>
      </c>
      <c r="I42" s="92">
        <v>0</v>
      </c>
      <c r="J42" s="91">
        <f>H42*I42</f>
        <v>0</v>
      </c>
      <c r="K42" s="91">
        <f>J42*0.1</f>
        <v>0</v>
      </c>
      <c r="L42" s="91">
        <f>J42*0.05</f>
        <v>0</v>
      </c>
      <c r="M42" s="92"/>
      <c r="N42" s="52">
        <f>(J42*'Base Data'!$C$5)+(K42*'Base Data'!$C$6)+(L42*'Base Data'!$C$7)</f>
        <v>0</v>
      </c>
      <c r="O42" s="52">
        <f>(D42+E42+F42)*G42*I42</f>
        <v>0</v>
      </c>
      <c r="P42" s="92">
        <v>0</v>
      </c>
      <c r="Q42" s="94" t="s">
        <v>388</v>
      </c>
    </row>
    <row r="43" spans="1:17" s="6" customFormat="1" ht="9">
      <c r="A43" s="142" t="s">
        <v>488</v>
      </c>
      <c r="B43" s="44">
        <v>10</v>
      </c>
      <c r="C43" s="44"/>
      <c r="D43" s="52">
        <v>0</v>
      </c>
      <c r="E43" s="52">
        <v>600</v>
      </c>
      <c r="F43" s="52">
        <v>0</v>
      </c>
      <c r="G43" s="44">
        <v>12</v>
      </c>
      <c r="H43" s="44">
        <f>B43*G43</f>
        <v>120</v>
      </c>
      <c r="I43" s="92">
        <v>0</v>
      </c>
      <c r="J43" s="91">
        <f>H43*I43</f>
        <v>0</v>
      </c>
      <c r="K43" s="91">
        <f>J43*0.1</f>
        <v>0</v>
      </c>
      <c r="L43" s="91">
        <f>J43*0.05</f>
        <v>0</v>
      </c>
      <c r="M43" s="92"/>
      <c r="N43" s="52">
        <f>(J43*'Base Data'!$C$5)+(K43*'Base Data'!$C$6)+(L43*'Base Data'!$C$7)</f>
        <v>0</v>
      </c>
      <c r="O43" s="52">
        <f>(D43+E43+F43)*G43*I43</f>
        <v>0</v>
      </c>
      <c r="P43" s="92">
        <v>0</v>
      </c>
      <c r="Q43" s="94" t="s">
        <v>368</v>
      </c>
    </row>
    <row r="44" spans="1:17" s="6" customFormat="1" ht="9">
      <c r="A44" s="142" t="s">
        <v>415</v>
      </c>
      <c r="B44" s="44" t="s">
        <v>433</v>
      </c>
      <c r="C44" s="44"/>
      <c r="D44" s="52"/>
      <c r="E44" s="52"/>
      <c r="F44" s="52"/>
      <c r="G44" s="44"/>
      <c r="H44" s="44"/>
      <c r="I44" s="92"/>
      <c r="J44" s="92"/>
      <c r="K44" s="92"/>
      <c r="L44" s="92"/>
      <c r="M44" s="44"/>
      <c r="N44" s="52"/>
      <c r="O44" s="52"/>
      <c r="P44" s="92"/>
      <c r="Q44" s="94"/>
    </row>
    <row r="45" spans="1:17" s="6" customFormat="1" ht="9">
      <c r="A45" s="142" t="s">
        <v>416</v>
      </c>
      <c r="B45" s="44" t="s">
        <v>433</v>
      </c>
      <c r="C45" s="44"/>
      <c r="D45" s="52"/>
      <c r="E45" s="52"/>
      <c r="F45" s="52"/>
      <c r="G45" s="44"/>
      <c r="H45" s="44"/>
      <c r="I45" s="92"/>
      <c r="J45" s="92"/>
      <c r="K45" s="92"/>
      <c r="L45" s="92"/>
      <c r="M45" s="44"/>
      <c r="N45" s="52"/>
      <c r="O45" s="52"/>
      <c r="P45" s="92"/>
      <c r="Q45" s="94"/>
    </row>
    <row r="46" spans="1:17" s="6" customFormat="1" ht="9">
      <c r="A46" s="142" t="s">
        <v>417</v>
      </c>
      <c r="B46" s="44"/>
      <c r="C46" s="44"/>
      <c r="D46" s="52"/>
      <c r="E46" s="52"/>
      <c r="F46" s="52"/>
      <c r="G46" s="44"/>
      <c r="H46" s="44"/>
      <c r="I46" s="92"/>
      <c r="J46" s="92"/>
      <c r="K46" s="92"/>
      <c r="L46" s="92"/>
      <c r="M46" s="44"/>
      <c r="N46" s="52"/>
      <c r="O46" s="52"/>
      <c r="P46" s="92"/>
      <c r="Q46" s="94"/>
    </row>
    <row r="47" spans="1:17" s="6" customFormat="1" ht="9">
      <c r="A47" s="177" t="s">
        <v>435</v>
      </c>
      <c r="B47" s="44">
        <v>2</v>
      </c>
      <c r="C47" s="44"/>
      <c r="D47" s="52">
        <v>0</v>
      </c>
      <c r="E47" s="52">
        <v>0</v>
      </c>
      <c r="F47" s="52">
        <v>0</v>
      </c>
      <c r="G47" s="44">
        <v>1</v>
      </c>
      <c r="H47" s="44">
        <f t="shared" ref="H47:H52" si="9">B47*G47</f>
        <v>2</v>
      </c>
      <c r="I47" s="91">
        <f>ROUND(SUM('Base Data'!$H$28:$H$30,'Base Data'!$H$33:$H$35,'Base Data'!$H$38:$H$40),0)</f>
        <v>529</v>
      </c>
      <c r="J47" s="92">
        <f t="shared" ref="J47:J52" si="10">H47*I47</f>
        <v>1058</v>
      </c>
      <c r="K47" s="92">
        <f t="shared" ref="K47:K52" si="11">J47*0.1</f>
        <v>105.80000000000001</v>
      </c>
      <c r="L47" s="92">
        <f t="shared" ref="L47:L52" si="12">J47*0.05</f>
        <v>52.900000000000006</v>
      </c>
      <c r="M47" s="44">
        <f t="shared" ref="M47:M52" si="13">C47*G47*I47</f>
        <v>0</v>
      </c>
      <c r="N47" s="52">
        <f>(J47*'Base Data'!$C$5)+(K47*'Base Data'!$C$6)+(L47*'Base Data'!$C$7)</f>
        <v>115086.595</v>
      </c>
      <c r="O47" s="52">
        <f t="shared" ref="O47:O52" si="14">(D47+E47+F47)*G47*I47</f>
        <v>0</v>
      </c>
      <c r="P47" s="92">
        <f t="shared" ref="P47:P52" si="15">G47*I47</f>
        <v>529</v>
      </c>
      <c r="Q47" s="94" t="s">
        <v>387</v>
      </c>
    </row>
    <row r="48" spans="1:17" s="6" customFormat="1" ht="9" customHeight="1">
      <c r="A48" s="177" t="s">
        <v>377</v>
      </c>
      <c r="B48" s="44">
        <v>8</v>
      </c>
      <c r="C48" s="44"/>
      <c r="D48" s="52">
        <v>0</v>
      </c>
      <c r="E48" s="52">
        <v>0</v>
      </c>
      <c r="F48" s="52">
        <v>0</v>
      </c>
      <c r="G48" s="44">
        <v>1</v>
      </c>
      <c r="H48" s="44">
        <f t="shared" si="9"/>
        <v>8</v>
      </c>
      <c r="I48" s="91">
        <v>0</v>
      </c>
      <c r="J48" s="92">
        <f t="shared" si="10"/>
        <v>0</v>
      </c>
      <c r="K48" s="92">
        <f t="shared" si="11"/>
        <v>0</v>
      </c>
      <c r="L48" s="92">
        <f t="shared" si="12"/>
        <v>0</v>
      </c>
      <c r="M48" s="44">
        <f t="shared" si="13"/>
        <v>0</v>
      </c>
      <c r="N48" s="52">
        <f>(J48*'Base Data'!$C$5)+(K48*'Base Data'!$C$6)+(L48*'Base Data'!$C$7)</f>
        <v>0</v>
      </c>
      <c r="O48" s="52">
        <f t="shared" si="14"/>
        <v>0</v>
      </c>
      <c r="P48" s="92">
        <f t="shared" si="15"/>
        <v>0</v>
      </c>
      <c r="Q48" s="94" t="s">
        <v>388</v>
      </c>
    </row>
    <row r="49" spans="1:19" s="6" customFormat="1" ht="9">
      <c r="A49" s="177" t="s">
        <v>378</v>
      </c>
      <c r="B49" s="44">
        <v>5</v>
      </c>
      <c r="C49" s="44"/>
      <c r="D49" s="52">
        <v>0</v>
      </c>
      <c r="E49" s="52">
        <v>0</v>
      </c>
      <c r="F49" s="52">
        <v>0</v>
      </c>
      <c r="G49" s="44">
        <v>1</v>
      </c>
      <c r="H49" s="44">
        <f t="shared" si="9"/>
        <v>5</v>
      </c>
      <c r="I49" s="91">
        <v>0</v>
      </c>
      <c r="J49" s="92">
        <f t="shared" si="10"/>
        <v>0</v>
      </c>
      <c r="K49" s="92">
        <f t="shared" si="11"/>
        <v>0</v>
      </c>
      <c r="L49" s="92">
        <f t="shared" si="12"/>
        <v>0</v>
      </c>
      <c r="M49" s="44">
        <f t="shared" si="13"/>
        <v>0</v>
      </c>
      <c r="N49" s="52">
        <f>(J49*'Base Data'!$C$5)+(K49*'Base Data'!$C$6)+(L49*'Base Data'!$C$7)</f>
        <v>0</v>
      </c>
      <c r="O49" s="52">
        <f t="shared" si="14"/>
        <v>0</v>
      </c>
      <c r="P49" s="92">
        <f t="shared" si="15"/>
        <v>0</v>
      </c>
      <c r="Q49" s="94" t="s">
        <v>388</v>
      </c>
      <c r="R49" s="37"/>
    </row>
    <row r="50" spans="1:19" s="6" customFormat="1" ht="9">
      <c r="A50" s="144" t="s">
        <v>240</v>
      </c>
      <c r="B50" s="44">
        <v>20</v>
      </c>
      <c r="C50" s="44">
        <v>0</v>
      </c>
      <c r="D50" s="52">
        <v>0</v>
      </c>
      <c r="E50" s="52">
        <v>0</v>
      </c>
      <c r="F50" s="52">
        <v>0</v>
      </c>
      <c r="G50" s="44">
        <v>1</v>
      </c>
      <c r="H50" s="44">
        <f t="shared" si="9"/>
        <v>20</v>
      </c>
      <c r="I50" s="91">
        <v>0</v>
      </c>
      <c r="J50" s="92">
        <f t="shared" si="10"/>
        <v>0</v>
      </c>
      <c r="K50" s="92">
        <f t="shared" si="11"/>
        <v>0</v>
      </c>
      <c r="L50" s="92">
        <f t="shared" si="12"/>
        <v>0</v>
      </c>
      <c r="M50" s="92">
        <f t="shared" si="13"/>
        <v>0</v>
      </c>
      <c r="N50" s="52">
        <f>(J50*'Base Data'!$C$5)+(K50*'Base Data'!$C$6)+(L50*'Base Data'!$C$7)</f>
        <v>0</v>
      </c>
      <c r="O50" s="52">
        <f t="shared" si="14"/>
        <v>0</v>
      </c>
      <c r="P50" s="92">
        <f>G50*I50</f>
        <v>0</v>
      </c>
      <c r="Q50" s="94" t="s">
        <v>558</v>
      </c>
      <c r="R50" s="184"/>
    </row>
    <row r="51" spans="1:19" s="6" customFormat="1" ht="9">
      <c r="A51" s="144" t="s">
        <v>239</v>
      </c>
      <c r="B51" s="44">
        <v>20</v>
      </c>
      <c r="C51" s="44">
        <v>0</v>
      </c>
      <c r="D51" s="52">
        <v>0</v>
      </c>
      <c r="E51" s="52">
        <v>0</v>
      </c>
      <c r="F51" s="52">
        <v>0</v>
      </c>
      <c r="G51" s="44">
        <v>2</v>
      </c>
      <c r="H51" s="44">
        <f t="shared" si="9"/>
        <v>40</v>
      </c>
      <c r="I51" s="91">
        <v>0</v>
      </c>
      <c r="J51" s="92">
        <f t="shared" si="10"/>
        <v>0</v>
      </c>
      <c r="K51" s="92">
        <f t="shared" si="11"/>
        <v>0</v>
      </c>
      <c r="L51" s="92">
        <f t="shared" si="12"/>
        <v>0</v>
      </c>
      <c r="M51" s="92">
        <f t="shared" si="13"/>
        <v>0</v>
      </c>
      <c r="N51" s="52">
        <f>(J51*'Base Data'!$C$5)+(K51*'Base Data'!$C$6)+(L51*'Base Data'!$C$7)</f>
        <v>0</v>
      </c>
      <c r="O51" s="52">
        <f t="shared" si="14"/>
        <v>0</v>
      </c>
      <c r="P51" s="92">
        <f t="shared" si="15"/>
        <v>0</v>
      </c>
      <c r="Q51" s="94" t="s">
        <v>558</v>
      </c>
    </row>
    <row r="52" spans="1:19" s="6" customFormat="1" ht="9">
      <c r="A52" s="144" t="s">
        <v>472</v>
      </c>
      <c r="B52" s="44">
        <v>5</v>
      </c>
      <c r="C52" s="44"/>
      <c r="D52" s="52">
        <v>0</v>
      </c>
      <c r="E52" s="52">
        <v>0</v>
      </c>
      <c r="F52" s="52">
        <v>0</v>
      </c>
      <c r="G52" s="44">
        <v>1</v>
      </c>
      <c r="H52" s="44">
        <f t="shared" si="9"/>
        <v>5</v>
      </c>
      <c r="I52" s="91">
        <v>0</v>
      </c>
      <c r="J52" s="92">
        <f t="shared" si="10"/>
        <v>0</v>
      </c>
      <c r="K52" s="92">
        <f t="shared" si="11"/>
        <v>0</v>
      </c>
      <c r="L52" s="92">
        <f t="shared" si="12"/>
        <v>0</v>
      </c>
      <c r="M52" s="92">
        <f t="shared" si="13"/>
        <v>0</v>
      </c>
      <c r="N52" s="52">
        <f>(J52*'Base Data'!$C$5)+(K52*'Base Data'!$C$6)+(L52*'Base Data'!$C$7)</f>
        <v>0</v>
      </c>
      <c r="O52" s="52">
        <f t="shared" si="14"/>
        <v>0</v>
      </c>
      <c r="P52" s="92">
        <f t="shared" si="15"/>
        <v>0</v>
      </c>
      <c r="Q52" s="94" t="s">
        <v>559</v>
      </c>
    </row>
    <row r="53" spans="1:19" s="6" customFormat="1" ht="9">
      <c r="A53" s="145" t="s">
        <v>7</v>
      </c>
      <c r="B53" s="44"/>
      <c r="C53" s="44"/>
      <c r="D53" s="52"/>
      <c r="E53" s="52"/>
      <c r="F53" s="52"/>
      <c r="G53" s="44"/>
      <c r="H53" s="44"/>
      <c r="I53" s="91"/>
      <c r="J53" s="92">
        <f t="shared" ref="J53:O53" si="16">SUM(J7:J51)</f>
        <v>22218</v>
      </c>
      <c r="K53" s="92">
        <f t="shared" si="16"/>
        <v>2221.8000000000002</v>
      </c>
      <c r="L53" s="92">
        <f t="shared" si="16"/>
        <v>1110.9000000000001</v>
      </c>
      <c r="M53" s="92">
        <f t="shared" si="16"/>
        <v>0</v>
      </c>
      <c r="N53" s="52">
        <f t="shared" si="16"/>
        <v>2416818.4950000001</v>
      </c>
      <c r="O53" s="52">
        <f t="shared" si="16"/>
        <v>0</v>
      </c>
      <c r="P53" s="92">
        <f>SUM(P47:P51)</f>
        <v>529</v>
      </c>
      <c r="Q53" s="94"/>
      <c r="R53" s="335">
        <f>SUM(O7,O10:O24,O29,O32,O35,O38,O41,O42:O43)</f>
        <v>0</v>
      </c>
      <c r="S53" s="336">
        <f>SUM(O28,O31,O34,O37,O40)</f>
        <v>0</v>
      </c>
    </row>
    <row r="54" spans="1:19" s="6" customFormat="1" ht="9">
      <c r="A54" s="142" t="s">
        <v>431</v>
      </c>
      <c r="B54" s="44"/>
      <c r="C54" s="44"/>
      <c r="D54" s="52"/>
      <c r="E54" s="52"/>
      <c r="F54" s="52"/>
      <c r="G54" s="44"/>
      <c r="H54" s="44"/>
      <c r="I54" s="92"/>
      <c r="J54" s="92"/>
      <c r="K54" s="92"/>
      <c r="L54" s="92"/>
      <c r="M54" s="44"/>
      <c r="N54" s="52"/>
      <c r="O54" s="52"/>
      <c r="P54" s="92"/>
      <c r="Q54" s="94"/>
    </row>
    <row r="55" spans="1:19" s="6" customFormat="1" ht="9">
      <c r="A55" s="142" t="s">
        <v>418</v>
      </c>
      <c r="B55" s="44" t="s">
        <v>422</v>
      </c>
      <c r="C55" s="44"/>
      <c r="D55" s="52"/>
      <c r="E55" s="52"/>
      <c r="F55" s="52"/>
      <c r="G55" s="44"/>
      <c r="H55" s="44"/>
      <c r="I55" s="92"/>
      <c r="J55" s="92"/>
      <c r="K55" s="92"/>
      <c r="L55" s="92"/>
      <c r="M55" s="44"/>
      <c r="N55" s="52"/>
      <c r="O55" s="52"/>
      <c r="P55" s="92"/>
      <c r="Q55" s="94"/>
    </row>
    <row r="56" spans="1:19" s="6" customFormat="1" ht="9">
      <c r="A56" s="142" t="s">
        <v>419</v>
      </c>
      <c r="B56" s="44" t="s">
        <v>433</v>
      </c>
      <c r="C56" s="44"/>
      <c r="D56" s="52"/>
      <c r="E56" s="52"/>
      <c r="F56" s="52"/>
      <c r="G56" s="44"/>
      <c r="H56" s="44"/>
      <c r="I56" s="92"/>
      <c r="J56" s="92"/>
      <c r="K56" s="92"/>
      <c r="L56" s="92"/>
      <c r="M56" s="44"/>
      <c r="N56" s="52"/>
      <c r="O56" s="52"/>
      <c r="P56" s="92"/>
      <c r="Q56" s="94"/>
    </row>
    <row r="57" spans="1:19" s="6" customFormat="1" ht="9">
      <c r="A57" s="142" t="s">
        <v>420</v>
      </c>
      <c r="B57" s="44" t="s">
        <v>433</v>
      </c>
      <c r="C57" s="44"/>
      <c r="D57" s="52"/>
      <c r="E57" s="52"/>
      <c r="F57" s="52"/>
      <c r="G57" s="44"/>
      <c r="H57" s="44"/>
      <c r="I57" s="92"/>
      <c r="J57" s="92"/>
      <c r="K57" s="92"/>
      <c r="L57" s="92"/>
      <c r="M57" s="44"/>
      <c r="N57" s="52"/>
      <c r="O57" s="52"/>
      <c r="P57" s="92"/>
      <c r="Q57" s="94" t="s">
        <v>389</v>
      </c>
    </row>
    <row r="58" spans="1:19" s="6" customFormat="1" ht="9">
      <c r="A58" s="142" t="s">
        <v>421</v>
      </c>
      <c r="B58" s="44"/>
      <c r="C58" s="44"/>
      <c r="D58" s="52"/>
      <c r="E58" s="52"/>
      <c r="F58" s="52"/>
      <c r="G58" s="44"/>
      <c r="H58" s="44"/>
      <c r="I58" s="92"/>
      <c r="J58" s="92"/>
      <c r="K58" s="92"/>
      <c r="L58" s="92"/>
      <c r="M58" s="44"/>
      <c r="N58" s="52"/>
      <c r="O58" s="52"/>
      <c r="P58" s="92"/>
      <c r="Q58" s="94"/>
    </row>
    <row r="59" spans="1:19" s="6" customFormat="1" ht="9.75" customHeight="1">
      <c r="A59" s="142" t="s">
        <v>429</v>
      </c>
      <c r="B59" s="44">
        <v>20</v>
      </c>
      <c r="C59" s="44"/>
      <c r="D59" s="52">
        <v>0</v>
      </c>
      <c r="E59" s="52">
        <v>0</v>
      </c>
      <c r="F59" s="52">
        <v>0</v>
      </c>
      <c r="G59" s="44">
        <v>1</v>
      </c>
      <c r="H59" s="44">
        <f t="shared" ref="H59:H65" si="17">B59*G59</f>
        <v>20</v>
      </c>
      <c r="I59" s="91">
        <v>0</v>
      </c>
      <c r="J59" s="92">
        <f t="shared" ref="J59:J65" si="18">H59*I59</f>
        <v>0</v>
      </c>
      <c r="K59" s="92">
        <f t="shared" ref="K59:K65" si="19">J59*0.1</f>
        <v>0</v>
      </c>
      <c r="L59" s="92">
        <f t="shared" ref="L59:L65" si="20">J59*0.05</f>
        <v>0</v>
      </c>
      <c r="M59" s="44"/>
      <c r="N59" s="52">
        <f>(J59*'Base Data'!$C$5)+(K59*'Base Data'!$C$6)+(L59*'Base Data'!$C$7)</f>
        <v>0</v>
      </c>
      <c r="O59" s="52">
        <f t="shared" ref="O59:O65" si="21">(D59+E59+F59)*G59*I59</f>
        <v>0</v>
      </c>
      <c r="P59" s="92">
        <v>0</v>
      </c>
      <c r="Q59" s="94" t="s">
        <v>388</v>
      </c>
    </row>
    <row r="60" spans="1:19" s="6" customFormat="1" ht="9">
      <c r="A60" s="143" t="s">
        <v>425</v>
      </c>
      <c r="B60" s="44">
        <v>15</v>
      </c>
      <c r="C60" s="44">
        <v>0</v>
      </c>
      <c r="D60" s="52">
        <v>0</v>
      </c>
      <c r="E60" s="52">
        <v>0</v>
      </c>
      <c r="F60" s="52">
        <v>0</v>
      </c>
      <c r="G60" s="44">
        <v>1</v>
      </c>
      <c r="H60" s="44">
        <f t="shared" si="17"/>
        <v>15</v>
      </c>
      <c r="I60" s="91">
        <v>0</v>
      </c>
      <c r="J60" s="92">
        <f t="shared" si="18"/>
        <v>0</v>
      </c>
      <c r="K60" s="92">
        <f t="shared" si="19"/>
        <v>0</v>
      </c>
      <c r="L60" s="92">
        <f t="shared" si="20"/>
        <v>0</v>
      </c>
      <c r="M60" s="44">
        <f>C60*G60*I60</f>
        <v>0</v>
      </c>
      <c r="N60" s="52">
        <f>(J60*'Base Data'!$C$5)+(K60*'Base Data'!$C$6)+(L60*'Base Data'!$C$7)</f>
        <v>0</v>
      </c>
      <c r="O60" s="52">
        <f t="shared" si="21"/>
        <v>0</v>
      </c>
      <c r="P60" s="92">
        <v>0</v>
      </c>
      <c r="Q60" s="94" t="s">
        <v>388</v>
      </c>
    </row>
    <row r="61" spans="1:19" s="6" customFormat="1" ht="9.75" customHeight="1">
      <c r="A61" s="142" t="s">
        <v>426</v>
      </c>
      <c r="B61" s="44">
        <v>2</v>
      </c>
      <c r="C61" s="44"/>
      <c r="D61" s="52">
        <v>0</v>
      </c>
      <c r="E61" s="52">
        <v>0</v>
      </c>
      <c r="F61" s="52">
        <v>0</v>
      </c>
      <c r="G61" s="44">
        <v>1</v>
      </c>
      <c r="H61" s="44">
        <f t="shared" si="17"/>
        <v>2</v>
      </c>
      <c r="I61" s="91">
        <v>0</v>
      </c>
      <c r="J61" s="92">
        <f t="shared" si="18"/>
        <v>0</v>
      </c>
      <c r="K61" s="92">
        <f t="shared" si="19"/>
        <v>0</v>
      </c>
      <c r="L61" s="92">
        <f t="shared" si="20"/>
        <v>0</v>
      </c>
      <c r="M61" s="44"/>
      <c r="N61" s="52">
        <f>(J61*'Base Data'!$C$5)+(K61*'Base Data'!$C$6)+(L61*'Base Data'!$C$7)</f>
        <v>0</v>
      </c>
      <c r="O61" s="52">
        <f t="shared" si="21"/>
        <v>0</v>
      </c>
      <c r="P61" s="92">
        <v>0</v>
      </c>
      <c r="Q61" s="94" t="s">
        <v>388</v>
      </c>
    </row>
    <row r="62" spans="1:19" s="6" customFormat="1" ht="9">
      <c r="A62" s="143" t="s">
        <v>436</v>
      </c>
      <c r="B62" s="44">
        <v>2</v>
      </c>
      <c r="C62" s="44"/>
      <c r="D62" s="52">
        <v>0</v>
      </c>
      <c r="E62" s="52">
        <v>0</v>
      </c>
      <c r="F62" s="52">
        <v>0</v>
      </c>
      <c r="G62" s="44">
        <v>1</v>
      </c>
      <c r="H62" s="44">
        <f t="shared" si="17"/>
        <v>2</v>
      </c>
      <c r="I62" s="91">
        <v>0</v>
      </c>
      <c r="J62" s="92">
        <f t="shared" si="18"/>
        <v>0</v>
      </c>
      <c r="K62" s="92">
        <f t="shared" si="19"/>
        <v>0</v>
      </c>
      <c r="L62" s="92">
        <f t="shared" si="20"/>
        <v>0</v>
      </c>
      <c r="M62" s="44"/>
      <c r="N62" s="52">
        <f>(J62*'Base Data'!$C$5)+(K62*'Base Data'!$C$6)+(L62*'Base Data'!$C$7)</f>
        <v>0</v>
      </c>
      <c r="O62" s="52">
        <f t="shared" si="21"/>
        <v>0</v>
      </c>
      <c r="P62" s="92">
        <v>0</v>
      </c>
      <c r="Q62" s="94" t="s">
        <v>388</v>
      </c>
    </row>
    <row r="63" spans="1:19" s="6" customFormat="1" ht="9" customHeight="1">
      <c r="A63" s="143" t="s">
        <v>241</v>
      </c>
      <c r="B63" s="44">
        <v>2</v>
      </c>
      <c r="C63" s="44">
        <v>0</v>
      </c>
      <c r="D63" s="52">
        <v>0</v>
      </c>
      <c r="E63" s="52">
        <v>0</v>
      </c>
      <c r="F63" s="52">
        <v>0</v>
      </c>
      <c r="G63" s="44">
        <v>1</v>
      </c>
      <c r="H63" s="44">
        <f>B63*G63</f>
        <v>2</v>
      </c>
      <c r="I63" s="91">
        <v>0</v>
      </c>
      <c r="J63" s="92">
        <f>H63*I63</f>
        <v>0</v>
      </c>
      <c r="K63" s="92">
        <f t="shared" si="19"/>
        <v>0</v>
      </c>
      <c r="L63" s="92">
        <f>J63*0.05</f>
        <v>0</v>
      </c>
      <c r="M63" s="44">
        <f>C63*G63*I63</f>
        <v>0</v>
      </c>
      <c r="N63" s="52">
        <f>(J63*'Base Data'!$C$5)+(K63*'Base Data'!$C$6)+(L63*'Base Data'!$C$7)</f>
        <v>0</v>
      </c>
      <c r="O63" s="52">
        <f>(D63+E63+F63)*G63*I63</f>
        <v>0</v>
      </c>
      <c r="P63" s="92">
        <v>0</v>
      </c>
      <c r="Q63" s="94" t="s">
        <v>255</v>
      </c>
      <c r="R63" s="147"/>
    </row>
    <row r="64" spans="1:19" s="6" customFormat="1" ht="18">
      <c r="A64" s="143" t="s">
        <v>489</v>
      </c>
      <c r="B64" s="44">
        <v>2</v>
      </c>
      <c r="C64" s="44">
        <v>0</v>
      </c>
      <c r="D64" s="52">
        <v>0</v>
      </c>
      <c r="E64" s="52">
        <v>0</v>
      </c>
      <c r="F64" s="52">
        <v>0</v>
      </c>
      <c r="G64" s="44">
        <v>2</v>
      </c>
      <c r="H64" s="44">
        <f t="shared" ref="H64" si="22">B64*G64</f>
        <v>4</v>
      </c>
      <c r="I64" s="91">
        <v>0</v>
      </c>
      <c r="J64" s="92">
        <f t="shared" ref="J64" si="23">H64*I64</f>
        <v>0</v>
      </c>
      <c r="K64" s="92">
        <f t="shared" si="19"/>
        <v>0</v>
      </c>
      <c r="L64" s="92">
        <f t="shared" ref="L64" si="24">J64*0.05</f>
        <v>0</v>
      </c>
      <c r="M64" s="44">
        <f>C64*G64*I64</f>
        <v>0</v>
      </c>
      <c r="N64" s="52">
        <f>(J64*'Base Data'!$C$5)+(K64*'Base Data'!$C$6)+(L64*'Base Data'!$C$7)</f>
        <v>0</v>
      </c>
      <c r="O64" s="52">
        <f t="shared" ref="O64" si="25">(D64+E64+F64)*G64*I64</f>
        <v>0</v>
      </c>
      <c r="P64" s="92">
        <v>0</v>
      </c>
      <c r="Q64" s="94" t="s">
        <v>255</v>
      </c>
      <c r="R64" s="147"/>
    </row>
    <row r="65" spans="1:19" s="6" customFormat="1" ht="9">
      <c r="A65" s="143" t="s">
        <v>246</v>
      </c>
      <c r="B65" s="44">
        <v>0.5</v>
      </c>
      <c r="C65" s="44"/>
      <c r="D65" s="52">
        <v>0</v>
      </c>
      <c r="E65" s="52">
        <v>0</v>
      </c>
      <c r="F65" s="52">
        <v>0</v>
      </c>
      <c r="G65" s="44">
        <v>12</v>
      </c>
      <c r="H65" s="44">
        <f t="shared" si="17"/>
        <v>6</v>
      </c>
      <c r="I65" s="91">
        <v>0</v>
      </c>
      <c r="J65" s="92">
        <f t="shared" si="18"/>
        <v>0</v>
      </c>
      <c r="K65" s="92">
        <f t="shared" si="19"/>
        <v>0</v>
      </c>
      <c r="L65" s="92">
        <f t="shared" si="20"/>
        <v>0</v>
      </c>
      <c r="M65" s="44"/>
      <c r="N65" s="52">
        <f>(J65*'Base Data'!$C$5)+(K65*'Base Data'!$C$6)+(L65*'Base Data'!$C$7)</f>
        <v>0</v>
      </c>
      <c r="O65" s="52">
        <f t="shared" si="21"/>
        <v>0</v>
      </c>
      <c r="P65" s="92">
        <v>0</v>
      </c>
      <c r="Q65" s="94" t="s">
        <v>90</v>
      </c>
    </row>
    <row r="66" spans="1:19" s="6" customFormat="1" ht="9">
      <c r="A66" s="333" t="s">
        <v>490</v>
      </c>
      <c r="B66" s="44">
        <v>0.25</v>
      </c>
      <c r="C66" s="44"/>
      <c r="D66" s="52">
        <v>0</v>
      </c>
      <c r="E66" s="52">
        <v>0</v>
      </c>
      <c r="F66" s="52">
        <v>0</v>
      </c>
      <c r="G66" s="44">
        <v>1</v>
      </c>
      <c r="H66" s="44">
        <f>B66*G66</f>
        <v>0.25</v>
      </c>
      <c r="I66" s="92">
        <v>0</v>
      </c>
      <c r="J66" s="91">
        <f>H66*I66</f>
        <v>0</v>
      </c>
      <c r="K66" s="91">
        <f>J66*0.1</f>
        <v>0</v>
      </c>
      <c r="L66" s="91">
        <f>J66*0.05</f>
        <v>0</v>
      </c>
      <c r="M66" s="44">
        <f>C66*G66*I66</f>
        <v>0</v>
      </c>
      <c r="N66" s="52">
        <f>(J66*'Base Data'!$C$5)+(K66*'Base Data'!$C$6)+(L66*'Base Data'!$C$7)</f>
        <v>0</v>
      </c>
      <c r="O66" s="52">
        <f>(D66+E66+F66)*G66*I66</f>
        <v>0</v>
      </c>
      <c r="P66" s="92">
        <v>0</v>
      </c>
      <c r="Q66" s="29" t="s">
        <v>388</v>
      </c>
    </row>
    <row r="67" spans="1:19" s="6" customFormat="1" ht="9">
      <c r="A67" s="142" t="s">
        <v>427</v>
      </c>
      <c r="B67" s="44">
        <v>40</v>
      </c>
      <c r="C67" s="18"/>
      <c r="D67" s="39">
        <v>0</v>
      </c>
      <c r="E67" s="39">
        <v>0</v>
      </c>
      <c r="F67" s="39">
        <v>0</v>
      </c>
      <c r="G67" s="18">
        <v>1</v>
      </c>
      <c r="H67" s="18">
        <f t="shared" ref="H67" si="26">B67*G67</f>
        <v>40</v>
      </c>
      <c r="I67" s="91">
        <v>0</v>
      </c>
      <c r="J67" s="19">
        <f t="shared" ref="J67" si="27">H67*I67</f>
        <v>0</v>
      </c>
      <c r="K67" s="19">
        <f t="shared" ref="K67" si="28">J67*0.1</f>
        <v>0</v>
      </c>
      <c r="L67" s="19">
        <f t="shared" ref="L67" si="29">J67*0.05</f>
        <v>0</v>
      </c>
      <c r="M67" s="18"/>
      <c r="N67" s="39">
        <f>(J67*'Base Data'!$C$5)+(K67*'Base Data'!$C$6)+(L67*'Base Data'!$C$7)</f>
        <v>0</v>
      </c>
      <c r="O67" s="39">
        <f t="shared" ref="O67" si="30">(D67+E67+F67)*G67*I67</f>
        <v>0</v>
      </c>
      <c r="P67" s="92">
        <v>0</v>
      </c>
      <c r="Q67" s="29" t="s">
        <v>562</v>
      </c>
    </row>
    <row r="68" spans="1:19" s="6" customFormat="1">
      <c r="A68" s="146" t="s">
        <v>428</v>
      </c>
      <c r="B68" s="44" t="s">
        <v>433</v>
      </c>
      <c r="C68" s="44"/>
      <c r="D68" s="52"/>
      <c r="E68" s="52"/>
      <c r="F68" s="52"/>
      <c r="G68" s="44"/>
      <c r="H68" s="44"/>
      <c r="I68" s="92"/>
      <c r="J68" s="92"/>
      <c r="K68" s="92"/>
      <c r="L68" s="92"/>
      <c r="M68" s="44"/>
      <c r="N68" s="52"/>
      <c r="O68" s="52"/>
      <c r="P68" s="19"/>
      <c r="Q68" s="29"/>
      <c r="R68" s="2"/>
    </row>
    <row r="69" spans="1:19" s="6" customFormat="1">
      <c r="A69" s="61" t="s">
        <v>27</v>
      </c>
      <c r="B69" s="245"/>
      <c r="C69" s="245"/>
      <c r="D69" s="246"/>
      <c r="E69" s="246"/>
      <c r="F69" s="246"/>
      <c r="G69" s="245"/>
      <c r="H69" s="245"/>
      <c r="I69" s="247"/>
      <c r="J69" s="247">
        <f t="shared" ref="J69:P69" si="31">SUM(J55:J68)</f>
        <v>0</v>
      </c>
      <c r="K69" s="247">
        <f t="shared" si="31"/>
        <v>0</v>
      </c>
      <c r="L69" s="247">
        <f t="shared" si="31"/>
        <v>0</v>
      </c>
      <c r="M69" s="246">
        <f t="shared" si="31"/>
        <v>0</v>
      </c>
      <c r="N69" s="246">
        <f t="shared" si="31"/>
        <v>0</v>
      </c>
      <c r="O69" s="246">
        <f t="shared" si="31"/>
        <v>0</v>
      </c>
      <c r="P69" s="247">
        <f t="shared" si="31"/>
        <v>0</v>
      </c>
      <c r="Q69" s="248"/>
      <c r="R69" s="1"/>
    </row>
    <row r="70" spans="1:19" s="2" customFormat="1">
      <c r="A70" s="24" t="s">
        <v>400</v>
      </c>
      <c r="B70" s="25"/>
      <c r="C70" s="25"/>
      <c r="D70" s="25"/>
      <c r="E70" s="25"/>
      <c r="F70" s="50"/>
      <c r="G70" s="25"/>
      <c r="H70" s="25"/>
      <c r="I70" s="26"/>
      <c r="J70" s="27">
        <f t="shared" ref="J70:P70" si="32">J53+J69</f>
        <v>22218</v>
      </c>
      <c r="K70" s="27">
        <f t="shared" si="32"/>
        <v>2221.8000000000002</v>
      </c>
      <c r="L70" s="27">
        <f t="shared" si="32"/>
        <v>1110.9000000000001</v>
      </c>
      <c r="M70" s="40">
        <f t="shared" si="32"/>
        <v>0</v>
      </c>
      <c r="N70" s="40">
        <f t="shared" si="32"/>
        <v>2416818.4950000001</v>
      </c>
      <c r="O70" s="40">
        <f t="shared" si="32"/>
        <v>0</v>
      </c>
      <c r="P70" s="27">
        <f t="shared" si="32"/>
        <v>529</v>
      </c>
      <c r="Q70" s="47"/>
      <c r="R70" s="14"/>
    </row>
    <row r="71" spans="1:19" ht="6" customHeight="1">
      <c r="B71" s="54"/>
      <c r="C71" s="54"/>
      <c r="D71" s="54"/>
      <c r="E71" s="54"/>
      <c r="F71" s="54"/>
      <c r="G71" s="54"/>
      <c r="H71" s="54"/>
      <c r="I71" s="55"/>
      <c r="R71" s="14"/>
    </row>
    <row r="72" spans="1:19" s="14" customFormat="1" ht="9">
      <c r="A72" s="53" t="s">
        <v>101</v>
      </c>
      <c r="B72" s="56"/>
      <c r="C72" s="56"/>
      <c r="D72" s="56"/>
      <c r="E72" s="56"/>
      <c r="F72" s="56"/>
      <c r="G72" s="56"/>
      <c r="H72" s="56"/>
      <c r="I72" s="57"/>
      <c r="J72" s="15"/>
      <c r="K72" s="15"/>
      <c r="L72" s="15"/>
      <c r="M72" s="15"/>
      <c r="N72" s="15"/>
      <c r="O72" s="17"/>
      <c r="P72" s="17"/>
      <c r="Q72" s="15"/>
      <c r="S72" s="56"/>
    </row>
    <row r="73" spans="1:19" s="14" customFormat="1" ht="19.5" customHeight="1">
      <c r="A73" s="408" t="s">
        <v>165</v>
      </c>
      <c r="B73" s="408"/>
      <c r="C73" s="408"/>
      <c r="D73" s="408"/>
      <c r="E73" s="408"/>
      <c r="F73" s="408"/>
      <c r="G73" s="408"/>
      <c r="H73" s="408"/>
      <c r="I73" s="408"/>
      <c r="J73" s="408"/>
      <c r="K73" s="408"/>
      <c r="L73" s="408"/>
      <c r="M73" s="408"/>
      <c r="N73" s="408"/>
      <c r="O73" s="408"/>
      <c r="P73" s="62"/>
      <c r="Q73" s="15"/>
      <c r="R73" s="408"/>
      <c r="S73" s="408"/>
    </row>
    <row r="74" spans="1:19" s="14" customFormat="1" ht="9" customHeight="1">
      <c r="A74" s="408" t="s">
        <v>374</v>
      </c>
      <c r="B74" s="408"/>
      <c r="C74" s="408"/>
      <c r="D74" s="408"/>
      <c r="E74" s="408"/>
      <c r="F74" s="408"/>
      <c r="G74" s="408"/>
      <c r="H74" s="408"/>
      <c r="I74" s="408"/>
      <c r="J74" s="408"/>
      <c r="K74" s="408"/>
      <c r="L74" s="408"/>
      <c r="M74" s="408"/>
      <c r="N74" s="408"/>
      <c r="O74" s="408"/>
      <c r="P74" s="62"/>
      <c r="Q74" s="15"/>
      <c r="R74" s="408"/>
      <c r="S74" s="408"/>
    </row>
    <row r="75" spans="1:19" s="14" customFormat="1" ht="20.25" customHeight="1">
      <c r="A75" s="408" t="s">
        <v>95</v>
      </c>
      <c r="B75" s="408"/>
      <c r="C75" s="408"/>
      <c r="D75" s="408"/>
      <c r="E75" s="408"/>
      <c r="F75" s="408"/>
      <c r="G75" s="408"/>
      <c r="H75" s="408"/>
      <c r="I75" s="408"/>
      <c r="J75" s="408"/>
      <c r="K75" s="408"/>
      <c r="L75" s="408"/>
      <c r="M75" s="408"/>
      <c r="N75" s="408"/>
      <c r="O75" s="408"/>
      <c r="P75" s="408"/>
      <c r="Q75" s="408"/>
      <c r="R75" s="408"/>
      <c r="S75" s="408"/>
    </row>
    <row r="76" spans="1:19" s="14" customFormat="1" ht="9" customHeight="1">
      <c r="A76" s="14" t="s">
        <v>441</v>
      </c>
      <c r="B76" s="15"/>
      <c r="C76" s="15"/>
      <c r="D76" s="15"/>
      <c r="E76" s="15"/>
      <c r="F76" s="15"/>
      <c r="G76" s="15"/>
      <c r="H76" s="15"/>
      <c r="I76" s="16"/>
      <c r="J76" s="15"/>
      <c r="K76" s="15"/>
      <c r="L76" s="15"/>
      <c r="M76" s="15"/>
      <c r="N76" s="15"/>
      <c r="O76" s="17"/>
      <c r="P76" s="17"/>
      <c r="Q76" s="15"/>
      <c r="S76" s="15"/>
    </row>
    <row r="77" spans="1:19" s="14" customFormat="1" ht="9">
      <c r="A77" s="408" t="s">
        <v>551</v>
      </c>
      <c r="B77" s="408"/>
      <c r="C77" s="408"/>
      <c r="D77" s="408"/>
      <c r="E77" s="408"/>
      <c r="F77" s="408"/>
      <c r="G77" s="408"/>
      <c r="H77" s="408"/>
      <c r="I77" s="408"/>
      <c r="J77" s="408"/>
      <c r="K77" s="408"/>
      <c r="L77" s="408"/>
      <c r="M77" s="408"/>
      <c r="N77" s="15"/>
      <c r="O77" s="17"/>
      <c r="P77" s="17"/>
      <c r="Q77" s="15"/>
      <c r="R77" s="53"/>
      <c r="S77" s="15"/>
    </row>
    <row r="78" spans="1:19" s="14" customFormat="1" ht="9">
      <c r="A78" s="14" t="s">
        <v>237</v>
      </c>
      <c r="B78" s="15"/>
      <c r="C78" s="15"/>
      <c r="D78" s="15"/>
      <c r="E78" s="15"/>
      <c r="F78" s="15"/>
      <c r="G78" s="15"/>
      <c r="H78" s="15"/>
      <c r="I78" s="16"/>
      <c r="J78" s="15"/>
      <c r="K78" s="15"/>
      <c r="L78" s="15"/>
      <c r="M78" s="15"/>
      <c r="N78" s="15"/>
      <c r="O78" s="17"/>
      <c r="P78" s="17"/>
      <c r="Q78" s="15"/>
      <c r="R78" s="53"/>
      <c r="S78" s="15"/>
    </row>
    <row r="79" spans="1:19" s="14" customFormat="1" ht="9">
      <c r="A79" s="14" t="s">
        <v>245</v>
      </c>
      <c r="B79" s="15"/>
      <c r="C79" s="15"/>
      <c r="D79" s="15"/>
      <c r="E79" s="15"/>
      <c r="F79" s="15"/>
      <c r="G79" s="15"/>
      <c r="H79" s="15"/>
      <c r="I79" s="16"/>
      <c r="J79" s="15"/>
      <c r="K79" s="15"/>
      <c r="L79" s="15"/>
      <c r="M79" s="15"/>
      <c r="N79" s="15"/>
      <c r="O79" s="17"/>
      <c r="P79" s="17"/>
      <c r="Q79" s="15"/>
      <c r="S79" s="15"/>
    </row>
    <row r="80" spans="1:19" s="14" customFormat="1" ht="9">
      <c r="A80" s="14" t="s">
        <v>557</v>
      </c>
      <c r="B80" s="15"/>
      <c r="C80" s="15"/>
      <c r="D80" s="15"/>
      <c r="E80" s="15"/>
      <c r="F80" s="15"/>
      <c r="G80" s="15"/>
      <c r="H80" s="15"/>
      <c r="I80" s="16"/>
      <c r="J80" s="15"/>
      <c r="K80" s="15"/>
      <c r="L80" s="15"/>
      <c r="M80" s="15"/>
      <c r="N80" s="15"/>
      <c r="O80" s="17"/>
      <c r="P80" s="17"/>
      <c r="Q80" s="15"/>
      <c r="S80" s="15"/>
    </row>
    <row r="81" spans="1:19" s="14" customFormat="1" ht="9" customHeight="1">
      <c r="A81" s="409" t="s">
        <v>556</v>
      </c>
      <c r="B81" s="409"/>
      <c r="C81" s="409"/>
      <c r="D81" s="409"/>
      <c r="E81" s="409"/>
      <c r="F81" s="409"/>
      <c r="G81" s="409"/>
      <c r="H81" s="409"/>
      <c r="I81" s="409"/>
      <c r="J81" s="409"/>
      <c r="K81" s="409"/>
      <c r="L81" s="409"/>
      <c r="M81" s="409"/>
      <c r="N81" s="409"/>
      <c r="O81" s="409"/>
      <c r="P81" s="409"/>
      <c r="Q81" s="409"/>
      <c r="R81" s="409"/>
      <c r="S81" s="409"/>
    </row>
    <row r="82" spans="1:19" s="14" customFormat="1" ht="9">
      <c r="A82" s="98" t="s">
        <v>242</v>
      </c>
      <c r="B82" s="56"/>
      <c r="C82" s="56"/>
      <c r="D82" s="56"/>
      <c r="E82" s="56"/>
      <c r="F82" s="56"/>
      <c r="G82" s="56"/>
      <c r="H82" s="56"/>
      <c r="I82" s="57"/>
      <c r="J82" s="56"/>
      <c r="K82" s="56"/>
      <c r="L82" s="56"/>
      <c r="M82" s="56"/>
      <c r="N82" s="56"/>
      <c r="O82" s="17"/>
      <c r="P82" s="17"/>
      <c r="Q82" s="15"/>
      <c r="R82" s="98"/>
      <c r="S82" s="56"/>
    </row>
    <row r="83" spans="1:19" s="14" customFormat="1" ht="9">
      <c r="A83" s="376" t="s">
        <v>244</v>
      </c>
      <c r="B83" s="56"/>
      <c r="C83" s="56"/>
      <c r="D83" s="56"/>
      <c r="E83" s="56"/>
      <c r="F83" s="56"/>
      <c r="G83" s="56"/>
      <c r="H83" s="56"/>
      <c r="I83" s="57"/>
      <c r="J83" s="56"/>
      <c r="K83" s="56"/>
      <c r="L83" s="56"/>
      <c r="M83" s="56"/>
      <c r="N83" s="56"/>
      <c r="O83" s="17"/>
      <c r="P83" s="17"/>
      <c r="Q83" s="15"/>
    </row>
    <row r="84" spans="1:19" s="139" customFormat="1" ht="9">
      <c r="A84" s="139" t="s">
        <v>560</v>
      </c>
      <c r="N84" s="111"/>
      <c r="O84" s="141"/>
      <c r="P84" s="141"/>
      <c r="Q84" s="111"/>
    </row>
    <row r="85" spans="1:19" s="139" customFormat="1" ht="9">
      <c r="A85" s="14" t="s">
        <v>561</v>
      </c>
      <c r="B85" s="111"/>
      <c r="C85" s="111"/>
      <c r="D85" s="111"/>
      <c r="E85" s="111"/>
      <c r="F85" s="111"/>
      <c r="G85" s="111"/>
      <c r="H85" s="111"/>
      <c r="I85" s="140"/>
      <c r="J85" s="111"/>
      <c r="K85" s="111"/>
      <c r="L85" s="111"/>
      <c r="M85" s="111"/>
      <c r="N85" s="111"/>
      <c r="O85" s="141"/>
      <c r="P85" s="141"/>
      <c r="Q85" s="111"/>
    </row>
    <row r="86" spans="1:19" s="139" customFormat="1" ht="9">
      <c r="N86" s="111"/>
      <c r="O86" s="141"/>
      <c r="P86" s="141"/>
      <c r="Q86" s="111"/>
    </row>
    <row r="87" spans="1:19" s="139" customFormat="1" ht="9">
      <c r="B87" s="111"/>
      <c r="C87" s="111"/>
      <c r="D87" s="111"/>
      <c r="E87" s="111"/>
      <c r="F87" s="111"/>
      <c r="G87" s="111"/>
      <c r="H87" s="111"/>
      <c r="I87" s="140"/>
      <c r="J87" s="111"/>
      <c r="K87" s="111"/>
      <c r="L87" s="111"/>
      <c r="M87" s="111"/>
      <c r="N87" s="111"/>
      <c r="O87" s="141"/>
      <c r="P87" s="141"/>
      <c r="Q87" s="111"/>
    </row>
    <row r="88" spans="1:19" s="14" customFormat="1" ht="9">
      <c r="B88" s="15"/>
      <c r="C88" s="15"/>
      <c r="D88" s="15"/>
      <c r="E88" s="15"/>
      <c r="F88" s="15"/>
      <c r="G88" s="15"/>
      <c r="H88" s="15"/>
      <c r="I88" s="16"/>
      <c r="J88" s="15"/>
      <c r="K88" s="15"/>
      <c r="L88" s="15"/>
      <c r="M88" s="15"/>
      <c r="N88" s="15"/>
      <c r="O88" s="17"/>
      <c r="P88" s="17"/>
      <c r="Q88" s="15"/>
    </row>
    <row r="89" spans="1:19" s="14" customFormat="1" ht="9">
      <c r="B89" s="15"/>
      <c r="C89" s="15"/>
      <c r="D89" s="15"/>
      <c r="E89" s="15"/>
      <c r="F89" s="15"/>
      <c r="G89" s="15"/>
      <c r="H89" s="15"/>
      <c r="I89" s="16"/>
      <c r="J89" s="15"/>
      <c r="K89" s="15"/>
      <c r="L89" s="15"/>
      <c r="M89" s="15"/>
      <c r="N89" s="15"/>
      <c r="O89" s="17"/>
      <c r="P89" s="17"/>
      <c r="Q89" s="15"/>
    </row>
    <row r="90" spans="1:19" s="14" customFormat="1" ht="9">
      <c r="B90" s="15"/>
      <c r="C90" s="15"/>
      <c r="D90" s="15"/>
      <c r="E90" s="15"/>
      <c r="F90" s="15"/>
      <c r="G90" s="15"/>
      <c r="H90" s="15"/>
      <c r="I90" s="16"/>
      <c r="J90" s="15"/>
      <c r="K90" s="15"/>
      <c r="L90" s="15"/>
      <c r="M90" s="15"/>
      <c r="N90" s="15"/>
      <c r="O90" s="17"/>
      <c r="P90" s="17"/>
      <c r="Q90" s="15"/>
    </row>
    <row r="91" spans="1:19" s="14" customFormat="1" ht="9">
      <c r="B91" s="15"/>
      <c r="C91" s="15"/>
      <c r="D91" s="15"/>
      <c r="E91" s="15"/>
      <c r="F91" s="15"/>
      <c r="G91" s="15"/>
      <c r="H91" s="15"/>
      <c r="I91" s="16"/>
      <c r="J91" s="15"/>
      <c r="K91" s="15"/>
      <c r="L91" s="15"/>
      <c r="M91" s="15"/>
      <c r="N91" s="15"/>
      <c r="O91" s="17"/>
      <c r="P91" s="17"/>
      <c r="Q91" s="15"/>
    </row>
    <row r="92" spans="1:19" s="14" customFormat="1" ht="9">
      <c r="B92" s="15"/>
      <c r="C92" s="15"/>
      <c r="D92" s="15"/>
      <c r="E92" s="15"/>
      <c r="F92" s="15"/>
      <c r="G92" s="15"/>
      <c r="H92" s="15"/>
      <c r="I92" s="16"/>
      <c r="J92" s="15"/>
      <c r="K92" s="15"/>
      <c r="L92" s="15"/>
      <c r="M92" s="15"/>
      <c r="N92" s="15"/>
      <c r="O92" s="17"/>
      <c r="P92" s="17"/>
      <c r="Q92" s="15"/>
    </row>
    <row r="93" spans="1:19" s="14" customFormat="1" ht="9">
      <c r="B93" s="15"/>
      <c r="C93" s="15"/>
      <c r="D93" s="15"/>
      <c r="E93" s="15"/>
      <c r="F93" s="15"/>
      <c r="G93" s="15"/>
      <c r="H93" s="15"/>
      <c r="I93" s="16"/>
      <c r="J93" s="15"/>
      <c r="K93" s="15"/>
      <c r="L93" s="15"/>
      <c r="M93" s="15"/>
      <c r="N93" s="15"/>
      <c r="O93" s="17"/>
      <c r="P93" s="17"/>
      <c r="Q93" s="15"/>
    </row>
    <row r="94" spans="1:19" s="14" customFormat="1" ht="9">
      <c r="B94" s="15"/>
      <c r="C94" s="15"/>
      <c r="D94" s="15"/>
      <c r="E94" s="15"/>
      <c r="F94" s="15"/>
      <c r="G94" s="15"/>
      <c r="H94" s="15"/>
      <c r="I94" s="16"/>
      <c r="J94" s="15"/>
      <c r="K94" s="15"/>
      <c r="L94" s="15"/>
      <c r="M94" s="15"/>
      <c r="N94" s="15"/>
      <c r="O94" s="17"/>
      <c r="P94" s="17"/>
      <c r="Q94" s="15"/>
    </row>
    <row r="95" spans="1:19" s="14" customFormat="1" ht="9">
      <c r="B95" s="15"/>
      <c r="C95" s="15"/>
      <c r="D95" s="15"/>
      <c r="E95" s="15"/>
      <c r="F95" s="15"/>
      <c r="G95" s="15"/>
      <c r="H95" s="15"/>
      <c r="I95" s="16"/>
      <c r="J95" s="15"/>
      <c r="K95" s="15"/>
      <c r="L95" s="15"/>
      <c r="M95" s="15"/>
      <c r="N95" s="15"/>
      <c r="O95" s="17"/>
      <c r="P95" s="17"/>
      <c r="Q95" s="15"/>
    </row>
    <row r="96" spans="1:19" s="14" customFormat="1" ht="9">
      <c r="B96" s="15"/>
      <c r="C96" s="15"/>
      <c r="D96" s="15"/>
      <c r="E96" s="15"/>
      <c r="F96" s="15"/>
      <c r="G96" s="15"/>
      <c r="H96" s="15"/>
      <c r="I96" s="16"/>
      <c r="J96" s="15"/>
      <c r="K96" s="15"/>
      <c r="L96" s="15"/>
      <c r="M96" s="15"/>
      <c r="N96" s="15"/>
      <c r="O96" s="17"/>
      <c r="P96" s="17"/>
      <c r="Q96" s="15"/>
    </row>
    <row r="97" spans="2:17" s="14" customFormat="1" ht="9">
      <c r="B97" s="15"/>
      <c r="C97" s="15"/>
      <c r="D97" s="15"/>
      <c r="E97" s="15"/>
      <c r="F97" s="15"/>
      <c r="G97" s="15"/>
      <c r="H97" s="15"/>
      <c r="I97" s="16"/>
      <c r="J97" s="15"/>
      <c r="K97" s="15"/>
      <c r="L97" s="15"/>
      <c r="M97" s="15"/>
      <c r="N97" s="15"/>
      <c r="O97" s="17"/>
      <c r="P97" s="17"/>
      <c r="Q97" s="15"/>
    </row>
    <row r="98" spans="2:17" s="14" customFormat="1" ht="9">
      <c r="B98" s="15"/>
      <c r="C98" s="15"/>
      <c r="D98" s="15"/>
      <c r="E98" s="15"/>
      <c r="F98" s="15"/>
      <c r="G98" s="15"/>
      <c r="H98" s="15"/>
      <c r="I98" s="16"/>
      <c r="J98" s="15"/>
      <c r="K98" s="15"/>
      <c r="L98" s="15"/>
      <c r="M98" s="15"/>
      <c r="N98" s="15"/>
      <c r="O98" s="17"/>
      <c r="P98" s="17"/>
      <c r="Q98" s="15"/>
    </row>
    <row r="99" spans="2:17" s="14" customFormat="1" ht="9">
      <c r="B99" s="15"/>
      <c r="C99" s="15"/>
      <c r="D99" s="15"/>
      <c r="E99" s="15"/>
      <c r="F99" s="15"/>
      <c r="G99" s="15"/>
      <c r="H99" s="15"/>
      <c r="I99" s="16"/>
      <c r="J99" s="15"/>
      <c r="K99" s="15"/>
      <c r="L99" s="15"/>
      <c r="M99" s="15"/>
      <c r="N99" s="15"/>
      <c r="O99" s="17"/>
      <c r="P99" s="17"/>
      <c r="Q99" s="15"/>
    </row>
    <row r="100" spans="2:17" s="14" customFormat="1" ht="9">
      <c r="B100" s="15"/>
      <c r="C100" s="15"/>
      <c r="D100" s="15"/>
      <c r="E100" s="15"/>
      <c r="F100" s="15"/>
      <c r="G100" s="15"/>
      <c r="H100" s="15"/>
      <c r="I100" s="16"/>
      <c r="J100" s="15"/>
      <c r="K100" s="15"/>
      <c r="L100" s="15"/>
      <c r="M100" s="15"/>
      <c r="N100" s="15"/>
      <c r="O100" s="17"/>
      <c r="P100" s="17"/>
      <c r="Q100" s="15"/>
    </row>
    <row r="101" spans="2:17" s="14" customFormat="1" ht="9">
      <c r="B101" s="15"/>
      <c r="C101" s="15"/>
      <c r="D101" s="15"/>
      <c r="E101" s="15"/>
      <c r="F101" s="15"/>
      <c r="G101" s="15"/>
      <c r="H101" s="15"/>
      <c r="I101" s="16"/>
      <c r="J101" s="15"/>
      <c r="K101" s="15"/>
      <c r="L101" s="15"/>
      <c r="M101" s="15"/>
      <c r="N101" s="15"/>
      <c r="O101" s="17"/>
      <c r="P101" s="17"/>
      <c r="Q101" s="15"/>
    </row>
    <row r="102" spans="2:17" s="14" customFormat="1" ht="9">
      <c r="B102" s="15"/>
      <c r="C102" s="15"/>
      <c r="D102" s="15"/>
      <c r="E102" s="15"/>
      <c r="F102" s="15"/>
      <c r="G102" s="15"/>
      <c r="H102" s="15"/>
      <c r="I102" s="16"/>
      <c r="J102" s="15"/>
      <c r="K102" s="15"/>
      <c r="L102" s="15"/>
      <c r="M102" s="15"/>
      <c r="N102" s="15"/>
      <c r="O102" s="17"/>
      <c r="P102" s="17"/>
      <c r="Q102" s="15"/>
    </row>
    <row r="103" spans="2:17" s="14" customFormat="1" ht="9">
      <c r="B103" s="15"/>
      <c r="C103" s="15"/>
      <c r="D103" s="15"/>
      <c r="E103" s="15"/>
      <c r="F103" s="15"/>
      <c r="G103" s="15"/>
      <c r="H103" s="15"/>
      <c r="I103" s="16"/>
      <c r="J103" s="15"/>
      <c r="K103" s="15"/>
      <c r="L103" s="15"/>
      <c r="M103" s="15"/>
      <c r="N103" s="15"/>
      <c r="O103" s="17"/>
      <c r="P103" s="17"/>
      <c r="Q103" s="15"/>
    </row>
    <row r="104" spans="2:17" s="14" customFormat="1" ht="9">
      <c r="B104" s="15"/>
      <c r="C104" s="15"/>
      <c r="D104" s="15"/>
      <c r="E104" s="15"/>
      <c r="F104" s="15"/>
      <c r="G104" s="15"/>
      <c r="H104" s="15"/>
      <c r="I104" s="16"/>
      <c r="J104" s="15"/>
      <c r="K104" s="15"/>
      <c r="L104" s="15"/>
      <c r="M104" s="15"/>
      <c r="N104" s="15"/>
      <c r="O104" s="17"/>
      <c r="P104" s="17"/>
      <c r="Q104" s="15"/>
    </row>
    <row r="105" spans="2:17" s="14" customFormat="1" ht="9">
      <c r="B105" s="15"/>
      <c r="C105" s="15"/>
      <c r="D105" s="15"/>
      <c r="E105" s="15"/>
      <c r="F105" s="15"/>
      <c r="G105" s="15"/>
      <c r="H105" s="15"/>
      <c r="I105" s="16"/>
      <c r="J105" s="15"/>
      <c r="K105" s="15"/>
      <c r="L105" s="15"/>
      <c r="M105" s="15"/>
      <c r="N105" s="15"/>
      <c r="O105" s="17"/>
      <c r="P105" s="17"/>
      <c r="Q105" s="15"/>
    </row>
    <row r="106" spans="2:17" s="14" customFormat="1" ht="9">
      <c r="B106" s="15"/>
      <c r="C106" s="15"/>
      <c r="D106" s="15"/>
      <c r="E106" s="15"/>
      <c r="F106" s="15"/>
      <c r="G106" s="15"/>
      <c r="H106" s="15"/>
      <c r="I106" s="16"/>
      <c r="J106" s="15"/>
      <c r="K106" s="15"/>
      <c r="L106" s="15"/>
      <c r="M106" s="15"/>
      <c r="N106" s="15"/>
      <c r="O106" s="17"/>
      <c r="P106" s="17"/>
      <c r="Q106" s="15"/>
    </row>
    <row r="107" spans="2:17" s="14" customFormat="1" ht="9">
      <c r="B107" s="15"/>
      <c r="C107" s="15"/>
      <c r="D107" s="15"/>
      <c r="E107" s="15"/>
      <c r="F107" s="15"/>
      <c r="G107" s="15"/>
      <c r="H107" s="15"/>
      <c r="I107" s="16"/>
      <c r="J107" s="15"/>
      <c r="K107" s="15"/>
      <c r="L107" s="15"/>
      <c r="M107" s="15"/>
      <c r="N107" s="15"/>
      <c r="O107" s="17"/>
      <c r="P107" s="17"/>
      <c r="Q107" s="15"/>
    </row>
    <row r="108" spans="2:17" s="14" customFormat="1" ht="9">
      <c r="B108" s="15"/>
      <c r="C108" s="15"/>
      <c r="D108" s="15"/>
      <c r="E108" s="15"/>
      <c r="F108" s="15"/>
      <c r="G108" s="15"/>
      <c r="H108" s="15"/>
      <c r="I108" s="16"/>
      <c r="J108" s="15"/>
      <c r="K108" s="15"/>
      <c r="L108" s="15"/>
      <c r="M108" s="15"/>
      <c r="N108" s="15"/>
      <c r="O108" s="17"/>
      <c r="P108" s="17"/>
      <c r="Q108" s="15"/>
    </row>
    <row r="109" spans="2:17" s="14" customFormat="1" ht="9">
      <c r="B109" s="15"/>
      <c r="C109" s="15"/>
      <c r="D109" s="15"/>
      <c r="E109" s="15"/>
      <c r="F109" s="15"/>
      <c r="G109" s="15"/>
      <c r="H109" s="15"/>
      <c r="I109" s="16"/>
      <c r="J109" s="15"/>
      <c r="K109" s="15"/>
      <c r="L109" s="15"/>
      <c r="M109" s="15"/>
      <c r="N109" s="15"/>
      <c r="O109" s="17"/>
      <c r="P109" s="17"/>
      <c r="Q109" s="15"/>
    </row>
    <row r="110" spans="2:17" s="14" customFormat="1" ht="9">
      <c r="B110" s="15"/>
      <c r="C110" s="15"/>
      <c r="D110" s="15"/>
      <c r="E110" s="15"/>
      <c r="F110" s="15"/>
      <c r="G110" s="15"/>
      <c r="H110" s="15"/>
      <c r="I110" s="16"/>
      <c r="J110" s="15"/>
      <c r="K110" s="15"/>
      <c r="L110" s="15"/>
      <c r="M110" s="15"/>
      <c r="N110" s="15"/>
      <c r="O110" s="17"/>
      <c r="P110" s="17"/>
      <c r="Q110" s="15"/>
    </row>
    <row r="111" spans="2:17" s="14" customFormat="1" ht="9">
      <c r="B111" s="15"/>
      <c r="C111" s="15"/>
      <c r="D111" s="15"/>
      <c r="E111" s="15"/>
      <c r="F111" s="15"/>
      <c r="G111" s="15"/>
      <c r="H111" s="15"/>
      <c r="I111" s="16"/>
      <c r="J111" s="15"/>
      <c r="K111" s="15"/>
      <c r="L111" s="15"/>
      <c r="M111" s="15"/>
      <c r="N111" s="15"/>
      <c r="O111" s="17"/>
      <c r="P111" s="17"/>
      <c r="Q111" s="15"/>
    </row>
    <row r="112" spans="2:17" s="14" customFormat="1" ht="9">
      <c r="B112" s="15"/>
      <c r="C112" s="15"/>
      <c r="D112" s="15"/>
      <c r="E112" s="15"/>
      <c r="F112" s="15"/>
      <c r="G112" s="15"/>
      <c r="H112" s="15"/>
      <c r="I112" s="16"/>
      <c r="J112" s="15"/>
      <c r="K112" s="15"/>
      <c r="L112" s="15"/>
      <c r="M112" s="15"/>
      <c r="N112" s="15"/>
      <c r="O112" s="17"/>
      <c r="P112" s="17"/>
      <c r="Q112" s="15"/>
    </row>
    <row r="113" spans="2:17" s="14" customFormat="1" ht="9">
      <c r="B113" s="15"/>
      <c r="C113" s="15"/>
      <c r="D113" s="15"/>
      <c r="E113" s="15"/>
      <c r="F113" s="15"/>
      <c r="G113" s="15"/>
      <c r="H113" s="15"/>
      <c r="I113" s="16"/>
      <c r="J113" s="15"/>
      <c r="K113" s="15"/>
      <c r="L113" s="15"/>
      <c r="M113" s="15"/>
      <c r="N113" s="15"/>
      <c r="O113" s="17"/>
      <c r="P113" s="17"/>
      <c r="Q113" s="15"/>
    </row>
    <row r="114" spans="2:17" s="14" customFormat="1" ht="9">
      <c r="B114" s="15"/>
      <c r="C114" s="15"/>
      <c r="D114" s="15"/>
      <c r="E114" s="15"/>
      <c r="F114" s="15"/>
      <c r="G114" s="15"/>
      <c r="H114" s="15"/>
      <c r="I114" s="16"/>
      <c r="J114" s="15"/>
      <c r="K114" s="15"/>
      <c r="L114" s="15"/>
      <c r="M114" s="15"/>
      <c r="N114" s="15"/>
      <c r="O114" s="17"/>
      <c r="P114" s="17"/>
      <c r="Q114" s="15"/>
    </row>
    <row r="115" spans="2:17" s="14" customFormat="1" ht="9">
      <c r="B115" s="15"/>
      <c r="C115" s="15"/>
      <c r="D115" s="15"/>
      <c r="E115" s="15"/>
      <c r="F115" s="15"/>
      <c r="G115" s="15"/>
      <c r="H115" s="15"/>
      <c r="I115" s="16"/>
      <c r="J115" s="15"/>
      <c r="K115" s="15"/>
      <c r="L115" s="15"/>
      <c r="M115" s="15"/>
      <c r="N115" s="15"/>
      <c r="O115" s="17"/>
      <c r="P115" s="17"/>
      <c r="Q115" s="15"/>
    </row>
    <row r="116" spans="2:17" s="14" customFormat="1" ht="9">
      <c r="B116" s="15"/>
      <c r="C116" s="15"/>
      <c r="D116" s="15"/>
      <c r="E116" s="15"/>
      <c r="F116" s="15"/>
      <c r="G116" s="15"/>
      <c r="H116" s="15"/>
      <c r="I116" s="16"/>
      <c r="J116" s="15"/>
      <c r="K116" s="15"/>
      <c r="L116" s="15"/>
      <c r="M116" s="15"/>
      <c r="N116" s="15"/>
      <c r="O116" s="17"/>
      <c r="P116" s="17"/>
      <c r="Q116" s="15"/>
    </row>
    <row r="117" spans="2:17" s="14" customFormat="1" ht="9">
      <c r="B117" s="15"/>
      <c r="C117" s="15"/>
      <c r="D117" s="15"/>
      <c r="E117" s="15"/>
      <c r="F117" s="15"/>
      <c r="G117" s="15"/>
      <c r="H117" s="15"/>
      <c r="I117" s="16"/>
      <c r="J117" s="15"/>
      <c r="K117" s="15"/>
      <c r="L117" s="15"/>
      <c r="M117" s="15"/>
      <c r="N117" s="15"/>
      <c r="O117" s="17"/>
      <c r="P117" s="17"/>
      <c r="Q117" s="15"/>
    </row>
    <row r="118" spans="2:17" s="14" customFormat="1" ht="9">
      <c r="B118" s="15"/>
      <c r="C118" s="15"/>
      <c r="D118" s="15"/>
      <c r="E118" s="15"/>
      <c r="F118" s="15"/>
      <c r="G118" s="15"/>
      <c r="H118" s="15"/>
      <c r="I118" s="16"/>
      <c r="J118" s="15"/>
      <c r="K118" s="15"/>
      <c r="L118" s="15"/>
      <c r="M118" s="15"/>
      <c r="N118" s="15"/>
      <c r="O118" s="17"/>
      <c r="P118" s="17"/>
      <c r="Q118" s="15"/>
    </row>
    <row r="119" spans="2:17" s="14" customFormat="1" ht="9">
      <c r="B119" s="15"/>
      <c r="C119" s="15"/>
      <c r="D119" s="15"/>
      <c r="E119" s="15"/>
      <c r="F119" s="15"/>
      <c r="G119" s="15"/>
      <c r="H119" s="15"/>
      <c r="I119" s="16"/>
      <c r="J119" s="15"/>
      <c r="K119" s="15"/>
      <c r="L119" s="15"/>
      <c r="M119" s="15"/>
      <c r="N119" s="15"/>
      <c r="O119" s="17"/>
      <c r="P119" s="17"/>
      <c r="Q119" s="15"/>
    </row>
    <row r="120" spans="2:17" s="14" customFormat="1" ht="9">
      <c r="B120" s="15"/>
      <c r="C120" s="15"/>
      <c r="D120" s="15"/>
      <c r="E120" s="15"/>
      <c r="F120" s="15"/>
      <c r="G120" s="15"/>
      <c r="H120" s="15"/>
      <c r="I120" s="16"/>
      <c r="J120" s="15"/>
      <c r="K120" s="15"/>
      <c r="L120" s="15"/>
      <c r="M120" s="15"/>
      <c r="N120" s="15"/>
      <c r="O120" s="17"/>
      <c r="P120" s="17"/>
      <c r="Q120" s="15"/>
    </row>
    <row r="121" spans="2:17" s="14" customFormat="1" ht="9">
      <c r="B121" s="15"/>
      <c r="C121" s="15"/>
      <c r="D121" s="15"/>
      <c r="E121" s="15"/>
      <c r="F121" s="15"/>
      <c r="G121" s="15"/>
      <c r="H121" s="15"/>
      <c r="I121" s="16"/>
      <c r="J121" s="15"/>
      <c r="K121" s="15"/>
      <c r="L121" s="15"/>
      <c r="M121" s="15"/>
      <c r="N121" s="15"/>
      <c r="O121" s="17"/>
      <c r="P121" s="17"/>
      <c r="Q121" s="15"/>
    </row>
    <row r="122" spans="2:17" s="14" customFormat="1" ht="9">
      <c r="B122" s="15"/>
      <c r="C122" s="15"/>
      <c r="D122" s="15"/>
      <c r="E122" s="15"/>
      <c r="F122" s="15"/>
      <c r="G122" s="15"/>
      <c r="H122" s="15"/>
      <c r="I122" s="16"/>
      <c r="J122" s="15"/>
      <c r="K122" s="15"/>
      <c r="L122" s="15"/>
      <c r="M122" s="15"/>
      <c r="N122" s="15"/>
      <c r="O122" s="17"/>
      <c r="P122" s="17"/>
      <c r="Q122" s="15"/>
    </row>
    <row r="123" spans="2:17" s="14" customFormat="1" ht="9">
      <c r="B123" s="15"/>
      <c r="C123" s="15"/>
      <c r="D123" s="15"/>
      <c r="E123" s="15"/>
      <c r="F123" s="15"/>
      <c r="G123" s="15"/>
      <c r="H123" s="15"/>
      <c r="I123" s="16"/>
      <c r="J123" s="15"/>
      <c r="K123" s="15"/>
      <c r="L123" s="15"/>
      <c r="M123" s="15"/>
      <c r="N123" s="15"/>
      <c r="O123" s="17"/>
      <c r="P123" s="17"/>
      <c r="Q123" s="15"/>
    </row>
    <row r="124" spans="2:17" s="14" customFormat="1" ht="9">
      <c r="B124" s="15"/>
      <c r="C124" s="15"/>
      <c r="D124" s="15"/>
      <c r="E124" s="15"/>
      <c r="F124" s="15"/>
      <c r="G124" s="15"/>
      <c r="H124" s="15"/>
      <c r="I124" s="16"/>
      <c r="J124" s="15"/>
      <c r="K124" s="15"/>
      <c r="L124" s="15"/>
      <c r="M124" s="15"/>
      <c r="N124" s="15"/>
      <c r="O124" s="17"/>
      <c r="P124" s="17"/>
      <c r="Q124" s="15"/>
    </row>
    <row r="125" spans="2:17" s="14" customFormat="1" ht="9">
      <c r="B125" s="15"/>
      <c r="C125" s="15"/>
      <c r="D125" s="15"/>
      <c r="E125" s="15"/>
      <c r="F125" s="15"/>
      <c r="G125" s="15"/>
      <c r="H125" s="15"/>
      <c r="I125" s="16"/>
      <c r="J125" s="15"/>
      <c r="K125" s="15"/>
      <c r="L125" s="15"/>
      <c r="M125" s="15"/>
      <c r="N125" s="15"/>
      <c r="O125" s="17"/>
      <c r="P125" s="17"/>
      <c r="Q125" s="15"/>
    </row>
    <row r="126" spans="2:17" s="14" customFormat="1" ht="9">
      <c r="B126" s="15"/>
      <c r="C126" s="15"/>
      <c r="D126" s="15"/>
      <c r="E126" s="15"/>
      <c r="F126" s="15"/>
      <c r="G126" s="15"/>
      <c r="H126" s="15"/>
      <c r="I126" s="16"/>
      <c r="J126" s="15"/>
      <c r="K126" s="15"/>
      <c r="L126" s="15"/>
      <c r="M126" s="15"/>
      <c r="N126" s="15"/>
      <c r="O126" s="17"/>
      <c r="P126" s="17"/>
      <c r="Q126" s="15"/>
    </row>
    <row r="127" spans="2:17" s="14" customFormat="1" ht="9">
      <c r="B127" s="15"/>
      <c r="C127" s="15"/>
      <c r="D127" s="15"/>
      <c r="E127" s="15"/>
      <c r="F127" s="15"/>
      <c r="G127" s="15"/>
      <c r="H127" s="15"/>
      <c r="I127" s="16"/>
      <c r="J127" s="15"/>
      <c r="K127" s="15"/>
      <c r="L127" s="15"/>
      <c r="M127" s="15"/>
      <c r="N127" s="15"/>
      <c r="O127" s="17"/>
      <c r="P127" s="17"/>
      <c r="Q127" s="15"/>
    </row>
    <row r="128" spans="2:17" s="14" customFormat="1" ht="9">
      <c r="B128" s="15"/>
      <c r="C128" s="15"/>
      <c r="D128" s="15"/>
      <c r="E128" s="15"/>
      <c r="F128" s="15"/>
      <c r="G128" s="15"/>
      <c r="H128" s="15"/>
      <c r="I128" s="16"/>
      <c r="J128" s="15"/>
      <c r="K128" s="15"/>
      <c r="L128" s="15"/>
      <c r="M128" s="15"/>
      <c r="N128" s="15"/>
      <c r="O128" s="17"/>
      <c r="P128" s="17"/>
      <c r="Q128" s="15"/>
    </row>
    <row r="129" spans="2:18" s="14" customFormat="1">
      <c r="B129" s="15"/>
      <c r="C129" s="15"/>
      <c r="D129" s="15"/>
      <c r="E129" s="15"/>
      <c r="F129" s="15"/>
      <c r="G129" s="15"/>
      <c r="H129" s="15"/>
      <c r="I129" s="16"/>
      <c r="J129" s="15"/>
      <c r="K129" s="15"/>
      <c r="L129" s="15"/>
      <c r="M129" s="15"/>
      <c r="N129" s="15"/>
      <c r="O129" s="17"/>
      <c r="P129" s="17"/>
      <c r="Q129" s="15"/>
      <c r="R129" s="1"/>
    </row>
    <row r="130" spans="2:18" s="14" customFormat="1">
      <c r="B130" s="15"/>
      <c r="C130" s="15"/>
      <c r="D130" s="15"/>
      <c r="E130" s="15"/>
      <c r="F130" s="15"/>
      <c r="G130" s="15"/>
      <c r="H130" s="15"/>
      <c r="I130" s="16"/>
      <c r="J130" s="15"/>
      <c r="K130" s="15"/>
      <c r="L130" s="15"/>
      <c r="M130" s="15"/>
      <c r="N130" s="15"/>
      <c r="O130" s="17"/>
      <c r="P130" s="17"/>
      <c r="Q130" s="15"/>
      <c r="R130" s="1"/>
    </row>
    <row r="131" spans="2:18">
      <c r="P131" s="17"/>
    </row>
    <row r="132" spans="2:18">
      <c r="P132" s="17"/>
    </row>
  </sheetData>
  <mergeCells count="11">
    <mergeCell ref="A81:Q81"/>
    <mergeCell ref="R81:S81"/>
    <mergeCell ref="R73:S73"/>
    <mergeCell ref="R74:S74"/>
    <mergeCell ref="R75:S75"/>
    <mergeCell ref="A77:M77"/>
    <mergeCell ref="A1:Q1"/>
    <mergeCell ref="A2:Q2"/>
    <mergeCell ref="A75:Q75"/>
    <mergeCell ref="A73:O73"/>
    <mergeCell ref="A74:O74"/>
  </mergeCells>
  <phoneticPr fontId="7" type="noConversion"/>
  <pageMargins left="0.25" right="0.25" top="0.5" bottom="0.75" header="0.5" footer="0.5"/>
  <pageSetup scale="58" orientation="landscape" r:id="rId1"/>
  <headerFooter alignWithMargins="0"/>
</worksheet>
</file>

<file path=xl/worksheets/sheet16.xml><?xml version="1.0" encoding="utf-8"?>
<worksheet xmlns="http://schemas.openxmlformats.org/spreadsheetml/2006/main" xmlns:r="http://schemas.openxmlformats.org/officeDocument/2006/relationships">
  <sheetPr>
    <pageSetUpPr fitToPage="1"/>
  </sheetPr>
  <dimension ref="A1:S124"/>
  <sheetViews>
    <sheetView zoomScaleNormal="100" workbookViewId="0">
      <pane xSplit="1" ySplit="3" topLeftCell="B43" activePane="bottomRight" state="frozen"/>
      <selection activeCell="P31" sqref="P31"/>
      <selection pane="topRight" activeCell="P31" sqref="P31"/>
      <selection pane="bottomLeft" activeCell="P31" sqref="P31"/>
      <selection pane="bottomRight" activeCell="Q68" sqref="Q68"/>
    </sheetView>
  </sheetViews>
  <sheetFormatPr defaultRowHeight="11.25"/>
  <cols>
    <col min="1" max="1" width="38.28515625" style="1" customWidth="1"/>
    <col min="2" max="2" width="8.85546875" style="7" bestFit="1" customWidth="1"/>
    <col min="3" max="3" width="8" style="7" hidden="1" customWidth="1"/>
    <col min="4" max="4" width="8.42578125" style="7" bestFit="1" customWidth="1"/>
    <col min="5" max="5" width="8.85546875" style="7" bestFit="1" customWidth="1"/>
    <col min="6" max="6" width="8" style="7" customWidth="1"/>
    <col min="7" max="7" width="9.28515625" style="7" bestFit="1" customWidth="1"/>
    <col min="8" max="8" width="8.140625" style="7" customWidth="1"/>
    <col min="9" max="9" width="9.42578125" style="11" bestFit="1" customWidth="1"/>
    <col min="10" max="11" width="6.85546875" style="7" bestFit="1" customWidth="1"/>
    <col min="12" max="12" width="8.5703125" style="7" customWidth="1"/>
    <col min="13" max="13" width="7.85546875" style="7" hidden="1" customWidth="1"/>
    <col min="14" max="14" width="10.140625" style="7" customWidth="1"/>
    <col min="15" max="15" width="10.140625" style="8" bestFit="1" customWidth="1"/>
    <col min="16" max="16" width="10" style="8" bestFit="1" customWidth="1"/>
    <col min="17" max="17" width="4.28515625" style="7" bestFit="1" customWidth="1"/>
    <col min="18" max="19" width="9.140625" style="1" hidden="1" customWidth="1"/>
    <col min="20" max="16384" width="9.140625" style="1"/>
  </cols>
  <sheetData>
    <row r="1" spans="1:19">
      <c r="A1" s="395" t="s">
        <v>185</v>
      </c>
      <c r="B1" s="395"/>
      <c r="C1" s="395"/>
      <c r="D1" s="395"/>
      <c r="E1" s="395"/>
      <c r="F1" s="395"/>
      <c r="G1" s="395"/>
      <c r="H1" s="395"/>
      <c r="I1" s="395"/>
      <c r="J1" s="395"/>
      <c r="K1" s="395"/>
      <c r="L1" s="395"/>
      <c r="M1" s="395"/>
      <c r="N1" s="395"/>
      <c r="O1" s="395"/>
      <c r="P1" s="395"/>
      <c r="Q1" s="395"/>
    </row>
    <row r="2" spans="1:19">
      <c r="A2" s="407" t="s">
        <v>102</v>
      </c>
      <c r="B2" s="407"/>
      <c r="C2" s="407"/>
      <c r="D2" s="407"/>
      <c r="E2" s="407"/>
      <c r="F2" s="407"/>
      <c r="G2" s="407"/>
      <c r="H2" s="407"/>
      <c r="I2" s="407"/>
      <c r="J2" s="407"/>
      <c r="K2" s="407"/>
      <c r="L2" s="407"/>
      <c r="M2" s="407"/>
      <c r="N2" s="407"/>
      <c r="O2" s="407"/>
      <c r="P2" s="407"/>
      <c r="Q2" s="407"/>
    </row>
    <row r="3" spans="1:19" s="3" customFormat="1" ht="63">
      <c r="A3" s="251" t="s">
        <v>392</v>
      </c>
      <c r="B3" s="45" t="s">
        <v>393</v>
      </c>
      <c r="C3" s="45" t="s">
        <v>430</v>
      </c>
      <c r="D3" s="45" t="s">
        <v>4</v>
      </c>
      <c r="E3" s="45" t="s">
        <v>6</v>
      </c>
      <c r="F3" s="45" t="s">
        <v>5</v>
      </c>
      <c r="G3" s="45" t="s">
        <v>176</v>
      </c>
      <c r="H3" s="45" t="s">
        <v>459</v>
      </c>
      <c r="I3" s="60" t="s">
        <v>460</v>
      </c>
      <c r="J3" s="100" t="s">
        <v>462</v>
      </c>
      <c r="K3" s="100" t="s">
        <v>463</v>
      </c>
      <c r="L3" s="100" t="s">
        <v>461</v>
      </c>
      <c r="M3" s="45" t="s">
        <v>391</v>
      </c>
      <c r="N3" s="45" t="s">
        <v>8</v>
      </c>
      <c r="O3" s="100" t="s">
        <v>9</v>
      </c>
      <c r="P3" s="100" t="s">
        <v>175</v>
      </c>
      <c r="Q3" s="182" t="s">
        <v>394</v>
      </c>
      <c r="R3" s="3" t="s">
        <v>307</v>
      </c>
      <c r="S3" s="3" t="s">
        <v>308</v>
      </c>
    </row>
    <row r="4" spans="1:19" s="6" customFormat="1" ht="9">
      <c r="A4" s="178" t="s">
        <v>405</v>
      </c>
      <c r="B4" s="179" t="s">
        <v>433</v>
      </c>
      <c r="C4" s="179"/>
      <c r="D4" s="181"/>
      <c r="E4" s="181"/>
      <c r="F4" s="181"/>
      <c r="G4" s="179"/>
      <c r="H4" s="179"/>
      <c r="I4" s="183"/>
      <c r="J4" s="183"/>
      <c r="K4" s="183"/>
      <c r="L4" s="183"/>
      <c r="M4" s="179"/>
      <c r="N4" s="181"/>
      <c r="O4" s="181"/>
      <c r="P4" s="181"/>
      <c r="Q4" s="249"/>
    </row>
    <row r="5" spans="1:19" s="6" customFormat="1" ht="9">
      <c r="A5" s="142" t="s">
        <v>406</v>
      </c>
      <c r="B5" s="44" t="s">
        <v>433</v>
      </c>
      <c r="C5" s="44"/>
      <c r="D5" s="52"/>
      <c r="E5" s="52"/>
      <c r="F5" s="52"/>
      <c r="G5" s="44"/>
      <c r="H5" s="44"/>
      <c r="I5" s="92"/>
      <c r="J5" s="92"/>
      <c r="K5" s="92"/>
      <c r="L5" s="92"/>
      <c r="M5" s="44"/>
      <c r="N5" s="52"/>
      <c r="O5" s="52"/>
      <c r="P5" s="52"/>
      <c r="Q5" s="94"/>
    </row>
    <row r="6" spans="1:19" s="6" customFormat="1" ht="9">
      <c r="A6" s="142" t="s">
        <v>407</v>
      </c>
      <c r="B6" s="44"/>
      <c r="C6" s="44"/>
      <c r="D6" s="52"/>
      <c r="E6" s="52"/>
      <c r="F6" s="52"/>
      <c r="G6" s="44"/>
      <c r="H6" s="44"/>
      <c r="I6" s="92"/>
      <c r="J6" s="92"/>
      <c r="K6" s="92"/>
      <c r="L6" s="92"/>
      <c r="M6" s="44"/>
      <c r="N6" s="52"/>
      <c r="O6" s="52"/>
      <c r="P6" s="52"/>
      <c r="Q6" s="94"/>
    </row>
    <row r="7" spans="1:19" s="6" customFormat="1" ht="9">
      <c r="A7" s="143" t="s">
        <v>408</v>
      </c>
      <c r="B7" s="44">
        <v>40</v>
      </c>
      <c r="C7" s="44"/>
      <c r="D7" s="52">
        <v>0</v>
      </c>
      <c r="E7" s="52">
        <v>0</v>
      </c>
      <c r="F7" s="52">
        <v>0</v>
      </c>
      <c r="G7" s="44">
        <v>1</v>
      </c>
      <c r="H7" s="44">
        <f>B7*G7</f>
        <v>40</v>
      </c>
      <c r="I7" s="91">
        <v>0</v>
      </c>
      <c r="J7" s="92">
        <f>H7*I7</f>
        <v>0</v>
      </c>
      <c r="K7" s="92">
        <f>J7*0.1</f>
        <v>0</v>
      </c>
      <c r="L7" s="91">
        <f>J7*0.05</f>
        <v>0</v>
      </c>
      <c r="M7" s="44">
        <f>C7*G7*I7</f>
        <v>0</v>
      </c>
      <c r="N7" s="52">
        <f>(J7*'Base Data'!$C$5)+(K7*'Base Data'!$C$6)+(L7*'Base Data'!$C$7)</f>
        <v>0</v>
      </c>
      <c r="O7" s="52">
        <f>(D7+E7+F7)*G7*I7</f>
        <v>0</v>
      </c>
      <c r="P7" s="92">
        <v>0</v>
      </c>
      <c r="Q7" s="94" t="s">
        <v>387</v>
      </c>
    </row>
    <row r="8" spans="1:19" s="6" customFormat="1" ht="9">
      <c r="A8" s="142" t="s">
        <v>409</v>
      </c>
      <c r="B8" s="44"/>
      <c r="C8" s="44"/>
      <c r="D8" s="52"/>
      <c r="E8" s="52"/>
      <c r="F8" s="52"/>
      <c r="G8" s="44"/>
      <c r="H8" s="44"/>
      <c r="I8" s="92"/>
      <c r="J8" s="92"/>
      <c r="K8" s="92"/>
      <c r="L8" s="92"/>
      <c r="M8" s="44"/>
      <c r="N8" s="52"/>
      <c r="O8" s="52"/>
      <c r="P8" s="92"/>
      <c r="Q8" s="94"/>
    </row>
    <row r="9" spans="1:19" s="6" customFormat="1" ht="9">
      <c r="A9" s="143" t="s">
        <v>423</v>
      </c>
      <c r="B9" s="44"/>
      <c r="C9" s="44"/>
      <c r="D9" s="95"/>
      <c r="E9" s="52"/>
      <c r="F9" s="52"/>
      <c r="G9" s="44"/>
      <c r="H9" s="44"/>
      <c r="I9" s="91"/>
      <c r="J9" s="92"/>
      <c r="K9" s="92"/>
      <c r="L9" s="92"/>
      <c r="M9" s="93"/>
      <c r="N9" s="52"/>
      <c r="O9" s="52"/>
      <c r="P9" s="92"/>
      <c r="Q9" s="94"/>
    </row>
    <row r="10" spans="1:19" s="6" customFormat="1" ht="9">
      <c r="A10" s="142" t="s">
        <v>274</v>
      </c>
      <c r="B10" s="44">
        <v>20</v>
      </c>
      <c r="C10" s="44"/>
      <c r="D10" s="52">
        <v>854</v>
      </c>
      <c r="E10" s="52">
        <v>0</v>
      </c>
      <c r="F10" s="52">
        <v>0</v>
      </c>
      <c r="G10" s="44">
        <v>1</v>
      </c>
      <c r="H10" s="44">
        <f>B10*G10</f>
        <v>20</v>
      </c>
      <c r="I10" s="91">
        <f>ROUND('Testing Costs'!$C$22*(SUM('Base Data'!$H$28:$H$30,'Base Data'!$H$33:$H$35,'Base Data'!$H$38:$H$40)/2),0)</f>
        <v>33</v>
      </c>
      <c r="J10" s="92">
        <f>H10*I10</f>
        <v>660</v>
      </c>
      <c r="K10" s="92">
        <f t="shared" ref="K10:K24" si="0">J10*0.1</f>
        <v>66</v>
      </c>
      <c r="L10" s="92">
        <f>J10*0.05</f>
        <v>33</v>
      </c>
      <c r="M10" s="93">
        <f>C10*G10*I10</f>
        <v>0</v>
      </c>
      <c r="N10" s="52">
        <f>(J10*'Base Data'!$C$5)+(K10*'Base Data'!$C$6)+(L10*'Base Data'!$C$7)</f>
        <v>71793.149999999994</v>
      </c>
      <c r="O10" s="52">
        <f>(D10+E10+F10)*G10*I10</f>
        <v>28182</v>
      </c>
      <c r="P10" s="92">
        <v>0</v>
      </c>
      <c r="Q10" s="94" t="s">
        <v>440</v>
      </c>
    </row>
    <row r="11" spans="1:19" s="6" customFormat="1" ht="9">
      <c r="A11" s="142" t="s">
        <v>276</v>
      </c>
      <c r="B11" s="44">
        <v>20</v>
      </c>
      <c r="C11" s="44"/>
      <c r="D11" s="52">
        <v>18292</v>
      </c>
      <c r="E11" s="52">
        <v>0</v>
      </c>
      <c r="F11" s="52">
        <v>0</v>
      </c>
      <c r="G11" s="44">
        <v>1</v>
      </c>
      <c r="H11" s="44">
        <f>B11*G11</f>
        <v>20</v>
      </c>
      <c r="I11" s="91">
        <f>ROUND('Testing Costs'!$C$23*(SUM('Base Data'!$H$28:$H$30,'Base Data'!$H$33:$H$35,'Base Data'!$H$38:$H$40)/2),0)</f>
        <v>231</v>
      </c>
      <c r="J11" s="92">
        <f>H11*I11</f>
        <v>4620</v>
      </c>
      <c r="K11" s="92">
        <f t="shared" si="0"/>
        <v>462</v>
      </c>
      <c r="L11" s="92">
        <f>J11*0.05</f>
        <v>231</v>
      </c>
      <c r="M11" s="93">
        <f>C11*G11*I11</f>
        <v>0</v>
      </c>
      <c r="N11" s="52">
        <f>(J11*'Base Data'!$C$5)+(K11*'Base Data'!$C$6)+(L11*'Base Data'!$C$7)</f>
        <v>502552.05</v>
      </c>
      <c r="O11" s="52">
        <f>(D11+E11+F11)*G11*I11</f>
        <v>4225452</v>
      </c>
      <c r="P11" s="92">
        <v>0</v>
      </c>
      <c r="Q11" s="94" t="s">
        <v>440</v>
      </c>
    </row>
    <row r="12" spans="1:19" s="6" customFormat="1" ht="9">
      <c r="A12" s="143" t="s">
        <v>357</v>
      </c>
      <c r="B12" s="44">
        <v>12</v>
      </c>
      <c r="C12" s="44"/>
      <c r="D12" s="52">
        <v>0</v>
      </c>
      <c r="E12" s="52">
        <f>'Testing Costs'!$B$13</f>
        <v>5000</v>
      </c>
      <c r="F12" s="52">
        <v>0</v>
      </c>
      <c r="G12" s="44">
        <v>1</v>
      </c>
      <c r="H12" s="44">
        <f t="shared" ref="H12:H24" si="1">B12*G12</f>
        <v>12</v>
      </c>
      <c r="I12" s="91">
        <f>ROUND(SUM('Base Data'!$D$38:$D$40)/2,0)</f>
        <v>36</v>
      </c>
      <c r="J12" s="92">
        <f t="shared" ref="J12:J24" si="2">H12*I12</f>
        <v>432</v>
      </c>
      <c r="K12" s="92">
        <f t="shared" si="0"/>
        <v>43.2</v>
      </c>
      <c r="L12" s="92">
        <f t="shared" ref="L12:L24" si="3">J12*0.05</f>
        <v>21.6</v>
      </c>
      <c r="M12" s="93"/>
      <c r="N12" s="52">
        <f>(J12*'Base Data'!$C$5)+(K12*'Base Data'!$C$6)+(L12*'Base Data'!$C$7)</f>
        <v>46991.88</v>
      </c>
      <c r="O12" s="52">
        <f t="shared" ref="O12:O24" si="4">(D12+E12+F12)*G12*I12</f>
        <v>180000</v>
      </c>
      <c r="P12" s="92">
        <v>0</v>
      </c>
      <c r="Q12" s="94" t="s">
        <v>257</v>
      </c>
    </row>
    <row r="13" spans="1:19" s="6" customFormat="1" ht="9">
      <c r="A13" s="143" t="s">
        <v>358</v>
      </c>
      <c r="B13" s="44">
        <v>12</v>
      </c>
      <c r="C13" s="44"/>
      <c r="D13" s="52">
        <v>0</v>
      </c>
      <c r="E13" s="52">
        <f>'Testing Costs'!$B$17</f>
        <v>8000</v>
      </c>
      <c r="F13" s="52">
        <v>0</v>
      </c>
      <c r="G13" s="44">
        <v>1</v>
      </c>
      <c r="H13" s="44">
        <f t="shared" si="1"/>
        <v>12</v>
      </c>
      <c r="I13" s="91">
        <f>ROUND(SUM('Base Data'!$D$38:$D$40)/2,0)</f>
        <v>36</v>
      </c>
      <c r="J13" s="92">
        <f t="shared" si="2"/>
        <v>432</v>
      </c>
      <c r="K13" s="92">
        <f t="shared" si="0"/>
        <v>43.2</v>
      </c>
      <c r="L13" s="92">
        <f t="shared" si="3"/>
        <v>21.6</v>
      </c>
      <c r="M13" s="93"/>
      <c r="N13" s="52">
        <f>(J13*'Base Data'!$C$5)+(K13*'Base Data'!$C$6)+(L13*'Base Data'!$C$7)</f>
        <v>46991.88</v>
      </c>
      <c r="O13" s="52">
        <f t="shared" si="4"/>
        <v>288000</v>
      </c>
      <c r="P13" s="92">
        <v>0</v>
      </c>
      <c r="Q13" s="94" t="s">
        <v>257</v>
      </c>
    </row>
    <row r="14" spans="1:19" s="6" customFormat="1" ht="9">
      <c r="A14" s="143" t="s">
        <v>359</v>
      </c>
      <c r="B14" s="44">
        <v>12</v>
      </c>
      <c r="C14" s="44"/>
      <c r="D14" s="52">
        <v>0</v>
      </c>
      <c r="E14" s="52">
        <f>'Testing Costs'!$B$15</f>
        <v>8000</v>
      </c>
      <c r="F14" s="52">
        <v>0</v>
      </c>
      <c r="G14" s="44">
        <v>1</v>
      </c>
      <c r="H14" s="44">
        <f t="shared" si="1"/>
        <v>12</v>
      </c>
      <c r="I14" s="91">
        <f>ROUND(SUM('Base Data'!$D$38:$D$40)/2,0)</f>
        <v>36</v>
      </c>
      <c r="J14" s="92">
        <f t="shared" si="2"/>
        <v>432</v>
      </c>
      <c r="K14" s="92">
        <f t="shared" si="0"/>
        <v>43.2</v>
      </c>
      <c r="L14" s="92">
        <f t="shared" si="3"/>
        <v>21.6</v>
      </c>
      <c r="M14" s="93"/>
      <c r="N14" s="52">
        <f>(J14*'Base Data'!$C$5)+(K14*'Base Data'!$C$6)+(L14*'Base Data'!$C$7)</f>
        <v>46991.88</v>
      </c>
      <c r="O14" s="52">
        <f t="shared" si="4"/>
        <v>288000</v>
      </c>
      <c r="P14" s="92">
        <v>0</v>
      </c>
      <c r="Q14" s="94" t="s">
        <v>257</v>
      </c>
    </row>
    <row r="15" spans="1:19" s="6" customFormat="1" ht="9">
      <c r="A15" s="143" t="s">
        <v>198</v>
      </c>
      <c r="B15" s="44">
        <v>12</v>
      </c>
      <c r="C15" s="44"/>
      <c r="D15" s="52">
        <v>0</v>
      </c>
      <c r="E15" s="52">
        <f>'Testing Costs'!$B$14</f>
        <v>7000</v>
      </c>
      <c r="F15" s="52">
        <v>0</v>
      </c>
      <c r="G15" s="44">
        <v>1</v>
      </c>
      <c r="H15" s="44">
        <f t="shared" si="1"/>
        <v>12</v>
      </c>
      <c r="I15" s="91">
        <f>ROUND(SUM('Base Data'!$D$38:$D$40)/2,0)</f>
        <v>36</v>
      </c>
      <c r="J15" s="92">
        <f t="shared" si="2"/>
        <v>432</v>
      </c>
      <c r="K15" s="92">
        <f t="shared" si="0"/>
        <v>43.2</v>
      </c>
      <c r="L15" s="92">
        <f t="shared" si="3"/>
        <v>21.6</v>
      </c>
      <c r="M15" s="93"/>
      <c r="N15" s="52">
        <f>(J15*'Base Data'!$C$5)+(K15*'Base Data'!$C$6)+(L15*'Base Data'!$C$7)</f>
        <v>46991.88</v>
      </c>
      <c r="O15" s="52">
        <f t="shared" si="4"/>
        <v>252000</v>
      </c>
      <c r="P15" s="92">
        <v>0</v>
      </c>
      <c r="Q15" s="94" t="s">
        <v>257</v>
      </c>
    </row>
    <row r="16" spans="1:19" s="6" customFormat="1" ht="9">
      <c r="A16" s="143" t="s">
        <v>365</v>
      </c>
      <c r="B16" s="44">
        <v>12</v>
      </c>
      <c r="C16" s="44"/>
      <c r="D16" s="52">
        <v>0</v>
      </c>
      <c r="E16" s="52">
        <f>'Testing Costs'!$B$16</f>
        <v>16000</v>
      </c>
      <c r="F16" s="52">
        <v>0</v>
      </c>
      <c r="G16" s="44">
        <v>1</v>
      </c>
      <c r="H16" s="44">
        <f t="shared" si="1"/>
        <v>12</v>
      </c>
      <c r="I16" s="91">
        <f>ROUND(SUM('Base Data'!$D$38:$D$40)/2,0)</f>
        <v>36</v>
      </c>
      <c r="J16" s="92">
        <f t="shared" si="2"/>
        <v>432</v>
      </c>
      <c r="K16" s="92">
        <f t="shared" si="0"/>
        <v>43.2</v>
      </c>
      <c r="L16" s="92">
        <f t="shared" si="3"/>
        <v>21.6</v>
      </c>
      <c r="M16" s="93"/>
      <c r="N16" s="52">
        <f>(J16*'Base Data'!$C$5)+(K16*'Base Data'!$C$6)+(L16*'Base Data'!$C$7)</f>
        <v>46991.88</v>
      </c>
      <c r="O16" s="52">
        <f t="shared" si="4"/>
        <v>576000</v>
      </c>
      <c r="P16" s="92">
        <v>0</v>
      </c>
      <c r="Q16" s="94" t="s">
        <v>257</v>
      </c>
    </row>
    <row r="17" spans="1:17" s="6" customFormat="1" ht="9" customHeight="1">
      <c r="A17" s="143" t="s">
        <v>264</v>
      </c>
      <c r="B17" s="44">
        <v>12</v>
      </c>
      <c r="C17" s="44"/>
      <c r="D17" s="52">
        <v>0</v>
      </c>
      <c r="E17" s="52">
        <f>'Testing Costs'!$B$13</f>
        <v>5000</v>
      </c>
      <c r="F17" s="52">
        <v>0</v>
      </c>
      <c r="G17" s="44">
        <v>1</v>
      </c>
      <c r="H17" s="44">
        <f t="shared" si="1"/>
        <v>12</v>
      </c>
      <c r="I17" s="91">
        <v>0</v>
      </c>
      <c r="J17" s="92">
        <f t="shared" si="2"/>
        <v>0</v>
      </c>
      <c r="K17" s="92">
        <f t="shared" si="0"/>
        <v>0</v>
      </c>
      <c r="L17" s="92">
        <f t="shared" si="3"/>
        <v>0</v>
      </c>
      <c r="M17" s="93"/>
      <c r="N17" s="52">
        <f>(J17*'Base Data'!$C$5)+(K17*'Base Data'!$C$6)+(L17*'Base Data'!$C$7)</f>
        <v>0</v>
      </c>
      <c r="O17" s="52">
        <f t="shared" si="4"/>
        <v>0</v>
      </c>
      <c r="P17" s="92">
        <v>0</v>
      </c>
      <c r="Q17" s="94" t="s">
        <v>257</v>
      </c>
    </row>
    <row r="18" spans="1:17" s="6" customFormat="1" ht="9">
      <c r="A18" s="143" t="s">
        <v>265</v>
      </c>
      <c r="B18" s="44">
        <v>12</v>
      </c>
      <c r="C18" s="44"/>
      <c r="D18" s="52">
        <v>0</v>
      </c>
      <c r="E18" s="52">
        <f>'Testing Costs'!$B$17</f>
        <v>8000</v>
      </c>
      <c r="F18" s="52">
        <v>0</v>
      </c>
      <c r="G18" s="44">
        <v>1</v>
      </c>
      <c r="H18" s="44">
        <f t="shared" si="1"/>
        <v>12</v>
      </c>
      <c r="I18" s="91">
        <v>0</v>
      </c>
      <c r="J18" s="92">
        <f t="shared" si="2"/>
        <v>0</v>
      </c>
      <c r="K18" s="92">
        <f t="shared" si="0"/>
        <v>0</v>
      </c>
      <c r="L18" s="92">
        <f t="shared" si="3"/>
        <v>0</v>
      </c>
      <c r="M18" s="93"/>
      <c r="N18" s="52">
        <f>(J18*'Base Data'!$C$5)+(K18*'Base Data'!$C$6)+(L18*'Base Data'!$C$7)</f>
        <v>0</v>
      </c>
      <c r="O18" s="52">
        <f t="shared" si="4"/>
        <v>0</v>
      </c>
      <c r="P18" s="92">
        <v>0</v>
      </c>
      <c r="Q18" s="94" t="s">
        <v>257</v>
      </c>
    </row>
    <row r="19" spans="1:17" s="6" customFormat="1" ht="9">
      <c r="A19" s="143" t="s">
        <v>266</v>
      </c>
      <c r="B19" s="44">
        <v>12</v>
      </c>
      <c r="C19" s="44"/>
      <c r="D19" s="52">
        <v>0</v>
      </c>
      <c r="E19" s="52">
        <f>'Testing Costs'!$B$15</f>
        <v>8000</v>
      </c>
      <c r="F19" s="52">
        <v>0</v>
      </c>
      <c r="G19" s="44">
        <v>1</v>
      </c>
      <c r="H19" s="44">
        <f t="shared" si="1"/>
        <v>12</v>
      </c>
      <c r="I19" s="91">
        <v>0</v>
      </c>
      <c r="J19" s="92">
        <f t="shared" si="2"/>
        <v>0</v>
      </c>
      <c r="K19" s="92">
        <f t="shared" si="0"/>
        <v>0</v>
      </c>
      <c r="L19" s="92">
        <f t="shared" si="3"/>
        <v>0</v>
      </c>
      <c r="M19" s="93"/>
      <c r="N19" s="52">
        <f>(J19*'Base Data'!$C$5)+(K19*'Base Data'!$C$6)+(L19*'Base Data'!$C$7)</f>
        <v>0</v>
      </c>
      <c r="O19" s="52">
        <f t="shared" si="4"/>
        <v>0</v>
      </c>
      <c r="P19" s="92">
        <v>0</v>
      </c>
      <c r="Q19" s="94" t="s">
        <v>257</v>
      </c>
    </row>
    <row r="20" spans="1:17" s="6" customFormat="1" ht="9">
      <c r="A20" s="143" t="s">
        <v>199</v>
      </c>
      <c r="B20" s="44">
        <v>12</v>
      </c>
      <c r="C20" s="44"/>
      <c r="D20" s="52">
        <v>0</v>
      </c>
      <c r="E20" s="52">
        <f>'Testing Costs'!$B$14</f>
        <v>7000</v>
      </c>
      <c r="F20" s="52">
        <v>0</v>
      </c>
      <c r="G20" s="44">
        <v>1</v>
      </c>
      <c r="H20" s="44">
        <f t="shared" si="1"/>
        <v>12</v>
      </c>
      <c r="I20" s="91">
        <v>0</v>
      </c>
      <c r="J20" s="92">
        <f t="shared" si="2"/>
        <v>0</v>
      </c>
      <c r="K20" s="92">
        <f t="shared" si="0"/>
        <v>0</v>
      </c>
      <c r="L20" s="92">
        <f t="shared" si="3"/>
        <v>0</v>
      </c>
      <c r="M20" s="93"/>
      <c r="N20" s="52">
        <f>(J20*'Base Data'!$C$5)+(K20*'Base Data'!$C$6)+(L20*'Base Data'!$C$7)</f>
        <v>0</v>
      </c>
      <c r="O20" s="52">
        <f t="shared" si="4"/>
        <v>0</v>
      </c>
      <c r="P20" s="92">
        <v>0</v>
      </c>
      <c r="Q20" s="94" t="s">
        <v>257</v>
      </c>
    </row>
    <row r="21" spans="1:17" s="6" customFormat="1" ht="9">
      <c r="A21" s="143" t="s">
        <v>267</v>
      </c>
      <c r="B21" s="44">
        <v>12</v>
      </c>
      <c r="C21" s="44"/>
      <c r="D21" s="52">
        <v>0</v>
      </c>
      <c r="E21" s="52">
        <f>'Testing Costs'!$B$16</f>
        <v>16000</v>
      </c>
      <c r="F21" s="52">
        <v>0</v>
      </c>
      <c r="G21" s="44">
        <v>1</v>
      </c>
      <c r="H21" s="44">
        <f t="shared" si="1"/>
        <v>12</v>
      </c>
      <c r="I21" s="91">
        <v>0</v>
      </c>
      <c r="J21" s="92">
        <f t="shared" si="2"/>
        <v>0</v>
      </c>
      <c r="K21" s="92">
        <f t="shared" si="0"/>
        <v>0</v>
      </c>
      <c r="L21" s="92">
        <f t="shared" si="3"/>
        <v>0</v>
      </c>
      <c r="M21" s="93"/>
      <c r="N21" s="52">
        <f>(J21*'Base Data'!$C$5)+(K21*'Base Data'!$C$6)+(L21*'Base Data'!$C$7)</f>
        <v>0</v>
      </c>
      <c r="O21" s="52">
        <f t="shared" si="4"/>
        <v>0</v>
      </c>
      <c r="P21" s="92">
        <v>0</v>
      </c>
      <c r="Q21" s="94" t="s">
        <v>257</v>
      </c>
    </row>
    <row r="22" spans="1:17" s="6" customFormat="1" ht="18.75" customHeight="1">
      <c r="A22" s="332" t="s">
        <v>481</v>
      </c>
      <c r="B22" s="44">
        <v>24</v>
      </c>
      <c r="C22" s="331"/>
      <c r="D22" s="52">
        <v>0</v>
      </c>
      <c r="E22" s="52">
        <f>$E$13+$E$14</f>
        <v>16000</v>
      </c>
      <c r="F22" s="52">
        <v>0</v>
      </c>
      <c r="G22" s="44">
        <v>1</v>
      </c>
      <c r="H22" s="44">
        <f t="shared" si="1"/>
        <v>24</v>
      </c>
      <c r="I22" s="91">
        <v>0</v>
      </c>
      <c r="J22" s="92">
        <f t="shared" si="2"/>
        <v>0</v>
      </c>
      <c r="K22" s="92">
        <f t="shared" si="0"/>
        <v>0</v>
      </c>
      <c r="L22" s="92">
        <f t="shared" si="3"/>
        <v>0</v>
      </c>
      <c r="M22" s="93"/>
      <c r="N22" s="52">
        <f>(J22*'Base Data'!$C$5)+(K22*'Base Data'!$C$6)+(L22*'Base Data'!$C$7)</f>
        <v>0</v>
      </c>
      <c r="O22" s="52">
        <f t="shared" si="4"/>
        <v>0</v>
      </c>
      <c r="P22" s="92">
        <v>0</v>
      </c>
      <c r="Q22" s="94" t="s">
        <v>92</v>
      </c>
    </row>
    <row r="23" spans="1:17" s="6" customFormat="1" ht="9" customHeight="1">
      <c r="A23" s="143" t="s">
        <v>483</v>
      </c>
      <c r="B23" s="44">
        <v>5</v>
      </c>
      <c r="C23" s="44"/>
      <c r="D23" s="52">
        <v>0</v>
      </c>
      <c r="E23" s="52">
        <v>400</v>
      </c>
      <c r="F23" s="52">
        <v>0</v>
      </c>
      <c r="G23" s="44">
        <v>1</v>
      </c>
      <c r="H23" s="44">
        <f t="shared" si="1"/>
        <v>5</v>
      </c>
      <c r="I23" s="91">
        <v>0</v>
      </c>
      <c r="J23" s="92">
        <f t="shared" si="2"/>
        <v>0</v>
      </c>
      <c r="K23" s="92">
        <f t="shared" si="0"/>
        <v>0</v>
      </c>
      <c r="L23" s="92">
        <f t="shared" si="3"/>
        <v>0</v>
      </c>
      <c r="M23" s="93"/>
      <c r="N23" s="52">
        <f>(J23*'Base Data'!$C$5)+(K23*'Base Data'!$C$6)+(L23*'Base Data'!$C$7)</f>
        <v>0</v>
      </c>
      <c r="O23" s="52">
        <f t="shared" si="4"/>
        <v>0</v>
      </c>
      <c r="P23" s="92">
        <v>0</v>
      </c>
      <c r="Q23" s="94" t="s">
        <v>90</v>
      </c>
    </row>
    <row r="24" spans="1:17" s="6" customFormat="1" ht="9" customHeight="1">
      <c r="A24" s="143" t="s">
        <v>484</v>
      </c>
      <c r="B24" s="44">
        <v>5</v>
      </c>
      <c r="C24" s="44"/>
      <c r="D24" s="52">
        <v>0</v>
      </c>
      <c r="E24" s="52">
        <v>400</v>
      </c>
      <c r="F24" s="52">
        <v>0</v>
      </c>
      <c r="G24" s="44">
        <v>12</v>
      </c>
      <c r="H24" s="44">
        <f t="shared" si="1"/>
        <v>60</v>
      </c>
      <c r="I24" s="91">
        <v>0</v>
      </c>
      <c r="J24" s="92">
        <f t="shared" si="2"/>
        <v>0</v>
      </c>
      <c r="K24" s="92">
        <f t="shared" si="0"/>
        <v>0</v>
      </c>
      <c r="L24" s="92">
        <f t="shared" si="3"/>
        <v>0</v>
      </c>
      <c r="M24" s="93"/>
      <c r="N24" s="52">
        <f>(J24*'Base Data'!$C$5)+(K24*'Base Data'!$C$6)+(L24*'Base Data'!$C$7)</f>
        <v>0</v>
      </c>
      <c r="O24" s="52">
        <f t="shared" si="4"/>
        <v>0</v>
      </c>
      <c r="P24" s="92">
        <v>0</v>
      </c>
      <c r="Q24" s="94" t="s">
        <v>90</v>
      </c>
    </row>
    <row r="25" spans="1:17" s="6" customFormat="1" ht="9">
      <c r="A25" s="143" t="s">
        <v>485</v>
      </c>
      <c r="B25" s="44"/>
      <c r="C25" s="44"/>
      <c r="D25" s="52"/>
      <c r="E25" s="52"/>
      <c r="F25" s="52"/>
      <c r="G25" s="44"/>
      <c r="H25" s="44"/>
      <c r="I25" s="92"/>
      <c r="J25" s="92"/>
      <c r="K25" s="92"/>
      <c r="L25" s="92"/>
      <c r="M25" s="93"/>
      <c r="N25" s="52"/>
      <c r="O25" s="52"/>
      <c r="P25" s="92"/>
      <c r="Q25" s="94"/>
    </row>
    <row r="26" spans="1:17" s="6" customFormat="1" ht="9">
      <c r="A26" s="143" t="s">
        <v>432</v>
      </c>
      <c r="B26" s="44">
        <v>40</v>
      </c>
      <c r="C26" s="44"/>
      <c r="D26" s="52">
        <v>0</v>
      </c>
      <c r="E26" s="52"/>
      <c r="F26" s="52">
        <v>0</v>
      </c>
      <c r="G26" s="44">
        <v>1</v>
      </c>
      <c r="H26" s="44">
        <f>B26*G26</f>
        <v>40</v>
      </c>
      <c r="I26" s="91">
        <f>ROUND(SUM('Base Data'!$H$38:$H$40)/2,0)</f>
        <v>4</v>
      </c>
      <c r="J26" s="92">
        <f>H26*I26</f>
        <v>160</v>
      </c>
      <c r="K26" s="92">
        <f>J26*0.1</f>
        <v>16</v>
      </c>
      <c r="L26" s="92">
        <f>J26*0.05</f>
        <v>8</v>
      </c>
      <c r="M26" s="93"/>
      <c r="N26" s="52">
        <f>(J26*'Base Data'!$C$5)+(K26*'Base Data'!$C$6)+(L26*'Base Data'!$C$7)</f>
        <v>17404.399999999998</v>
      </c>
      <c r="O26" s="52">
        <f>(D26+E26+F26)*G26*I26</f>
        <v>0</v>
      </c>
      <c r="P26" s="92">
        <v>0</v>
      </c>
      <c r="Q26" s="94" t="s">
        <v>388</v>
      </c>
    </row>
    <row r="27" spans="1:17" s="6" customFormat="1" ht="9">
      <c r="A27" s="142" t="s">
        <v>410</v>
      </c>
      <c r="B27" s="44"/>
      <c r="C27" s="44"/>
      <c r="D27" s="52"/>
      <c r="E27" s="52"/>
      <c r="F27" s="52"/>
      <c r="G27" s="44"/>
      <c r="H27" s="44"/>
      <c r="I27" s="92"/>
      <c r="J27" s="92"/>
      <c r="K27" s="92"/>
      <c r="L27" s="92"/>
      <c r="M27" s="93"/>
      <c r="N27" s="52"/>
      <c r="O27" s="52"/>
      <c r="P27" s="92"/>
      <c r="Q27" s="94"/>
    </row>
    <row r="28" spans="1:17" s="6" customFormat="1" ht="9">
      <c r="A28" s="142" t="s">
        <v>411</v>
      </c>
      <c r="B28" s="44">
        <v>10</v>
      </c>
      <c r="C28" s="44"/>
      <c r="D28" s="52">
        <v>0</v>
      </c>
      <c r="E28" s="52">
        <v>0</v>
      </c>
      <c r="F28" s="52">
        <v>43100</v>
      </c>
      <c r="G28" s="44">
        <v>1</v>
      </c>
      <c r="H28" s="44">
        <f>B28*G28</f>
        <v>10</v>
      </c>
      <c r="I28" s="91">
        <f>ROUND(Monitors!$C$12/2,0)</f>
        <v>0</v>
      </c>
      <c r="J28" s="92">
        <f>H28*I28</f>
        <v>0</v>
      </c>
      <c r="K28" s="92">
        <f>J28*0.1</f>
        <v>0</v>
      </c>
      <c r="L28" s="92">
        <f>J28*0.05</f>
        <v>0</v>
      </c>
      <c r="M28" s="93"/>
      <c r="N28" s="52">
        <f>(J28*'Base Data'!$C$5)+(K28*'Base Data'!$C$6)+(L28*'Base Data'!$C$7)</f>
        <v>0</v>
      </c>
      <c r="O28" s="52">
        <f>(D28+E28+F28)*G28*I28</f>
        <v>0</v>
      </c>
      <c r="P28" s="92">
        <v>0</v>
      </c>
      <c r="Q28" s="94" t="s">
        <v>91</v>
      </c>
    </row>
    <row r="29" spans="1:17" s="6" customFormat="1" ht="9">
      <c r="A29" s="142" t="s">
        <v>414</v>
      </c>
      <c r="B29" s="44">
        <v>10</v>
      </c>
      <c r="C29" s="44"/>
      <c r="D29" s="52">
        <v>0</v>
      </c>
      <c r="E29" s="52">
        <v>0</v>
      </c>
      <c r="F29" s="52">
        <v>14700</v>
      </c>
      <c r="G29" s="44">
        <v>1</v>
      </c>
      <c r="H29" s="44">
        <f>B29*G29</f>
        <v>10</v>
      </c>
      <c r="I29" s="91">
        <f>ROUND(Monitors!$C$12/2,0)</f>
        <v>0</v>
      </c>
      <c r="J29" s="92">
        <f>H29*I29</f>
        <v>0</v>
      </c>
      <c r="K29" s="92">
        <f>J29*0.1</f>
        <v>0</v>
      </c>
      <c r="L29" s="92">
        <f>J29*0.05</f>
        <v>0</v>
      </c>
      <c r="M29" s="93"/>
      <c r="N29" s="52">
        <f>(J29*'Base Data'!$C$5)+(K29*'Base Data'!$C$6)+(L29*'Base Data'!$C$7)</f>
        <v>0</v>
      </c>
      <c r="O29" s="52">
        <f>(D29+E29+F29)*G29*I29</f>
        <v>0</v>
      </c>
      <c r="P29" s="92">
        <v>0</v>
      </c>
      <c r="Q29" s="94" t="s">
        <v>91</v>
      </c>
    </row>
    <row r="30" spans="1:17" s="6" customFormat="1" ht="9">
      <c r="A30" s="142" t="s">
        <v>356</v>
      </c>
      <c r="B30" s="44"/>
      <c r="C30" s="44"/>
      <c r="D30" s="52"/>
      <c r="E30" s="52"/>
      <c r="F30" s="52"/>
      <c r="G30" s="44"/>
      <c r="H30" s="44"/>
      <c r="I30" s="92"/>
      <c r="J30" s="92"/>
      <c r="K30" s="92"/>
      <c r="L30" s="92"/>
      <c r="M30" s="93"/>
      <c r="N30" s="52"/>
      <c r="O30" s="52"/>
      <c r="P30" s="92"/>
      <c r="Q30" s="94"/>
    </row>
    <row r="31" spans="1:17" s="6" customFormat="1" ht="9">
      <c r="A31" s="142" t="s">
        <v>411</v>
      </c>
      <c r="B31" s="44">
        <v>10</v>
      </c>
      <c r="C31" s="44"/>
      <c r="D31" s="52">
        <v>0</v>
      </c>
      <c r="E31" s="52">
        <v>0</v>
      </c>
      <c r="F31" s="52">
        <v>158000</v>
      </c>
      <c r="G31" s="44">
        <v>1</v>
      </c>
      <c r="H31" s="44">
        <f>B31*G31</f>
        <v>10</v>
      </c>
      <c r="I31" s="91">
        <v>0</v>
      </c>
      <c r="J31" s="92">
        <f>H31*I31</f>
        <v>0</v>
      </c>
      <c r="K31" s="92">
        <f>J31*0.1</f>
        <v>0</v>
      </c>
      <c r="L31" s="92">
        <f>J31*0.05</f>
        <v>0</v>
      </c>
      <c r="M31" s="93"/>
      <c r="N31" s="52">
        <f>(J31*'Base Data'!$C$5)+(K31*'Base Data'!$C$6)+(L31*'Base Data'!$C$7)</f>
        <v>0</v>
      </c>
      <c r="O31" s="52">
        <f>(D31+E31+F31)*G31*I31</f>
        <v>0</v>
      </c>
      <c r="P31" s="92">
        <v>0</v>
      </c>
      <c r="Q31" s="94" t="s">
        <v>91</v>
      </c>
    </row>
    <row r="32" spans="1:17" s="6" customFormat="1" ht="9">
      <c r="A32" s="142" t="s">
        <v>414</v>
      </c>
      <c r="B32" s="44">
        <v>10</v>
      </c>
      <c r="C32" s="44"/>
      <c r="D32" s="52">
        <v>0</v>
      </c>
      <c r="E32" s="52">
        <v>0</v>
      </c>
      <c r="F32" s="52">
        <v>56100</v>
      </c>
      <c r="G32" s="44">
        <v>1</v>
      </c>
      <c r="H32" s="44">
        <f>B32*G32</f>
        <v>10</v>
      </c>
      <c r="I32" s="91">
        <v>0</v>
      </c>
      <c r="J32" s="92">
        <f>H32*I32</f>
        <v>0</v>
      </c>
      <c r="K32" s="92">
        <f>J32*0.1</f>
        <v>0</v>
      </c>
      <c r="L32" s="92">
        <f>J32*0.05</f>
        <v>0</v>
      </c>
      <c r="M32" s="93"/>
      <c r="N32" s="52">
        <f>(J32*'Base Data'!$C$5)+(K32*'Base Data'!$C$6)+(L32*'Base Data'!$C$7)</f>
        <v>0</v>
      </c>
      <c r="O32" s="52">
        <f>(D32+E32+F32)*G32*I32</f>
        <v>0</v>
      </c>
      <c r="P32" s="92">
        <v>0</v>
      </c>
      <c r="Q32" s="94" t="s">
        <v>91</v>
      </c>
    </row>
    <row r="33" spans="1:17" s="6" customFormat="1" ht="9">
      <c r="A33" s="142" t="s">
        <v>522</v>
      </c>
      <c r="B33" s="44"/>
      <c r="C33" s="44"/>
      <c r="D33" s="52"/>
      <c r="E33" s="52"/>
      <c r="F33" s="52"/>
      <c r="G33" s="44"/>
      <c r="H33" s="44"/>
      <c r="I33" s="91"/>
      <c r="J33" s="92"/>
      <c r="K33" s="92"/>
      <c r="L33" s="92"/>
      <c r="M33" s="93"/>
      <c r="N33" s="52"/>
      <c r="O33" s="52"/>
      <c r="P33" s="92"/>
      <c r="Q33" s="94"/>
    </row>
    <row r="34" spans="1:17" s="6" customFormat="1" ht="9">
      <c r="A34" s="142" t="s">
        <v>411</v>
      </c>
      <c r="B34" s="44">
        <v>10</v>
      </c>
      <c r="C34" s="44"/>
      <c r="D34" s="52">
        <v>0</v>
      </c>
      <c r="E34" s="52">
        <v>0</v>
      </c>
      <c r="F34" s="52">
        <f>Monitors!$F$32</f>
        <v>8523</v>
      </c>
      <c r="G34" s="44">
        <v>1</v>
      </c>
      <c r="H34" s="44">
        <f t="shared" ref="H34:H35" si="5">B34*G34</f>
        <v>10</v>
      </c>
      <c r="I34" s="91">
        <f>ROUND(Monitors!$F$12/2,0)</f>
        <v>36</v>
      </c>
      <c r="J34" s="92">
        <f t="shared" ref="J34:J35" si="6">H34*I34</f>
        <v>360</v>
      </c>
      <c r="K34" s="92">
        <f t="shared" ref="K34:K35" si="7">J34*0.1</f>
        <v>36</v>
      </c>
      <c r="L34" s="92">
        <f t="shared" ref="L34:L35" si="8">J34*0.05</f>
        <v>18</v>
      </c>
      <c r="M34" s="93"/>
      <c r="N34" s="52">
        <f>(J34*'Base Data'!$C$5)+(K34*'Base Data'!$C$6)+(L34*'Base Data'!$C$7)</f>
        <v>39159.9</v>
      </c>
      <c r="O34" s="52">
        <f>(D34+E34+F34)*G34*I34</f>
        <v>306828</v>
      </c>
      <c r="P34" s="92">
        <v>0</v>
      </c>
      <c r="Q34" s="94" t="s">
        <v>388</v>
      </c>
    </row>
    <row r="35" spans="1:17" s="6" customFormat="1" ht="9">
      <c r="A35" s="142" t="s">
        <v>414</v>
      </c>
      <c r="B35" s="44">
        <v>10</v>
      </c>
      <c r="C35" s="44"/>
      <c r="D35" s="52">
        <v>0</v>
      </c>
      <c r="E35" s="52">
        <v>0</v>
      </c>
      <c r="F35" s="52">
        <f>Monitors!$G$32</f>
        <v>1436</v>
      </c>
      <c r="G35" s="44">
        <v>1</v>
      </c>
      <c r="H35" s="44">
        <f t="shared" si="5"/>
        <v>10</v>
      </c>
      <c r="I35" s="91">
        <f>ROUND(Monitors!$F$12/2,0)</f>
        <v>36</v>
      </c>
      <c r="J35" s="92">
        <f t="shared" si="6"/>
        <v>360</v>
      </c>
      <c r="K35" s="92">
        <f t="shared" si="7"/>
        <v>36</v>
      </c>
      <c r="L35" s="92">
        <f t="shared" si="8"/>
        <v>18</v>
      </c>
      <c r="M35" s="93"/>
      <c r="N35" s="52">
        <f>(J35*'Base Data'!$C$5)+(K35*'Base Data'!$C$6)+(L35*'Base Data'!$C$7)</f>
        <v>39159.9</v>
      </c>
      <c r="O35" s="52">
        <f>(D35+E35+F35)*G35*I35</f>
        <v>51696</v>
      </c>
      <c r="P35" s="92">
        <v>0</v>
      </c>
      <c r="Q35" s="94" t="s">
        <v>388</v>
      </c>
    </row>
    <row r="36" spans="1:17" s="6" customFormat="1" ht="18">
      <c r="A36" s="143" t="s">
        <v>173</v>
      </c>
      <c r="B36" s="44"/>
      <c r="C36" s="44"/>
      <c r="D36" s="52"/>
      <c r="E36" s="52"/>
      <c r="F36" s="95"/>
      <c r="G36" s="44"/>
      <c r="H36" s="44"/>
      <c r="I36" s="96"/>
      <c r="J36" s="92"/>
      <c r="K36" s="92"/>
      <c r="L36" s="92"/>
      <c r="M36" s="93"/>
      <c r="N36" s="52"/>
      <c r="O36" s="52"/>
      <c r="P36" s="92"/>
      <c r="Q36" s="94"/>
    </row>
    <row r="37" spans="1:17" s="6" customFormat="1" ht="9">
      <c r="A37" s="142" t="s">
        <v>411</v>
      </c>
      <c r="B37" s="44">
        <v>10</v>
      </c>
      <c r="C37" s="44"/>
      <c r="D37" s="52">
        <v>0</v>
      </c>
      <c r="E37" s="52">
        <v>0</v>
      </c>
      <c r="F37" s="52">
        <v>24300</v>
      </c>
      <c r="G37" s="44">
        <v>1</v>
      </c>
      <c r="H37" s="44">
        <f>B37*G37</f>
        <v>10</v>
      </c>
      <c r="I37" s="91">
        <f>ROUND(Monitors!$D$12/2,0)</f>
        <v>1</v>
      </c>
      <c r="J37" s="92">
        <f>H37*I37</f>
        <v>10</v>
      </c>
      <c r="K37" s="92">
        <f>J37*0.1</f>
        <v>1</v>
      </c>
      <c r="L37" s="92">
        <f>J37*0.05</f>
        <v>0.5</v>
      </c>
      <c r="M37" s="93"/>
      <c r="N37" s="52">
        <f>(J37*'Base Data'!$C$5)+(K37*'Base Data'!$C$6)+(L37*'Base Data'!$C$7)</f>
        <v>1087.7749999999999</v>
      </c>
      <c r="O37" s="52">
        <f>(D37+E37+F37)*G37*I37</f>
        <v>24300</v>
      </c>
      <c r="P37" s="92">
        <v>0</v>
      </c>
      <c r="Q37" s="94" t="s">
        <v>388</v>
      </c>
    </row>
    <row r="38" spans="1:17" s="6" customFormat="1" ht="9">
      <c r="A38" s="142" t="s">
        <v>414</v>
      </c>
      <c r="B38" s="44">
        <v>10</v>
      </c>
      <c r="C38" s="44"/>
      <c r="D38" s="52">
        <v>0</v>
      </c>
      <c r="E38" s="52">
        <v>0</v>
      </c>
      <c r="F38" s="52">
        <v>5600</v>
      </c>
      <c r="G38" s="44">
        <v>1</v>
      </c>
      <c r="H38" s="44">
        <f>B38*G38</f>
        <v>10</v>
      </c>
      <c r="I38" s="91">
        <f>ROUND(Monitors!$D$12/2,0)</f>
        <v>1</v>
      </c>
      <c r="J38" s="92">
        <f>H38*I38</f>
        <v>10</v>
      </c>
      <c r="K38" s="92">
        <f>J38*0.1</f>
        <v>1</v>
      </c>
      <c r="L38" s="92">
        <f>J38*0.05</f>
        <v>0.5</v>
      </c>
      <c r="M38" s="93"/>
      <c r="N38" s="52">
        <f>(J38*'Base Data'!$C$5)+(K38*'Base Data'!$C$6)+(L38*'Base Data'!$C$7)</f>
        <v>1087.7749999999999</v>
      </c>
      <c r="O38" s="52">
        <f>(D38+E38+F38)*G38*I38</f>
        <v>5600</v>
      </c>
      <c r="P38" s="92">
        <v>0</v>
      </c>
      <c r="Q38" s="94" t="s">
        <v>388</v>
      </c>
    </row>
    <row r="39" spans="1:17" s="6" customFormat="1" ht="18">
      <c r="A39" s="143" t="s">
        <v>475</v>
      </c>
      <c r="B39" s="44"/>
      <c r="C39" s="44"/>
      <c r="D39" s="52"/>
      <c r="E39" s="52"/>
      <c r="F39" s="52"/>
      <c r="G39" s="44"/>
      <c r="H39" s="44"/>
      <c r="I39" s="96"/>
      <c r="J39" s="92"/>
      <c r="K39" s="92"/>
      <c r="L39" s="92"/>
      <c r="M39" s="93"/>
      <c r="N39" s="52"/>
      <c r="O39" s="238"/>
      <c r="P39" s="92"/>
      <c r="Q39" s="94"/>
    </row>
    <row r="40" spans="1:17" s="6" customFormat="1" ht="9">
      <c r="A40" s="142" t="s">
        <v>411</v>
      </c>
      <c r="B40" s="44">
        <v>10</v>
      </c>
      <c r="C40" s="44"/>
      <c r="D40" s="52">
        <v>0</v>
      </c>
      <c r="E40" s="52">
        <v>0</v>
      </c>
      <c r="F40" s="52">
        <f>25500</f>
        <v>25500</v>
      </c>
      <c r="G40" s="44">
        <v>1</v>
      </c>
      <c r="H40" s="44">
        <f>B40*G40</f>
        <v>10</v>
      </c>
      <c r="I40" s="91">
        <f>ROUND(Monitors!$B$12/2,0)</f>
        <v>0</v>
      </c>
      <c r="J40" s="92">
        <f>H40*I40</f>
        <v>0</v>
      </c>
      <c r="K40" s="92">
        <f>J40*0.1</f>
        <v>0</v>
      </c>
      <c r="L40" s="92">
        <f>J40*0.05</f>
        <v>0</v>
      </c>
      <c r="M40" s="93"/>
      <c r="N40" s="52">
        <f>(J40*'Base Data'!$C$5)+(K40*'Base Data'!$C$6)+(L40*'Base Data'!$C$7)</f>
        <v>0</v>
      </c>
      <c r="O40" s="52">
        <f>(D40+E40+F40)*G40*I40</f>
        <v>0</v>
      </c>
      <c r="P40" s="92">
        <v>0</v>
      </c>
      <c r="Q40" s="94" t="s">
        <v>388</v>
      </c>
    </row>
    <row r="41" spans="1:17" s="6" customFormat="1" ht="9">
      <c r="A41" s="142" t="s">
        <v>414</v>
      </c>
      <c r="B41" s="44">
        <v>10</v>
      </c>
      <c r="C41" s="44"/>
      <c r="D41" s="52">
        <v>0</v>
      </c>
      <c r="E41" s="52">
        <v>0</v>
      </c>
      <c r="F41" s="52">
        <v>9700</v>
      </c>
      <c r="G41" s="44">
        <v>1</v>
      </c>
      <c r="H41" s="44">
        <f>B41*G41</f>
        <v>10</v>
      </c>
      <c r="I41" s="91">
        <f>ROUND(Monitors!$B$12/2,0)</f>
        <v>0</v>
      </c>
      <c r="J41" s="92">
        <f>H41*I41</f>
        <v>0</v>
      </c>
      <c r="K41" s="92">
        <f>J41*0.1</f>
        <v>0</v>
      </c>
      <c r="L41" s="92">
        <f>J41*0.05</f>
        <v>0</v>
      </c>
      <c r="M41" s="93"/>
      <c r="N41" s="52">
        <f>(J41*'Base Data'!$C$5)+(K41*'Base Data'!$C$6)+(L41*'Base Data'!$C$7)</f>
        <v>0</v>
      </c>
      <c r="O41" s="52">
        <f>(D41+E41+F41)*G41*I41</f>
        <v>0</v>
      </c>
      <c r="P41" s="92">
        <v>0</v>
      </c>
      <c r="Q41" s="94" t="s">
        <v>388</v>
      </c>
    </row>
    <row r="42" spans="1:17" s="6" customFormat="1" ht="9">
      <c r="A42" s="142" t="s">
        <v>487</v>
      </c>
      <c r="B42" s="44">
        <v>12</v>
      </c>
      <c r="C42" s="44"/>
      <c r="D42" s="52">
        <v>0</v>
      </c>
      <c r="E42" s="52">
        <v>2875</v>
      </c>
      <c r="F42" s="52">
        <v>0</v>
      </c>
      <c r="G42" s="44">
        <v>1</v>
      </c>
      <c r="H42" s="44">
        <f>B42*G42</f>
        <v>12</v>
      </c>
      <c r="I42" s="92">
        <f>ROUND(SUM('Base Data'!$D$28:$D$30,'Base Data'!$D$33:$D$35)/2,0)</f>
        <v>2194</v>
      </c>
      <c r="J42" s="91">
        <f>H42*I42</f>
        <v>26328</v>
      </c>
      <c r="K42" s="91">
        <f>J42*0.1</f>
        <v>2632.8</v>
      </c>
      <c r="L42" s="91">
        <f>J42*0.05</f>
        <v>1316.4</v>
      </c>
      <c r="M42" s="92"/>
      <c r="N42" s="52">
        <f>(J42*'Base Data'!$C$5)+(K42*'Base Data'!$C$6)+(L42*'Base Data'!$C$7)</f>
        <v>2863894.02</v>
      </c>
      <c r="O42" s="52">
        <f>(D42+E42+F42)*G42*I42</f>
        <v>6307750</v>
      </c>
      <c r="P42" s="92">
        <v>0</v>
      </c>
      <c r="Q42" s="94" t="s">
        <v>182</v>
      </c>
    </row>
    <row r="43" spans="1:17" s="6" customFormat="1" ht="9">
      <c r="A43" s="142" t="s">
        <v>488</v>
      </c>
      <c r="B43" s="44">
        <v>10</v>
      </c>
      <c r="C43" s="44"/>
      <c r="D43" s="52">
        <v>0</v>
      </c>
      <c r="E43" s="52">
        <v>600</v>
      </c>
      <c r="F43" s="52">
        <v>0</v>
      </c>
      <c r="G43" s="44">
        <v>12</v>
      </c>
      <c r="H43" s="44">
        <f>B43*G43</f>
        <v>120</v>
      </c>
      <c r="I43" s="92">
        <f>ROUND('Base Data'!$C$49/2,0)</f>
        <v>23</v>
      </c>
      <c r="J43" s="91">
        <f>H43*I43</f>
        <v>2760</v>
      </c>
      <c r="K43" s="91">
        <f>J43*0.1</f>
        <v>276</v>
      </c>
      <c r="L43" s="91">
        <f>J43*0.05</f>
        <v>138</v>
      </c>
      <c r="M43" s="92"/>
      <c r="N43" s="52">
        <f>(J43*'Base Data'!$C$5)+(K43*'Base Data'!$C$6)+(L43*'Base Data'!$C$7)</f>
        <v>300225.90000000002</v>
      </c>
      <c r="O43" s="52">
        <f>(D43+E43+F43)*G43*I43</f>
        <v>165600</v>
      </c>
      <c r="P43" s="92">
        <v>0</v>
      </c>
      <c r="Q43" s="94" t="s">
        <v>368</v>
      </c>
    </row>
    <row r="44" spans="1:17" s="6" customFormat="1" ht="9">
      <c r="A44" s="142" t="s">
        <v>415</v>
      </c>
      <c r="B44" s="44" t="s">
        <v>433</v>
      </c>
      <c r="C44" s="44"/>
      <c r="D44" s="52"/>
      <c r="E44" s="52"/>
      <c r="F44" s="52"/>
      <c r="G44" s="44"/>
      <c r="H44" s="44"/>
      <c r="I44" s="92"/>
      <c r="J44" s="92"/>
      <c r="K44" s="92"/>
      <c r="L44" s="92"/>
      <c r="M44" s="44"/>
      <c r="N44" s="52"/>
      <c r="O44" s="52"/>
      <c r="P44" s="92"/>
      <c r="Q44" s="94"/>
    </row>
    <row r="45" spans="1:17" s="6" customFormat="1" ht="9">
      <c r="A45" s="142" t="s">
        <v>416</v>
      </c>
      <c r="B45" s="44" t="s">
        <v>433</v>
      </c>
      <c r="C45" s="44"/>
      <c r="D45" s="52"/>
      <c r="E45" s="52"/>
      <c r="F45" s="52"/>
      <c r="G45" s="44"/>
      <c r="H45" s="44"/>
      <c r="I45" s="92"/>
      <c r="J45" s="92"/>
      <c r="K45" s="92"/>
      <c r="L45" s="92"/>
      <c r="M45" s="44"/>
      <c r="N45" s="52"/>
      <c r="O45" s="52"/>
      <c r="P45" s="92"/>
      <c r="Q45" s="94"/>
    </row>
    <row r="46" spans="1:17" s="6" customFormat="1" ht="9">
      <c r="A46" s="142" t="s">
        <v>417</v>
      </c>
      <c r="B46" s="44"/>
      <c r="C46" s="44"/>
      <c r="D46" s="52"/>
      <c r="E46" s="52"/>
      <c r="F46" s="52"/>
      <c r="G46" s="44"/>
      <c r="H46" s="44"/>
      <c r="I46" s="92"/>
      <c r="J46" s="92"/>
      <c r="K46" s="92"/>
      <c r="L46" s="92"/>
      <c r="M46" s="44"/>
      <c r="N46" s="52"/>
      <c r="O46" s="52"/>
      <c r="P46" s="92"/>
      <c r="Q46" s="94"/>
    </row>
    <row r="47" spans="1:17" s="6" customFormat="1" ht="9">
      <c r="A47" s="177" t="s">
        <v>435</v>
      </c>
      <c r="B47" s="44">
        <v>2</v>
      </c>
      <c r="C47" s="44"/>
      <c r="D47" s="52">
        <v>0</v>
      </c>
      <c r="E47" s="52">
        <v>0</v>
      </c>
      <c r="F47" s="52">
        <v>0</v>
      </c>
      <c r="G47" s="44">
        <v>1</v>
      </c>
      <c r="H47" s="44">
        <f t="shared" ref="H47:H52" si="9">B47*G47</f>
        <v>2</v>
      </c>
      <c r="I47" s="91">
        <v>0</v>
      </c>
      <c r="J47" s="92">
        <f t="shared" ref="J47:J52" si="10">H47*I47</f>
        <v>0</v>
      </c>
      <c r="K47" s="92">
        <f t="shared" ref="K47:K52" si="11">J47*0.1</f>
        <v>0</v>
      </c>
      <c r="L47" s="92">
        <f t="shared" ref="L47:L52" si="12">J47*0.05</f>
        <v>0</v>
      </c>
      <c r="M47" s="44">
        <f t="shared" ref="M47:M52" si="13">C47*G47*I47</f>
        <v>0</v>
      </c>
      <c r="N47" s="52">
        <f>(J47*'Base Data'!$C$5)+(K47*'Base Data'!$C$6)+(L47*'Base Data'!$C$7)</f>
        <v>0</v>
      </c>
      <c r="O47" s="52">
        <f t="shared" ref="O47:O52" si="14">(D47+E47+F47)*G47*I47</f>
        <v>0</v>
      </c>
      <c r="P47" s="92">
        <f>G47*I47</f>
        <v>0</v>
      </c>
      <c r="Q47" s="94" t="s">
        <v>387</v>
      </c>
    </row>
    <row r="48" spans="1:17" s="6" customFormat="1" ht="9" customHeight="1">
      <c r="A48" s="177" t="s">
        <v>377</v>
      </c>
      <c r="B48" s="44">
        <v>8</v>
      </c>
      <c r="C48" s="44"/>
      <c r="D48" s="52">
        <v>0</v>
      </c>
      <c r="E48" s="52">
        <v>0</v>
      </c>
      <c r="F48" s="52">
        <v>0</v>
      </c>
      <c r="G48" s="44">
        <v>1</v>
      </c>
      <c r="H48" s="44">
        <f t="shared" si="9"/>
        <v>8</v>
      </c>
      <c r="I48" s="91">
        <v>0</v>
      </c>
      <c r="J48" s="92">
        <f t="shared" si="10"/>
        <v>0</v>
      </c>
      <c r="K48" s="92">
        <f t="shared" si="11"/>
        <v>0</v>
      </c>
      <c r="L48" s="92">
        <f t="shared" si="12"/>
        <v>0</v>
      </c>
      <c r="M48" s="44">
        <f t="shared" si="13"/>
        <v>0</v>
      </c>
      <c r="N48" s="52">
        <f>(J48*'Base Data'!$C$5)+(K48*'Base Data'!$C$6)+(L48*'Base Data'!$C$7)</f>
        <v>0</v>
      </c>
      <c r="O48" s="52">
        <f t="shared" si="14"/>
        <v>0</v>
      </c>
      <c r="P48" s="92">
        <f>G48*I48</f>
        <v>0</v>
      </c>
      <c r="Q48" s="94" t="s">
        <v>388</v>
      </c>
    </row>
    <row r="49" spans="1:19" s="6" customFormat="1" ht="9">
      <c r="A49" s="177" t="s">
        <v>378</v>
      </c>
      <c r="B49" s="44">
        <v>5</v>
      </c>
      <c r="C49" s="44"/>
      <c r="D49" s="52">
        <v>0</v>
      </c>
      <c r="E49" s="52">
        <v>0</v>
      </c>
      <c r="F49" s="52">
        <v>0</v>
      </c>
      <c r="G49" s="44">
        <v>1</v>
      </c>
      <c r="H49" s="44">
        <f t="shared" si="9"/>
        <v>5</v>
      </c>
      <c r="I49" s="91">
        <v>0</v>
      </c>
      <c r="J49" s="92">
        <f t="shared" si="10"/>
        <v>0</v>
      </c>
      <c r="K49" s="92">
        <f t="shared" si="11"/>
        <v>0</v>
      </c>
      <c r="L49" s="92">
        <f t="shared" si="12"/>
        <v>0</v>
      </c>
      <c r="M49" s="44">
        <f t="shared" si="13"/>
        <v>0</v>
      </c>
      <c r="N49" s="52">
        <f>(J49*'Base Data'!$C$5)+(K49*'Base Data'!$C$6)+(L49*'Base Data'!$C$7)</f>
        <v>0</v>
      </c>
      <c r="O49" s="52">
        <f t="shared" si="14"/>
        <v>0</v>
      </c>
      <c r="P49" s="92">
        <f>G49*I49</f>
        <v>0</v>
      </c>
      <c r="Q49" s="94" t="s">
        <v>388</v>
      </c>
      <c r="R49" s="37"/>
    </row>
    <row r="50" spans="1:19" s="6" customFormat="1" ht="9">
      <c r="A50" s="144" t="s">
        <v>240</v>
      </c>
      <c r="B50" s="44">
        <v>20</v>
      </c>
      <c r="C50" s="44">
        <v>0</v>
      </c>
      <c r="D50" s="52">
        <v>0</v>
      </c>
      <c r="E50" s="52">
        <v>0</v>
      </c>
      <c r="F50" s="52">
        <v>0</v>
      </c>
      <c r="G50" s="44">
        <v>1</v>
      </c>
      <c r="H50" s="44">
        <f t="shared" si="9"/>
        <v>20</v>
      </c>
      <c r="I50" s="91">
        <v>0</v>
      </c>
      <c r="J50" s="92">
        <f t="shared" si="10"/>
        <v>0</v>
      </c>
      <c r="K50" s="92">
        <f t="shared" si="11"/>
        <v>0</v>
      </c>
      <c r="L50" s="92">
        <f t="shared" si="12"/>
        <v>0</v>
      </c>
      <c r="M50" s="92">
        <f t="shared" si="13"/>
        <v>0</v>
      </c>
      <c r="N50" s="52">
        <f>(J50*'Base Data'!$C$5)+(K50*'Base Data'!$C$6)+(L50*'Base Data'!$C$7)</f>
        <v>0</v>
      </c>
      <c r="O50" s="52">
        <f t="shared" si="14"/>
        <v>0</v>
      </c>
      <c r="P50" s="92">
        <f>G50*I50</f>
        <v>0</v>
      </c>
      <c r="Q50" s="94" t="s">
        <v>255</v>
      </c>
      <c r="R50" s="184"/>
    </row>
    <row r="51" spans="1:19" s="6" customFormat="1" ht="9">
      <c r="A51" s="144" t="s">
        <v>239</v>
      </c>
      <c r="B51" s="44">
        <v>20</v>
      </c>
      <c r="C51" s="44">
        <v>0</v>
      </c>
      <c r="D51" s="52">
        <v>0</v>
      </c>
      <c r="E51" s="52">
        <v>0</v>
      </c>
      <c r="F51" s="52">
        <v>0</v>
      </c>
      <c r="G51" s="44">
        <v>2</v>
      </c>
      <c r="H51" s="44">
        <f t="shared" si="9"/>
        <v>40</v>
      </c>
      <c r="I51" s="91">
        <v>0</v>
      </c>
      <c r="J51" s="92">
        <f t="shared" si="10"/>
        <v>0</v>
      </c>
      <c r="K51" s="92">
        <f t="shared" si="11"/>
        <v>0</v>
      </c>
      <c r="L51" s="92">
        <f t="shared" si="12"/>
        <v>0</v>
      </c>
      <c r="M51" s="92">
        <f t="shared" si="13"/>
        <v>0</v>
      </c>
      <c r="N51" s="52">
        <f>(J51*'Base Data'!$C$5)+(K51*'Base Data'!$C$6)+(L51*'Base Data'!$C$7)</f>
        <v>0</v>
      </c>
      <c r="O51" s="52">
        <f t="shared" si="14"/>
        <v>0</v>
      </c>
      <c r="P51" s="92">
        <f>G51*I51</f>
        <v>0</v>
      </c>
      <c r="Q51" s="94" t="s">
        <v>255</v>
      </c>
      <c r="R51" s="147"/>
    </row>
    <row r="52" spans="1:19" s="6" customFormat="1" ht="9">
      <c r="A52" s="144" t="s">
        <v>472</v>
      </c>
      <c r="B52" s="44">
        <v>5</v>
      </c>
      <c r="C52" s="44"/>
      <c r="D52" s="52">
        <v>0</v>
      </c>
      <c r="E52" s="52">
        <v>0</v>
      </c>
      <c r="F52" s="52">
        <v>0</v>
      </c>
      <c r="G52" s="44">
        <v>1</v>
      </c>
      <c r="H52" s="44">
        <f t="shared" si="9"/>
        <v>5</v>
      </c>
      <c r="I52" s="92">
        <v>0</v>
      </c>
      <c r="J52" s="92">
        <f t="shared" si="10"/>
        <v>0</v>
      </c>
      <c r="K52" s="92">
        <f t="shared" si="11"/>
        <v>0</v>
      </c>
      <c r="L52" s="92">
        <f t="shared" si="12"/>
        <v>0</v>
      </c>
      <c r="M52" s="92">
        <f t="shared" si="13"/>
        <v>0</v>
      </c>
      <c r="N52" s="52">
        <f>(J52*'Base Data'!$C$5)+(K52*'Base Data'!$C$6)+(L52*'Base Data'!$C$7)</f>
        <v>0</v>
      </c>
      <c r="O52" s="52">
        <f t="shared" si="14"/>
        <v>0</v>
      </c>
      <c r="P52" s="92">
        <f t="shared" ref="P52" si="15">G52*I52</f>
        <v>0</v>
      </c>
      <c r="Q52" s="94" t="s">
        <v>559</v>
      </c>
    </row>
    <row r="53" spans="1:19" s="6" customFormat="1" ht="9">
      <c r="A53" s="145" t="s">
        <v>7</v>
      </c>
      <c r="B53" s="44"/>
      <c r="C53" s="44"/>
      <c r="D53" s="52"/>
      <c r="E53" s="52"/>
      <c r="F53" s="52"/>
      <c r="G53" s="44"/>
      <c r="H53" s="44"/>
      <c r="I53" s="91"/>
      <c r="J53" s="92">
        <f>SUM(J7:J52)</f>
        <v>37428</v>
      </c>
      <c r="K53" s="92">
        <f>SUM(K7:K52)</f>
        <v>3742.8</v>
      </c>
      <c r="L53" s="92">
        <f>SUM(L7:L52)</f>
        <v>1871.4</v>
      </c>
      <c r="M53" s="92">
        <f t="shared" ref="M53" si="16">SUM(M7:M51)</f>
        <v>0</v>
      </c>
      <c r="N53" s="52">
        <f>SUM(N7:N52)</f>
        <v>4071324.27</v>
      </c>
      <c r="O53" s="52">
        <f>SUM(O7:O52)</f>
        <v>12699408</v>
      </c>
      <c r="P53" s="92">
        <f>SUM(P47:P52)</f>
        <v>0</v>
      </c>
      <c r="Q53" s="94"/>
      <c r="R53" s="335">
        <f>SUM(O7,O10:O24,O29,O32,O35,O38,O41,O42:O43)</f>
        <v>12368280</v>
      </c>
      <c r="S53" s="336">
        <f>SUM(O28,O31,O34,O37,O40)</f>
        <v>331128</v>
      </c>
    </row>
    <row r="54" spans="1:19" s="6" customFormat="1" ht="9">
      <c r="A54" s="142" t="s">
        <v>431</v>
      </c>
      <c r="B54" s="44"/>
      <c r="C54" s="44"/>
      <c r="D54" s="52"/>
      <c r="E54" s="52"/>
      <c r="F54" s="52"/>
      <c r="G54" s="44"/>
      <c r="H54" s="44"/>
      <c r="I54" s="92"/>
      <c r="J54" s="92"/>
      <c r="K54" s="92"/>
      <c r="L54" s="92"/>
      <c r="M54" s="44"/>
      <c r="N54" s="52"/>
      <c r="O54" s="52"/>
      <c r="P54" s="92"/>
      <c r="Q54" s="94"/>
    </row>
    <row r="55" spans="1:19" s="6" customFormat="1" ht="9">
      <c r="A55" s="142" t="s">
        <v>418</v>
      </c>
      <c r="B55" s="44" t="s">
        <v>422</v>
      </c>
      <c r="C55" s="44"/>
      <c r="D55" s="52"/>
      <c r="E55" s="52"/>
      <c r="F55" s="52"/>
      <c r="G55" s="44"/>
      <c r="H55" s="44"/>
      <c r="I55" s="92"/>
      <c r="J55" s="92"/>
      <c r="K55" s="92"/>
      <c r="L55" s="92"/>
      <c r="M55" s="44"/>
      <c r="N55" s="52"/>
      <c r="O55" s="52"/>
      <c r="P55" s="92"/>
      <c r="Q55" s="94"/>
    </row>
    <row r="56" spans="1:19" s="6" customFormat="1" ht="9">
      <c r="A56" s="142" t="s">
        <v>419</v>
      </c>
      <c r="B56" s="44" t="s">
        <v>433</v>
      </c>
      <c r="C56" s="44"/>
      <c r="D56" s="52"/>
      <c r="E56" s="52"/>
      <c r="F56" s="52"/>
      <c r="G56" s="44"/>
      <c r="H56" s="44"/>
      <c r="I56" s="92"/>
      <c r="J56" s="92"/>
      <c r="K56" s="92"/>
      <c r="L56" s="92"/>
      <c r="M56" s="44"/>
      <c r="N56" s="52"/>
      <c r="O56" s="52"/>
      <c r="P56" s="92"/>
      <c r="Q56" s="94"/>
    </row>
    <row r="57" spans="1:19" s="6" customFormat="1" ht="9">
      <c r="A57" s="142" t="s">
        <v>420</v>
      </c>
      <c r="B57" s="44" t="s">
        <v>433</v>
      </c>
      <c r="C57" s="44"/>
      <c r="D57" s="52"/>
      <c r="E57" s="52"/>
      <c r="F57" s="52"/>
      <c r="G57" s="44"/>
      <c r="H57" s="44"/>
      <c r="I57" s="92"/>
      <c r="J57" s="92"/>
      <c r="K57" s="92"/>
      <c r="L57" s="92"/>
      <c r="M57" s="44"/>
      <c r="N57" s="52"/>
      <c r="O57" s="52"/>
      <c r="P57" s="92"/>
      <c r="Q57" s="94" t="s">
        <v>389</v>
      </c>
    </row>
    <row r="58" spans="1:19" s="6" customFormat="1" ht="9">
      <c r="A58" s="142" t="s">
        <v>421</v>
      </c>
      <c r="B58" s="44"/>
      <c r="C58" s="44"/>
      <c r="D58" s="52"/>
      <c r="E58" s="52"/>
      <c r="F58" s="52"/>
      <c r="G58" s="44"/>
      <c r="H58" s="44"/>
      <c r="I58" s="92"/>
      <c r="J58" s="92"/>
      <c r="K58" s="92"/>
      <c r="L58" s="92"/>
      <c r="M58" s="44"/>
      <c r="N58" s="52"/>
      <c r="O58" s="52"/>
      <c r="P58" s="92"/>
      <c r="Q58" s="94"/>
    </row>
    <row r="59" spans="1:19" s="6" customFormat="1" ht="9.75" customHeight="1">
      <c r="A59" s="142" t="s">
        <v>429</v>
      </c>
      <c r="B59" s="44">
        <v>20</v>
      </c>
      <c r="C59" s="44"/>
      <c r="D59" s="52">
        <v>0</v>
      </c>
      <c r="E59" s="52">
        <v>0</v>
      </c>
      <c r="F59" s="52">
        <v>0</v>
      </c>
      <c r="G59" s="44">
        <v>1</v>
      </c>
      <c r="H59" s="44">
        <f t="shared" ref="H59:H65" si="17">B59*G59</f>
        <v>20</v>
      </c>
      <c r="I59" s="91">
        <v>0</v>
      </c>
      <c r="J59" s="92">
        <f t="shared" ref="J59:J65" si="18">H59*I59</f>
        <v>0</v>
      </c>
      <c r="K59" s="92">
        <f t="shared" ref="K59:K65" si="19">J59*0.1</f>
        <v>0</v>
      </c>
      <c r="L59" s="92">
        <f t="shared" ref="L59:L65" si="20">J59*0.05</f>
        <v>0</v>
      </c>
      <c r="M59" s="44"/>
      <c r="N59" s="52">
        <f>(J59*'Base Data'!$C$5)+(K59*'Base Data'!$C$6)+(L59*'Base Data'!$C$7)</f>
        <v>0</v>
      </c>
      <c r="O59" s="52">
        <f t="shared" ref="O59:O65" si="21">(D59+E59+F59)*G59*I59</f>
        <v>0</v>
      </c>
      <c r="P59" s="92">
        <v>0</v>
      </c>
      <c r="Q59" s="94" t="s">
        <v>388</v>
      </c>
    </row>
    <row r="60" spans="1:19" s="6" customFormat="1" ht="9">
      <c r="A60" s="143" t="s">
        <v>425</v>
      </c>
      <c r="B60" s="44">
        <v>15</v>
      </c>
      <c r="C60" s="44">
        <v>0</v>
      </c>
      <c r="D60" s="52">
        <v>0</v>
      </c>
      <c r="E60" s="52">
        <v>0</v>
      </c>
      <c r="F60" s="52">
        <v>0</v>
      </c>
      <c r="G60" s="44">
        <v>1</v>
      </c>
      <c r="H60" s="44">
        <f t="shared" si="17"/>
        <v>15</v>
      </c>
      <c r="I60" s="91">
        <v>0</v>
      </c>
      <c r="J60" s="92">
        <f t="shared" si="18"/>
        <v>0</v>
      </c>
      <c r="K60" s="92">
        <f t="shared" si="19"/>
        <v>0</v>
      </c>
      <c r="L60" s="92">
        <f t="shared" si="20"/>
        <v>0</v>
      </c>
      <c r="M60" s="44">
        <f>C60*G60*I60</f>
        <v>0</v>
      </c>
      <c r="N60" s="52">
        <f>(J60*'Base Data'!$C$5)+(K60*'Base Data'!$C$6)+(L60*'Base Data'!$C$7)</f>
        <v>0</v>
      </c>
      <c r="O60" s="52">
        <f t="shared" si="21"/>
        <v>0</v>
      </c>
      <c r="P60" s="92">
        <v>0</v>
      </c>
      <c r="Q60" s="94" t="s">
        <v>388</v>
      </c>
    </row>
    <row r="61" spans="1:19" s="6" customFormat="1" ht="9.75" customHeight="1">
      <c r="A61" s="142" t="s">
        <v>426</v>
      </c>
      <c r="B61" s="44">
        <v>2</v>
      </c>
      <c r="C61" s="44"/>
      <c r="D61" s="52">
        <v>0</v>
      </c>
      <c r="E61" s="52">
        <v>0</v>
      </c>
      <c r="F61" s="52">
        <v>0</v>
      </c>
      <c r="G61" s="44">
        <v>1</v>
      </c>
      <c r="H61" s="44">
        <f t="shared" si="17"/>
        <v>2</v>
      </c>
      <c r="I61" s="91">
        <v>0</v>
      </c>
      <c r="J61" s="92">
        <f t="shared" si="18"/>
        <v>0</v>
      </c>
      <c r="K61" s="92">
        <f t="shared" si="19"/>
        <v>0</v>
      </c>
      <c r="L61" s="92">
        <f t="shared" si="20"/>
        <v>0</v>
      </c>
      <c r="M61" s="44"/>
      <c r="N61" s="52">
        <f>(J61*'Base Data'!$C$5)+(K61*'Base Data'!$C$6)+(L61*'Base Data'!$C$7)</f>
        <v>0</v>
      </c>
      <c r="O61" s="52">
        <f t="shared" si="21"/>
        <v>0</v>
      </c>
      <c r="P61" s="92">
        <v>0</v>
      </c>
      <c r="Q61" s="94" t="s">
        <v>388</v>
      </c>
    </row>
    <row r="62" spans="1:19" s="6" customFormat="1" ht="9">
      <c r="A62" s="143" t="s">
        <v>436</v>
      </c>
      <c r="B62" s="44">
        <v>2</v>
      </c>
      <c r="C62" s="44"/>
      <c r="D62" s="52">
        <v>0</v>
      </c>
      <c r="E62" s="52">
        <v>0</v>
      </c>
      <c r="F62" s="52">
        <v>0</v>
      </c>
      <c r="G62" s="44">
        <v>1</v>
      </c>
      <c r="H62" s="44">
        <f t="shared" si="17"/>
        <v>2</v>
      </c>
      <c r="I62" s="91">
        <v>0</v>
      </c>
      <c r="J62" s="92">
        <f t="shared" si="18"/>
        <v>0</v>
      </c>
      <c r="K62" s="92">
        <f t="shared" si="19"/>
        <v>0</v>
      </c>
      <c r="L62" s="92">
        <f t="shared" si="20"/>
        <v>0</v>
      </c>
      <c r="M62" s="44"/>
      <c r="N62" s="52">
        <f>(J62*'Base Data'!$C$5)+(K62*'Base Data'!$C$6)+(L62*'Base Data'!$C$7)</f>
        <v>0</v>
      </c>
      <c r="O62" s="52">
        <f t="shared" si="21"/>
        <v>0</v>
      </c>
      <c r="P62" s="92">
        <v>0</v>
      </c>
      <c r="Q62" s="94" t="s">
        <v>388</v>
      </c>
    </row>
    <row r="63" spans="1:19" s="6" customFormat="1" ht="9" customHeight="1">
      <c r="A63" s="143" t="s">
        <v>241</v>
      </c>
      <c r="B63" s="44">
        <v>2</v>
      </c>
      <c r="C63" s="44">
        <v>0</v>
      </c>
      <c r="D63" s="52">
        <v>0</v>
      </c>
      <c r="E63" s="52">
        <v>0</v>
      </c>
      <c r="F63" s="52">
        <v>0</v>
      </c>
      <c r="G63" s="44">
        <v>1</v>
      </c>
      <c r="H63" s="44">
        <f>B63*G63</f>
        <v>2</v>
      </c>
      <c r="I63" s="91">
        <v>0</v>
      </c>
      <c r="J63" s="92">
        <f>H63*I63</f>
        <v>0</v>
      </c>
      <c r="K63" s="92">
        <f t="shared" si="19"/>
        <v>0</v>
      </c>
      <c r="L63" s="92">
        <f>J63*0.05</f>
        <v>0</v>
      </c>
      <c r="M63" s="44">
        <f>C63*G63*I63</f>
        <v>0</v>
      </c>
      <c r="N63" s="52">
        <f>(J63*'Base Data'!$C$5)+(K63*'Base Data'!$C$6)+(L63*'Base Data'!$C$7)</f>
        <v>0</v>
      </c>
      <c r="O63" s="52">
        <f>(D63+E63+F63)*G63*I63</f>
        <v>0</v>
      </c>
      <c r="P63" s="92">
        <v>0</v>
      </c>
      <c r="Q63" s="94" t="s">
        <v>255</v>
      </c>
      <c r="R63" s="147"/>
    </row>
    <row r="64" spans="1:19" s="6" customFormat="1" ht="18">
      <c r="A64" s="143" t="s">
        <v>489</v>
      </c>
      <c r="B64" s="44">
        <v>2</v>
      </c>
      <c r="C64" s="44">
        <v>0</v>
      </c>
      <c r="D64" s="52">
        <v>0</v>
      </c>
      <c r="E64" s="52">
        <v>0</v>
      </c>
      <c r="F64" s="52">
        <v>0</v>
      </c>
      <c r="G64" s="44">
        <v>2</v>
      </c>
      <c r="H64" s="44">
        <f t="shared" ref="H64" si="22">B64*G64</f>
        <v>4</v>
      </c>
      <c r="I64" s="91">
        <v>0</v>
      </c>
      <c r="J64" s="92">
        <f t="shared" ref="J64" si="23">H64*I64</f>
        <v>0</v>
      </c>
      <c r="K64" s="92">
        <f t="shared" si="19"/>
        <v>0</v>
      </c>
      <c r="L64" s="92">
        <f t="shared" ref="L64" si="24">J64*0.05</f>
        <v>0</v>
      </c>
      <c r="M64" s="44">
        <f>C64*G64*I64</f>
        <v>0</v>
      </c>
      <c r="N64" s="52">
        <f>(J64*'Base Data'!$C$5)+(K64*'Base Data'!$C$6)+(L64*'Base Data'!$C$7)</f>
        <v>0</v>
      </c>
      <c r="O64" s="52">
        <f t="shared" ref="O64" si="25">(D64+E64+F64)*G64*I64</f>
        <v>0</v>
      </c>
      <c r="P64" s="92">
        <v>0</v>
      </c>
      <c r="Q64" s="94" t="s">
        <v>255</v>
      </c>
      <c r="R64" s="147"/>
    </row>
    <row r="65" spans="1:18" s="6" customFormat="1" ht="9">
      <c r="A65" s="143" t="s">
        <v>246</v>
      </c>
      <c r="B65" s="44">
        <v>0.5</v>
      </c>
      <c r="C65" s="44"/>
      <c r="D65" s="52">
        <v>0</v>
      </c>
      <c r="E65" s="52">
        <v>0</v>
      </c>
      <c r="F65" s="52">
        <v>0</v>
      </c>
      <c r="G65" s="44">
        <v>12</v>
      </c>
      <c r="H65" s="44">
        <f t="shared" si="17"/>
        <v>6</v>
      </c>
      <c r="I65" s="91">
        <v>0</v>
      </c>
      <c r="J65" s="92">
        <f t="shared" si="18"/>
        <v>0</v>
      </c>
      <c r="K65" s="92">
        <f t="shared" si="19"/>
        <v>0</v>
      </c>
      <c r="L65" s="92">
        <f t="shared" si="20"/>
        <v>0</v>
      </c>
      <c r="M65" s="44"/>
      <c r="N65" s="52">
        <f>(J65*'Base Data'!$C$5)+(K65*'Base Data'!$C$6)+(L65*'Base Data'!$C$7)</f>
        <v>0</v>
      </c>
      <c r="O65" s="52">
        <f t="shared" si="21"/>
        <v>0</v>
      </c>
      <c r="P65" s="92">
        <v>0</v>
      </c>
      <c r="Q65" s="94" t="s">
        <v>90</v>
      </c>
    </row>
    <row r="66" spans="1:18" s="6" customFormat="1" ht="9">
      <c r="A66" s="333" t="s">
        <v>490</v>
      </c>
      <c r="B66" s="44">
        <v>0.25</v>
      </c>
      <c r="C66" s="44"/>
      <c r="D66" s="52">
        <v>0</v>
      </c>
      <c r="E66" s="52">
        <v>0</v>
      </c>
      <c r="F66" s="52">
        <v>0</v>
      </c>
      <c r="G66" s="44">
        <v>1</v>
      </c>
      <c r="H66" s="44">
        <f>B66*G66</f>
        <v>0.25</v>
      </c>
      <c r="I66" s="92">
        <v>0</v>
      </c>
      <c r="J66" s="91">
        <f>H66*I66</f>
        <v>0</v>
      </c>
      <c r="K66" s="91">
        <f>J66*0.1</f>
        <v>0</v>
      </c>
      <c r="L66" s="91">
        <f>J66*0.05</f>
        <v>0</v>
      </c>
      <c r="M66" s="44">
        <f>C66*G66*I66</f>
        <v>0</v>
      </c>
      <c r="N66" s="52">
        <f>(J66*'Base Data'!$C$5)+(K66*'Base Data'!$C$6)+(L66*'Base Data'!$C$7)</f>
        <v>0</v>
      </c>
      <c r="O66" s="52">
        <f>(D66+E66+F66)*G66*I66</f>
        <v>0</v>
      </c>
      <c r="P66" s="92">
        <v>0</v>
      </c>
      <c r="Q66" s="94" t="s">
        <v>388</v>
      </c>
    </row>
    <row r="67" spans="1:18" s="6" customFormat="1" ht="9">
      <c r="A67" s="142" t="s">
        <v>427</v>
      </c>
      <c r="B67" s="44">
        <v>40</v>
      </c>
      <c r="C67" s="44"/>
      <c r="D67" s="52">
        <v>0</v>
      </c>
      <c r="E67" s="52">
        <v>0</v>
      </c>
      <c r="F67" s="52">
        <v>0</v>
      </c>
      <c r="G67" s="44">
        <v>1</v>
      </c>
      <c r="H67" s="44">
        <f t="shared" ref="H67" si="26">B67*G67</f>
        <v>40</v>
      </c>
      <c r="I67" s="91">
        <f>ROUND(SUM('Base Data'!$H$28:$H$30,'Base Data'!$H$33:$H$35,'Base Data'!$H$38:$H$40)/2,0)</f>
        <v>265</v>
      </c>
      <c r="J67" s="92">
        <f t="shared" ref="J67" si="27">H67*I67</f>
        <v>10600</v>
      </c>
      <c r="K67" s="92">
        <f t="shared" ref="K67" si="28">J67*0.1</f>
        <v>1060</v>
      </c>
      <c r="L67" s="92">
        <f t="shared" ref="L67" si="29">J67*0.05</f>
        <v>530</v>
      </c>
      <c r="M67" s="44"/>
      <c r="N67" s="52">
        <f>(J67*'Base Data'!$C$5)+(K67*'Base Data'!$C$6)+(L67*'Base Data'!$C$7)</f>
        <v>1153041.5</v>
      </c>
      <c r="O67" s="52">
        <f t="shared" ref="O67" si="30">(D67+E67+F67)*G67*I67</f>
        <v>0</v>
      </c>
      <c r="P67" s="92">
        <v>0</v>
      </c>
      <c r="Q67" s="94" t="s">
        <v>562</v>
      </c>
    </row>
    <row r="68" spans="1:18" s="6" customFormat="1">
      <c r="A68" s="20" t="s">
        <v>428</v>
      </c>
      <c r="B68" s="18" t="s">
        <v>433</v>
      </c>
      <c r="C68" s="18"/>
      <c r="D68" s="39"/>
      <c r="E68" s="39"/>
      <c r="F68" s="39"/>
      <c r="G68" s="18"/>
      <c r="H68" s="18"/>
      <c r="I68" s="19"/>
      <c r="J68" s="19"/>
      <c r="K68" s="19"/>
      <c r="L68" s="19"/>
      <c r="M68" s="18"/>
      <c r="N68" s="39"/>
      <c r="O68" s="39"/>
      <c r="P68" s="92"/>
      <c r="Q68" s="29"/>
      <c r="R68" s="2"/>
    </row>
    <row r="69" spans="1:18" s="6" customFormat="1">
      <c r="A69" s="250" t="s">
        <v>27</v>
      </c>
      <c r="B69" s="245"/>
      <c r="C69" s="245"/>
      <c r="D69" s="246"/>
      <c r="E69" s="246"/>
      <c r="F69" s="246"/>
      <c r="G69" s="245"/>
      <c r="H69" s="245"/>
      <c r="I69" s="247"/>
      <c r="J69" s="247">
        <f t="shared" ref="J69:O69" si="31">SUM(J55:J68)</f>
        <v>10600</v>
      </c>
      <c r="K69" s="247">
        <f t="shared" si="31"/>
        <v>1060</v>
      </c>
      <c r="L69" s="247">
        <f t="shared" si="31"/>
        <v>530</v>
      </c>
      <c r="M69" s="246">
        <f t="shared" si="31"/>
        <v>0</v>
      </c>
      <c r="N69" s="246">
        <f t="shared" si="31"/>
        <v>1153041.5</v>
      </c>
      <c r="O69" s="246">
        <f t="shared" si="31"/>
        <v>0</v>
      </c>
      <c r="P69" s="241"/>
      <c r="Q69" s="248"/>
      <c r="R69" s="1"/>
    </row>
    <row r="70" spans="1:18" s="2" customFormat="1">
      <c r="A70" s="252" t="s">
        <v>400</v>
      </c>
      <c r="B70" s="253"/>
      <c r="C70" s="25"/>
      <c r="D70" s="25"/>
      <c r="E70" s="25"/>
      <c r="F70" s="50"/>
      <c r="G70" s="25"/>
      <c r="H70" s="25"/>
      <c r="I70" s="26"/>
      <c r="J70" s="27">
        <f t="shared" ref="J70:P70" si="32">J53+J69</f>
        <v>48028</v>
      </c>
      <c r="K70" s="27">
        <f t="shared" si="32"/>
        <v>4802.8</v>
      </c>
      <c r="L70" s="27">
        <f t="shared" si="32"/>
        <v>2401.4</v>
      </c>
      <c r="M70" s="40">
        <f t="shared" si="32"/>
        <v>0</v>
      </c>
      <c r="N70" s="40">
        <f t="shared" si="32"/>
        <v>5224365.7699999996</v>
      </c>
      <c r="O70" s="40">
        <f t="shared" si="32"/>
        <v>12699408</v>
      </c>
      <c r="P70" s="27">
        <f t="shared" si="32"/>
        <v>0</v>
      </c>
      <c r="Q70" s="47"/>
      <c r="R70" s="14"/>
    </row>
    <row r="71" spans="1:18" ht="6" customHeight="1">
      <c r="B71" s="54"/>
      <c r="C71" s="54"/>
      <c r="D71" s="54"/>
      <c r="E71" s="54"/>
      <c r="F71" s="54"/>
      <c r="G71" s="54"/>
      <c r="H71" s="54"/>
      <c r="I71" s="55"/>
      <c r="R71" s="14"/>
    </row>
    <row r="72" spans="1:18" s="14" customFormat="1" ht="9">
      <c r="A72" s="14" t="s">
        <v>390</v>
      </c>
      <c r="B72" s="56"/>
      <c r="C72" s="56"/>
      <c r="D72" s="56"/>
      <c r="E72" s="56"/>
      <c r="F72" s="56"/>
      <c r="G72" s="56"/>
      <c r="H72" s="56"/>
      <c r="I72" s="57"/>
      <c r="J72" s="15"/>
      <c r="K72" s="15"/>
      <c r="L72" s="15"/>
      <c r="M72" s="15"/>
      <c r="N72" s="15"/>
      <c r="O72" s="17"/>
      <c r="P72" s="17"/>
      <c r="Q72" s="15"/>
    </row>
    <row r="73" spans="1:18" s="14" customFormat="1" ht="16.5" customHeight="1">
      <c r="A73" s="408" t="s">
        <v>165</v>
      </c>
      <c r="B73" s="408"/>
      <c r="C73" s="408"/>
      <c r="D73" s="408"/>
      <c r="E73" s="408"/>
      <c r="F73" s="408"/>
      <c r="G73" s="408"/>
      <c r="H73" s="408"/>
      <c r="I73" s="408"/>
      <c r="J73" s="408"/>
      <c r="K73" s="408"/>
      <c r="L73" s="408"/>
      <c r="M73" s="408"/>
      <c r="N73" s="408"/>
      <c r="O73" s="408"/>
      <c r="P73" s="377"/>
      <c r="Q73" s="15"/>
    </row>
    <row r="74" spans="1:18" s="14" customFormat="1" ht="27" customHeight="1">
      <c r="A74" s="408" t="s">
        <v>2</v>
      </c>
      <c r="B74" s="408"/>
      <c r="C74" s="408"/>
      <c r="D74" s="408"/>
      <c r="E74" s="408"/>
      <c r="F74" s="408"/>
      <c r="G74" s="408"/>
      <c r="H74" s="408"/>
      <c r="I74" s="408"/>
      <c r="J74" s="408"/>
      <c r="K74" s="408"/>
      <c r="L74" s="408"/>
      <c r="M74" s="408"/>
      <c r="N74" s="408"/>
      <c r="O74" s="408"/>
      <c r="P74" s="377"/>
      <c r="Q74" s="15"/>
    </row>
    <row r="75" spans="1:18" s="14" customFormat="1" ht="18" customHeight="1">
      <c r="A75" s="408" t="s">
        <v>95</v>
      </c>
      <c r="B75" s="408"/>
      <c r="C75" s="408"/>
      <c r="D75" s="408"/>
      <c r="E75" s="408"/>
      <c r="F75" s="408"/>
      <c r="G75" s="408"/>
      <c r="H75" s="408"/>
      <c r="I75" s="408"/>
      <c r="J75" s="408"/>
      <c r="K75" s="408"/>
      <c r="L75" s="408"/>
      <c r="M75" s="408"/>
      <c r="N75" s="408"/>
      <c r="O75" s="408"/>
      <c r="P75" s="408"/>
      <c r="Q75" s="408"/>
    </row>
    <row r="76" spans="1:18" s="14" customFormat="1" ht="8.25" customHeight="1">
      <c r="A76" s="14" t="s">
        <v>441</v>
      </c>
      <c r="B76" s="15"/>
      <c r="C76" s="15"/>
      <c r="D76" s="15"/>
      <c r="E76" s="15"/>
      <c r="F76" s="15"/>
      <c r="G76" s="15"/>
      <c r="H76" s="15"/>
      <c r="I76" s="16"/>
      <c r="J76" s="15"/>
      <c r="K76" s="15"/>
      <c r="L76" s="15"/>
      <c r="M76" s="15"/>
      <c r="N76" s="15"/>
      <c r="O76" s="17"/>
      <c r="P76" s="17"/>
      <c r="Q76" s="15"/>
    </row>
    <row r="77" spans="1:18" s="14" customFormat="1" ht="8.25" customHeight="1">
      <c r="A77" s="408" t="s">
        <v>551</v>
      </c>
      <c r="B77" s="408"/>
      <c r="C77" s="408"/>
      <c r="D77" s="408"/>
      <c r="E77" s="408"/>
      <c r="F77" s="408"/>
      <c r="G77" s="408"/>
      <c r="H77" s="408"/>
      <c r="I77" s="408"/>
      <c r="J77" s="408"/>
      <c r="K77" s="408"/>
      <c r="L77" s="408"/>
      <c r="M77" s="408"/>
      <c r="N77" s="15"/>
      <c r="O77" s="17"/>
      <c r="P77" s="17"/>
      <c r="Q77" s="15"/>
    </row>
    <row r="78" spans="1:18" s="14" customFormat="1" ht="9.75" customHeight="1">
      <c r="A78" s="53" t="s">
        <v>243</v>
      </c>
      <c r="B78" s="15"/>
      <c r="C78" s="15"/>
      <c r="D78" s="15"/>
      <c r="E78" s="15"/>
      <c r="F78" s="15"/>
      <c r="G78" s="15"/>
      <c r="H78" s="15"/>
      <c r="I78" s="16"/>
      <c r="J78" s="15"/>
      <c r="K78" s="15"/>
      <c r="L78" s="15"/>
      <c r="M78" s="15"/>
      <c r="N78" s="15"/>
      <c r="O78" s="17"/>
      <c r="P78" s="17"/>
      <c r="Q78" s="15"/>
    </row>
    <row r="79" spans="1:18" s="14" customFormat="1" ht="9.75" customHeight="1">
      <c r="A79" s="14" t="s">
        <v>258</v>
      </c>
      <c r="B79" s="15"/>
      <c r="C79" s="15"/>
      <c r="D79" s="15"/>
      <c r="E79" s="15"/>
      <c r="F79" s="15"/>
      <c r="G79" s="15"/>
      <c r="H79" s="15"/>
      <c r="I79" s="16"/>
      <c r="J79" s="15"/>
      <c r="K79" s="15"/>
      <c r="L79" s="15"/>
      <c r="M79" s="15"/>
      <c r="N79" s="15"/>
      <c r="O79" s="17"/>
      <c r="P79" s="17"/>
      <c r="Q79" s="15"/>
    </row>
    <row r="80" spans="1:18" s="14" customFormat="1" ht="9.75" customHeight="1">
      <c r="A80" s="14" t="s">
        <v>557</v>
      </c>
      <c r="B80" s="15"/>
      <c r="C80" s="15"/>
      <c r="D80" s="15"/>
      <c r="E80" s="15"/>
      <c r="F80" s="15"/>
      <c r="G80" s="15"/>
      <c r="H80" s="15"/>
      <c r="I80" s="16"/>
      <c r="J80" s="15"/>
      <c r="K80" s="15"/>
      <c r="L80" s="15"/>
      <c r="M80" s="15"/>
      <c r="N80" s="15"/>
      <c r="O80" s="17"/>
      <c r="P80" s="17"/>
      <c r="Q80" s="15"/>
    </row>
    <row r="81" spans="1:17" s="14" customFormat="1" ht="9" customHeight="1">
      <c r="A81" s="409" t="s">
        <v>556</v>
      </c>
      <c r="B81" s="409"/>
      <c r="C81" s="409"/>
      <c r="D81" s="409"/>
      <c r="E81" s="409"/>
      <c r="F81" s="409"/>
      <c r="G81" s="409"/>
      <c r="H81" s="409"/>
      <c r="I81" s="409"/>
      <c r="J81" s="409"/>
      <c r="K81" s="409"/>
      <c r="L81" s="409"/>
      <c r="M81" s="409"/>
      <c r="N81" s="409"/>
      <c r="O81" s="409"/>
      <c r="P81" s="409"/>
      <c r="Q81" s="409"/>
    </row>
    <row r="82" spans="1:17" s="14" customFormat="1" ht="9">
      <c r="A82" s="98" t="s">
        <v>242</v>
      </c>
      <c r="B82" s="56"/>
      <c r="C82" s="56"/>
      <c r="D82" s="56"/>
      <c r="E82" s="56"/>
      <c r="F82" s="56"/>
      <c r="G82" s="56"/>
      <c r="H82" s="56"/>
      <c r="I82" s="57"/>
      <c r="J82" s="56"/>
      <c r="K82" s="56"/>
      <c r="L82" s="56"/>
      <c r="M82" s="56"/>
      <c r="N82" s="56"/>
      <c r="O82" s="17"/>
      <c r="P82" s="17"/>
      <c r="Q82" s="15"/>
    </row>
    <row r="83" spans="1:17" s="14" customFormat="1" ht="9">
      <c r="A83" s="376" t="s">
        <v>244</v>
      </c>
      <c r="B83" s="15"/>
      <c r="C83" s="15"/>
      <c r="D83" s="15"/>
      <c r="E83" s="15"/>
      <c r="F83" s="15"/>
      <c r="G83" s="15"/>
      <c r="H83" s="15"/>
      <c r="I83" s="16"/>
      <c r="J83" s="15"/>
      <c r="K83" s="15"/>
      <c r="L83" s="15"/>
      <c r="M83" s="15"/>
      <c r="N83" s="15"/>
      <c r="O83" s="17"/>
      <c r="P83" s="17"/>
      <c r="Q83" s="15"/>
    </row>
    <row r="84" spans="1:17" s="14" customFormat="1" ht="9">
      <c r="A84" s="139" t="s">
        <v>560</v>
      </c>
      <c r="B84" s="15"/>
      <c r="C84" s="15"/>
      <c r="D84" s="15"/>
      <c r="E84" s="15"/>
      <c r="F84" s="15"/>
      <c r="G84" s="15"/>
      <c r="H84" s="15"/>
      <c r="I84" s="16"/>
      <c r="J84" s="15"/>
      <c r="K84" s="15"/>
      <c r="L84" s="15"/>
      <c r="M84" s="15"/>
      <c r="N84" s="15"/>
      <c r="O84" s="17"/>
      <c r="P84" s="17"/>
      <c r="Q84" s="15"/>
    </row>
    <row r="85" spans="1:17" s="14" customFormat="1" ht="9">
      <c r="A85" s="14" t="s">
        <v>561</v>
      </c>
      <c r="B85" s="15"/>
      <c r="C85" s="15"/>
      <c r="D85" s="15"/>
      <c r="E85" s="15"/>
      <c r="F85" s="15"/>
      <c r="G85" s="15"/>
      <c r="H85" s="15"/>
      <c r="I85" s="16"/>
      <c r="J85" s="15"/>
      <c r="K85" s="15"/>
      <c r="L85" s="15"/>
      <c r="M85" s="15"/>
      <c r="N85" s="15"/>
      <c r="O85" s="17"/>
      <c r="P85" s="17"/>
      <c r="Q85" s="15"/>
    </row>
    <row r="86" spans="1:17" s="14" customFormat="1" ht="9">
      <c r="B86" s="15"/>
      <c r="C86" s="15"/>
      <c r="D86" s="15"/>
      <c r="E86" s="15"/>
      <c r="F86" s="15"/>
      <c r="G86" s="15"/>
      <c r="H86" s="15"/>
      <c r="I86" s="16"/>
      <c r="J86" s="15"/>
      <c r="K86" s="15"/>
      <c r="L86" s="15"/>
      <c r="M86" s="15"/>
      <c r="N86" s="15"/>
      <c r="O86" s="17"/>
      <c r="P86" s="17"/>
      <c r="Q86" s="15"/>
    </row>
    <row r="87" spans="1:17" s="14" customFormat="1" ht="9">
      <c r="B87" s="15"/>
      <c r="C87" s="15"/>
      <c r="D87" s="15"/>
      <c r="E87" s="15"/>
      <c r="F87" s="15"/>
      <c r="G87" s="15"/>
      <c r="H87" s="15"/>
      <c r="I87" s="16"/>
      <c r="J87" s="15"/>
      <c r="K87" s="15"/>
      <c r="L87" s="15"/>
      <c r="M87" s="15"/>
      <c r="N87" s="15"/>
      <c r="O87" s="17"/>
      <c r="P87" s="17"/>
      <c r="Q87" s="15"/>
    </row>
    <row r="88" spans="1:17" s="14" customFormat="1" ht="9">
      <c r="N88" s="15"/>
      <c r="O88" s="17"/>
      <c r="P88" s="17"/>
      <c r="Q88" s="15"/>
    </row>
    <row r="89" spans="1:17" s="14" customFormat="1" ht="9">
      <c r="B89" s="15"/>
      <c r="C89" s="15"/>
      <c r="D89" s="15"/>
      <c r="E89" s="15"/>
      <c r="F89" s="15"/>
      <c r="G89" s="15"/>
      <c r="H89" s="15"/>
      <c r="I89" s="16"/>
      <c r="J89" s="15"/>
      <c r="K89" s="15"/>
      <c r="L89" s="15"/>
      <c r="M89" s="15"/>
      <c r="N89" s="15"/>
      <c r="O89" s="17"/>
      <c r="P89" s="17"/>
      <c r="Q89" s="15"/>
    </row>
    <row r="90" spans="1:17" s="14" customFormat="1" ht="9">
      <c r="B90" s="15"/>
      <c r="C90" s="15"/>
      <c r="D90" s="15"/>
      <c r="E90" s="15"/>
      <c r="F90" s="15"/>
      <c r="G90" s="15"/>
      <c r="H90" s="15"/>
      <c r="I90" s="16"/>
      <c r="J90" s="15"/>
      <c r="K90" s="15"/>
      <c r="L90" s="15"/>
      <c r="M90" s="15"/>
      <c r="N90" s="15"/>
      <c r="O90" s="17"/>
      <c r="P90" s="17"/>
      <c r="Q90" s="15"/>
    </row>
    <row r="91" spans="1:17" s="14" customFormat="1">
      <c r="B91" s="15"/>
      <c r="C91" s="15"/>
      <c r="D91" s="15"/>
      <c r="E91" s="15"/>
      <c r="F91" s="15"/>
      <c r="G91" s="15"/>
      <c r="H91" s="15"/>
      <c r="I91" s="16"/>
      <c r="J91" s="15"/>
      <c r="K91" s="15"/>
      <c r="L91" s="15"/>
      <c r="M91" s="15"/>
      <c r="N91" s="15"/>
      <c r="O91" s="17"/>
      <c r="P91" s="8"/>
      <c r="Q91" s="15"/>
    </row>
    <row r="92" spans="1:17" s="14" customFormat="1">
      <c r="B92" s="15"/>
      <c r="C92" s="15"/>
      <c r="D92" s="15"/>
      <c r="E92" s="15"/>
      <c r="F92" s="15"/>
      <c r="G92" s="15"/>
      <c r="H92" s="15"/>
      <c r="I92" s="16"/>
      <c r="J92" s="15"/>
      <c r="K92" s="15"/>
      <c r="L92" s="15"/>
      <c r="M92" s="15"/>
      <c r="N92" s="15"/>
      <c r="O92" s="17"/>
      <c r="P92" s="8"/>
      <c r="Q92" s="15"/>
    </row>
    <row r="93" spans="1:17" s="14" customFormat="1">
      <c r="B93" s="15"/>
      <c r="C93" s="15"/>
      <c r="D93" s="15"/>
      <c r="E93" s="15"/>
      <c r="F93" s="15"/>
      <c r="G93" s="15"/>
      <c r="H93" s="15"/>
      <c r="I93" s="16"/>
      <c r="J93" s="15"/>
      <c r="K93" s="15"/>
      <c r="L93" s="15"/>
      <c r="M93" s="15"/>
      <c r="N93" s="15"/>
      <c r="O93" s="17"/>
      <c r="P93" s="8"/>
      <c r="Q93" s="15"/>
    </row>
    <row r="94" spans="1:17" s="14" customFormat="1">
      <c r="B94" s="15"/>
      <c r="C94" s="15"/>
      <c r="D94" s="15"/>
      <c r="E94" s="15"/>
      <c r="F94" s="15"/>
      <c r="G94" s="15"/>
      <c r="H94" s="15"/>
      <c r="I94" s="16"/>
      <c r="J94" s="15"/>
      <c r="K94" s="15"/>
      <c r="L94" s="15"/>
      <c r="M94" s="15"/>
      <c r="N94" s="15"/>
      <c r="O94" s="17"/>
      <c r="P94" s="8"/>
      <c r="Q94" s="15"/>
    </row>
    <row r="95" spans="1:17" s="14" customFormat="1">
      <c r="B95" s="15"/>
      <c r="C95" s="15"/>
      <c r="D95" s="15"/>
      <c r="E95" s="15"/>
      <c r="F95" s="15"/>
      <c r="G95" s="15"/>
      <c r="H95" s="15"/>
      <c r="I95" s="16"/>
      <c r="J95" s="15"/>
      <c r="K95" s="15"/>
      <c r="L95" s="15"/>
      <c r="M95" s="15"/>
      <c r="N95" s="15"/>
      <c r="O95" s="17"/>
      <c r="P95" s="8"/>
      <c r="Q95" s="15"/>
    </row>
    <row r="96" spans="1:17" s="14" customFormat="1">
      <c r="B96" s="15"/>
      <c r="C96" s="15"/>
      <c r="D96" s="15"/>
      <c r="E96" s="15"/>
      <c r="F96" s="15"/>
      <c r="G96" s="15"/>
      <c r="H96" s="15"/>
      <c r="I96" s="16"/>
      <c r="J96" s="15"/>
      <c r="K96" s="15"/>
      <c r="L96" s="15"/>
      <c r="M96" s="15"/>
      <c r="N96" s="15"/>
      <c r="O96" s="17"/>
      <c r="P96" s="8"/>
      <c r="Q96" s="15"/>
    </row>
    <row r="97" spans="2:17" s="14" customFormat="1">
      <c r="B97" s="15"/>
      <c r="C97" s="15"/>
      <c r="D97" s="15"/>
      <c r="E97" s="15"/>
      <c r="F97" s="15"/>
      <c r="G97" s="15"/>
      <c r="H97" s="15"/>
      <c r="I97" s="16"/>
      <c r="J97" s="15"/>
      <c r="K97" s="15"/>
      <c r="L97" s="15"/>
      <c r="M97" s="15"/>
      <c r="N97" s="15"/>
      <c r="O97" s="17"/>
      <c r="P97" s="8"/>
      <c r="Q97" s="15"/>
    </row>
    <row r="98" spans="2:17" s="14" customFormat="1">
      <c r="B98" s="15"/>
      <c r="C98" s="15"/>
      <c r="D98" s="15"/>
      <c r="E98" s="15"/>
      <c r="F98" s="15"/>
      <c r="G98" s="15"/>
      <c r="H98" s="15"/>
      <c r="I98" s="16"/>
      <c r="J98" s="15"/>
      <c r="K98" s="15"/>
      <c r="L98" s="15"/>
      <c r="M98" s="15"/>
      <c r="N98" s="15"/>
      <c r="O98" s="17"/>
      <c r="P98" s="8"/>
      <c r="Q98" s="15"/>
    </row>
    <row r="99" spans="2:17" s="14" customFormat="1">
      <c r="B99" s="15"/>
      <c r="C99" s="15"/>
      <c r="D99" s="15"/>
      <c r="E99" s="15"/>
      <c r="F99" s="15"/>
      <c r="G99" s="15"/>
      <c r="H99" s="15"/>
      <c r="I99" s="16"/>
      <c r="J99" s="15"/>
      <c r="K99" s="15"/>
      <c r="L99" s="15"/>
      <c r="M99" s="15"/>
      <c r="N99" s="15"/>
      <c r="O99" s="17"/>
      <c r="P99" s="8"/>
      <c r="Q99" s="15"/>
    </row>
    <row r="100" spans="2:17" s="14" customFormat="1">
      <c r="B100" s="15"/>
      <c r="C100" s="15"/>
      <c r="D100" s="15"/>
      <c r="E100" s="15"/>
      <c r="F100" s="15"/>
      <c r="G100" s="15"/>
      <c r="H100" s="15"/>
      <c r="I100" s="16"/>
      <c r="J100" s="15"/>
      <c r="K100" s="15"/>
      <c r="L100" s="15"/>
      <c r="M100" s="15"/>
      <c r="N100" s="15"/>
      <c r="O100" s="17"/>
      <c r="P100" s="8"/>
      <c r="Q100" s="15"/>
    </row>
    <row r="101" spans="2:17" s="14" customFormat="1">
      <c r="B101" s="15"/>
      <c r="C101" s="15"/>
      <c r="D101" s="15"/>
      <c r="E101" s="15"/>
      <c r="F101" s="15"/>
      <c r="G101" s="15"/>
      <c r="H101" s="15"/>
      <c r="I101" s="16"/>
      <c r="J101" s="15"/>
      <c r="K101" s="15"/>
      <c r="L101" s="15"/>
      <c r="M101" s="15"/>
      <c r="N101" s="15"/>
      <c r="O101" s="17"/>
      <c r="P101" s="8"/>
      <c r="Q101" s="15"/>
    </row>
    <row r="102" spans="2:17" s="14" customFormat="1">
      <c r="B102" s="15"/>
      <c r="C102" s="15"/>
      <c r="D102" s="15"/>
      <c r="E102" s="15"/>
      <c r="F102" s="15"/>
      <c r="G102" s="15"/>
      <c r="H102" s="15"/>
      <c r="I102" s="16"/>
      <c r="J102" s="15"/>
      <c r="K102" s="15"/>
      <c r="L102" s="15"/>
      <c r="M102" s="15"/>
      <c r="N102" s="15"/>
      <c r="O102" s="17"/>
      <c r="P102" s="8"/>
      <c r="Q102" s="15"/>
    </row>
    <row r="103" spans="2:17" s="14" customFormat="1">
      <c r="B103" s="15"/>
      <c r="C103" s="15"/>
      <c r="D103" s="15"/>
      <c r="E103" s="15"/>
      <c r="F103" s="15"/>
      <c r="G103" s="15"/>
      <c r="H103" s="15"/>
      <c r="I103" s="16"/>
      <c r="J103" s="15"/>
      <c r="K103" s="15"/>
      <c r="L103" s="15"/>
      <c r="M103" s="15"/>
      <c r="N103" s="15"/>
      <c r="O103" s="17"/>
      <c r="P103" s="8"/>
      <c r="Q103" s="15"/>
    </row>
    <row r="104" spans="2:17" s="14" customFormat="1">
      <c r="B104" s="15"/>
      <c r="C104" s="15"/>
      <c r="D104" s="15"/>
      <c r="E104" s="15"/>
      <c r="F104" s="15"/>
      <c r="G104" s="15"/>
      <c r="H104" s="15"/>
      <c r="I104" s="16"/>
      <c r="J104" s="15"/>
      <c r="K104" s="15"/>
      <c r="L104" s="15"/>
      <c r="M104" s="15"/>
      <c r="N104" s="15"/>
      <c r="O104" s="17"/>
      <c r="P104" s="8"/>
      <c r="Q104" s="15"/>
    </row>
    <row r="105" spans="2:17" s="14" customFormat="1">
      <c r="B105" s="15"/>
      <c r="C105" s="15"/>
      <c r="D105" s="15"/>
      <c r="E105" s="15"/>
      <c r="F105" s="15"/>
      <c r="G105" s="15"/>
      <c r="H105" s="15"/>
      <c r="I105" s="16"/>
      <c r="J105" s="15"/>
      <c r="K105" s="15"/>
      <c r="L105" s="15"/>
      <c r="M105" s="15"/>
      <c r="N105" s="15"/>
      <c r="O105" s="17"/>
      <c r="P105" s="8"/>
      <c r="Q105" s="15"/>
    </row>
    <row r="106" spans="2:17" s="14" customFormat="1">
      <c r="B106" s="15"/>
      <c r="C106" s="15"/>
      <c r="D106" s="15"/>
      <c r="E106" s="15"/>
      <c r="F106" s="15"/>
      <c r="G106" s="15"/>
      <c r="H106" s="15"/>
      <c r="I106" s="16"/>
      <c r="J106" s="15"/>
      <c r="K106" s="15"/>
      <c r="L106" s="15"/>
      <c r="M106" s="15"/>
      <c r="N106" s="15"/>
      <c r="O106" s="17"/>
      <c r="P106" s="8"/>
      <c r="Q106" s="15"/>
    </row>
    <row r="107" spans="2:17" s="14" customFormat="1">
      <c r="B107" s="15"/>
      <c r="C107" s="15"/>
      <c r="D107" s="15"/>
      <c r="E107" s="15"/>
      <c r="F107" s="15"/>
      <c r="G107" s="15"/>
      <c r="H107" s="15"/>
      <c r="I107" s="16"/>
      <c r="J107" s="15"/>
      <c r="K107" s="15"/>
      <c r="L107" s="15"/>
      <c r="M107" s="15"/>
      <c r="N107" s="15"/>
      <c r="O107" s="17"/>
      <c r="P107" s="8"/>
      <c r="Q107" s="15"/>
    </row>
    <row r="108" spans="2:17" s="14" customFormat="1">
      <c r="B108" s="15"/>
      <c r="C108" s="15"/>
      <c r="D108" s="15"/>
      <c r="E108" s="15"/>
      <c r="F108" s="15"/>
      <c r="G108" s="15"/>
      <c r="H108" s="15"/>
      <c r="I108" s="16"/>
      <c r="J108" s="15"/>
      <c r="K108" s="15"/>
      <c r="L108" s="15"/>
      <c r="M108" s="15"/>
      <c r="N108" s="15"/>
      <c r="O108" s="17"/>
      <c r="P108" s="8"/>
      <c r="Q108" s="15"/>
    </row>
    <row r="109" spans="2:17" s="14" customFormat="1">
      <c r="B109" s="15"/>
      <c r="C109" s="15"/>
      <c r="D109" s="15"/>
      <c r="E109" s="15"/>
      <c r="F109" s="15"/>
      <c r="G109" s="15"/>
      <c r="H109" s="15"/>
      <c r="I109" s="16"/>
      <c r="J109" s="15"/>
      <c r="K109" s="15"/>
      <c r="L109" s="15"/>
      <c r="M109" s="15"/>
      <c r="N109" s="15"/>
      <c r="O109" s="17"/>
      <c r="P109" s="8"/>
      <c r="Q109" s="15"/>
    </row>
    <row r="110" spans="2:17" s="14" customFormat="1">
      <c r="B110" s="15"/>
      <c r="C110" s="15"/>
      <c r="D110" s="15"/>
      <c r="E110" s="15"/>
      <c r="F110" s="15"/>
      <c r="G110" s="15"/>
      <c r="H110" s="15"/>
      <c r="I110" s="16"/>
      <c r="J110" s="15"/>
      <c r="K110" s="15"/>
      <c r="L110" s="15"/>
      <c r="M110" s="15"/>
      <c r="N110" s="15"/>
      <c r="O110" s="17"/>
      <c r="P110" s="8"/>
      <c r="Q110" s="15"/>
    </row>
    <row r="111" spans="2:17" s="14" customFormat="1">
      <c r="B111" s="15"/>
      <c r="C111" s="15"/>
      <c r="D111" s="15"/>
      <c r="E111" s="15"/>
      <c r="F111" s="15"/>
      <c r="G111" s="15"/>
      <c r="H111" s="15"/>
      <c r="I111" s="16"/>
      <c r="J111" s="15"/>
      <c r="K111" s="15"/>
      <c r="L111" s="15"/>
      <c r="M111" s="15"/>
      <c r="N111" s="15"/>
      <c r="O111" s="17"/>
      <c r="P111" s="8"/>
      <c r="Q111" s="15"/>
    </row>
    <row r="112" spans="2:17" s="14" customFormat="1">
      <c r="B112" s="15"/>
      <c r="C112" s="15"/>
      <c r="D112" s="15"/>
      <c r="E112" s="15"/>
      <c r="F112" s="15"/>
      <c r="G112" s="15"/>
      <c r="H112" s="15"/>
      <c r="I112" s="16"/>
      <c r="J112" s="15"/>
      <c r="K112" s="15"/>
      <c r="L112" s="15"/>
      <c r="M112" s="15"/>
      <c r="N112" s="15"/>
      <c r="O112" s="17"/>
      <c r="P112" s="8"/>
      <c r="Q112" s="15"/>
    </row>
    <row r="113" spans="2:18" s="14" customFormat="1">
      <c r="B113" s="15"/>
      <c r="C113" s="15"/>
      <c r="D113" s="15"/>
      <c r="E113" s="15"/>
      <c r="F113" s="15"/>
      <c r="G113" s="15"/>
      <c r="H113" s="15"/>
      <c r="I113" s="16"/>
      <c r="J113" s="15"/>
      <c r="K113" s="15"/>
      <c r="L113" s="15"/>
      <c r="M113" s="15"/>
      <c r="N113" s="15"/>
      <c r="O113" s="17"/>
      <c r="P113" s="8"/>
      <c r="Q113" s="15"/>
    </row>
    <row r="114" spans="2:18" s="14" customFormat="1">
      <c r="B114" s="15"/>
      <c r="C114" s="15"/>
      <c r="D114" s="15"/>
      <c r="E114" s="15"/>
      <c r="F114" s="15"/>
      <c r="G114" s="15"/>
      <c r="H114" s="15"/>
      <c r="I114" s="16"/>
      <c r="J114" s="15"/>
      <c r="K114" s="15"/>
      <c r="L114" s="15"/>
      <c r="M114" s="15"/>
      <c r="N114" s="15"/>
      <c r="O114" s="17"/>
      <c r="P114" s="8"/>
      <c r="Q114" s="15"/>
    </row>
    <row r="115" spans="2:18" s="14" customFormat="1">
      <c r="B115" s="15"/>
      <c r="C115" s="15"/>
      <c r="D115" s="15"/>
      <c r="E115" s="15"/>
      <c r="F115" s="15"/>
      <c r="G115" s="15"/>
      <c r="H115" s="15"/>
      <c r="I115" s="16"/>
      <c r="J115" s="15"/>
      <c r="K115" s="15"/>
      <c r="L115" s="15"/>
      <c r="M115" s="15"/>
      <c r="N115" s="15"/>
      <c r="O115" s="17"/>
      <c r="P115" s="8"/>
      <c r="Q115" s="15"/>
    </row>
    <row r="116" spans="2:18" s="14" customFormat="1">
      <c r="B116" s="15"/>
      <c r="C116" s="15"/>
      <c r="D116" s="15"/>
      <c r="E116" s="15"/>
      <c r="F116" s="15"/>
      <c r="G116" s="15"/>
      <c r="H116" s="15"/>
      <c r="I116" s="16"/>
      <c r="J116" s="15"/>
      <c r="K116" s="15"/>
      <c r="L116" s="15"/>
      <c r="M116" s="15"/>
      <c r="N116" s="15"/>
      <c r="O116" s="17"/>
      <c r="P116" s="8"/>
      <c r="Q116" s="15"/>
    </row>
    <row r="117" spans="2:18" s="14" customFormat="1">
      <c r="B117" s="15"/>
      <c r="C117" s="15"/>
      <c r="D117" s="15"/>
      <c r="E117" s="15"/>
      <c r="F117" s="15"/>
      <c r="G117" s="15"/>
      <c r="H117" s="15"/>
      <c r="I117" s="16"/>
      <c r="J117" s="15"/>
      <c r="K117" s="15"/>
      <c r="L117" s="15"/>
      <c r="M117" s="15"/>
      <c r="N117" s="15"/>
      <c r="O117" s="17"/>
      <c r="P117" s="8"/>
      <c r="Q117" s="15"/>
    </row>
    <row r="118" spans="2:18" s="14" customFormat="1">
      <c r="B118" s="15"/>
      <c r="C118" s="15"/>
      <c r="D118" s="15"/>
      <c r="E118" s="15"/>
      <c r="F118" s="15"/>
      <c r="G118" s="15"/>
      <c r="H118" s="15"/>
      <c r="I118" s="16"/>
      <c r="J118" s="15"/>
      <c r="K118" s="15"/>
      <c r="L118" s="15"/>
      <c r="M118" s="15"/>
      <c r="N118" s="15"/>
      <c r="O118" s="17"/>
      <c r="P118" s="8"/>
      <c r="Q118" s="15"/>
    </row>
    <row r="119" spans="2:18" s="14" customFormat="1">
      <c r="B119" s="15"/>
      <c r="C119" s="15"/>
      <c r="D119" s="15"/>
      <c r="E119" s="15"/>
      <c r="F119" s="15"/>
      <c r="G119" s="15"/>
      <c r="H119" s="15"/>
      <c r="I119" s="16"/>
      <c r="J119" s="15"/>
      <c r="K119" s="15"/>
      <c r="L119" s="15"/>
      <c r="M119" s="15"/>
      <c r="N119" s="15"/>
      <c r="O119" s="17"/>
      <c r="P119" s="8"/>
      <c r="Q119" s="15"/>
    </row>
    <row r="120" spans="2:18" s="14" customFormat="1">
      <c r="B120" s="15"/>
      <c r="C120" s="15"/>
      <c r="D120" s="15"/>
      <c r="E120" s="15"/>
      <c r="F120" s="15"/>
      <c r="G120" s="15"/>
      <c r="H120" s="15"/>
      <c r="I120" s="16"/>
      <c r="J120" s="15"/>
      <c r="K120" s="15"/>
      <c r="L120" s="15"/>
      <c r="M120" s="15"/>
      <c r="N120" s="15"/>
      <c r="O120" s="17"/>
      <c r="P120" s="8"/>
      <c r="Q120" s="15"/>
    </row>
    <row r="121" spans="2:18" s="14" customFormat="1">
      <c r="B121" s="15"/>
      <c r="C121" s="15"/>
      <c r="D121" s="15"/>
      <c r="E121" s="15"/>
      <c r="F121" s="15"/>
      <c r="G121" s="15"/>
      <c r="H121" s="15"/>
      <c r="I121" s="16"/>
      <c r="J121" s="15"/>
      <c r="K121" s="15"/>
      <c r="L121" s="15"/>
      <c r="M121" s="15"/>
      <c r="N121" s="15"/>
      <c r="O121" s="17"/>
      <c r="P121" s="8"/>
      <c r="Q121" s="15"/>
    </row>
    <row r="122" spans="2:18" s="14" customFormat="1">
      <c r="B122" s="15"/>
      <c r="C122" s="15"/>
      <c r="D122" s="15"/>
      <c r="E122" s="15"/>
      <c r="F122" s="15"/>
      <c r="G122" s="15"/>
      <c r="H122" s="15"/>
      <c r="I122" s="16"/>
      <c r="J122" s="15"/>
      <c r="K122" s="15"/>
      <c r="L122" s="15"/>
      <c r="M122" s="15"/>
      <c r="N122" s="15"/>
      <c r="O122" s="17"/>
      <c r="P122" s="8"/>
      <c r="Q122" s="15"/>
    </row>
    <row r="123" spans="2:18" s="14" customFormat="1">
      <c r="B123" s="15"/>
      <c r="C123" s="15"/>
      <c r="D123" s="15"/>
      <c r="E123" s="15"/>
      <c r="F123" s="15"/>
      <c r="G123" s="15"/>
      <c r="H123" s="15"/>
      <c r="I123" s="16"/>
      <c r="J123" s="15"/>
      <c r="K123" s="15"/>
      <c r="L123" s="15"/>
      <c r="M123" s="15"/>
      <c r="N123" s="15"/>
      <c r="O123" s="17"/>
      <c r="P123" s="8"/>
      <c r="Q123" s="15"/>
      <c r="R123" s="1"/>
    </row>
    <row r="124" spans="2:18" s="14" customFormat="1">
      <c r="B124" s="15"/>
      <c r="C124" s="15"/>
      <c r="D124" s="15"/>
      <c r="E124" s="15"/>
      <c r="F124" s="15"/>
      <c r="G124" s="15"/>
      <c r="H124" s="15"/>
      <c r="I124" s="16"/>
      <c r="J124" s="15"/>
      <c r="K124" s="15"/>
      <c r="L124" s="15"/>
      <c r="M124" s="15"/>
      <c r="N124" s="15"/>
      <c r="O124" s="17"/>
      <c r="P124" s="8"/>
      <c r="Q124" s="15"/>
      <c r="R124" s="1"/>
    </row>
  </sheetData>
  <mergeCells count="7">
    <mergeCell ref="A77:M77"/>
    <mergeCell ref="A81:Q81"/>
    <mergeCell ref="A1:Q1"/>
    <mergeCell ref="A2:Q2"/>
    <mergeCell ref="A75:Q75"/>
    <mergeCell ref="A73:O73"/>
    <mergeCell ref="A74:O74"/>
  </mergeCells>
  <phoneticPr fontId="7" type="noConversion"/>
  <pageMargins left="0.25" right="0.25" top="0.5" bottom="0.75" header="0.5" footer="0.5"/>
  <pageSetup scale="56" orientation="landscape" r:id="rId1"/>
  <headerFooter alignWithMargins="0"/>
</worksheet>
</file>

<file path=xl/worksheets/sheet17.xml><?xml version="1.0" encoding="utf-8"?>
<worksheet xmlns="http://schemas.openxmlformats.org/spreadsheetml/2006/main" xmlns:r="http://schemas.openxmlformats.org/officeDocument/2006/relationships">
  <sheetPr>
    <pageSetUpPr fitToPage="1"/>
  </sheetPr>
  <dimension ref="A1:T88"/>
  <sheetViews>
    <sheetView zoomScale="110" zoomScaleNormal="110" workbookViewId="0">
      <pane xSplit="1" ySplit="3" topLeftCell="B13" activePane="bottomRight" state="frozen"/>
      <selection activeCell="P31" sqref="P31"/>
      <selection pane="topRight" activeCell="P31" sqref="P31"/>
      <selection pane="bottomLeft" activeCell="P31" sqref="P31"/>
      <selection pane="bottomRight" activeCell="I42" sqref="I42"/>
    </sheetView>
  </sheetViews>
  <sheetFormatPr defaultRowHeight="11.25"/>
  <cols>
    <col min="1" max="1" width="36.5703125" style="1" customWidth="1"/>
    <col min="2" max="2" width="8.85546875" style="7" bestFit="1" customWidth="1"/>
    <col min="3" max="3" width="8" style="7" hidden="1" customWidth="1"/>
    <col min="4" max="4" width="8.42578125" style="7" bestFit="1" customWidth="1"/>
    <col min="5" max="5" width="8.85546875" style="7" bestFit="1" customWidth="1"/>
    <col min="6" max="6" width="7.85546875" style="7" customWidth="1"/>
    <col min="7" max="7" width="9.28515625" style="7" bestFit="1" customWidth="1"/>
    <col min="8" max="8" width="8.140625" style="7" customWidth="1"/>
    <col min="9" max="9" width="9.42578125" style="11" bestFit="1" customWidth="1"/>
    <col min="10" max="11" width="6.85546875" style="7" bestFit="1" customWidth="1"/>
    <col min="12" max="12" width="8.85546875" style="7" customWidth="1"/>
    <col min="13" max="13" width="7.85546875" style="7" hidden="1" customWidth="1"/>
    <col min="14" max="14" width="10.140625" style="7" customWidth="1"/>
    <col min="15" max="15" width="10.140625" style="8" bestFit="1" customWidth="1"/>
    <col min="16" max="16" width="10" style="8" bestFit="1" customWidth="1"/>
    <col min="17" max="17" width="4.28515625" style="7" bestFit="1" customWidth="1"/>
    <col min="18" max="19" width="9.140625" style="1" hidden="1" customWidth="1"/>
    <col min="20" max="20" width="29.7109375" style="1" customWidth="1"/>
    <col min="21" max="16384" width="9.140625" style="1"/>
  </cols>
  <sheetData>
    <row r="1" spans="1:19">
      <c r="A1" s="410" t="s">
        <v>186</v>
      </c>
      <c r="B1" s="410"/>
      <c r="C1" s="410"/>
      <c r="D1" s="410"/>
      <c r="E1" s="410"/>
      <c r="F1" s="410"/>
      <c r="G1" s="410"/>
      <c r="H1" s="410"/>
      <c r="I1" s="410"/>
      <c r="J1" s="410"/>
      <c r="K1" s="410"/>
      <c r="L1" s="410"/>
      <c r="M1" s="410"/>
      <c r="N1" s="410"/>
      <c r="O1" s="410"/>
      <c r="P1" s="410"/>
      <c r="Q1" s="410"/>
    </row>
    <row r="2" spans="1:19">
      <c r="A2" s="411" t="s">
        <v>103</v>
      </c>
      <c r="B2" s="411"/>
      <c r="C2" s="411"/>
      <c r="D2" s="411"/>
      <c r="E2" s="411"/>
      <c r="F2" s="411"/>
      <c r="G2" s="411"/>
      <c r="H2" s="411"/>
      <c r="I2" s="411"/>
      <c r="J2" s="411"/>
      <c r="K2" s="411"/>
      <c r="L2" s="411"/>
      <c r="M2" s="411"/>
      <c r="N2" s="411"/>
      <c r="O2" s="411"/>
      <c r="P2" s="411"/>
      <c r="Q2" s="411"/>
    </row>
    <row r="3" spans="1:19" s="3" customFormat="1" ht="63">
      <c r="A3" s="45" t="s">
        <v>392</v>
      </c>
      <c r="B3" s="45" t="s">
        <v>393</v>
      </c>
      <c r="C3" s="45" t="s">
        <v>430</v>
      </c>
      <c r="D3" s="45" t="s">
        <v>4</v>
      </c>
      <c r="E3" s="45" t="s">
        <v>6</v>
      </c>
      <c r="F3" s="45" t="s">
        <v>5</v>
      </c>
      <c r="G3" s="45" t="s">
        <v>176</v>
      </c>
      <c r="H3" s="45" t="s">
        <v>459</v>
      </c>
      <c r="I3" s="60" t="s">
        <v>460</v>
      </c>
      <c r="J3" s="100" t="s">
        <v>462</v>
      </c>
      <c r="K3" s="100" t="s">
        <v>463</v>
      </c>
      <c r="L3" s="100" t="s">
        <v>461</v>
      </c>
      <c r="M3" s="45" t="s">
        <v>391</v>
      </c>
      <c r="N3" s="45" t="s">
        <v>8</v>
      </c>
      <c r="O3" s="100" t="s">
        <v>9</v>
      </c>
      <c r="P3" s="100" t="s">
        <v>175</v>
      </c>
      <c r="Q3" s="182" t="s">
        <v>394</v>
      </c>
      <c r="R3" s="3" t="s">
        <v>307</v>
      </c>
      <c r="S3" s="3" t="s">
        <v>308</v>
      </c>
    </row>
    <row r="4" spans="1:19" s="6" customFormat="1" ht="9">
      <c r="A4" s="178" t="s">
        <v>405</v>
      </c>
      <c r="B4" s="179" t="s">
        <v>433</v>
      </c>
      <c r="C4" s="179"/>
      <c r="D4" s="181"/>
      <c r="E4" s="181"/>
      <c r="F4" s="181"/>
      <c r="G4" s="179"/>
      <c r="H4" s="179"/>
      <c r="I4" s="183"/>
      <c r="J4" s="183"/>
      <c r="K4" s="183"/>
      <c r="L4" s="183"/>
      <c r="M4" s="179"/>
      <c r="N4" s="181"/>
      <c r="O4" s="181"/>
      <c r="P4" s="181"/>
      <c r="Q4" s="249"/>
    </row>
    <row r="5" spans="1:19" s="6" customFormat="1" ht="9">
      <c r="A5" s="142" t="s">
        <v>406</v>
      </c>
      <c r="B5" s="44" t="s">
        <v>433</v>
      </c>
      <c r="C5" s="44"/>
      <c r="D5" s="52"/>
      <c r="E5" s="52"/>
      <c r="F5" s="52"/>
      <c r="G5" s="44"/>
      <c r="H5" s="44"/>
      <c r="I5" s="92"/>
      <c r="J5" s="92"/>
      <c r="K5" s="92"/>
      <c r="L5" s="92"/>
      <c r="M5" s="44"/>
      <c r="N5" s="52"/>
      <c r="O5" s="52"/>
      <c r="P5" s="52"/>
      <c r="Q5" s="94"/>
    </row>
    <row r="6" spans="1:19" s="6" customFormat="1" ht="9">
      <c r="A6" s="142" t="s">
        <v>407</v>
      </c>
      <c r="B6" s="44"/>
      <c r="C6" s="44"/>
      <c r="D6" s="52"/>
      <c r="E6" s="52"/>
      <c r="F6" s="52"/>
      <c r="G6" s="44"/>
      <c r="H6" s="44"/>
      <c r="I6" s="92"/>
      <c r="J6" s="92"/>
      <c r="K6" s="92"/>
      <c r="L6" s="92"/>
      <c r="M6" s="44"/>
      <c r="N6" s="52"/>
      <c r="O6" s="52"/>
      <c r="P6" s="52"/>
      <c r="Q6" s="94"/>
    </row>
    <row r="7" spans="1:19" s="6" customFormat="1" ht="9">
      <c r="A7" s="143" t="s">
        <v>408</v>
      </c>
      <c r="B7" s="44">
        <v>40</v>
      </c>
      <c r="C7" s="44"/>
      <c r="D7" s="52">
        <v>0</v>
      </c>
      <c r="E7" s="52">
        <v>0</v>
      </c>
      <c r="F7" s="52">
        <v>0</v>
      </c>
      <c r="G7" s="44">
        <v>1</v>
      </c>
      <c r="H7" s="44">
        <f>B7*G7</f>
        <v>40</v>
      </c>
      <c r="I7" s="91">
        <v>0</v>
      </c>
      <c r="J7" s="92">
        <f>H7*I7</f>
        <v>0</v>
      </c>
      <c r="K7" s="92">
        <f>J7*0.1</f>
        <v>0</v>
      </c>
      <c r="L7" s="91">
        <f>J7*0.05</f>
        <v>0</v>
      </c>
      <c r="M7" s="44">
        <f>C7*G7*I7</f>
        <v>0</v>
      </c>
      <c r="N7" s="52">
        <f>(J7*'Base Data'!$C$5)+(K7*'Base Data'!$C$6)+(L7*'Base Data'!$C$7)</f>
        <v>0</v>
      </c>
      <c r="O7" s="52">
        <f>(D7+E7+F7)*G7*I7</f>
        <v>0</v>
      </c>
      <c r="P7" s="92">
        <v>0</v>
      </c>
      <c r="Q7" s="94" t="s">
        <v>387</v>
      </c>
      <c r="R7" s="147"/>
    </row>
    <row r="8" spans="1:19" s="6" customFormat="1" ht="9">
      <c r="A8" s="142" t="s">
        <v>409</v>
      </c>
      <c r="B8" s="44"/>
      <c r="C8" s="44"/>
      <c r="D8" s="52"/>
      <c r="E8" s="52"/>
      <c r="F8" s="52"/>
      <c r="G8" s="44"/>
      <c r="H8" s="44"/>
      <c r="I8" s="92"/>
      <c r="J8" s="92"/>
      <c r="K8" s="92"/>
      <c r="L8" s="92"/>
      <c r="M8" s="44"/>
      <c r="N8" s="52"/>
      <c r="O8" s="52"/>
      <c r="P8" s="92"/>
      <c r="Q8" s="94"/>
      <c r="R8" s="147"/>
    </row>
    <row r="9" spans="1:19" s="6" customFormat="1" ht="9">
      <c r="A9" s="143" t="s">
        <v>423</v>
      </c>
      <c r="B9" s="44"/>
      <c r="C9" s="44"/>
      <c r="D9" s="95"/>
      <c r="E9" s="52"/>
      <c r="F9" s="52"/>
      <c r="G9" s="44"/>
      <c r="H9" s="44"/>
      <c r="I9" s="91"/>
      <c r="J9" s="92"/>
      <c r="K9" s="92"/>
      <c r="L9" s="92"/>
      <c r="M9" s="93"/>
      <c r="N9" s="52"/>
      <c r="O9" s="52"/>
      <c r="P9" s="92"/>
      <c r="Q9" s="94"/>
      <c r="R9" s="147"/>
    </row>
    <row r="10" spans="1:19" s="6" customFormat="1" ht="9">
      <c r="A10" s="142" t="s">
        <v>274</v>
      </c>
      <c r="B10" s="44">
        <v>20</v>
      </c>
      <c r="C10" s="44"/>
      <c r="D10" s="52">
        <v>854</v>
      </c>
      <c r="E10" s="52">
        <v>0</v>
      </c>
      <c r="F10" s="52">
        <v>0</v>
      </c>
      <c r="G10" s="44">
        <v>1</v>
      </c>
      <c r="H10" s="44">
        <f>B10*G10</f>
        <v>20</v>
      </c>
      <c r="I10" s="91">
        <f>ROUND('Testing Costs'!$C$22*(SUM('Base Data'!$H$28:$H$30,'Base Data'!$H$33:$H$35,'Base Data'!$H$38:$H$40)/2),0)</f>
        <v>33</v>
      </c>
      <c r="J10" s="92">
        <f>H10*I10</f>
        <v>660</v>
      </c>
      <c r="K10" s="92">
        <f t="shared" ref="K10:K24" si="0">J10*0.1</f>
        <v>66</v>
      </c>
      <c r="L10" s="92">
        <f>J10*0.05</f>
        <v>33</v>
      </c>
      <c r="M10" s="93">
        <f>C10*G10*I10</f>
        <v>0</v>
      </c>
      <c r="N10" s="52">
        <f>(J10*'Base Data'!$C$5)+(K10*'Base Data'!$C$6)+(L10*'Base Data'!$C$7)</f>
        <v>71793.149999999994</v>
      </c>
      <c r="O10" s="52">
        <f>(D10+E10+F10)*G10*I10</f>
        <v>28182</v>
      </c>
      <c r="P10" s="92">
        <v>0</v>
      </c>
      <c r="Q10" s="94" t="s">
        <v>440</v>
      </c>
      <c r="R10" s="147"/>
    </row>
    <row r="11" spans="1:19" s="6" customFormat="1" ht="9">
      <c r="A11" s="142" t="s">
        <v>276</v>
      </c>
      <c r="B11" s="44">
        <v>20</v>
      </c>
      <c r="C11" s="44"/>
      <c r="D11" s="52">
        <v>18292</v>
      </c>
      <c r="E11" s="52">
        <v>0</v>
      </c>
      <c r="F11" s="52">
        <v>0</v>
      </c>
      <c r="G11" s="44">
        <v>1</v>
      </c>
      <c r="H11" s="44">
        <f>B11*G11</f>
        <v>20</v>
      </c>
      <c r="I11" s="91">
        <f>ROUNDDOWN('Testing Costs'!$C$23*(SUM('Base Data'!$H$28:$H$30,'Base Data'!$H$33:$H$35,'Base Data'!$H$38:$H$40)/2),0)</f>
        <v>231</v>
      </c>
      <c r="J11" s="92">
        <f>H11*I11</f>
        <v>4620</v>
      </c>
      <c r="K11" s="92">
        <f t="shared" si="0"/>
        <v>462</v>
      </c>
      <c r="L11" s="92">
        <f>J11*0.05</f>
        <v>231</v>
      </c>
      <c r="M11" s="93">
        <f>C11*G11*I11</f>
        <v>0</v>
      </c>
      <c r="N11" s="52">
        <f>(J11*'Base Data'!$C$5)+(K11*'Base Data'!$C$6)+(L11*'Base Data'!$C$7)</f>
        <v>502552.05</v>
      </c>
      <c r="O11" s="52">
        <f>(D11+E11+F11)*G11*I11</f>
        <v>4225452</v>
      </c>
      <c r="P11" s="92">
        <v>0</v>
      </c>
      <c r="Q11" s="94" t="s">
        <v>440</v>
      </c>
      <c r="R11" s="147"/>
    </row>
    <row r="12" spans="1:19" s="6" customFormat="1" ht="9">
      <c r="A12" s="143" t="s">
        <v>357</v>
      </c>
      <c r="B12" s="44">
        <v>12</v>
      </c>
      <c r="C12" s="44"/>
      <c r="D12" s="52">
        <v>0</v>
      </c>
      <c r="E12" s="52">
        <f>'Testing Costs'!$B$13</f>
        <v>5000</v>
      </c>
      <c r="F12" s="52">
        <v>0</v>
      </c>
      <c r="G12" s="44">
        <v>1</v>
      </c>
      <c r="H12" s="44">
        <f t="shared" ref="H12:H24" si="1">B12*G12</f>
        <v>12</v>
      </c>
      <c r="I12" s="91">
        <f>ROUNDDOWN(SUM('Base Data'!$D$38:$D$40)/2,0)</f>
        <v>35</v>
      </c>
      <c r="J12" s="92">
        <f t="shared" ref="J12:J24" si="2">H12*I12</f>
        <v>420</v>
      </c>
      <c r="K12" s="92">
        <f t="shared" si="0"/>
        <v>42</v>
      </c>
      <c r="L12" s="92">
        <f t="shared" ref="L12:L24" si="3">J12*0.05</f>
        <v>21</v>
      </c>
      <c r="M12" s="93"/>
      <c r="N12" s="52">
        <f>(J12*'Base Data'!$C$5)+(K12*'Base Data'!$C$6)+(L12*'Base Data'!$C$7)</f>
        <v>45686.55</v>
      </c>
      <c r="O12" s="52">
        <f t="shared" ref="O12:O24" si="4">(D12+E12+F12)*G12*I12</f>
        <v>175000</v>
      </c>
      <c r="P12" s="92">
        <v>0</v>
      </c>
      <c r="Q12" s="94" t="s">
        <v>257</v>
      </c>
      <c r="R12" s="147"/>
    </row>
    <row r="13" spans="1:19" s="6" customFormat="1" ht="9">
      <c r="A13" s="143" t="s">
        <v>358</v>
      </c>
      <c r="B13" s="44">
        <v>12</v>
      </c>
      <c r="C13" s="44"/>
      <c r="D13" s="52">
        <v>0</v>
      </c>
      <c r="E13" s="52">
        <f>'Testing Costs'!$B$17</f>
        <v>8000</v>
      </c>
      <c r="F13" s="52">
        <v>0</v>
      </c>
      <c r="G13" s="44">
        <v>1</v>
      </c>
      <c r="H13" s="44">
        <f t="shared" si="1"/>
        <v>12</v>
      </c>
      <c r="I13" s="91">
        <f>ROUNDDOWN(SUM('Base Data'!$D$38:$D$40)/2,0)</f>
        <v>35</v>
      </c>
      <c r="J13" s="92">
        <f t="shared" si="2"/>
        <v>420</v>
      </c>
      <c r="K13" s="92">
        <f t="shared" si="0"/>
        <v>42</v>
      </c>
      <c r="L13" s="92">
        <f t="shared" si="3"/>
        <v>21</v>
      </c>
      <c r="M13" s="93"/>
      <c r="N13" s="52">
        <f>(J13*'Base Data'!$C$5)+(K13*'Base Data'!$C$6)+(L13*'Base Data'!$C$7)</f>
        <v>45686.55</v>
      </c>
      <c r="O13" s="52">
        <f t="shared" si="4"/>
        <v>280000</v>
      </c>
      <c r="P13" s="92">
        <v>0</v>
      </c>
      <c r="Q13" s="94" t="s">
        <v>257</v>
      </c>
      <c r="R13" s="147"/>
    </row>
    <row r="14" spans="1:19" s="6" customFormat="1" ht="9">
      <c r="A14" s="143" t="s">
        <v>359</v>
      </c>
      <c r="B14" s="44">
        <v>12</v>
      </c>
      <c r="C14" s="44"/>
      <c r="D14" s="52">
        <v>0</v>
      </c>
      <c r="E14" s="52">
        <f>'Testing Costs'!$B$15</f>
        <v>8000</v>
      </c>
      <c r="F14" s="52">
        <v>0</v>
      </c>
      <c r="G14" s="44">
        <v>1</v>
      </c>
      <c r="H14" s="44">
        <f t="shared" si="1"/>
        <v>12</v>
      </c>
      <c r="I14" s="91">
        <f>ROUNDDOWN(SUM('Base Data'!$D$38:$D$40)/2,0)</f>
        <v>35</v>
      </c>
      <c r="J14" s="92">
        <f t="shared" si="2"/>
        <v>420</v>
      </c>
      <c r="K14" s="92">
        <f t="shared" si="0"/>
        <v>42</v>
      </c>
      <c r="L14" s="92">
        <f t="shared" si="3"/>
        <v>21</v>
      </c>
      <c r="M14" s="93"/>
      <c r="N14" s="52">
        <f>(J14*'Base Data'!$C$5)+(K14*'Base Data'!$C$6)+(L14*'Base Data'!$C$7)</f>
        <v>45686.55</v>
      </c>
      <c r="O14" s="52">
        <f t="shared" si="4"/>
        <v>280000</v>
      </c>
      <c r="P14" s="92">
        <v>0</v>
      </c>
      <c r="Q14" s="94" t="s">
        <v>257</v>
      </c>
      <c r="R14" s="147"/>
    </row>
    <row r="15" spans="1:19" s="6" customFormat="1" ht="9">
      <c r="A15" s="143" t="s">
        <v>198</v>
      </c>
      <c r="B15" s="44">
        <v>12</v>
      </c>
      <c r="C15" s="44"/>
      <c r="D15" s="52">
        <v>0</v>
      </c>
      <c r="E15" s="52">
        <f>'Testing Costs'!$B$14</f>
        <v>7000</v>
      </c>
      <c r="F15" s="52">
        <v>0</v>
      </c>
      <c r="G15" s="44">
        <v>1</v>
      </c>
      <c r="H15" s="44">
        <f t="shared" si="1"/>
        <v>12</v>
      </c>
      <c r="I15" s="91">
        <f>ROUNDDOWN(SUM('Base Data'!$D$38:$D$40)/2,0)</f>
        <v>35</v>
      </c>
      <c r="J15" s="92">
        <f t="shared" si="2"/>
        <v>420</v>
      </c>
      <c r="K15" s="92">
        <f t="shared" si="0"/>
        <v>42</v>
      </c>
      <c r="L15" s="92">
        <f t="shared" si="3"/>
        <v>21</v>
      </c>
      <c r="M15" s="93"/>
      <c r="N15" s="52">
        <f>(J15*'Base Data'!$C$5)+(K15*'Base Data'!$C$6)+(L15*'Base Data'!$C$7)</f>
        <v>45686.55</v>
      </c>
      <c r="O15" s="52">
        <f t="shared" si="4"/>
        <v>245000</v>
      </c>
      <c r="P15" s="92">
        <v>0</v>
      </c>
      <c r="Q15" s="94" t="s">
        <v>257</v>
      </c>
      <c r="R15" s="147"/>
    </row>
    <row r="16" spans="1:19" s="6" customFormat="1" ht="9">
      <c r="A16" s="143" t="s">
        <v>365</v>
      </c>
      <c r="B16" s="44">
        <v>12</v>
      </c>
      <c r="C16" s="44"/>
      <c r="D16" s="52">
        <v>0</v>
      </c>
      <c r="E16" s="52">
        <f>'Testing Costs'!$B$16</f>
        <v>16000</v>
      </c>
      <c r="F16" s="52">
        <v>0</v>
      </c>
      <c r="G16" s="44">
        <v>1</v>
      </c>
      <c r="H16" s="44">
        <f t="shared" si="1"/>
        <v>12</v>
      </c>
      <c r="I16" s="91">
        <f>ROUNDDOWN(SUM('Base Data'!$D$38:$D$40)/2,0)</f>
        <v>35</v>
      </c>
      <c r="J16" s="92">
        <f t="shared" si="2"/>
        <v>420</v>
      </c>
      <c r="K16" s="92">
        <f t="shared" si="0"/>
        <v>42</v>
      </c>
      <c r="L16" s="92">
        <f t="shared" si="3"/>
        <v>21</v>
      </c>
      <c r="M16" s="93"/>
      <c r="N16" s="52">
        <f>(J16*'Base Data'!$C$5)+(K16*'Base Data'!$C$6)+(L16*'Base Data'!$C$7)</f>
        <v>45686.55</v>
      </c>
      <c r="O16" s="52">
        <f t="shared" si="4"/>
        <v>560000</v>
      </c>
      <c r="P16" s="92">
        <v>0</v>
      </c>
      <c r="Q16" s="94" t="s">
        <v>257</v>
      </c>
      <c r="R16" s="147"/>
    </row>
    <row r="17" spans="1:20" s="6" customFormat="1" ht="9" customHeight="1">
      <c r="A17" s="143" t="s">
        <v>264</v>
      </c>
      <c r="B17" s="44">
        <v>12</v>
      </c>
      <c r="C17" s="44"/>
      <c r="D17" s="52">
        <v>0</v>
      </c>
      <c r="E17" s="52">
        <f>'Testing Costs'!$B$13</f>
        <v>5000</v>
      </c>
      <c r="F17" s="52">
        <v>0</v>
      </c>
      <c r="G17" s="44">
        <v>1</v>
      </c>
      <c r="H17" s="44">
        <f t="shared" si="1"/>
        <v>12</v>
      </c>
      <c r="I17" s="91">
        <f>ROUND(SUM('Base Data'!$D$38:$D$40)/2,0)</f>
        <v>36</v>
      </c>
      <c r="J17" s="92">
        <f t="shared" si="2"/>
        <v>432</v>
      </c>
      <c r="K17" s="92">
        <f t="shared" si="0"/>
        <v>43.2</v>
      </c>
      <c r="L17" s="92">
        <f t="shared" si="3"/>
        <v>21.6</v>
      </c>
      <c r="M17" s="93"/>
      <c r="N17" s="52">
        <f>(J17*'Base Data'!$C$5)+(K17*'Base Data'!$C$6)+(L17*'Base Data'!$C$7)</f>
        <v>46991.88</v>
      </c>
      <c r="O17" s="52">
        <f t="shared" si="4"/>
        <v>180000</v>
      </c>
      <c r="P17" s="92">
        <v>0</v>
      </c>
      <c r="Q17" s="94" t="s">
        <v>257</v>
      </c>
      <c r="R17" s="147"/>
      <c r="T17" s="314"/>
    </row>
    <row r="18" spans="1:20" s="6" customFormat="1" ht="9">
      <c r="A18" s="143" t="s">
        <v>265</v>
      </c>
      <c r="B18" s="44">
        <v>12</v>
      </c>
      <c r="C18" s="44"/>
      <c r="D18" s="52">
        <v>0</v>
      </c>
      <c r="E18" s="52">
        <f>'Testing Costs'!$B$17</f>
        <v>8000</v>
      </c>
      <c r="F18" s="52">
        <v>0</v>
      </c>
      <c r="G18" s="44">
        <v>1</v>
      </c>
      <c r="H18" s="44">
        <f t="shared" si="1"/>
        <v>12</v>
      </c>
      <c r="I18" s="91">
        <f>ROUND(SUM('Base Data'!$D$38:$D$40)/2,0)</f>
        <v>36</v>
      </c>
      <c r="J18" s="92">
        <f t="shared" si="2"/>
        <v>432</v>
      </c>
      <c r="K18" s="92">
        <f t="shared" si="0"/>
        <v>43.2</v>
      </c>
      <c r="L18" s="92">
        <f t="shared" si="3"/>
        <v>21.6</v>
      </c>
      <c r="M18" s="93"/>
      <c r="N18" s="52">
        <f>(J18*'Base Data'!$C$5)+(K18*'Base Data'!$C$6)+(L18*'Base Data'!$C$7)</f>
        <v>46991.88</v>
      </c>
      <c r="O18" s="52">
        <f t="shared" si="4"/>
        <v>288000</v>
      </c>
      <c r="P18" s="92">
        <v>0</v>
      </c>
      <c r="Q18" s="94" t="s">
        <v>257</v>
      </c>
      <c r="R18" s="147"/>
    </row>
    <row r="19" spans="1:20" s="6" customFormat="1" ht="9">
      <c r="A19" s="143" t="s">
        <v>266</v>
      </c>
      <c r="B19" s="44">
        <v>12</v>
      </c>
      <c r="C19" s="44"/>
      <c r="D19" s="52">
        <v>0</v>
      </c>
      <c r="E19" s="52">
        <f>'Testing Costs'!$B$15</f>
        <v>8000</v>
      </c>
      <c r="F19" s="52">
        <v>0</v>
      </c>
      <c r="G19" s="44">
        <v>1</v>
      </c>
      <c r="H19" s="44">
        <f t="shared" si="1"/>
        <v>12</v>
      </c>
      <c r="I19" s="91">
        <f>ROUND(SUM('Base Data'!$D$38:$D$40)/2,0)</f>
        <v>36</v>
      </c>
      <c r="J19" s="92">
        <f t="shared" si="2"/>
        <v>432</v>
      </c>
      <c r="K19" s="92">
        <f t="shared" si="0"/>
        <v>43.2</v>
      </c>
      <c r="L19" s="92">
        <f t="shared" si="3"/>
        <v>21.6</v>
      </c>
      <c r="M19" s="93"/>
      <c r="N19" s="52">
        <f>(J19*'Base Data'!$C$5)+(K19*'Base Data'!$C$6)+(L19*'Base Data'!$C$7)</f>
        <v>46991.88</v>
      </c>
      <c r="O19" s="52">
        <f t="shared" si="4"/>
        <v>288000</v>
      </c>
      <c r="P19" s="92">
        <v>0</v>
      </c>
      <c r="Q19" s="94" t="s">
        <v>257</v>
      </c>
      <c r="R19" s="147"/>
    </row>
    <row r="20" spans="1:20" s="6" customFormat="1" ht="9">
      <c r="A20" s="143" t="s">
        <v>199</v>
      </c>
      <c r="B20" s="44">
        <v>12</v>
      </c>
      <c r="C20" s="44"/>
      <c r="D20" s="52">
        <v>0</v>
      </c>
      <c r="E20" s="52">
        <f>'Testing Costs'!$B$14</f>
        <v>7000</v>
      </c>
      <c r="F20" s="52">
        <v>0</v>
      </c>
      <c r="G20" s="44">
        <v>1</v>
      </c>
      <c r="H20" s="44">
        <f t="shared" si="1"/>
        <v>12</v>
      </c>
      <c r="I20" s="91">
        <f>ROUND(SUM('Base Data'!$D$38:$D$40)/2,0)</f>
        <v>36</v>
      </c>
      <c r="J20" s="92">
        <f t="shared" si="2"/>
        <v>432</v>
      </c>
      <c r="K20" s="92">
        <f t="shared" si="0"/>
        <v>43.2</v>
      </c>
      <c r="L20" s="92">
        <f t="shared" si="3"/>
        <v>21.6</v>
      </c>
      <c r="M20" s="93"/>
      <c r="N20" s="52">
        <f>(J20*'Base Data'!$C$5)+(K20*'Base Data'!$C$6)+(L20*'Base Data'!$C$7)</f>
        <v>46991.88</v>
      </c>
      <c r="O20" s="52">
        <f t="shared" si="4"/>
        <v>252000</v>
      </c>
      <c r="P20" s="92">
        <v>0</v>
      </c>
      <c r="Q20" s="94" t="s">
        <v>257</v>
      </c>
      <c r="R20" s="147"/>
    </row>
    <row r="21" spans="1:20" s="6" customFormat="1" ht="9">
      <c r="A21" s="143" t="s">
        <v>267</v>
      </c>
      <c r="B21" s="44">
        <v>12</v>
      </c>
      <c r="C21" s="44"/>
      <c r="D21" s="52">
        <v>0</v>
      </c>
      <c r="E21" s="52">
        <f>'Testing Costs'!$B$16</f>
        <v>16000</v>
      </c>
      <c r="F21" s="52">
        <v>0</v>
      </c>
      <c r="G21" s="44">
        <v>1</v>
      </c>
      <c r="H21" s="44">
        <f t="shared" si="1"/>
        <v>12</v>
      </c>
      <c r="I21" s="91">
        <f>ROUND(SUM('Base Data'!$D$38:$D$40)/2,0)</f>
        <v>36</v>
      </c>
      <c r="J21" s="92">
        <f t="shared" si="2"/>
        <v>432</v>
      </c>
      <c r="K21" s="92">
        <f t="shared" si="0"/>
        <v>43.2</v>
      </c>
      <c r="L21" s="92">
        <f t="shared" si="3"/>
        <v>21.6</v>
      </c>
      <c r="M21" s="93"/>
      <c r="N21" s="52">
        <f>(J21*'Base Data'!$C$5)+(K21*'Base Data'!$C$6)+(L21*'Base Data'!$C$7)</f>
        <v>46991.88</v>
      </c>
      <c r="O21" s="52">
        <f t="shared" si="4"/>
        <v>576000</v>
      </c>
      <c r="P21" s="92">
        <v>0</v>
      </c>
      <c r="Q21" s="94" t="s">
        <v>257</v>
      </c>
      <c r="R21" s="147"/>
    </row>
    <row r="22" spans="1:20" s="6" customFormat="1" ht="18">
      <c r="A22" s="332" t="s">
        <v>481</v>
      </c>
      <c r="B22" s="44">
        <v>24</v>
      </c>
      <c r="C22" s="331"/>
      <c r="D22" s="52">
        <v>0</v>
      </c>
      <c r="E22" s="52">
        <f>$E$13+$E$14</f>
        <v>16000</v>
      </c>
      <c r="F22" s="52">
        <v>0</v>
      </c>
      <c r="G22" s="44">
        <v>1</v>
      </c>
      <c r="H22" s="44">
        <f t="shared" si="1"/>
        <v>24</v>
      </c>
      <c r="I22" s="91">
        <v>0</v>
      </c>
      <c r="J22" s="92">
        <f t="shared" si="2"/>
        <v>0</v>
      </c>
      <c r="K22" s="92">
        <f t="shared" si="0"/>
        <v>0</v>
      </c>
      <c r="L22" s="92">
        <f t="shared" si="3"/>
        <v>0</v>
      </c>
      <c r="M22" s="93"/>
      <c r="N22" s="52">
        <f>(J22*'Base Data'!$C$5)+(K22*'Base Data'!$C$6)+(L22*'Base Data'!$C$7)</f>
        <v>0</v>
      </c>
      <c r="O22" s="52">
        <f t="shared" si="4"/>
        <v>0</v>
      </c>
      <c r="P22" s="92">
        <v>0</v>
      </c>
      <c r="Q22" s="94" t="s">
        <v>92</v>
      </c>
    </row>
    <row r="23" spans="1:20" s="6" customFormat="1" ht="9" customHeight="1">
      <c r="A23" s="143" t="s">
        <v>483</v>
      </c>
      <c r="B23" s="44">
        <v>5</v>
      </c>
      <c r="C23" s="44"/>
      <c r="D23" s="52">
        <v>0</v>
      </c>
      <c r="E23" s="52">
        <v>400</v>
      </c>
      <c r="F23" s="52">
        <v>0</v>
      </c>
      <c r="G23" s="44">
        <v>1</v>
      </c>
      <c r="H23" s="44">
        <f t="shared" si="1"/>
        <v>5</v>
      </c>
      <c r="I23" s="91">
        <v>0</v>
      </c>
      <c r="J23" s="92">
        <f t="shared" si="2"/>
        <v>0</v>
      </c>
      <c r="K23" s="92">
        <f t="shared" si="0"/>
        <v>0</v>
      </c>
      <c r="L23" s="92">
        <f t="shared" si="3"/>
        <v>0</v>
      </c>
      <c r="M23" s="93"/>
      <c r="N23" s="52">
        <f>(J23*'Base Data'!$C$5)+(K23*'Base Data'!$C$6)+(L23*'Base Data'!$C$7)</f>
        <v>0</v>
      </c>
      <c r="O23" s="52">
        <f t="shared" si="4"/>
        <v>0</v>
      </c>
      <c r="P23" s="92">
        <v>0</v>
      </c>
      <c r="Q23" s="94" t="s">
        <v>90</v>
      </c>
      <c r="R23" s="147"/>
    </row>
    <row r="24" spans="1:20" s="6" customFormat="1" ht="9" customHeight="1">
      <c r="A24" s="143" t="s">
        <v>484</v>
      </c>
      <c r="B24" s="44">
        <v>5</v>
      </c>
      <c r="C24" s="44"/>
      <c r="D24" s="52">
        <v>0</v>
      </c>
      <c r="E24" s="52">
        <v>400</v>
      </c>
      <c r="F24" s="52">
        <v>0</v>
      </c>
      <c r="G24" s="44">
        <v>12</v>
      </c>
      <c r="H24" s="44">
        <f t="shared" si="1"/>
        <v>60</v>
      </c>
      <c r="I24" s="91">
        <v>0</v>
      </c>
      <c r="J24" s="92">
        <f t="shared" si="2"/>
        <v>0</v>
      </c>
      <c r="K24" s="92">
        <f t="shared" si="0"/>
        <v>0</v>
      </c>
      <c r="L24" s="92">
        <f t="shared" si="3"/>
        <v>0</v>
      </c>
      <c r="M24" s="93"/>
      <c r="N24" s="52">
        <f>(J24*'Base Data'!$C$5)+(K24*'Base Data'!$C$6)+(L24*'Base Data'!$C$7)</f>
        <v>0</v>
      </c>
      <c r="O24" s="52">
        <f t="shared" si="4"/>
        <v>0</v>
      </c>
      <c r="P24" s="92">
        <v>0</v>
      </c>
      <c r="Q24" s="94" t="s">
        <v>90</v>
      </c>
      <c r="R24" s="147"/>
    </row>
    <row r="25" spans="1:20" s="6" customFormat="1" ht="9">
      <c r="A25" s="143" t="s">
        <v>485</v>
      </c>
      <c r="B25" s="44"/>
      <c r="C25" s="44"/>
      <c r="D25" s="52"/>
      <c r="E25" s="52"/>
      <c r="F25" s="52"/>
      <c r="G25" s="44"/>
      <c r="H25" s="44"/>
      <c r="I25" s="92"/>
      <c r="J25" s="92"/>
      <c r="K25" s="92"/>
      <c r="L25" s="92"/>
      <c r="M25" s="93"/>
      <c r="N25" s="52"/>
      <c r="O25" s="52"/>
      <c r="P25" s="92"/>
      <c r="Q25" s="94"/>
      <c r="R25" s="147"/>
    </row>
    <row r="26" spans="1:20" s="6" customFormat="1" ht="9">
      <c r="A26" s="143" t="s">
        <v>432</v>
      </c>
      <c r="B26" s="44">
        <v>40</v>
      </c>
      <c r="C26" s="44"/>
      <c r="D26" s="52">
        <v>0</v>
      </c>
      <c r="E26" s="52"/>
      <c r="F26" s="52">
        <v>0</v>
      </c>
      <c r="G26" s="44">
        <v>1</v>
      </c>
      <c r="H26" s="44">
        <f>B26*G26</f>
        <v>40</v>
      </c>
      <c r="I26" s="91">
        <f>ROUND(SUM('Base Data'!$H$38:$H$40)/2,0)</f>
        <v>4</v>
      </c>
      <c r="J26" s="92">
        <f>H26*I26</f>
        <v>160</v>
      </c>
      <c r="K26" s="92">
        <f>J26*0.1</f>
        <v>16</v>
      </c>
      <c r="L26" s="92">
        <f>J26*0.05</f>
        <v>8</v>
      </c>
      <c r="M26" s="93"/>
      <c r="N26" s="52">
        <f>(J26*'Base Data'!$C$5)+(K26*'Base Data'!$C$6)+(L26*'Base Data'!$C$7)</f>
        <v>17404.399999999998</v>
      </c>
      <c r="O26" s="52">
        <f>(D26+E26+F26)*G26*I26</f>
        <v>0</v>
      </c>
      <c r="P26" s="92">
        <v>0</v>
      </c>
      <c r="Q26" s="94" t="s">
        <v>388</v>
      </c>
      <c r="R26" s="147"/>
    </row>
    <row r="27" spans="1:20" s="6" customFormat="1" ht="9">
      <c r="A27" s="142" t="s">
        <v>410</v>
      </c>
      <c r="B27" s="44"/>
      <c r="C27" s="44"/>
      <c r="D27" s="52"/>
      <c r="E27" s="52"/>
      <c r="F27" s="52"/>
      <c r="G27" s="44"/>
      <c r="H27" s="44"/>
      <c r="I27" s="92"/>
      <c r="J27" s="92"/>
      <c r="K27" s="92"/>
      <c r="L27" s="92"/>
      <c r="M27" s="93"/>
      <c r="N27" s="52"/>
      <c r="O27" s="52"/>
      <c r="P27" s="92"/>
      <c r="Q27" s="94"/>
      <c r="R27" s="147"/>
    </row>
    <row r="28" spans="1:20" s="6" customFormat="1" ht="9">
      <c r="A28" s="142" t="s">
        <v>411</v>
      </c>
      <c r="B28" s="44">
        <v>10</v>
      </c>
      <c r="C28" s="44"/>
      <c r="D28" s="52">
        <v>0</v>
      </c>
      <c r="E28" s="52">
        <v>0</v>
      </c>
      <c r="F28" s="52">
        <v>43100</v>
      </c>
      <c r="G28" s="44">
        <v>1</v>
      </c>
      <c r="H28" s="44">
        <f>B28*G28</f>
        <v>10</v>
      </c>
      <c r="I28" s="91">
        <f>ROUND(Monitors!$C$12/2,0)</f>
        <v>0</v>
      </c>
      <c r="J28" s="92">
        <f>H28*I28</f>
        <v>0</v>
      </c>
      <c r="K28" s="92">
        <f>J28*0.1</f>
        <v>0</v>
      </c>
      <c r="L28" s="92">
        <f>J28*0.05</f>
        <v>0</v>
      </c>
      <c r="M28" s="93"/>
      <c r="N28" s="52">
        <f>(J28*'Base Data'!$C$5)+(K28*'Base Data'!$C$6)+(L28*'Base Data'!$C$7)</f>
        <v>0</v>
      </c>
      <c r="O28" s="52">
        <f>(D28+E28+F28)*G28*I28</f>
        <v>0</v>
      </c>
      <c r="P28" s="92">
        <v>0</v>
      </c>
      <c r="Q28" s="94" t="s">
        <v>91</v>
      </c>
      <c r="R28" s="147"/>
    </row>
    <row r="29" spans="1:20" s="6" customFormat="1" ht="9">
      <c r="A29" s="142" t="s">
        <v>414</v>
      </c>
      <c r="B29" s="44">
        <v>10</v>
      </c>
      <c r="C29" s="44"/>
      <c r="D29" s="52">
        <v>0</v>
      </c>
      <c r="E29" s="52">
        <v>0</v>
      </c>
      <c r="F29" s="52">
        <v>14700</v>
      </c>
      <c r="G29" s="44">
        <v>1</v>
      </c>
      <c r="H29" s="44">
        <f>B29*G29</f>
        <v>10</v>
      </c>
      <c r="I29" s="91">
        <f>ROUND(Monitors!$C$12/2,0)</f>
        <v>0</v>
      </c>
      <c r="J29" s="92">
        <f>H29*I29</f>
        <v>0</v>
      </c>
      <c r="K29" s="92">
        <f>J29*0.1</f>
        <v>0</v>
      </c>
      <c r="L29" s="92">
        <f>J29*0.05</f>
        <v>0</v>
      </c>
      <c r="M29" s="93"/>
      <c r="N29" s="52">
        <f>(J29*'Base Data'!$C$5)+(K29*'Base Data'!$C$6)+(L29*'Base Data'!$C$7)</f>
        <v>0</v>
      </c>
      <c r="O29" s="52">
        <f>(D29+E29+F29)*G29*I29</f>
        <v>0</v>
      </c>
      <c r="P29" s="92">
        <v>0</v>
      </c>
      <c r="Q29" s="94" t="s">
        <v>91</v>
      </c>
      <c r="R29" s="147"/>
    </row>
    <row r="30" spans="1:20" s="6" customFormat="1" ht="9">
      <c r="A30" s="142" t="s">
        <v>356</v>
      </c>
      <c r="B30" s="44"/>
      <c r="C30" s="44"/>
      <c r="D30" s="52"/>
      <c r="E30" s="52"/>
      <c r="F30" s="52"/>
      <c r="G30" s="44"/>
      <c r="H30" s="44"/>
      <c r="I30" s="92"/>
      <c r="J30" s="92"/>
      <c r="K30" s="92"/>
      <c r="L30" s="92"/>
      <c r="M30" s="93"/>
      <c r="N30" s="52"/>
      <c r="O30" s="52"/>
      <c r="P30" s="92"/>
      <c r="Q30" s="94"/>
      <c r="R30" s="147"/>
    </row>
    <row r="31" spans="1:20" s="6" customFormat="1" ht="9">
      <c r="A31" s="142" t="s">
        <v>411</v>
      </c>
      <c r="B31" s="44">
        <v>10</v>
      </c>
      <c r="C31" s="44"/>
      <c r="D31" s="52">
        <v>0</v>
      </c>
      <c r="E31" s="52">
        <v>0</v>
      </c>
      <c r="F31" s="52">
        <v>158000</v>
      </c>
      <c r="G31" s="44">
        <v>1</v>
      </c>
      <c r="H31" s="44">
        <f>B31*G31</f>
        <v>10</v>
      </c>
      <c r="I31" s="91">
        <v>0</v>
      </c>
      <c r="J31" s="92">
        <f>H31*I31</f>
        <v>0</v>
      </c>
      <c r="K31" s="92">
        <f>J31*0.1</f>
        <v>0</v>
      </c>
      <c r="L31" s="92">
        <f>J31*0.05</f>
        <v>0</v>
      </c>
      <c r="M31" s="93"/>
      <c r="N31" s="52">
        <f>(J31*'Base Data'!$C$5)+(K31*'Base Data'!$C$6)+(L31*'Base Data'!$C$7)</f>
        <v>0</v>
      </c>
      <c r="O31" s="52">
        <f>(D31+E31+F31)*G31*I31</f>
        <v>0</v>
      </c>
      <c r="P31" s="92">
        <v>0</v>
      </c>
      <c r="Q31" s="94" t="s">
        <v>91</v>
      </c>
      <c r="R31" s="147"/>
    </row>
    <row r="32" spans="1:20" s="6" customFormat="1" ht="9">
      <c r="A32" s="142" t="s">
        <v>414</v>
      </c>
      <c r="B32" s="44">
        <v>10</v>
      </c>
      <c r="C32" s="44"/>
      <c r="D32" s="52">
        <v>0</v>
      </c>
      <c r="E32" s="52">
        <v>0</v>
      </c>
      <c r="F32" s="52">
        <v>56100</v>
      </c>
      <c r="G32" s="44">
        <v>1</v>
      </c>
      <c r="H32" s="44">
        <f>B32*G32</f>
        <v>10</v>
      </c>
      <c r="I32" s="91">
        <v>0</v>
      </c>
      <c r="J32" s="92">
        <f>H32*I32</f>
        <v>0</v>
      </c>
      <c r="K32" s="92">
        <f>J32*0.1</f>
        <v>0</v>
      </c>
      <c r="L32" s="92">
        <f>J32*0.05</f>
        <v>0</v>
      </c>
      <c r="M32" s="93"/>
      <c r="N32" s="52">
        <f>(J32*'Base Data'!$C$5)+(K32*'Base Data'!$C$6)+(L32*'Base Data'!$C$7)</f>
        <v>0</v>
      </c>
      <c r="O32" s="52">
        <f>(D32+E32+F32)*G32*I32</f>
        <v>0</v>
      </c>
      <c r="P32" s="92">
        <v>0</v>
      </c>
      <c r="Q32" s="94" t="s">
        <v>91</v>
      </c>
      <c r="R32" s="147"/>
    </row>
    <row r="33" spans="1:18" s="6" customFormat="1" ht="9">
      <c r="A33" s="142" t="s">
        <v>522</v>
      </c>
      <c r="B33" s="44"/>
      <c r="C33" s="44"/>
      <c r="D33" s="52"/>
      <c r="E33" s="52"/>
      <c r="F33" s="52"/>
      <c r="G33" s="44"/>
      <c r="H33" s="44"/>
      <c r="I33" s="91"/>
      <c r="J33" s="92"/>
      <c r="K33" s="92"/>
      <c r="L33" s="92"/>
      <c r="M33" s="93"/>
      <c r="N33" s="52"/>
      <c r="O33" s="52"/>
      <c r="P33" s="92"/>
      <c r="Q33" s="94"/>
    </row>
    <row r="34" spans="1:18" s="6" customFormat="1" ht="9">
      <c r="A34" s="142" t="s">
        <v>411</v>
      </c>
      <c r="B34" s="44">
        <v>10</v>
      </c>
      <c r="C34" s="44"/>
      <c r="D34" s="52">
        <v>0</v>
      </c>
      <c r="E34" s="52">
        <v>0</v>
      </c>
      <c r="F34" s="52">
        <f>Monitors!$F$32</f>
        <v>8523</v>
      </c>
      <c r="G34" s="44">
        <v>1</v>
      </c>
      <c r="H34" s="44">
        <f t="shared" ref="H34:H35" si="5">B34*G34</f>
        <v>10</v>
      </c>
      <c r="I34" s="91">
        <f>ROUNDDOWN(Monitors!$F$12/2,0)</f>
        <v>35</v>
      </c>
      <c r="J34" s="92">
        <f t="shared" ref="J34:J35" si="6">H34*I34</f>
        <v>350</v>
      </c>
      <c r="K34" s="92">
        <f t="shared" ref="K34:K35" si="7">J34*0.1</f>
        <v>35</v>
      </c>
      <c r="L34" s="92">
        <f t="shared" ref="L34:L35" si="8">J34*0.05</f>
        <v>17.5</v>
      </c>
      <c r="M34" s="93"/>
      <c r="N34" s="52">
        <f>(J34*'Base Data'!$C$5)+(K34*'Base Data'!$C$6)+(L34*'Base Data'!$C$7)</f>
        <v>38072.125</v>
      </c>
      <c r="O34" s="52">
        <f>(D34+E34+F34)*G34*I34</f>
        <v>298305</v>
      </c>
      <c r="P34" s="92">
        <v>0</v>
      </c>
      <c r="Q34" s="94" t="s">
        <v>388</v>
      </c>
    </row>
    <row r="35" spans="1:18" s="6" customFormat="1" ht="9">
      <c r="A35" s="142" t="s">
        <v>414</v>
      </c>
      <c r="B35" s="44">
        <v>10</v>
      </c>
      <c r="C35" s="44"/>
      <c r="D35" s="52">
        <v>0</v>
      </c>
      <c r="E35" s="52">
        <v>0</v>
      </c>
      <c r="F35" s="52">
        <f>Monitors!$G$32</f>
        <v>1436</v>
      </c>
      <c r="G35" s="44">
        <v>1</v>
      </c>
      <c r="H35" s="44">
        <f t="shared" si="5"/>
        <v>10</v>
      </c>
      <c r="I35" s="91">
        <f>ROUNDDOWN(Monitors!$F$12/2,0)</f>
        <v>35</v>
      </c>
      <c r="J35" s="92">
        <f t="shared" si="6"/>
        <v>350</v>
      </c>
      <c r="K35" s="92">
        <f t="shared" si="7"/>
        <v>35</v>
      </c>
      <c r="L35" s="92">
        <f t="shared" si="8"/>
        <v>17.5</v>
      </c>
      <c r="M35" s="93"/>
      <c r="N35" s="52">
        <f>(J35*'Base Data'!$C$5)+(K35*'Base Data'!$C$6)+(L35*'Base Data'!$C$7)</f>
        <v>38072.125</v>
      </c>
      <c r="O35" s="52">
        <f>(D35+E35+F35)*G35*I35</f>
        <v>50260</v>
      </c>
      <c r="P35" s="92">
        <v>0</v>
      </c>
      <c r="Q35" s="94" t="s">
        <v>388</v>
      </c>
    </row>
    <row r="36" spans="1:18" s="6" customFormat="1" ht="18">
      <c r="A36" s="143" t="s">
        <v>173</v>
      </c>
      <c r="B36" s="44"/>
      <c r="C36" s="44"/>
      <c r="D36" s="52"/>
      <c r="E36" s="52"/>
      <c r="F36" s="95"/>
      <c r="G36" s="44"/>
      <c r="H36" s="44"/>
      <c r="I36" s="96"/>
      <c r="J36" s="92"/>
      <c r="K36" s="92"/>
      <c r="L36" s="92"/>
      <c r="M36" s="93"/>
      <c r="N36" s="52"/>
      <c r="O36" s="52"/>
      <c r="P36" s="92"/>
      <c r="Q36" s="94"/>
      <c r="R36" s="147"/>
    </row>
    <row r="37" spans="1:18" s="6" customFormat="1" ht="9">
      <c r="A37" s="142" t="s">
        <v>411</v>
      </c>
      <c r="B37" s="44">
        <v>10</v>
      </c>
      <c r="C37" s="44"/>
      <c r="D37" s="52">
        <v>0</v>
      </c>
      <c r="E37" s="52">
        <v>0</v>
      </c>
      <c r="F37" s="52">
        <v>24300</v>
      </c>
      <c r="G37" s="44">
        <v>1</v>
      </c>
      <c r="H37" s="44">
        <f>B37*G37</f>
        <v>10</v>
      </c>
      <c r="I37" s="91">
        <v>0</v>
      </c>
      <c r="J37" s="92">
        <f>H37*I37</f>
        <v>0</v>
      </c>
      <c r="K37" s="92">
        <f>J37*0.1</f>
        <v>0</v>
      </c>
      <c r="L37" s="92">
        <f>J37*0.05</f>
        <v>0</v>
      </c>
      <c r="M37" s="93"/>
      <c r="N37" s="52">
        <f>(J37*'Base Data'!$C$5)+(K37*'Base Data'!$C$6)+(L37*'Base Data'!$C$7)</f>
        <v>0</v>
      </c>
      <c r="O37" s="52">
        <f>(D37+E37+F37)*G37*I37</f>
        <v>0</v>
      </c>
      <c r="P37" s="92">
        <v>0</v>
      </c>
      <c r="Q37" s="94" t="s">
        <v>388</v>
      </c>
      <c r="R37" s="147"/>
    </row>
    <row r="38" spans="1:18" s="6" customFormat="1" ht="9">
      <c r="A38" s="142" t="s">
        <v>414</v>
      </c>
      <c r="B38" s="44">
        <v>10</v>
      </c>
      <c r="C38" s="44"/>
      <c r="D38" s="52">
        <v>0</v>
      </c>
      <c r="E38" s="52">
        <v>0</v>
      </c>
      <c r="F38" s="52">
        <v>5600</v>
      </c>
      <c r="G38" s="44">
        <v>1</v>
      </c>
      <c r="H38" s="44">
        <f>B38*G38</f>
        <v>10</v>
      </c>
      <c r="I38" s="91">
        <v>0</v>
      </c>
      <c r="J38" s="92">
        <f>H38*I38</f>
        <v>0</v>
      </c>
      <c r="K38" s="92">
        <f>J38*0.1</f>
        <v>0</v>
      </c>
      <c r="L38" s="92">
        <f>J38*0.05</f>
        <v>0</v>
      </c>
      <c r="M38" s="93"/>
      <c r="N38" s="52">
        <f>(J38*'Base Data'!$C$5)+(K38*'Base Data'!$C$6)+(L38*'Base Data'!$C$7)</f>
        <v>0</v>
      </c>
      <c r="O38" s="52">
        <f>(D38+E38+F38)*G38*I38</f>
        <v>0</v>
      </c>
      <c r="P38" s="92">
        <v>0</v>
      </c>
      <c r="Q38" s="94" t="s">
        <v>388</v>
      </c>
      <c r="R38" s="147"/>
    </row>
    <row r="39" spans="1:18" s="6" customFormat="1" ht="18" customHeight="1">
      <c r="A39" s="143" t="s">
        <v>475</v>
      </c>
      <c r="B39" s="44"/>
      <c r="C39" s="44"/>
      <c r="D39" s="52"/>
      <c r="E39" s="52"/>
      <c r="F39" s="52"/>
      <c r="G39" s="44"/>
      <c r="H39" s="44"/>
      <c r="I39" s="96"/>
      <c r="J39" s="92"/>
      <c r="K39" s="92"/>
      <c r="L39" s="92"/>
      <c r="M39" s="93"/>
      <c r="N39" s="52"/>
      <c r="O39" s="238"/>
      <c r="P39" s="92"/>
      <c r="Q39" s="94"/>
      <c r="R39" s="147"/>
    </row>
    <row r="40" spans="1:18" s="6" customFormat="1" ht="9">
      <c r="A40" s="142" t="s">
        <v>411</v>
      </c>
      <c r="B40" s="44">
        <v>10</v>
      </c>
      <c r="C40" s="44"/>
      <c r="D40" s="52">
        <v>0</v>
      </c>
      <c r="E40" s="52">
        <v>0</v>
      </c>
      <c r="F40" s="52">
        <f>25500</f>
        <v>25500</v>
      </c>
      <c r="G40" s="44">
        <v>1</v>
      </c>
      <c r="H40" s="44">
        <f>B40*G40</f>
        <v>10</v>
      </c>
      <c r="I40" s="91">
        <f>ROUND(Monitors!$B$12/2,0)</f>
        <v>0</v>
      </c>
      <c r="J40" s="92">
        <f>H40*I40</f>
        <v>0</v>
      </c>
      <c r="K40" s="92">
        <f>J40*0.1</f>
        <v>0</v>
      </c>
      <c r="L40" s="92">
        <f>J40*0.05</f>
        <v>0</v>
      </c>
      <c r="M40" s="93"/>
      <c r="N40" s="52">
        <f>(J40*'Base Data'!$C$5)+(K40*'Base Data'!$C$6)+(L40*'Base Data'!$C$7)</f>
        <v>0</v>
      </c>
      <c r="O40" s="52">
        <f>(D40+E40+F40)*G40*I40</f>
        <v>0</v>
      </c>
      <c r="P40" s="92">
        <v>0</v>
      </c>
      <c r="Q40" s="94" t="s">
        <v>388</v>
      </c>
      <c r="R40" s="147"/>
    </row>
    <row r="41" spans="1:18" s="6" customFormat="1" ht="9">
      <c r="A41" s="142" t="s">
        <v>414</v>
      </c>
      <c r="B41" s="44">
        <v>10</v>
      </c>
      <c r="C41" s="44"/>
      <c r="D41" s="52">
        <v>0</v>
      </c>
      <c r="E41" s="52">
        <v>0</v>
      </c>
      <c r="F41" s="52">
        <v>9700</v>
      </c>
      <c r="G41" s="44">
        <v>1</v>
      </c>
      <c r="H41" s="44">
        <f>B41*G41</f>
        <v>10</v>
      </c>
      <c r="I41" s="91">
        <f>ROUND(Monitors!$B$12/2,0)</f>
        <v>0</v>
      </c>
      <c r="J41" s="92">
        <f>H41*I41</f>
        <v>0</v>
      </c>
      <c r="K41" s="92">
        <f>J41*0.1</f>
        <v>0</v>
      </c>
      <c r="L41" s="92">
        <f>J41*0.05</f>
        <v>0</v>
      </c>
      <c r="M41" s="93"/>
      <c r="N41" s="52">
        <f>(J41*'Base Data'!$C$5)+(K41*'Base Data'!$C$6)+(L41*'Base Data'!$C$7)</f>
        <v>0</v>
      </c>
      <c r="O41" s="52">
        <f>(D41+E41+F41)*G41*I41</f>
        <v>0</v>
      </c>
      <c r="P41" s="92">
        <v>0</v>
      </c>
      <c r="Q41" s="94" t="s">
        <v>388</v>
      </c>
      <c r="R41" s="147"/>
    </row>
    <row r="42" spans="1:18" s="6" customFormat="1" ht="9">
      <c r="A42" s="142" t="s">
        <v>487</v>
      </c>
      <c r="B42" s="44">
        <v>12</v>
      </c>
      <c r="C42" s="44"/>
      <c r="D42" s="52">
        <v>0</v>
      </c>
      <c r="E42" s="52">
        <v>2875</v>
      </c>
      <c r="F42" s="52">
        <v>0</v>
      </c>
      <c r="G42" s="44">
        <v>1</v>
      </c>
      <c r="H42" s="44">
        <f>B42*G42</f>
        <v>12</v>
      </c>
      <c r="I42" s="92">
        <f>ROUNDDOWN(SUM('Base Data'!$D$28:$D$30,'Base Data'!$D$33:$D$35)/2,0)+'Fac-ExistLrgGas-Yr2'!$I$42</f>
        <v>4388</v>
      </c>
      <c r="J42" s="91">
        <f>H42*I42</f>
        <v>52656</v>
      </c>
      <c r="K42" s="91">
        <f>J42*0.1</f>
        <v>5265.6</v>
      </c>
      <c r="L42" s="91">
        <f>J42*0.05</f>
        <v>2632.8</v>
      </c>
      <c r="M42" s="92"/>
      <c r="N42" s="52">
        <f>(J42*'Base Data'!$C$5)+(K42*'Base Data'!$C$6)+(L42*'Base Data'!$C$7)</f>
        <v>5727788.04</v>
      </c>
      <c r="O42" s="52">
        <f>(D42+E42+F42)*G42*I42</f>
        <v>12615500</v>
      </c>
      <c r="P42" s="92">
        <v>0</v>
      </c>
      <c r="Q42" s="94" t="s">
        <v>182</v>
      </c>
      <c r="R42" s="147"/>
    </row>
    <row r="43" spans="1:18" s="6" customFormat="1" ht="9">
      <c r="A43" s="142" t="s">
        <v>488</v>
      </c>
      <c r="B43" s="44">
        <v>10</v>
      </c>
      <c r="C43" s="44"/>
      <c r="D43" s="52">
        <v>0</v>
      </c>
      <c r="E43" s="52">
        <v>600</v>
      </c>
      <c r="F43" s="52">
        <v>0</v>
      </c>
      <c r="G43" s="44">
        <v>12</v>
      </c>
      <c r="H43" s="44">
        <f>B43*G43</f>
        <v>120</v>
      </c>
      <c r="I43" s="92">
        <f>ROUNDDOWN('Base Data'!$C$49/2,0)</f>
        <v>22</v>
      </c>
      <c r="J43" s="91">
        <f>H43*I43</f>
        <v>2640</v>
      </c>
      <c r="K43" s="91">
        <f>J43*0.1</f>
        <v>264</v>
      </c>
      <c r="L43" s="91">
        <f>J43*0.05</f>
        <v>132</v>
      </c>
      <c r="M43" s="92"/>
      <c r="N43" s="52">
        <f>(J43*'Base Data'!$C$5)+(K43*'Base Data'!$C$6)+(L43*'Base Data'!$C$7)</f>
        <v>287172.59999999998</v>
      </c>
      <c r="O43" s="52">
        <f>(D43+E43+F43)*G43*I43</f>
        <v>158400</v>
      </c>
      <c r="P43" s="92">
        <v>0</v>
      </c>
      <c r="Q43" s="94" t="s">
        <v>368</v>
      </c>
    </row>
    <row r="44" spans="1:18" s="6" customFormat="1" ht="9">
      <c r="A44" s="142" t="s">
        <v>415</v>
      </c>
      <c r="B44" s="44" t="s">
        <v>433</v>
      </c>
      <c r="C44" s="44"/>
      <c r="D44" s="52"/>
      <c r="E44" s="52"/>
      <c r="F44" s="52"/>
      <c r="G44" s="44"/>
      <c r="H44" s="44"/>
      <c r="I44" s="92"/>
      <c r="J44" s="92"/>
      <c r="K44" s="92"/>
      <c r="L44" s="92"/>
      <c r="M44" s="44"/>
      <c r="N44" s="52"/>
      <c r="O44" s="52"/>
      <c r="P44" s="92"/>
      <c r="Q44" s="94"/>
      <c r="R44" s="147"/>
    </row>
    <row r="45" spans="1:18" s="6" customFormat="1" ht="9">
      <c r="A45" s="142" t="s">
        <v>416</v>
      </c>
      <c r="B45" s="44" t="s">
        <v>433</v>
      </c>
      <c r="C45" s="44"/>
      <c r="D45" s="52"/>
      <c r="E45" s="52"/>
      <c r="F45" s="52"/>
      <c r="G45" s="44"/>
      <c r="H45" s="44"/>
      <c r="I45" s="92"/>
      <c r="J45" s="92"/>
      <c r="K45" s="92"/>
      <c r="L45" s="92"/>
      <c r="M45" s="44"/>
      <c r="N45" s="52"/>
      <c r="O45" s="52"/>
      <c r="P45" s="92"/>
      <c r="Q45" s="94"/>
      <c r="R45" s="147"/>
    </row>
    <row r="46" spans="1:18" s="6" customFormat="1" ht="9">
      <c r="A46" s="142" t="s">
        <v>417</v>
      </c>
      <c r="B46" s="44"/>
      <c r="C46" s="44"/>
      <c r="D46" s="52"/>
      <c r="E46" s="52"/>
      <c r="F46" s="52"/>
      <c r="G46" s="44"/>
      <c r="H46" s="44"/>
      <c r="I46" s="92"/>
      <c r="J46" s="92"/>
      <c r="K46" s="92"/>
      <c r="L46" s="92"/>
      <c r="M46" s="44"/>
      <c r="N46" s="52"/>
      <c r="O46" s="52"/>
      <c r="P46" s="92"/>
      <c r="Q46" s="94"/>
      <c r="R46" s="147"/>
    </row>
    <row r="47" spans="1:18" s="6" customFormat="1" ht="9">
      <c r="A47" s="177" t="s">
        <v>435</v>
      </c>
      <c r="B47" s="44">
        <v>2</v>
      </c>
      <c r="C47" s="44"/>
      <c r="D47" s="52">
        <v>0</v>
      </c>
      <c r="E47" s="52">
        <v>0</v>
      </c>
      <c r="F47" s="52">
        <v>0</v>
      </c>
      <c r="G47" s="44">
        <v>1</v>
      </c>
      <c r="H47" s="44">
        <f t="shared" ref="H47:H52" si="9">B47*G47</f>
        <v>2</v>
      </c>
      <c r="I47" s="91">
        <v>0</v>
      </c>
      <c r="J47" s="92">
        <f t="shared" ref="J47:J52" si="10">H47*I47</f>
        <v>0</v>
      </c>
      <c r="K47" s="92">
        <f t="shared" ref="K47:K52" si="11">J47*0.1</f>
        <v>0</v>
      </c>
      <c r="L47" s="92">
        <f t="shared" ref="L47:L52" si="12">J47*0.05</f>
        <v>0</v>
      </c>
      <c r="M47" s="44">
        <f t="shared" ref="M47:M52" si="13">C47*G47*I47</f>
        <v>0</v>
      </c>
      <c r="N47" s="52">
        <f>(J47*'Base Data'!$C$5)+(K47*'Base Data'!$C$6)+(L47*'Base Data'!$C$7)</f>
        <v>0</v>
      </c>
      <c r="O47" s="52">
        <f t="shared" ref="O47:O52" si="14">(D47+E47+F47)*G47*I47</f>
        <v>0</v>
      </c>
      <c r="P47" s="92">
        <f>G47*I47</f>
        <v>0</v>
      </c>
      <c r="Q47" s="94" t="s">
        <v>387</v>
      </c>
      <c r="R47" s="147"/>
    </row>
    <row r="48" spans="1:18" s="6" customFormat="1" ht="9" customHeight="1">
      <c r="A48" s="177" t="s">
        <v>377</v>
      </c>
      <c r="B48" s="44">
        <v>8</v>
      </c>
      <c r="C48" s="44"/>
      <c r="D48" s="52">
        <v>0</v>
      </c>
      <c r="E48" s="52">
        <v>0</v>
      </c>
      <c r="F48" s="52">
        <v>0</v>
      </c>
      <c r="G48" s="44">
        <v>1</v>
      </c>
      <c r="H48" s="44">
        <f t="shared" si="9"/>
        <v>8</v>
      </c>
      <c r="I48" s="91">
        <f>ROUND(SUM('Base Data'!$H$28:$H$30,'Base Data'!$H$33:$H$35,'Base Data'!$H$38:$H$40),0)</f>
        <v>529</v>
      </c>
      <c r="J48" s="92">
        <f t="shared" si="10"/>
        <v>4232</v>
      </c>
      <c r="K48" s="92">
        <f t="shared" si="11"/>
        <v>423.20000000000005</v>
      </c>
      <c r="L48" s="92">
        <f t="shared" si="12"/>
        <v>211.60000000000002</v>
      </c>
      <c r="M48" s="44">
        <f t="shared" si="13"/>
        <v>0</v>
      </c>
      <c r="N48" s="52">
        <f>(J48*'Base Data'!$C$5)+(K48*'Base Data'!$C$6)+(L48*'Base Data'!$C$7)</f>
        <v>460346.38</v>
      </c>
      <c r="O48" s="52">
        <f t="shared" si="14"/>
        <v>0</v>
      </c>
      <c r="P48" s="92">
        <f>G48*I48</f>
        <v>529</v>
      </c>
      <c r="Q48" s="94" t="s">
        <v>388</v>
      </c>
      <c r="R48" s="147"/>
    </row>
    <row r="49" spans="1:19" s="6" customFormat="1" ht="9">
      <c r="A49" s="177" t="s">
        <v>378</v>
      </c>
      <c r="B49" s="44">
        <v>5</v>
      </c>
      <c r="C49" s="44"/>
      <c r="D49" s="52">
        <v>0</v>
      </c>
      <c r="E49" s="52">
        <v>0</v>
      </c>
      <c r="F49" s="52">
        <v>0</v>
      </c>
      <c r="G49" s="44">
        <v>1</v>
      </c>
      <c r="H49" s="44">
        <f t="shared" si="9"/>
        <v>5</v>
      </c>
      <c r="I49" s="91">
        <f>ROUND(SUM('Base Data'!$H$28:$H$30,'Base Data'!$H$33:$H$35,'Base Data'!$H$38:$H$40),0)</f>
        <v>529</v>
      </c>
      <c r="J49" s="92">
        <f t="shared" si="10"/>
        <v>2645</v>
      </c>
      <c r="K49" s="92">
        <f t="shared" si="11"/>
        <v>264.5</v>
      </c>
      <c r="L49" s="92">
        <f t="shared" si="12"/>
        <v>132.25</v>
      </c>
      <c r="M49" s="44">
        <f t="shared" si="13"/>
        <v>0</v>
      </c>
      <c r="N49" s="52">
        <f>(J49*'Base Data'!$C$5)+(K49*'Base Data'!$C$6)+(L49*'Base Data'!$C$7)</f>
        <v>287716.48749999999</v>
      </c>
      <c r="O49" s="52">
        <f t="shared" si="14"/>
        <v>0</v>
      </c>
      <c r="P49" s="92">
        <f>G49*I49</f>
        <v>529</v>
      </c>
      <c r="Q49" s="94" t="s">
        <v>388</v>
      </c>
      <c r="R49" s="184"/>
    </row>
    <row r="50" spans="1:19" s="6" customFormat="1" ht="9">
      <c r="A50" s="144" t="s">
        <v>240</v>
      </c>
      <c r="B50" s="44">
        <v>20</v>
      </c>
      <c r="C50" s="44">
        <v>0</v>
      </c>
      <c r="D50" s="52">
        <v>0</v>
      </c>
      <c r="E50" s="52">
        <v>0</v>
      </c>
      <c r="F50" s="52">
        <v>0</v>
      </c>
      <c r="G50" s="44">
        <v>1</v>
      </c>
      <c r="H50" s="44">
        <f t="shared" si="9"/>
        <v>20</v>
      </c>
      <c r="I50" s="91">
        <f>ROUND(SUM('Base Data'!$H$28:$H$30,'Base Data'!$H$33:$H$35),0)</f>
        <v>521</v>
      </c>
      <c r="J50" s="92">
        <f t="shared" si="10"/>
        <v>10420</v>
      </c>
      <c r="K50" s="92">
        <f t="shared" si="11"/>
        <v>1042</v>
      </c>
      <c r="L50" s="92">
        <f t="shared" si="12"/>
        <v>521</v>
      </c>
      <c r="M50" s="92">
        <f t="shared" si="13"/>
        <v>0</v>
      </c>
      <c r="N50" s="52">
        <f>(J50*'Base Data'!$C$5)+(K50*'Base Data'!$C$6)+(L50*'Base Data'!$C$7)</f>
        <v>1133461.55</v>
      </c>
      <c r="O50" s="52">
        <f t="shared" si="14"/>
        <v>0</v>
      </c>
      <c r="P50" s="92">
        <f>G50*I50</f>
        <v>521</v>
      </c>
      <c r="Q50" s="94" t="s">
        <v>255</v>
      </c>
      <c r="R50" s="184"/>
    </row>
    <row r="51" spans="1:19" s="6" customFormat="1" ht="9">
      <c r="A51" s="144" t="s">
        <v>239</v>
      </c>
      <c r="B51" s="44">
        <v>20</v>
      </c>
      <c r="C51" s="44">
        <v>0</v>
      </c>
      <c r="D51" s="52">
        <v>0</v>
      </c>
      <c r="E51" s="52">
        <v>0</v>
      </c>
      <c r="F51" s="52">
        <v>0</v>
      </c>
      <c r="G51" s="44">
        <v>2</v>
      </c>
      <c r="H51" s="44">
        <f t="shared" si="9"/>
        <v>40</v>
      </c>
      <c r="I51" s="91">
        <f>SUM('Base Data'!$H$38:$H$40)</f>
        <v>8</v>
      </c>
      <c r="J51" s="92">
        <f t="shared" si="10"/>
        <v>320</v>
      </c>
      <c r="K51" s="92">
        <f t="shared" si="11"/>
        <v>32</v>
      </c>
      <c r="L51" s="92">
        <f t="shared" si="12"/>
        <v>16</v>
      </c>
      <c r="M51" s="92">
        <f t="shared" si="13"/>
        <v>0</v>
      </c>
      <c r="N51" s="52">
        <f>(J51*'Base Data'!$C$5)+(K51*'Base Data'!$C$6)+(L51*'Base Data'!$C$7)</f>
        <v>34808.799999999996</v>
      </c>
      <c r="O51" s="52">
        <f t="shared" si="14"/>
        <v>0</v>
      </c>
      <c r="P51" s="92">
        <f>G51*I51</f>
        <v>16</v>
      </c>
      <c r="Q51" s="94" t="s">
        <v>255</v>
      </c>
      <c r="R51" s="147"/>
    </row>
    <row r="52" spans="1:19" s="6" customFormat="1" ht="9">
      <c r="A52" s="144" t="s">
        <v>472</v>
      </c>
      <c r="B52" s="44">
        <v>5</v>
      </c>
      <c r="C52" s="44"/>
      <c r="D52" s="52">
        <v>0</v>
      </c>
      <c r="E52" s="52">
        <v>0</v>
      </c>
      <c r="F52" s="52">
        <v>0</v>
      </c>
      <c r="G52" s="44">
        <v>1</v>
      </c>
      <c r="H52" s="44">
        <f t="shared" si="9"/>
        <v>5</v>
      </c>
      <c r="I52" s="92">
        <f>ROUNDUP('Base Data'!$B$52,0)</f>
        <v>781</v>
      </c>
      <c r="J52" s="92">
        <f t="shared" si="10"/>
        <v>3905</v>
      </c>
      <c r="K52" s="92">
        <f t="shared" si="11"/>
        <v>390.5</v>
      </c>
      <c r="L52" s="92">
        <f t="shared" si="12"/>
        <v>195.25</v>
      </c>
      <c r="M52" s="92">
        <f t="shared" si="13"/>
        <v>0</v>
      </c>
      <c r="N52" s="52">
        <f>(J52*'Base Data'!$C$5)+(K52*'Base Data'!$C$6)+(L52*'Base Data'!$C$7)</f>
        <v>424776.13750000001</v>
      </c>
      <c r="O52" s="52">
        <f t="shared" si="14"/>
        <v>0</v>
      </c>
      <c r="P52" s="92">
        <f t="shared" ref="P52" si="15">G52*I52</f>
        <v>781</v>
      </c>
      <c r="Q52" s="94" t="s">
        <v>559</v>
      </c>
    </row>
    <row r="53" spans="1:19" s="6" customFormat="1" ht="9">
      <c r="A53" s="145" t="s">
        <v>7</v>
      </c>
      <c r="B53" s="44"/>
      <c r="C53" s="44"/>
      <c r="D53" s="52"/>
      <c r="E53" s="52"/>
      <c r="F53" s="52"/>
      <c r="G53" s="44"/>
      <c r="H53" s="44"/>
      <c r="I53" s="91" t="s">
        <v>238</v>
      </c>
      <c r="J53" s="92">
        <f>SUM(J7:J52)</f>
        <v>87218</v>
      </c>
      <c r="K53" s="92">
        <f>SUM(K7:K52)</f>
        <v>8721.7999999999993</v>
      </c>
      <c r="L53" s="92">
        <f>SUM(L7:L52)</f>
        <v>4360.8999999999996</v>
      </c>
      <c r="M53" s="92">
        <f t="shared" ref="M53" si="16">SUM(M7:M51)</f>
        <v>0</v>
      </c>
      <c r="N53" s="52">
        <f>SUM(N7:N52)</f>
        <v>9487355.9949999992</v>
      </c>
      <c r="O53" s="52">
        <f>SUM(O7:O52)</f>
        <v>20500099</v>
      </c>
      <c r="P53" s="92">
        <f>SUM(P47:P52)</f>
        <v>2376</v>
      </c>
      <c r="Q53" s="94"/>
      <c r="R53" s="335">
        <f>SUM(O7,O10:O24,O29,O32,O35,O38,O41,O42:O43)</f>
        <v>20201794</v>
      </c>
      <c r="S53" s="336">
        <f>SUM(O29,O32,O35,O38,O41)</f>
        <v>50260</v>
      </c>
    </row>
    <row r="54" spans="1:19" s="6" customFormat="1" ht="9">
      <c r="A54" s="142" t="s">
        <v>431</v>
      </c>
      <c r="B54" s="44"/>
      <c r="C54" s="44"/>
      <c r="D54" s="52"/>
      <c r="E54" s="52"/>
      <c r="F54" s="52"/>
      <c r="G54" s="44"/>
      <c r="H54" s="44"/>
      <c r="I54" s="92"/>
      <c r="J54" s="92"/>
      <c r="K54" s="92"/>
      <c r="L54" s="92"/>
      <c r="M54" s="44"/>
      <c r="N54" s="52"/>
      <c r="O54" s="52"/>
      <c r="P54" s="92"/>
      <c r="Q54" s="94"/>
      <c r="R54" s="147"/>
    </row>
    <row r="55" spans="1:19" s="6" customFormat="1" ht="9">
      <c r="A55" s="142" t="s">
        <v>418</v>
      </c>
      <c r="B55" s="44" t="s">
        <v>422</v>
      </c>
      <c r="C55" s="44"/>
      <c r="D55" s="52"/>
      <c r="E55" s="52"/>
      <c r="F55" s="52"/>
      <c r="G55" s="44"/>
      <c r="H55" s="44"/>
      <c r="I55" s="92"/>
      <c r="J55" s="92"/>
      <c r="K55" s="92"/>
      <c r="L55" s="92"/>
      <c r="M55" s="44"/>
      <c r="N55" s="52"/>
      <c r="O55" s="52"/>
      <c r="P55" s="92"/>
      <c r="Q55" s="94"/>
      <c r="R55" s="147"/>
    </row>
    <row r="56" spans="1:19" s="6" customFormat="1" ht="9">
      <c r="A56" s="142" t="s">
        <v>419</v>
      </c>
      <c r="B56" s="44" t="s">
        <v>433</v>
      </c>
      <c r="C56" s="44"/>
      <c r="D56" s="52"/>
      <c r="E56" s="52"/>
      <c r="F56" s="52"/>
      <c r="G56" s="44"/>
      <c r="H56" s="44"/>
      <c r="I56" s="92"/>
      <c r="J56" s="92"/>
      <c r="K56" s="92"/>
      <c r="L56" s="92"/>
      <c r="M56" s="44"/>
      <c r="N56" s="52"/>
      <c r="O56" s="52"/>
      <c r="P56" s="92"/>
      <c r="Q56" s="94"/>
      <c r="R56" s="147"/>
    </row>
    <row r="57" spans="1:19" s="6" customFormat="1" ht="9">
      <c r="A57" s="142" t="s">
        <v>420</v>
      </c>
      <c r="B57" s="44" t="s">
        <v>433</v>
      </c>
      <c r="C57" s="44"/>
      <c r="D57" s="52"/>
      <c r="E57" s="52"/>
      <c r="F57" s="52"/>
      <c r="G57" s="44"/>
      <c r="H57" s="44"/>
      <c r="I57" s="92"/>
      <c r="J57" s="92"/>
      <c r="K57" s="92"/>
      <c r="L57" s="92"/>
      <c r="M57" s="44"/>
      <c r="N57" s="52"/>
      <c r="O57" s="52"/>
      <c r="P57" s="92"/>
      <c r="Q57" s="94" t="s">
        <v>389</v>
      </c>
      <c r="R57" s="147"/>
    </row>
    <row r="58" spans="1:19" s="6" customFormat="1" ht="9">
      <c r="A58" s="142" t="s">
        <v>421</v>
      </c>
      <c r="B58" s="44"/>
      <c r="C58" s="44"/>
      <c r="D58" s="52"/>
      <c r="E58" s="52"/>
      <c r="F58" s="52"/>
      <c r="G58" s="44"/>
      <c r="H58" s="44"/>
      <c r="I58" s="92"/>
      <c r="J58" s="92"/>
      <c r="K58" s="92"/>
      <c r="L58" s="92"/>
      <c r="M58" s="44"/>
      <c r="N58" s="52"/>
      <c r="O58" s="52"/>
      <c r="P58" s="92"/>
      <c r="Q58" s="94"/>
      <c r="R58" s="147"/>
    </row>
    <row r="59" spans="1:19" s="6" customFormat="1" ht="9.75" customHeight="1">
      <c r="A59" s="142" t="s">
        <v>429</v>
      </c>
      <c r="B59" s="44">
        <v>20</v>
      </c>
      <c r="C59" s="44"/>
      <c r="D59" s="52">
        <v>0</v>
      </c>
      <c r="E59" s="52">
        <v>0</v>
      </c>
      <c r="F59" s="52">
        <v>0</v>
      </c>
      <c r="G59" s="44">
        <v>1</v>
      </c>
      <c r="H59" s="44">
        <f t="shared" ref="H59:H65" si="17">B59*G59</f>
        <v>20</v>
      </c>
      <c r="I59" s="91">
        <f>SUM('Base Data'!$D$38:$D$40)</f>
        <v>71</v>
      </c>
      <c r="J59" s="92">
        <f t="shared" ref="J59:J65" si="18">H59*I59</f>
        <v>1420</v>
      </c>
      <c r="K59" s="92">
        <f t="shared" ref="K59:K65" si="19">J59*0.1</f>
        <v>142</v>
      </c>
      <c r="L59" s="92">
        <f t="shared" ref="L59:L65" si="20">J59*0.05</f>
        <v>71</v>
      </c>
      <c r="M59" s="44"/>
      <c r="N59" s="52">
        <f>(J59*'Base Data'!$C$5)+(K59*'Base Data'!$C$6)+(L59*'Base Data'!$C$7)</f>
        <v>154464.05000000002</v>
      </c>
      <c r="O59" s="52">
        <f t="shared" ref="O59:O65" si="21">(D59+E59+F59)*G59*I59</f>
        <v>0</v>
      </c>
      <c r="P59" s="92">
        <v>0</v>
      </c>
      <c r="Q59" s="94" t="s">
        <v>388</v>
      </c>
      <c r="R59" s="147"/>
    </row>
    <row r="60" spans="1:19" s="6" customFormat="1" ht="9">
      <c r="A60" s="143" t="s">
        <v>425</v>
      </c>
      <c r="B60" s="44">
        <v>15</v>
      </c>
      <c r="C60" s="44">
        <v>0</v>
      </c>
      <c r="D60" s="52">
        <v>0</v>
      </c>
      <c r="E60" s="52">
        <v>0</v>
      </c>
      <c r="F60" s="52">
        <v>0</v>
      </c>
      <c r="G60" s="44">
        <v>1</v>
      </c>
      <c r="H60" s="44">
        <f t="shared" si="17"/>
        <v>15</v>
      </c>
      <c r="I60" s="91">
        <f>SUM('Base Data'!$D$38:$D$40)</f>
        <v>71</v>
      </c>
      <c r="J60" s="92">
        <f t="shared" si="18"/>
        <v>1065</v>
      </c>
      <c r="K60" s="92">
        <f t="shared" si="19"/>
        <v>106.5</v>
      </c>
      <c r="L60" s="92">
        <f t="shared" si="20"/>
        <v>53.25</v>
      </c>
      <c r="M60" s="44">
        <f>C60*G60*I60</f>
        <v>0</v>
      </c>
      <c r="N60" s="52">
        <f>(J60*'Base Data'!$C$5)+(K60*'Base Data'!$C$6)+(L60*'Base Data'!$C$7)</f>
        <v>115848.03750000001</v>
      </c>
      <c r="O60" s="52">
        <f t="shared" si="21"/>
        <v>0</v>
      </c>
      <c r="P60" s="92">
        <v>0</v>
      </c>
      <c r="Q60" s="94" t="s">
        <v>388</v>
      </c>
      <c r="R60" s="147"/>
    </row>
    <row r="61" spans="1:19" s="6" customFormat="1" ht="9.75" customHeight="1">
      <c r="A61" s="142" t="s">
        <v>426</v>
      </c>
      <c r="B61" s="44">
        <v>2</v>
      </c>
      <c r="C61" s="44"/>
      <c r="D61" s="52">
        <v>0</v>
      </c>
      <c r="E61" s="52">
        <v>0</v>
      </c>
      <c r="F61" s="52">
        <v>0</v>
      </c>
      <c r="G61" s="44">
        <v>1</v>
      </c>
      <c r="H61" s="44">
        <f t="shared" si="17"/>
        <v>2</v>
      </c>
      <c r="I61" s="91">
        <f>SUM('Base Data'!$D$38:$D$40)</f>
        <v>71</v>
      </c>
      <c r="J61" s="92">
        <f t="shared" si="18"/>
        <v>142</v>
      </c>
      <c r="K61" s="92">
        <f t="shared" si="19"/>
        <v>14.200000000000001</v>
      </c>
      <c r="L61" s="92">
        <f t="shared" si="20"/>
        <v>7.1000000000000005</v>
      </c>
      <c r="M61" s="44"/>
      <c r="N61" s="52">
        <f>(J61*'Base Data'!$C$5)+(K61*'Base Data'!$C$6)+(L61*'Base Data'!$C$7)</f>
        <v>15446.405000000001</v>
      </c>
      <c r="O61" s="52">
        <f t="shared" si="21"/>
        <v>0</v>
      </c>
      <c r="P61" s="92">
        <v>0</v>
      </c>
      <c r="Q61" s="94" t="s">
        <v>388</v>
      </c>
      <c r="R61" s="147"/>
    </row>
    <row r="62" spans="1:19" s="6" customFormat="1" ht="9">
      <c r="A62" s="143" t="s">
        <v>436</v>
      </c>
      <c r="B62" s="44">
        <v>2</v>
      </c>
      <c r="C62" s="44"/>
      <c r="D62" s="52">
        <v>0</v>
      </c>
      <c r="E62" s="52">
        <v>0</v>
      </c>
      <c r="F62" s="52">
        <v>0</v>
      </c>
      <c r="G62" s="44">
        <v>1</v>
      </c>
      <c r="H62" s="44">
        <f t="shared" si="17"/>
        <v>2</v>
      </c>
      <c r="I62" s="91">
        <f>SUM('Base Data'!$D$38:$D$40)</f>
        <v>71</v>
      </c>
      <c r="J62" s="92">
        <f t="shared" si="18"/>
        <v>142</v>
      </c>
      <c r="K62" s="92">
        <f t="shared" si="19"/>
        <v>14.200000000000001</v>
      </c>
      <c r="L62" s="92">
        <f t="shared" si="20"/>
        <v>7.1000000000000005</v>
      </c>
      <c r="M62" s="44"/>
      <c r="N62" s="52">
        <f>(J62*'Base Data'!$C$5)+(K62*'Base Data'!$C$6)+(L62*'Base Data'!$C$7)</f>
        <v>15446.405000000001</v>
      </c>
      <c r="O62" s="52">
        <f t="shared" si="21"/>
        <v>0</v>
      </c>
      <c r="P62" s="92">
        <v>0</v>
      </c>
      <c r="Q62" s="94" t="s">
        <v>388</v>
      </c>
      <c r="R62" s="147"/>
    </row>
    <row r="63" spans="1:19" s="6" customFormat="1" ht="9" customHeight="1">
      <c r="A63" s="143" t="s">
        <v>241</v>
      </c>
      <c r="B63" s="44">
        <v>2</v>
      </c>
      <c r="C63" s="44">
        <v>0</v>
      </c>
      <c r="D63" s="52">
        <v>0</v>
      </c>
      <c r="E63" s="52">
        <v>0</v>
      </c>
      <c r="F63" s="52">
        <v>0</v>
      </c>
      <c r="G63" s="44">
        <v>1</v>
      </c>
      <c r="H63" s="44">
        <f>B63*G63</f>
        <v>2</v>
      </c>
      <c r="I63" s="91">
        <f>SUM('Base Data'!$D$28:$D$30,'Base Data'!$D$33:$D$35)</f>
        <v>4388</v>
      </c>
      <c r="J63" s="92">
        <f>H63*I63</f>
        <v>8776</v>
      </c>
      <c r="K63" s="92">
        <f t="shared" si="19"/>
        <v>877.6</v>
      </c>
      <c r="L63" s="92">
        <f>J63*0.05</f>
        <v>438.8</v>
      </c>
      <c r="M63" s="44">
        <f>C63*G63*I63</f>
        <v>0</v>
      </c>
      <c r="N63" s="52">
        <f>(J63*'Base Data'!$C$5)+(K63*'Base Data'!$C$6)+(L63*'Base Data'!$C$7)</f>
        <v>954631.34000000008</v>
      </c>
      <c r="O63" s="52">
        <f>(D63+E63+F63)*G63*I63</f>
        <v>0</v>
      </c>
      <c r="P63" s="92">
        <v>0</v>
      </c>
      <c r="Q63" s="94" t="s">
        <v>255</v>
      </c>
      <c r="R63" s="147"/>
    </row>
    <row r="64" spans="1:19" s="6" customFormat="1" ht="18">
      <c r="A64" s="143" t="s">
        <v>489</v>
      </c>
      <c r="B64" s="44">
        <v>2</v>
      </c>
      <c r="C64" s="44">
        <v>0</v>
      </c>
      <c r="D64" s="52">
        <v>0</v>
      </c>
      <c r="E64" s="52">
        <v>0</v>
      </c>
      <c r="F64" s="52">
        <v>0</v>
      </c>
      <c r="G64" s="44">
        <v>2</v>
      </c>
      <c r="H64" s="44">
        <f t="shared" si="17"/>
        <v>4</v>
      </c>
      <c r="I64" s="91">
        <f>SUM('Base Data'!$D$38:$D$40)</f>
        <v>71</v>
      </c>
      <c r="J64" s="92">
        <f t="shared" si="18"/>
        <v>284</v>
      </c>
      <c r="K64" s="92">
        <f t="shared" si="19"/>
        <v>28.400000000000002</v>
      </c>
      <c r="L64" s="92">
        <f t="shared" si="20"/>
        <v>14.200000000000001</v>
      </c>
      <c r="M64" s="44">
        <f>C64*G64*I64</f>
        <v>0</v>
      </c>
      <c r="N64" s="52">
        <f>(J64*'Base Data'!$C$5)+(K64*'Base Data'!$C$6)+(L64*'Base Data'!$C$7)</f>
        <v>30892.81</v>
      </c>
      <c r="O64" s="52">
        <f t="shared" si="21"/>
        <v>0</v>
      </c>
      <c r="P64" s="92">
        <v>0</v>
      </c>
      <c r="Q64" s="94" t="s">
        <v>255</v>
      </c>
      <c r="R64" s="147"/>
    </row>
    <row r="65" spans="1:18" s="6" customFormat="1" ht="9">
      <c r="A65" s="143" t="s">
        <v>246</v>
      </c>
      <c r="B65" s="44">
        <v>0.5</v>
      </c>
      <c r="C65" s="44"/>
      <c r="D65" s="52">
        <v>0</v>
      </c>
      <c r="E65" s="52">
        <v>0</v>
      </c>
      <c r="F65" s="52">
        <v>0</v>
      </c>
      <c r="G65" s="44">
        <v>12</v>
      </c>
      <c r="H65" s="44">
        <f t="shared" si="17"/>
        <v>6</v>
      </c>
      <c r="I65" s="91">
        <f>SUM('Base Data'!$D$28:$D$30,'Base Data'!$D$33:$D$35,'Base Data'!$D$38:$D$40)</f>
        <v>4459</v>
      </c>
      <c r="J65" s="92">
        <f t="shared" si="18"/>
        <v>26754</v>
      </c>
      <c r="K65" s="92">
        <f t="shared" si="19"/>
        <v>2675.4</v>
      </c>
      <c r="L65" s="92">
        <f t="shared" si="20"/>
        <v>1337.7</v>
      </c>
      <c r="M65" s="44"/>
      <c r="N65" s="52">
        <f>(J65*'Base Data'!$C$5)+(K65*'Base Data'!$C$6)+(L65*'Base Data'!$C$7)</f>
        <v>2910233.2350000003</v>
      </c>
      <c r="O65" s="52">
        <f t="shared" si="21"/>
        <v>0</v>
      </c>
      <c r="P65" s="92">
        <v>0</v>
      </c>
      <c r="Q65" s="94" t="s">
        <v>90</v>
      </c>
      <c r="R65" s="147"/>
    </row>
    <row r="66" spans="1:18" s="6" customFormat="1" ht="9">
      <c r="A66" s="333" t="s">
        <v>490</v>
      </c>
      <c r="B66" s="44">
        <v>0.25</v>
      </c>
      <c r="C66" s="44"/>
      <c r="D66" s="52">
        <v>0</v>
      </c>
      <c r="E66" s="52">
        <v>0</v>
      </c>
      <c r="F66" s="52">
        <v>0</v>
      </c>
      <c r="G66" s="44">
        <v>1</v>
      </c>
      <c r="H66" s="44">
        <f>B66*G66</f>
        <v>0.25</v>
      </c>
      <c r="I66" s="91">
        <f>SUM('Base Data'!$D$28:$D$30,'Base Data'!$D$33:$D$35)</f>
        <v>4388</v>
      </c>
      <c r="J66" s="91">
        <f>H66*I66</f>
        <v>1097</v>
      </c>
      <c r="K66" s="91">
        <f>J66*0.1</f>
        <v>109.7</v>
      </c>
      <c r="L66" s="91">
        <f>J66*0.05</f>
        <v>54.85</v>
      </c>
      <c r="M66" s="44">
        <f>C66*G66*I66</f>
        <v>0</v>
      </c>
      <c r="N66" s="52">
        <f>(J66*'Base Data'!$C$5)+(K66*'Base Data'!$C$6)+(L66*'Base Data'!$C$7)</f>
        <v>119328.91750000001</v>
      </c>
      <c r="O66" s="52">
        <f>(D66+E66+F66)*G66*I66</f>
        <v>0</v>
      </c>
      <c r="P66" s="92">
        <v>0</v>
      </c>
      <c r="Q66" s="94" t="s">
        <v>388</v>
      </c>
      <c r="R66" s="147"/>
    </row>
    <row r="67" spans="1:18" s="6" customFormat="1" ht="9">
      <c r="A67" s="142" t="s">
        <v>427</v>
      </c>
      <c r="B67" s="44">
        <v>40</v>
      </c>
      <c r="C67" s="44"/>
      <c r="D67" s="52">
        <v>0</v>
      </c>
      <c r="E67" s="52">
        <v>0</v>
      </c>
      <c r="F67" s="52">
        <v>0</v>
      </c>
      <c r="G67" s="44">
        <v>1</v>
      </c>
      <c r="H67" s="44">
        <f t="shared" ref="H67" si="22">B67*G67</f>
        <v>40</v>
      </c>
      <c r="I67" s="91">
        <f>ROUNDDOWN(SUM('Base Data'!$H$28:$H$30,'Base Data'!$H$33:$H$35,'Base Data'!$H$38:$H$40)/2,0)</f>
        <v>264</v>
      </c>
      <c r="J67" s="92">
        <f t="shared" ref="J67" si="23">H67*I67</f>
        <v>10560</v>
      </c>
      <c r="K67" s="92">
        <f t="shared" ref="K67" si="24">J67*0.1</f>
        <v>1056</v>
      </c>
      <c r="L67" s="92">
        <f t="shared" ref="L67" si="25">J67*0.05</f>
        <v>528</v>
      </c>
      <c r="M67" s="44"/>
      <c r="N67" s="52">
        <f>(J67*'Base Data'!$C$5)+(K67*'Base Data'!$C$6)+(L67*'Base Data'!$C$7)</f>
        <v>1148690.3999999999</v>
      </c>
      <c r="O67" s="52">
        <f t="shared" ref="O67" si="26">(D67+E67+F67)*G67*I67</f>
        <v>0</v>
      </c>
      <c r="P67" s="92">
        <v>0</v>
      </c>
      <c r="Q67" s="94" t="s">
        <v>562</v>
      </c>
    </row>
    <row r="68" spans="1:18" s="6" customFormat="1">
      <c r="A68" s="142" t="s">
        <v>428</v>
      </c>
      <c r="B68" s="44" t="s">
        <v>433</v>
      </c>
      <c r="C68" s="44"/>
      <c r="D68" s="52"/>
      <c r="E68" s="52"/>
      <c r="F68" s="52"/>
      <c r="G68" s="44"/>
      <c r="H68" s="44"/>
      <c r="I68" s="92"/>
      <c r="J68" s="92"/>
      <c r="K68" s="92"/>
      <c r="L68" s="92"/>
      <c r="M68" s="44"/>
      <c r="N68" s="52"/>
      <c r="O68" s="52"/>
      <c r="P68" s="92"/>
      <c r="Q68" s="94"/>
      <c r="R68" s="185"/>
    </row>
    <row r="69" spans="1:18" s="6" customFormat="1">
      <c r="A69" s="254" t="s">
        <v>27</v>
      </c>
      <c r="B69" s="239"/>
      <c r="C69" s="239"/>
      <c r="D69" s="240"/>
      <c r="E69" s="240"/>
      <c r="F69" s="240"/>
      <c r="G69" s="239"/>
      <c r="H69" s="239"/>
      <c r="I69" s="241"/>
      <c r="J69" s="241">
        <f t="shared" ref="J69:O69" si="27">SUM(J55:J68)</f>
        <v>50240</v>
      </c>
      <c r="K69" s="241">
        <f t="shared" si="27"/>
        <v>5024</v>
      </c>
      <c r="L69" s="241">
        <f t="shared" si="27"/>
        <v>2512</v>
      </c>
      <c r="M69" s="240">
        <f t="shared" si="27"/>
        <v>0</v>
      </c>
      <c r="N69" s="240">
        <f t="shared" si="27"/>
        <v>5464981.6000000015</v>
      </c>
      <c r="O69" s="240">
        <f t="shared" si="27"/>
        <v>0</v>
      </c>
      <c r="P69" s="241"/>
      <c r="Q69" s="242"/>
      <c r="R69" s="114"/>
    </row>
    <row r="70" spans="1:18" s="2" customFormat="1">
      <c r="A70" s="24" t="s">
        <v>400</v>
      </c>
      <c r="B70" s="25"/>
      <c r="C70" s="25"/>
      <c r="D70" s="25"/>
      <c r="E70" s="25"/>
      <c r="F70" s="50"/>
      <c r="G70" s="25"/>
      <c r="H70" s="25"/>
      <c r="I70" s="26"/>
      <c r="J70" s="27">
        <f>J53+J69</f>
        <v>137458</v>
      </c>
      <c r="K70" s="27">
        <f t="shared" ref="K70:P70" si="28">K53+K69</f>
        <v>13745.8</v>
      </c>
      <c r="L70" s="27">
        <f t="shared" si="28"/>
        <v>6872.9</v>
      </c>
      <c r="M70" s="40">
        <f t="shared" si="28"/>
        <v>0</v>
      </c>
      <c r="N70" s="40">
        <f t="shared" si="28"/>
        <v>14952337.595000001</v>
      </c>
      <c r="O70" s="40">
        <f t="shared" si="28"/>
        <v>20500099</v>
      </c>
      <c r="P70" s="27">
        <f t="shared" si="28"/>
        <v>2376</v>
      </c>
      <c r="Q70" s="47"/>
      <c r="R70" s="14"/>
    </row>
    <row r="71" spans="1:18" ht="6" customHeight="1">
      <c r="B71" s="54"/>
      <c r="C71" s="54"/>
      <c r="D71" s="54"/>
      <c r="E71" s="54"/>
      <c r="F71" s="54"/>
      <c r="G71" s="54"/>
      <c r="H71" s="54"/>
      <c r="I71" s="55"/>
      <c r="R71" s="14"/>
    </row>
    <row r="72" spans="1:18" s="14" customFormat="1" ht="9">
      <c r="A72" s="14" t="s">
        <v>390</v>
      </c>
      <c r="B72" s="56"/>
      <c r="C72" s="56"/>
      <c r="D72" s="56"/>
      <c r="E72" s="56"/>
      <c r="F72" s="56"/>
      <c r="G72" s="56"/>
      <c r="H72" s="56"/>
      <c r="I72" s="57"/>
      <c r="J72" s="15"/>
      <c r="K72" s="15"/>
      <c r="L72" s="15"/>
      <c r="M72" s="15"/>
      <c r="N72" s="15"/>
      <c r="O72" s="17"/>
      <c r="P72" s="17"/>
      <c r="Q72" s="15"/>
    </row>
    <row r="73" spans="1:18" s="14" customFormat="1" ht="22.5" customHeight="1">
      <c r="A73" s="408" t="s">
        <v>165</v>
      </c>
      <c r="B73" s="408"/>
      <c r="C73" s="408"/>
      <c r="D73" s="408"/>
      <c r="E73" s="408"/>
      <c r="F73" s="408"/>
      <c r="G73" s="408"/>
      <c r="H73" s="408"/>
      <c r="I73" s="408"/>
      <c r="J73" s="408"/>
      <c r="K73" s="408"/>
      <c r="L73" s="408"/>
      <c r="M73" s="408"/>
      <c r="N73" s="408"/>
      <c r="O73" s="408"/>
      <c r="P73" s="62"/>
      <c r="Q73" s="15"/>
    </row>
    <row r="74" spans="1:18" s="14" customFormat="1" ht="27" customHeight="1">
      <c r="A74" s="408" t="s">
        <v>2</v>
      </c>
      <c r="B74" s="408"/>
      <c r="C74" s="408"/>
      <c r="D74" s="408"/>
      <c r="E74" s="408"/>
      <c r="F74" s="408"/>
      <c r="G74" s="408"/>
      <c r="H74" s="408"/>
      <c r="I74" s="408"/>
      <c r="J74" s="408"/>
      <c r="K74" s="408"/>
      <c r="L74" s="408"/>
      <c r="M74" s="408"/>
      <c r="N74" s="408"/>
      <c r="O74" s="408"/>
      <c r="P74" s="62"/>
      <c r="Q74" s="15"/>
    </row>
    <row r="75" spans="1:18" s="14" customFormat="1" ht="18" customHeight="1">
      <c r="A75" s="408" t="s">
        <v>95</v>
      </c>
      <c r="B75" s="408"/>
      <c r="C75" s="408"/>
      <c r="D75" s="408"/>
      <c r="E75" s="408"/>
      <c r="F75" s="408"/>
      <c r="G75" s="408"/>
      <c r="H75" s="408"/>
      <c r="I75" s="408"/>
      <c r="J75" s="408"/>
      <c r="K75" s="408"/>
      <c r="L75" s="408"/>
      <c r="M75" s="408"/>
      <c r="N75" s="408"/>
      <c r="O75" s="408"/>
      <c r="P75" s="408"/>
      <c r="Q75" s="408"/>
    </row>
    <row r="76" spans="1:18" s="14" customFormat="1" ht="10.5" customHeight="1">
      <c r="A76" s="14" t="s">
        <v>441</v>
      </c>
      <c r="B76" s="15"/>
      <c r="C76" s="15"/>
      <c r="D76" s="15"/>
      <c r="E76" s="15"/>
      <c r="F76" s="15"/>
      <c r="G76" s="15"/>
      <c r="H76" s="15"/>
      <c r="I76" s="16"/>
      <c r="J76" s="15"/>
      <c r="K76" s="15"/>
      <c r="L76" s="15"/>
      <c r="M76" s="15"/>
      <c r="N76" s="15"/>
      <c r="O76" s="17"/>
      <c r="P76" s="17"/>
      <c r="Q76" s="15"/>
    </row>
    <row r="77" spans="1:18" s="14" customFormat="1" ht="10.5" customHeight="1">
      <c r="A77" s="408" t="s">
        <v>551</v>
      </c>
      <c r="B77" s="408"/>
      <c r="C77" s="408"/>
      <c r="D77" s="408"/>
      <c r="E77" s="408"/>
      <c r="F77" s="408"/>
      <c r="G77" s="408"/>
      <c r="H77" s="408"/>
      <c r="I77" s="408"/>
      <c r="J77" s="408"/>
      <c r="K77" s="408"/>
      <c r="L77" s="408"/>
      <c r="M77" s="408"/>
      <c r="N77" s="15"/>
      <c r="O77" s="17"/>
      <c r="P77" s="17"/>
      <c r="Q77" s="15"/>
    </row>
    <row r="78" spans="1:18" s="14" customFormat="1" ht="9.75" customHeight="1">
      <c r="A78" s="53" t="s">
        <v>243</v>
      </c>
      <c r="B78" s="15"/>
      <c r="C78" s="15"/>
      <c r="D78" s="15"/>
      <c r="E78" s="15"/>
      <c r="F78" s="15"/>
      <c r="G78" s="15"/>
      <c r="H78" s="15"/>
      <c r="I78" s="16"/>
      <c r="J78" s="15"/>
      <c r="K78" s="15"/>
      <c r="L78" s="15"/>
      <c r="M78" s="15"/>
      <c r="N78" s="15"/>
      <c r="O78" s="17"/>
      <c r="P78" s="17"/>
      <c r="Q78" s="15"/>
    </row>
    <row r="79" spans="1:18" s="14" customFormat="1" ht="9.75" customHeight="1">
      <c r="A79" s="14" t="s">
        <v>258</v>
      </c>
      <c r="B79" s="15"/>
      <c r="C79" s="15"/>
      <c r="D79" s="15"/>
      <c r="E79" s="15"/>
      <c r="F79" s="15"/>
      <c r="G79" s="15"/>
      <c r="H79" s="15"/>
      <c r="I79" s="16"/>
      <c r="J79" s="15"/>
      <c r="K79" s="15"/>
      <c r="L79" s="15"/>
      <c r="M79" s="15"/>
      <c r="N79" s="15"/>
      <c r="O79" s="17"/>
      <c r="P79" s="17"/>
      <c r="Q79" s="15"/>
    </row>
    <row r="80" spans="1:18" s="14" customFormat="1" ht="9">
      <c r="A80" s="14" t="s">
        <v>557</v>
      </c>
      <c r="B80" s="15"/>
      <c r="C80" s="15"/>
      <c r="D80" s="15"/>
      <c r="E80" s="15"/>
      <c r="F80" s="15"/>
      <c r="G80" s="15"/>
      <c r="H80" s="15"/>
      <c r="I80" s="16"/>
      <c r="J80" s="15"/>
      <c r="K80" s="15"/>
      <c r="L80" s="15"/>
      <c r="M80" s="15"/>
      <c r="N80" s="15"/>
      <c r="O80" s="17"/>
      <c r="P80" s="17"/>
      <c r="Q80" s="15"/>
    </row>
    <row r="81" spans="1:18" s="14" customFormat="1" ht="9" customHeight="1">
      <c r="A81" s="409" t="s">
        <v>556</v>
      </c>
      <c r="B81" s="409"/>
      <c r="C81" s="409"/>
      <c r="D81" s="409"/>
      <c r="E81" s="409"/>
      <c r="F81" s="409"/>
      <c r="G81" s="409"/>
      <c r="H81" s="409"/>
      <c r="I81" s="409"/>
      <c r="J81" s="409"/>
      <c r="K81" s="409"/>
      <c r="L81" s="409"/>
      <c r="M81" s="409"/>
      <c r="N81" s="409"/>
      <c r="O81" s="409"/>
      <c r="P81" s="409"/>
      <c r="Q81" s="409"/>
    </row>
    <row r="82" spans="1:18" s="14" customFormat="1" ht="9">
      <c r="A82" s="98" t="s">
        <v>242</v>
      </c>
      <c r="B82" s="56"/>
      <c r="C82" s="56"/>
      <c r="D82" s="56"/>
      <c r="E82" s="56"/>
      <c r="F82" s="56"/>
      <c r="G82" s="56"/>
      <c r="H82" s="56"/>
      <c r="I82" s="57"/>
      <c r="J82" s="56"/>
      <c r="K82" s="56"/>
      <c r="L82" s="56"/>
      <c r="M82" s="56"/>
      <c r="N82" s="56"/>
      <c r="O82" s="17"/>
      <c r="P82" s="17"/>
      <c r="Q82" s="15"/>
    </row>
    <row r="83" spans="1:18" s="14" customFormat="1" ht="9">
      <c r="A83" s="77" t="s">
        <v>244</v>
      </c>
      <c r="B83" s="77"/>
      <c r="C83" s="77"/>
      <c r="D83" s="77"/>
      <c r="E83" s="77"/>
      <c r="F83" s="77"/>
      <c r="G83" s="77"/>
      <c r="H83" s="77"/>
      <c r="I83" s="77"/>
      <c r="J83" s="77"/>
      <c r="K83" s="77"/>
      <c r="L83" s="77"/>
      <c r="M83" s="77"/>
      <c r="N83" s="77"/>
      <c r="O83" s="17"/>
      <c r="P83" s="17"/>
      <c r="Q83" s="15"/>
    </row>
    <row r="84" spans="1:18" s="14" customFormat="1">
      <c r="A84" s="139" t="s">
        <v>560</v>
      </c>
      <c r="B84" s="15"/>
      <c r="C84" s="15"/>
      <c r="D84" s="15"/>
      <c r="E84" s="15"/>
      <c r="F84" s="15"/>
      <c r="G84" s="15"/>
      <c r="H84" s="15"/>
      <c r="I84" s="16"/>
      <c r="J84" s="15"/>
      <c r="K84" s="15"/>
      <c r="L84" s="15"/>
      <c r="M84" s="15"/>
      <c r="N84" s="15"/>
      <c r="O84" s="17"/>
      <c r="P84" s="17"/>
      <c r="Q84" s="15"/>
      <c r="R84" s="1"/>
    </row>
    <row r="85" spans="1:18" s="14" customFormat="1">
      <c r="A85" s="14" t="s">
        <v>561</v>
      </c>
      <c r="B85" s="15"/>
      <c r="C85" s="15"/>
      <c r="D85" s="15"/>
      <c r="E85" s="15"/>
      <c r="F85" s="15"/>
      <c r="G85" s="15"/>
      <c r="H85" s="15"/>
      <c r="I85" s="16"/>
      <c r="J85" s="15"/>
      <c r="K85" s="15"/>
      <c r="L85" s="15"/>
      <c r="M85" s="15"/>
      <c r="N85" s="15"/>
      <c r="O85" s="17"/>
      <c r="P85" s="17"/>
      <c r="Q85" s="15"/>
      <c r="R85" s="1"/>
    </row>
    <row r="86" spans="1:18" s="14" customFormat="1">
      <c r="N86" s="15"/>
      <c r="O86" s="17"/>
      <c r="P86" s="17"/>
      <c r="Q86" s="15"/>
      <c r="R86" s="1"/>
    </row>
    <row r="87" spans="1:18">
      <c r="P87" s="17"/>
    </row>
    <row r="88" spans="1:18">
      <c r="P88" s="17"/>
    </row>
  </sheetData>
  <mergeCells count="7">
    <mergeCell ref="A77:M77"/>
    <mergeCell ref="A81:Q81"/>
    <mergeCell ref="A1:Q1"/>
    <mergeCell ref="A2:Q2"/>
    <mergeCell ref="A75:Q75"/>
    <mergeCell ref="A73:O73"/>
    <mergeCell ref="A74:O74"/>
  </mergeCells>
  <phoneticPr fontId="7" type="noConversion"/>
  <pageMargins left="0.25" right="0.25" top="0.5" bottom="0.75" header="0.5" footer="0.5"/>
  <pageSetup scale="54" orientation="landscape" r:id="rId1"/>
  <headerFooter alignWithMargins="0"/>
  <ignoredErrors>
    <ignoredError sqref="I63" formula="1"/>
  </ignoredErrors>
</worksheet>
</file>

<file path=xl/worksheets/sheet18.xml><?xml version="1.0" encoding="utf-8"?>
<worksheet xmlns="http://schemas.openxmlformats.org/spreadsheetml/2006/main" xmlns:r="http://schemas.openxmlformats.org/officeDocument/2006/relationships">
  <sheetPr>
    <pageSetUpPr fitToPage="1"/>
  </sheetPr>
  <dimension ref="A1:U119"/>
  <sheetViews>
    <sheetView zoomScale="110" zoomScaleNormal="110" workbookViewId="0">
      <pane xSplit="1" ySplit="3" topLeftCell="B4" activePane="bottomRight" state="frozen"/>
      <selection activeCell="P31" sqref="P31"/>
      <selection pane="topRight" activeCell="P31" sqref="P31"/>
      <selection pane="bottomLeft" activeCell="P31" sqref="P31"/>
      <selection pane="bottomRight" activeCell="F9" sqref="F9"/>
    </sheetView>
  </sheetViews>
  <sheetFormatPr defaultRowHeight="11.25"/>
  <cols>
    <col min="1" max="1" width="36.5703125" style="1" customWidth="1"/>
    <col min="2" max="2" width="8.85546875" style="7" bestFit="1" customWidth="1"/>
    <col min="3" max="3" width="8" style="7" hidden="1" customWidth="1"/>
    <col min="4" max="4" width="8.42578125" style="7" bestFit="1" customWidth="1"/>
    <col min="5" max="5" width="8.85546875" style="7" bestFit="1" customWidth="1"/>
    <col min="6" max="6" width="7.42578125" style="7" customWidth="1"/>
    <col min="7" max="7" width="9.28515625" style="7" bestFit="1" customWidth="1"/>
    <col min="8" max="8" width="7.85546875" style="7" bestFit="1" customWidth="1"/>
    <col min="9" max="9" width="8.28515625" style="11" bestFit="1" customWidth="1"/>
    <col min="10" max="11" width="6.85546875" style="7" bestFit="1" customWidth="1"/>
    <col min="12" max="12" width="8.28515625" style="7" customWidth="1"/>
    <col min="13" max="13" width="7.85546875" style="7" hidden="1" customWidth="1"/>
    <col min="14" max="14" width="10.140625" style="7" customWidth="1"/>
    <col min="15" max="15" width="10.140625" style="8" bestFit="1" customWidth="1"/>
    <col min="16" max="16" width="7.28515625" style="8" customWidth="1"/>
    <col min="17" max="17" width="3.7109375" style="7" customWidth="1"/>
    <col min="18" max="18" width="7.85546875" style="1" hidden="1" customWidth="1"/>
    <col min="19" max="19" width="9.140625" style="1" hidden="1" customWidth="1"/>
    <col min="20" max="20" width="11.140625" style="1" customWidth="1"/>
    <col min="21" max="21" width="8.5703125" style="1" customWidth="1"/>
    <col min="22" max="16384" width="9.140625" style="1"/>
  </cols>
  <sheetData>
    <row r="1" spans="1:21">
      <c r="A1" s="395" t="s">
        <v>189</v>
      </c>
      <c r="B1" s="395"/>
      <c r="C1" s="395"/>
      <c r="D1" s="395"/>
      <c r="E1" s="395"/>
      <c r="F1" s="395"/>
      <c r="G1" s="395"/>
      <c r="H1" s="395"/>
      <c r="I1" s="395"/>
      <c r="J1" s="395"/>
      <c r="K1" s="395"/>
      <c r="L1" s="395"/>
      <c r="M1" s="395"/>
      <c r="N1" s="395"/>
      <c r="O1" s="395"/>
      <c r="P1" s="395"/>
      <c r="Q1" s="395"/>
    </row>
    <row r="2" spans="1:21">
      <c r="A2" s="407" t="s">
        <v>105</v>
      </c>
      <c r="B2" s="407"/>
      <c r="C2" s="407"/>
      <c r="D2" s="407"/>
      <c r="E2" s="407"/>
      <c r="F2" s="407"/>
      <c r="G2" s="407"/>
      <c r="H2" s="407"/>
      <c r="I2" s="407"/>
      <c r="J2" s="407"/>
      <c r="K2" s="407"/>
      <c r="L2" s="407"/>
      <c r="M2" s="407"/>
      <c r="N2" s="407"/>
      <c r="O2" s="407"/>
      <c r="P2" s="407"/>
      <c r="Q2" s="407"/>
    </row>
    <row r="3" spans="1:21" s="3" customFormat="1" ht="63">
      <c r="A3" s="45" t="s">
        <v>392</v>
      </c>
      <c r="B3" s="12" t="s">
        <v>393</v>
      </c>
      <c r="C3" s="12" t="s">
        <v>430</v>
      </c>
      <c r="D3" s="12" t="s">
        <v>4</v>
      </c>
      <c r="E3" s="12" t="s">
        <v>6</v>
      </c>
      <c r="F3" s="12" t="s">
        <v>5</v>
      </c>
      <c r="G3" s="12" t="s">
        <v>176</v>
      </c>
      <c r="H3" s="12" t="s">
        <v>459</v>
      </c>
      <c r="I3" s="60" t="s">
        <v>460</v>
      </c>
      <c r="J3" s="13" t="s">
        <v>462</v>
      </c>
      <c r="K3" s="13" t="s">
        <v>463</v>
      </c>
      <c r="L3" s="13" t="s">
        <v>461</v>
      </c>
      <c r="M3" s="12" t="s">
        <v>391</v>
      </c>
      <c r="N3" s="12" t="s">
        <v>8</v>
      </c>
      <c r="O3" s="13" t="s">
        <v>9</v>
      </c>
      <c r="P3" s="13" t="s">
        <v>175</v>
      </c>
      <c r="Q3" s="28" t="s">
        <v>394</v>
      </c>
      <c r="R3" s="3" t="s">
        <v>307</v>
      </c>
      <c r="S3" s="3" t="s">
        <v>308</v>
      </c>
    </row>
    <row r="4" spans="1:21" s="6" customFormat="1" ht="9">
      <c r="A4" s="21" t="s">
        <v>405</v>
      </c>
      <c r="B4" s="22" t="s">
        <v>433</v>
      </c>
      <c r="C4" s="22"/>
      <c r="D4" s="38"/>
      <c r="E4" s="38"/>
      <c r="F4" s="38"/>
      <c r="G4" s="22"/>
      <c r="H4" s="22"/>
      <c r="I4" s="23"/>
      <c r="J4" s="23"/>
      <c r="K4" s="23"/>
      <c r="L4" s="23"/>
      <c r="M4" s="22"/>
      <c r="N4" s="38"/>
      <c r="O4" s="38"/>
      <c r="P4" s="38"/>
      <c r="Q4" s="237"/>
    </row>
    <row r="5" spans="1:21" s="6" customFormat="1" ht="9">
      <c r="A5" s="20" t="s">
        <v>406</v>
      </c>
      <c r="B5" s="18" t="s">
        <v>433</v>
      </c>
      <c r="C5" s="18"/>
      <c r="D5" s="39"/>
      <c r="E5" s="39"/>
      <c r="F5" s="39"/>
      <c r="G5" s="18"/>
      <c r="H5" s="18"/>
      <c r="I5" s="19"/>
      <c r="J5" s="19"/>
      <c r="K5" s="19"/>
      <c r="L5" s="19"/>
      <c r="M5" s="18"/>
      <c r="N5" s="39"/>
      <c r="O5" s="39"/>
      <c r="P5" s="39"/>
      <c r="Q5" s="29"/>
    </row>
    <row r="6" spans="1:21" s="6" customFormat="1" ht="9">
      <c r="A6" s="142" t="s">
        <v>407</v>
      </c>
      <c r="B6" s="44"/>
      <c r="C6" s="44"/>
      <c r="D6" s="52"/>
      <c r="E6" s="52"/>
      <c r="F6" s="52"/>
      <c r="G6" s="44"/>
      <c r="H6" s="44"/>
      <c r="I6" s="92"/>
      <c r="J6" s="92"/>
      <c r="K6" s="92"/>
      <c r="L6" s="92"/>
      <c r="M6" s="44"/>
      <c r="N6" s="52"/>
      <c r="O6" s="52"/>
      <c r="P6" s="52"/>
      <c r="Q6" s="94"/>
      <c r="R6" s="147"/>
      <c r="S6" s="147"/>
    </row>
    <row r="7" spans="1:21" s="6" customFormat="1" ht="9">
      <c r="A7" s="143" t="s">
        <v>408</v>
      </c>
      <c r="B7" s="44">
        <v>40</v>
      </c>
      <c r="C7" s="44"/>
      <c r="D7" s="52">
        <v>0</v>
      </c>
      <c r="E7" s="52">
        <v>0</v>
      </c>
      <c r="F7" s="52">
        <v>0</v>
      </c>
      <c r="G7" s="44">
        <v>1</v>
      </c>
      <c r="H7" s="44">
        <f>B7*G7</f>
        <v>40</v>
      </c>
      <c r="I7" s="91">
        <v>0</v>
      </c>
      <c r="J7" s="92">
        <f>H7*I7</f>
        <v>0</v>
      </c>
      <c r="K7" s="92">
        <f>J7*0.1</f>
        <v>0</v>
      </c>
      <c r="L7" s="91">
        <f>J7*0.05</f>
        <v>0</v>
      </c>
      <c r="M7" s="44">
        <f>C7*G7*I7</f>
        <v>0</v>
      </c>
      <c r="N7" s="52">
        <f>(J7*'Base Data'!$C$5)+(K7*'Base Data'!$C$6)+(L7*'Base Data'!$C$7)</f>
        <v>0</v>
      </c>
      <c r="O7" s="52">
        <f>(D7+E7+F7)*G7*I7</f>
        <v>0</v>
      </c>
      <c r="P7" s="92">
        <v>0</v>
      </c>
      <c r="Q7" s="94" t="s">
        <v>387</v>
      </c>
      <c r="R7" s="147"/>
      <c r="S7" s="147"/>
    </row>
    <row r="8" spans="1:21" s="6" customFormat="1" ht="9">
      <c r="A8" s="142" t="s">
        <v>409</v>
      </c>
      <c r="B8" s="44"/>
      <c r="C8" s="44"/>
      <c r="D8" s="52"/>
      <c r="E8" s="52"/>
      <c r="F8" s="52"/>
      <c r="G8" s="44"/>
      <c r="H8" s="44"/>
      <c r="I8" s="92"/>
      <c r="J8" s="92"/>
      <c r="K8" s="92"/>
      <c r="L8" s="92"/>
      <c r="M8" s="44"/>
      <c r="N8" s="52"/>
      <c r="O8" s="52"/>
      <c r="P8" s="92"/>
      <c r="Q8" s="94"/>
      <c r="R8" s="147"/>
      <c r="S8" s="147"/>
      <c r="U8" s="30"/>
    </row>
    <row r="9" spans="1:21" s="6" customFormat="1" ht="9">
      <c r="A9" s="143" t="s">
        <v>486</v>
      </c>
      <c r="B9" s="44">
        <v>12</v>
      </c>
      <c r="C9" s="44"/>
      <c r="D9" s="52">
        <v>0</v>
      </c>
      <c r="E9" s="52">
        <f>'Testing Costs'!$B$13</f>
        <v>5000</v>
      </c>
      <c r="F9" s="52">
        <v>0</v>
      </c>
      <c r="G9" s="44">
        <v>1</v>
      </c>
      <c r="H9" s="44">
        <f t="shared" ref="H9:H21" si="0">B9*G9</f>
        <v>12</v>
      </c>
      <c r="I9" s="91">
        <v>0</v>
      </c>
      <c r="J9" s="92">
        <f t="shared" ref="J9:J21" si="1">H9*I9</f>
        <v>0</v>
      </c>
      <c r="K9" s="92">
        <f t="shared" ref="K9:K21" si="2">J9*0.1</f>
        <v>0</v>
      </c>
      <c r="L9" s="92">
        <f t="shared" ref="L9:L21" si="3">J9*0.05</f>
        <v>0</v>
      </c>
      <c r="M9" s="93"/>
      <c r="N9" s="52">
        <f>(J9*'Base Data'!$C$5)+(K9*'Base Data'!$C$6)+(L9*'Base Data'!$C$7)</f>
        <v>0</v>
      </c>
      <c r="O9" s="52">
        <f t="shared" ref="O9:O21" si="4">(D9+E9+F9)*G9*I9</f>
        <v>0</v>
      </c>
      <c r="P9" s="92">
        <v>0</v>
      </c>
      <c r="Q9" s="94"/>
      <c r="R9" s="147"/>
      <c r="S9" s="147"/>
      <c r="U9" s="30"/>
    </row>
    <row r="10" spans="1:21" s="6" customFormat="1" ht="9">
      <c r="A10" s="143" t="s">
        <v>133</v>
      </c>
      <c r="B10" s="44">
        <v>12</v>
      </c>
      <c r="C10" s="44"/>
      <c r="D10" s="52">
        <v>0</v>
      </c>
      <c r="E10" s="52">
        <f>'Testing Costs'!$B$17</f>
        <v>8000</v>
      </c>
      <c r="F10" s="52">
        <v>0</v>
      </c>
      <c r="G10" s="44">
        <v>1</v>
      </c>
      <c r="H10" s="44">
        <f t="shared" si="0"/>
        <v>12</v>
      </c>
      <c r="I10" s="91">
        <v>0</v>
      </c>
      <c r="J10" s="92">
        <f t="shared" si="1"/>
        <v>0</v>
      </c>
      <c r="K10" s="92">
        <f t="shared" si="2"/>
        <v>0</v>
      </c>
      <c r="L10" s="92">
        <f t="shared" si="3"/>
        <v>0</v>
      </c>
      <c r="M10" s="93"/>
      <c r="N10" s="52">
        <f>(J10*'Base Data'!$C$5)+(K10*'Base Data'!$C$6)+(L10*'Base Data'!$C$7)</f>
        <v>0</v>
      </c>
      <c r="O10" s="52">
        <f t="shared" si="4"/>
        <v>0</v>
      </c>
      <c r="P10" s="92">
        <v>0</v>
      </c>
      <c r="Q10" s="94"/>
      <c r="R10" s="147"/>
      <c r="S10" s="147"/>
      <c r="U10" s="30"/>
    </row>
    <row r="11" spans="1:21" s="6" customFormat="1" ht="9">
      <c r="A11" s="143" t="s">
        <v>134</v>
      </c>
      <c r="B11" s="44">
        <v>12</v>
      </c>
      <c r="C11" s="44"/>
      <c r="D11" s="52">
        <v>0</v>
      </c>
      <c r="E11" s="52">
        <f>'Testing Costs'!$B$15</f>
        <v>8000</v>
      </c>
      <c r="F11" s="52">
        <v>0</v>
      </c>
      <c r="G11" s="44">
        <v>1</v>
      </c>
      <c r="H11" s="44">
        <f t="shared" si="0"/>
        <v>12</v>
      </c>
      <c r="I11" s="91">
        <v>0</v>
      </c>
      <c r="J11" s="92">
        <f t="shared" si="1"/>
        <v>0</v>
      </c>
      <c r="K11" s="92">
        <f t="shared" si="2"/>
        <v>0</v>
      </c>
      <c r="L11" s="92">
        <f t="shared" si="3"/>
        <v>0</v>
      </c>
      <c r="M11" s="93"/>
      <c r="N11" s="52">
        <f>(J11*'Base Data'!$C$5)+(K11*'Base Data'!$C$6)+(L11*'Base Data'!$C$7)</f>
        <v>0</v>
      </c>
      <c r="O11" s="52">
        <f t="shared" si="4"/>
        <v>0</v>
      </c>
      <c r="P11" s="92">
        <v>0</v>
      </c>
      <c r="Q11" s="94"/>
      <c r="R11" s="147"/>
      <c r="S11" s="147"/>
      <c r="U11" s="30"/>
    </row>
    <row r="12" spans="1:21" s="6" customFormat="1" ht="9">
      <c r="A12" s="143" t="s">
        <v>135</v>
      </c>
      <c r="B12" s="44">
        <v>12</v>
      </c>
      <c r="C12" s="44"/>
      <c r="D12" s="52">
        <v>0</v>
      </c>
      <c r="E12" s="52">
        <f>'Testing Costs'!$B$14</f>
        <v>7000</v>
      </c>
      <c r="F12" s="52">
        <v>0</v>
      </c>
      <c r="G12" s="44">
        <v>1</v>
      </c>
      <c r="H12" s="44">
        <f t="shared" si="0"/>
        <v>12</v>
      </c>
      <c r="I12" s="91">
        <v>0</v>
      </c>
      <c r="J12" s="92">
        <f t="shared" si="1"/>
        <v>0</v>
      </c>
      <c r="K12" s="92">
        <f t="shared" si="2"/>
        <v>0</v>
      </c>
      <c r="L12" s="92">
        <f t="shared" si="3"/>
        <v>0</v>
      </c>
      <c r="M12" s="93"/>
      <c r="N12" s="52">
        <f>(J12*'Base Data'!$C$5)+(K12*'Base Data'!$C$6)+(L12*'Base Data'!$C$7)</f>
        <v>0</v>
      </c>
      <c r="O12" s="52">
        <f t="shared" si="4"/>
        <v>0</v>
      </c>
      <c r="P12" s="92">
        <v>0</v>
      </c>
      <c r="Q12" s="94"/>
      <c r="R12" s="147"/>
      <c r="S12" s="147"/>
      <c r="U12" s="30"/>
    </row>
    <row r="13" spans="1:21" s="6" customFormat="1" ht="9">
      <c r="A13" s="143" t="s">
        <v>136</v>
      </c>
      <c r="B13" s="44">
        <v>12</v>
      </c>
      <c r="C13" s="44"/>
      <c r="D13" s="52">
        <v>0</v>
      </c>
      <c r="E13" s="52">
        <f>'Testing Costs'!$B$16</f>
        <v>16000</v>
      </c>
      <c r="F13" s="52">
        <v>0</v>
      </c>
      <c r="G13" s="44">
        <v>1</v>
      </c>
      <c r="H13" s="44">
        <f t="shared" si="0"/>
        <v>12</v>
      </c>
      <c r="I13" s="91">
        <v>0</v>
      </c>
      <c r="J13" s="92">
        <f t="shared" si="1"/>
        <v>0</v>
      </c>
      <c r="K13" s="92">
        <f t="shared" si="2"/>
        <v>0</v>
      </c>
      <c r="L13" s="92">
        <f t="shared" si="3"/>
        <v>0</v>
      </c>
      <c r="M13" s="93"/>
      <c r="N13" s="52">
        <f>(J13*'Base Data'!$C$5)+(K13*'Base Data'!$C$6)+(L13*'Base Data'!$C$7)</f>
        <v>0</v>
      </c>
      <c r="O13" s="52">
        <f t="shared" si="4"/>
        <v>0</v>
      </c>
      <c r="P13" s="92">
        <v>0</v>
      </c>
      <c r="Q13" s="94"/>
      <c r="R13" s="147"/>
      <c r="S13" s="147"/>
      <c r="U13" s="30"/>
    </row>
    <row r="14" spans="1:21" s="6" customFormat="1" ht="9" customHeight="1">
      <c r="A14" s="143" t="s">
        <v>148</v>
      </c>
      <c r="B14" s="44">
        <v>12</v>
      </c>
      <c r="C14" s="44"/>
      <c r="D14" s="52">
        <v>0</v>
      </c>
      <c r="E14" s="52">
        <f>'Testing Costs'!$B$13</f>
        <v>5000</v>
      </c>
      <c r="F14" s="52">
        <v>0</v>
      </c>
      <c r="G14" s="44">
        <v>1</v>
      </c>
      <c r="H14" s="44">
        <f t="shared" si="0"/>
        <v>12</v>
      </c>
      <c r="I14" s="91">
        <v>0</v>
      </c>
      <c r="J14" s="92">
        <f t="shared" si="1"/>
        <v>0</v>
      </c>
      <c r="K14" s="92">
        <f t="shared" si="2"/>
        <v>0</v>
      </c>
      <c r="L14" s="92">
        <f t="shared" si="3"/>
        <v>0</v>
      </c>
      <c r="M14" s="93"/>
      <c r="N14" s="52">
        <f>(J14*'Base Data'!$C$5)+(K14*'Base Data'!$C$6)+(L14*'Base Data'!$C$7)</f>
        <v>0</v>
      </c>
      <c r="O14" s="52">
        <f t="shared" si="4"/>
        <v>0</v>
      </c>
      <c r="P14" s="92">
        <v>0</v>
      </c>
      <c r="Q14" s="94"/>
      <c r="R14" s="147"/>
      <c r="S14" s="147"/>
      <c r="U14" s="30"/>
    </row>
    <row r="15" spans="1:21" s="6" customFormat="1" ht="9">
      <c r="A15" s="143" t="s">
        <v>149</v>
      </c>
      <c r="B15" s="44">
        <v>12</v>
      </c>
      <c r="C15" s="44"/>
      <c r="D15" s="52">
        <v>0</v>
      </c>
      <c r="E15" s="52">
        <f>'Testing Costs'!$B$17</f>
        <v>8000</v>
      </c>
      <c r="F15" s="52">
        <v>0</v>
      </c>
      <c r="G15" s="44">
        <v>1</v>
      </c>
      <c r="H15" s="44">
        <f t="shared" si="0"/>
        <v>12</v>
      </c>
      <c r="I15" s="91">
        <v>0</v>
      </c>
      <c r="J15" s="92">
        <f t="shared" si="1"/>
        <v>0</v>
      </c>
      <c r="K15" s="92">
        <f t="shared" si="2"/>
        <v>0</v>
      </c>
      <c r="L15" s="92">
        <f t="shared" si="3"/>
        <v>0</v>
      </c>
      <c r="M15" s="93"/>
      <c r="N15" s="52">
        <f>(J15*'Base Data'!$C$5)+(K15*'Base Data'!$C$6)+(L15*'Base Data'!$C$7)</f>
        <v>0</v>
      </c>
      <c r="O15" s="52">
        <f t="shared" si="4"/>
        <v>0</v>
      </c>
      <c r="P15" s="92">
        <v>0</v>
      </c>
      <c r="Q15" s="94"/>
      <c r="R15" s="147"/>
      <c r="S15" s="147"/>
      <c r="U15" s="30"/>
    </row>
    <row r="16" spans="1:21" s="6" customFormat="1" ht="9">
      <c r="A16" s="143" t="s">
        <v>150</v>
      </c>
      <c r="B16" s="44">
        <v>12</v>
      </c>
      <c r="C16" s="44"/>
      <c r="D16" s="52">
        <v>0</v>
      </c>
      <c r="E16" s="52">
        <f>'Testing Costs'!$B$15</f>
        <v>8000</v>
      </c>
      <c r="F16" s="52">
        <v>0</v>
      </c>
      <c r="G16" s="44">
        <v>1</v>
      </c>
      <c r="H16" s="44">
        <f t="shared" si="0"/>
        <v>12</v>
      </c>
      <c r="I16" s="91">
        <v>0</v>
      </c>
      <c r="J16" s="92">
        <f t="shared" si="1"/>
        <v>0</v>
      </c>
      <c r="K16" s="92">
        <f t="shared" si="2"/>
        <v>0</v>
      </c>
      <c r="L16" s="92">
        <f t="shared" si="3"/>
        <v>0</v>
      </c>
      <c r="M16" s="93"/>
      <c r="N16" s="52">
        <f>(J16*'Base Data'!$C$5)+(K16*'Base Data'!$C$6)+(L16*'Base Data'!$C$7)</f>
        <v>0</v>
      </c>
      <c r="O16" s="52">
        <f t="shared" si="4"/>
        <v>0</v>
      </c>
      <c r="P16" s="92">
        <v>0</v>
      </c>
      <c r="Q16" s="94"/>
      <c r="R16" s="147"/>
      <c r="S16" s="147"/>
      <c r="U16" s="30"/>
    </row>
    <row r="17" spans="1:21" s="6" customFormat="1" ht="9">
      <c r="A17" s="143" t="s">
        <v>151</v>
      </c>
      <c r="B17" s="44">
        <v>12</v>
      </c>
      <c r="C17" s="44"/>
      <c r="D17" s="52">
        <v>0</v>
      </c>
      <c r="E17" s="52">
        <f>'Testing Costs'!$B$14</f>
        <v>7000</v>
      </c>
      <c r="F17" s="52">
        <v>0</v>
      </c>
      <c r="G17" s="44">
        <v>1</v>
      </c>
      <c r="H17" s="44">
        <f t="shared" si="0"/>
        <v>12</v>
      </c>
      <c r="I17" s="91">
        <v>0</v>
      </c>
      <c r="J17" s="92">
        <f t="shared" si="1"/>
        <v>0</v>
      </c>
      <c r="K17" s="92">
        <f t="shared" si="2"/>
        <v>0</v>
      </c>
      <c r="L17" s="92">
        <f t="shared" si="3"/>
        <v>0</v>
      </c>
      <c r="M17" s="93"/>
      <c r="N17" s="52">
        <f>(J17*'Base Data'!$C$5)+(K17*'Base Data'!$C$6)+(L17*'Base Data'!$C$7)</f>
        <v>0</v>
      </c>
      <c r="O17" s="52">
        <f t="shared" si="4"/>
        <v>0</v>
      </c>
      <c r="P17" s="92">
        <v>0</v>
      </c>
      <c r="Q17" s="94"/>
      <c r="R17" s="147"/>
      <c r="S17" s="147"/>
      <c r="U17" s="30"/>
    </row>
    <row r="18" spans="1:21" s="6" customFormat="1" ht="9">
      <c r="A18" s="143" t="s">
        <v>152</v>
      </c>
      <c r="B18" s="44">
        <v>12</v>
      </c>
      <c r="C18" s="44"/>
      <c r="D18" s="52">
        <v>0</v>
      </c>
      <c r="E18" s="52">
        <f>'Testing Costs'!$B$16</f>
        <v>16000</v>
      </c>
      <c r="F18" s="52">
        <v>0</v>
      </c>
      <c r="G18" s="44">
        <v>1</v>
      </c>
      <c r="H18" s="44">
        <f t="shared" si="0"/>
        <v>12</v>
      </c>
      <c r="I18" s="91">
        <v>0</v>
      </c>
      <c r="J18" s="92">
        <f t="shared" si="1"/>
        <v>0</v>
      </c>
      <c r="K18" s="92">
        <f t="shared" si="2"/>
        <v>0</v>
      </c>
      <c r="L18" s="92">
        <f t="shared" si="3"/>
        <v>0</v>
      </c>
      <c r="M18" s="93"/>
      <c r="N18" s="52">
        <f>(J18*'Base Data'!$C$5)+(K18*'Base Data'!$C$6)+(L18*'Base Data'!$C$7)</f>
        <v>0</v>
      </c>
      <c r="O18" s="52">
        <f t="shared" si="4"/>
        <v>0</v>
      </c>
      <c r="P18" s="92">
        <v>0</v>
      </c>
      <c r="Q18" s="94"/>
      <c r="R18" s="147"/>
      <c r="S18" s="147"/>
      <c r="U18" s="30"/>
    </row>
    <row r="19" spans="1:21" s="6" customFormat="1" ht="18">
      <c r="A19" s="332" t="s">
        <v>482</v>
      </c>
      <c r="B19" s="44">
        <v>24</v>
      </c>
      <c r="C19" s="331"/>
      <c r="D19" s="52">
        <v>0</v>
      </c>
      <c r="E19" s="52">
        <f>$E$10+$E$11</f>
        <v>16000</v>
      </c>
      <c r="F19" s="39">
        <v>0</v>
      </c>
      <c r="G19" s="18">
        <v>1</v>
      </c>
      <c r="H19" s="18">
        <f t="shared" si="0"/>
        <v>24</v>
      </c>
      <c r="I19" s="91">
        <v>0</v>
      </c>
      <c r="J19" s="19">
        <f t="shared" si="1"/>
        <v>0</v>
      </c>
      <c r="K19" s="19">
        <f t="shared" si="2"/>
        <v>0</v>
      </c>
      <c r="L19" s="19">
        <f t="shared" si="3"/>
        <v>0</v>
      </c>
      <c r="M19" s="46"/>
      <c r="N19" s="39">
        <f>(J19*'Base Data'!$C$5)+(K19*'Base Data'!$C$6)+(L19*'Base Data'!$C$7)</f>
        <v>0</v>
      </c>
      <c r="O19" s="39">
        <f t="shared" si="4"/>
        <v>0</v>
      </c>
      <c r="P19" s="19">
        <v>0</v>
      </c>
      <c r="Q19" s="94"/>
    </row>
    <row r="20" spans="1:21" s="6" customFormat="1" ht="9" customHeight="1">
      <c r="A20" s="143" t="s">
        <v>268</v>
      </c>
      <c r="B20" s="44">
        <v>5</v>
      </c>
      <c r="C20" s="44"/>
      <c r="D20" s="52">
        <v>0</v>
      </c>
      <c r="E20" s="52">
        <v>400</v>
      </c>
      <c r="F20" s="52">
        <v>0</v>
      </c>
      <c r="G20" s="44">
        <v>1</v>
      </c>
      <c r="H20" s="44">
        <f t="shared" si="0"/>
        <v>5</v>
      </c>
      <c r="I20" s="91">
        <v>0</v>
      </c>
      <c r="J20" s="92">
        <f t="shared" si="1"/>
        <v>0</v>
      </c>
      <c r="K20" s="92">
        <f t="shared" si="2"/>
        <v>0</v>
      </c>
      <c r="L20" s="92">
        <f t="shared" si="3"/>
        <v>0</v>
      </c>
      <c r="M20" s="93"/>
      <c r="N20" s="52">
        <f>(J20*'Base Data'!$C$5)+(K20*'Base Data'!$C$6)+(L20*'Base Data'!$C$7)</f>
        <v>0</v>
      </c>
      <c r="O20" s="52">
        <f t="shared" si="4"/>
        <v>0</v>
      </c>
      <c r="P20" s="92">
        <v>0</v>
      </c>
      <c r="Q20" s="94"/>
      <c r="R20" s="147"/>
      <c r="S20" s="147"/>
      <c r="U20" s="30"/>
    </row>
    <row r="21" spans="1:21" s="6" customFormat="1" ht="9" customHeight="1">
      <c r="A21" s="143" t="s">
        <v>269</v>
      </c>
      <c r="B21" s="44">
        <v>5</v>
      </c>
      <c r="C21" s="44"/>
      <c r="D21" s="52">
        <v>0</v>
      </c>
      <c r="E21" s="52">
        <v>400</v>
      </c>
      <c r="F21" s="52">
        <v>0</v>
      </c>
      <c r="G21" s="44">
        <v>12</v>
      </c>
      <c r="H21" s="44">
        <f t="shared" si="0"/>
        <v>60</v>
      </c>
      <c r="I21" s="91">
        <v>0</v>
      </c>
      <c r="J21" s="92">
        <f t="shared" si="1"/>
        <v>0</v>
      </c>
      <c r="K21" s="92">
        <f t="shared" si="2"/>
        <v>0</v>
      </c>
      <c r="L21" s="92">
        <f t="shared" si="3"/>
        <v>0</v>
      </c>
      <c r="M21" s="93"/>
      <c r="N21" s="52">
        <f>(J21*'Base Data'!$C$5)+(K21*'Base Data'!$C$6)+(L21*'Base Data'!$C$7)</f>
        <v>0</v>
      </c>
      <c r="O21" s="52">
        <f t="shared" si="4"/>
        <v>0</v>
      </c>
      <c r="P21" s="92">
        <v>0</v>
      </c>
      <c r="Q21" s="94"/>
      <c r="R21" s="147"/>
      <c r="S21" s="147"/>
      <c r="U21" s="30"/>
    </row>
    <row r="22" spans="1:21" s="6" customFormat="1" ht="9">
      <c r="A22" s="143" t="s">
        <v>270</v>
      </c>
      <c r="B22" s="44"/>
      <c r="C22" s="44"/>
      <c r="D22" s="52"/>
      <c r="E22" s="52"/>
      <c r="F22" s="52"/>
      <c r="G22" s="44"/>
      <c r="H22" s="44"/>
      <c r="I22" s="92"/>
      <c r="J22" s="92"/>
      <c r="K22" s="92"/>
      <c r="L22" s="92"/>
      <c r="M22" s="93"/>
      <c r="N22" s="52"/>
      <c r="O22" s="52"/>
      <c r="P22" s="92"/>
      <c r="Q22" s="94"/>
      <c r="R22" s="147"/>
      <c r="S22" s="147"/>
      <c r="U22" s="30"/>
    </row>
    <row r="23" spans="1:21" s="6" customFormat="1" ht="9">
      <c r="A23" s="143" t="s">
        <v>432</v>
      </c>
      <c r="B23" s="44">
        <v>40</v>
      </c>
      <c r="C23" s="44"/>
      <c r="D23" s="52">
        <v>0</v>
      </c>
      <c r="E23" s="52"/>
      <c r="F23" s="52">
        <v>0</v>
      </c>
      <c r="G23" s="44">
        <v>1</v>
      </c>
      <c r="H23" s="44">
        <f>B23*G23</f>
        <v>40</v>
      </c>
      <c r="I23" s="91">
        <v>0</v>
      </c>
      <c r="J23" s="92">
        <f>H23*I23</f>
        <v>0</v>
      </c>
      <c r="K23" s="92">
        <f>J23*0.1</f>
        <v>0</v>
      </c>
      <c r="L23" s="92">
        <f>J23*0.05</f>
        <v>0</v>
      </c>
      <c r="M23" s="93"/>
      <c r="N23" s="52">
        <f>(J23*'Base Data'!$C$5)+(K23*'Base Data'!$C$6)+(L23*'Base Data'!$C$7)</f>
        <v>0</v>
      </c>
      <c r="O23" s="52">
        <f>(D23+E23+F23)*G23*I23</f>
        <v>0</v>
      </c>
      <c r="P23" s="92">
        <v>0</v>
      </c>
      <c r="Q23" s="94"/>
      <c r="R23" s="147"/>
      <c r="S23" s="147"/>
      <c r="U23" s="30"/>
    </row>
    <row r="24" spans="1:21" s="6" customFormat="1" ht="9">
      <c r="A24" s="142" t="s">
        <v>410</v>
      </c>
      <c r="B24" s="44"/>
      <c r="C24" s="44"/>
      <c r="D24" s="52"/>
      <c r="E24" s="52"/>
      <c r="F24" s="52"/>
      <c r="G24" s="44"/>
      <c r="H24" s="44"/>
      <c r="I24" s="92"/>
      <c r="J24" s="92"/>
      <c r="K24" s="92"/>
      <c r="L24" s="92"/>
      <c r="M24" s="93"/>
      <c r="N24" s="52"/>
      <c r="O24" s="52"/>
      <c r="P24" s="92"/>
      <c r="Q24" s="94"/>
      <c r="R24" s="147"/>
      <c r="S24" s="147"/>
      <c r="U24" s="30"/>
    </row>
    <row r="25" spans="1:21" s="6" customFormat="1" ht="9">
      <c r="A25" s="142" t="s">
        <v>411</v>
      </c>
      <c r="B25" s="44">
        <v>10</v>
      </c>
      <c r="C25" s="44"/>
      <c r="D25" s="52">
        <v>0</v>
      </c>
      <c r="E25" s="52">
        <v>0</v>
      </c>
      <c r="F25" s="52">
        <v>43100</v>
      </c>
      <c r="G25" s="44">
        <v>1</v>
      </c>
      <c r="H25" s="44">
        <f>B25*G25</f>
        <v>10</v>
      </c>
      <c r="I25" s="91">
        <v>0</v>
      </c>
      <c r="J25" s="92">
        <f>H25*I25</f>
        <v>0</v>
      </c>
      <c r="K25" s="92">
        <f>J25*0.1</f>
        <v>0</v>
      </c>
      <c r="L25" s="92">
        <f>J25*0.05</f>
        <v>0</v>
      </c>
      <c r="M25" s="93"/>
      <c r="N25" s="52">
        <f>(J25*'Base Data'!$C$5)+(K25*'Base Data'!$C$6)+(L25*'Base Data'!$C$7)</f>
        <v>0</v>
      </c>
      <c r="O25" s="52">
        <f>(D25+E25+F25)*G25*I25</f>
        <v>0</v>
      </c>
      <c r="P25" s="92">
        <v>0</v>
      </c>
      <c r="Q25" s="94"/>
      <c r="R25" s="147"/>
      <c r="S25" s="147"/>
      <c r="U25" s="30"/>
    </row>
    <row r="26" spans="1:21" s="6" customFormat="1" ht="9">
      <c r="A26" s="142" t="s">
        <v>414</v>
      </c>
      <c r="B26" s="44">
        <v>10</v>
      </c>
      <c r="C26" s="44"/>
      <c r="D26" s="52">
        <v>0</v>
      </c>
      <c r="E26" s="52">
        <v>0</v>
      </c>
      <c r="F26" s="52">
        <v>14700</v>
      </c>
      <c r="G26" s="44">
        <v>1</v>
      </c>
      <c r="H26" s="44">
        <f>B26*G26</f>
        <v>10</v>
      </c>
      <c r="I26" s="91">
        <v>0</v>
      </c>
      <c r="J26" s="92">
        <f>H26*I26</f>
        <v>0</v>
      </c>
      <c r="K26" s="92">
        <f>J26*0.1</f>
        <v>0</v>
      </c>
      <c r="L26" s="92">
        <f>J26*0.05</f>
        <v>0</v>
      </c>
      <c r="M26" s="93"/>
      <c r="N26" s="52">
        <f>(J26*'Base Data'!$C$5)+(K26*'Base Data'!$C$6)+(L26*'Base Data'!$C$7)</f>
        <v>0</v>
      </c>
      <c r="O26" s="52">
        <f>(D26+E26+F26)*G26*I26</f>
        <v>0</v>
      </c>
      <c r="P26" s="92">
        <v>0</v>
      </c>
      <c r="Q26" s="94"/>
      <c r="R26" s="147"/>
      <c r="S26" s="147"/>
      <c r="U26" s="30"/>
    </row>
    <row r="27" spans="1:21" s="6" customFormat="1" ht="9">
      <c r="A27" s="142" t="s">
        <v>356</v>
      </c>
      <c r="B27" s="44"/>
      <c r="C27" s="44"/>
      <c r="D27" s="52"/>
      <c r="E27" s="52"/>
      <c r="F27" s="52"/>
      <c r="G27" s="44"/>
      <c r="H27" s="44"/>
      <c r="I27" s="92"/>
      <c r="J27" s="92"/>
      <c r="K27" s="92"/>
      <c r="L27" s="92"/>
      <c r="M27" s="93"/>
      <c r="N27" s="52"/>
      <c r="O27" s="52"/>
      <c r="P27" s="92"/>
      <c r="Q27" s="94"/>
      <c r="R27" s="147"/>
      <c r="S27" s="147"/>
      <c r="U27" s="30"/>
    </row>
    <row r="28" spans="1:21" s="6" customFormat="1" ht="9">
      <c r="A28" s="142" t="s">
        <v>411</v>
      </c>
      <c r="B28" s="44">
        <v>10</v>
      </c>
      <c r="C28" s="44"/>
      <c r="D28" s="52">
        <v>0</v>
      </c>
      <c r="E28" s="52">
        <v>0</v>
      </c>
      <c r="F28" s="52">
        <v>158000</v>
      </c>
      <c r="G28" s="44">
        <v>1</v>
      </c>
      <c r="H28" s="44">
        <f>B28*G28</f>
        <v>10</v>
      </c>
      <c r="I28" s="91">
        <v>0</v>
      </c>
      <c r="J28" s="92">
        <f>H28*I28</f>
        <v>0</v>
      </c>
      <c r="K28" s="92">
        <f>J28*0.1</f>
        <v>0</v>
      </c>
      <c r="L28" s="92">
        <f>J28*0.05</f>
        <v>0</v>
      </c>
      <c r="M28" s="93"/>
      <c r="N28" s="52">
        <f>(J28*'Base Data'!$C$5)+(K28*'Base Data'!$C$6)+(L28*'Base Data'!$C$7)</f>
        <v>0</v>
      </c>
      <c r="O28" s="52">
        <f>(D28+E28+F28)*G28*I28</f>
        <v>0</v>
      </c>
      <c r="P28" s="92">
        <v>0</v>
      </c>
      <c r="Q28" s="94"/>
      <c r="R28" s="147"/>
      <c r="S28" s="147"/>
      <c r="U28" s="30"/>
    </row>
    <row r="29" spans="1:21" s="6" customFormat="1" ht="9">
      <c r="A29" s="142" t="s">
        <v>414</v>
      </c>
      <c r="B29" s="44">
        <v>10</v>
      </c>
      <c r="C29" s="44"/>
      <c r="D29" s="52">
        <v>0</v>
      </c>
      <c r="E29" s="52">
        <v>0</v>
      </c>
      <c r="F29" s="52">
        <v>56100</v>
      </c>
      <c r="G29" s="44">
        <v>1</v>
      </c>
      <c r="H29" s="44">
        <f>B29*G29</f>
        <v>10</v>
      </c>
      <c r="I29" s="91">
        <v>0</v>
      </c>
      <c r="J29" s="92">
        <f>H29*I29</f>
        <v>0</v>
      </c>
      <c r="K29" s="92">
        <f>J29*0.1</f>
        <v>0</v>
      </c>
      <c r="L29" s="92">
        <f>J29*0.05</f>
        <v>0</v>
      </c>
      <c r="M29" s="93"/>
      <c r="N29" s="52">
        <f>(J29*'Base Data'!$C$5)+(K29*'Base Data'!$C$6)+(L29*'Base Data'!$C$7)</f>
        <v>0</v>
      </c>
      <c r="O29" s="52">
        <f>(D29+E29+F29)*G29*I29</f>
        <v>0</v>
      </c>
      <c r="P29" s="92">
        <v>0</v>
      </c>
      <c r="Q29" s="94"/>
      <c r="R29" s="147"/>
      <c r="S29" s="147"/>
      <c r="U29" s="30"/>
    </row>
    <row r="30" spans="1:21" s="6" customFormat="1" ht="9">
      <c r="A30" s="142" t="s">
        <v>522</v>
      </c>
      <c r="B30" s="44"/>
      <c r="C30" s="44"/>
      <c r="D30" s="52"/>
      <c r="E30" s="52"/>
      <c r="F30" s="52"/>
      <c r="G30" s="44"/>
      <c r="H30" s="44"/>
      <c r="I30" s="91"/>
      <c r="J30" s="19"/>
      <c r="K30" s="19"/>
      <c r="L30" s="19"/>
      <c r="M30" s="46"/>
      <c r="N30" s="39"/>
      <c r="O30" s="39"/>
      <c r="P30" s="19"/>
      <c r="Q30" s="29"/>
    </row>
    <row r="31" spans="1:21" s="6" customFormat="1" ht="9">
      <c r="A31" s="142" t="s">
        <v>411</v>
      </c>
      <c r="B31" s="44">
        <v>10</v>
      </c>
      <c r="C31" s="44"/>
      <c r="D31" s="52">
        <v>0</v>
      </c>
      <c r="E31" s="52">
        <v>0</v>
      </c>
      <c r="F31" s="52">
        <f>Monitors!$F$32</f>
        <v>8523</v>
      </c>
      <c r="G31" s="44">
        <v>1</v>
      </c>
      <c r="H31" s="44">
        <f t="shared" ref="H31:H32" si="5">B31*G31</f>
        <v>10</v>
      </c>
      <c r="I31" s="91">
        <v>0</v>
      </c>
      <c r="J31" s="19">
        <f t="shared" ref="J31:J32" si="6">H31*I31</f>
        <v>0</v>
      </c>
      <c r="K31" s="19">
        <f t="shared" ref="K31:K32" si="7">J31*0.1</f>
        <v>0</v>
      </c>
      <c r="L31" s="19">
        <f t="shared" ref="L31:L32" si="8">J31*0.05</f>
        <v>0</v>
      </c>
      <c r="M31" s="46"/>
      <c r="N31" s="39">
        <f>(J31*'Base Data'!$C$5)+(K31*'Base Data'!$C$6)+(L31*'Base Data'!$C$7)</f>
        <v>0</v>
      </c>
      <c r="O31" s="39">
        <f>(D31+E31+F31)*G31*I31</f>
        <v>0</v>
      </c>
      <c r="P31" s="19">
        <v>0</v>
      </c>
      <c r="Q31" s="29"/>
    </row>
    <row r="32" spans="1:21" s="6" customFormat="1" ht="9">
      <c r="A32" s="142" t="s">
        <v>414</v>
      </c>
      <c r="B32" s="44">
        <v>10</v>
      </c>
      <c r="C32" s="44"/>
      <c r="D32" s="52">
        <v>0</v>
      </c>
      <c r="E32" s="52">
        <v>0</v>
      </c>
      <c r="F32" s="52">
        <f>Monitors!$G$32</f>
        <v>1436</v>
      </c>
      <c r="G32" s="44">
        <v>1</v>
      </c>
      <c r="H32" s="44">
        <f t="shared" si="5"/>
        <v>10</v>
      </c>
      <c r="I32" s="91">
        <v>0</v>
      </c>
      <c r="J32" s="19">
        <f t="shared" si="6"/>
        <v>0</v>
      </c>
      <c r="K32" s="19">
        <f t="shared" si="7"/>
        <v>0</v>
      </c>
      <c r="L32" s="19">
        <f t="shared" si="8"/>
        <v>0</v>
      </c>
      <c r="M32" s="46"/>
      <c r="N32" s="39">
        <f>(J32*'Base Data'!$C$5)+(K32*'Base Data'!$C$6)+(L32*'Base Data'!$C$7)</f>
        <v>0</v>
      </c>
      <c r="O32" s="39">
        <f>(D32+E32+F32)*G32*I32</f>
        <v>0</v>
      </c>
      <c r="P32" s="19">
        <v>0</v>
      </c>
      <c r="Q32" s="29"/>
    </row>
    <row r="33" spans="1:21" s="6" customFormat="1" ht="18">
      <c r="A33" s="143" t="s">
        <v>173</v>
      </c>
      <c r="B33" s="44"/>
      <c r="C33" s="44"/>
      <c r="D33" s="52"/>
      <c r="E33" s="52"/>
      <c r="F33" s="95"/>
      <c r="G33" s="44"/>
      <c r="H33" s="44"/>
      <c r="I33" s="91"/>
      <c r="J33" s="92"/>
      <c r="K33" s="92"/>
      <c r="L33" s="92"/>
      <c r="M33" s="93"/>
      <c r="N33" s="52"/>
      <c r="O33" s="52"/>
      <c r="P33" s="92"/>
      <c r="Q33" s="94"/>
      <c r="R33" s="147"/>
      <c r="S33" s="147"/>
      <c r="U33" s="30"/>
    </row>
    <row r="34" spans="1:21" s="6" customFormat="1" ht="9">
      <c r="A34" s="142" t="s">
        <v>411</v>
      </c>
      <c r="B34" s="44">
        <v>10</v>
      </c>
      <c r="C34" s="44"/>
      <c r="D34" s="52">
        <v>0</v>
      </c>
      <c r="E34" s="52">
        <v>0</v>
      </c>
      <c r="F34" s="52">
        <v>24300</v>
      </c>
      <c r="G34" s="44">
        <v>1</v>
      </c>
      <c r="H34" s="44">
        <f>B34*G34</f>
        <v>10</v>
      </c>
      <c r="I34" s="91">
        <v>0</v>
      </c>
      <c r="J34" s="92">
        <f>H34*I34</f>
        <v>0</v>
      </c>
      <c r="K34" s="92">
        <f>J34*0.1</f>
        <v>0</v>
      </c>
      <c r="L34" s="92">
        <f>J34*0.05</f>
        <v>0</v>
      </c>
      <c r="M34" s="93"/>
      <c r="N34" s="52">
        <f>(J34*'Base Data'!$C$5)+(K34*'Base Data'!$C$6)+(L34*'Base Data'!$C$7)</f>
        <v>0</v>
      </c>
      <c r="O34" s="52">
        <f>(D34+E34+F34)*G34*I34</f>
        <v>0</v>
      </c>
      <c r="P34" s="92">
        <v>0</v>
      </c>
      <c r="Q34" s="94"/>
      <c r="R34" s="147"/>
      <c r="S34" s="147"/>
      <c r="U34" s="30"/>
    </row>
    <row r="35" spans="1:21" s="6" customFormat="1" ht="9">
      <c r="A35" s="142" t="s">
        <v>414</v>
      </c>
      <c r="B35" s="44">
        <v>10</v>
      </c>
      <c r="C35" s="44"/>
      <c r="D35" s="52">
        <v>0</v>
      </c>
      <c r="E35" s="52">
        <v>0</v>
      </c>
      <c r="F35" s="52">
        <v>5600</v>
      </c>
      <c r="G35" s="44">
        <v>1</v>
      </c>
      <c r="H35" s="44">
        <f>B35*G35</f>
        <v>10</v>
      </c>
      <c r="I35" s="91">
        <v>0</v>
      </c>
      <c r="J35" s="92">
        <f>H35*I35</f>
        <v>0</v>
      </c>
      <c r="K35" s="92">
        <f>J35*0.1</f>
        <v>0</v>
      </c>
      <c r="L35" s="92">
        <f>J35*0.05</f>
        <v>0</v>
      </c>
      <c r="M35" s="93"/>
      <c r="N35" s="52">
        <f>(J35*'Base Data'!$C$5)+(K35*'Base Data'!$C$6)+(L35*'Base Data'!$C$7)</f>
        <v>0</v>
      </c>
      <c r="O35" s="52">
        <f>(D35+E35+F35)*G35*I35</f>
        <v>0</v>
      </c>
      <c r="P35" s="92">
        <v>0</v>
      </c>
      <c r="Q35" s="94"/>
      <c r="R35" s="147"/>
      <c r="S35" s="147"/>
      <c r="U35" s="30"/>
    </row>
    <row r="36" spans="1:21" s="6" customFormat="1" ht="18">
      <c r="A36" s="143" t="s">
        <v>475</v>
      </c>
      <c r="B36" s="44"/>
      <c r="C36" s="44"/>
      <c r="D36" s="52"/>
      <c r="E36" s="52"/>
      <c r="F36" s="52"/>
      <c r="G36" s="44"/>
      <c r="H36" s="44"/>
      <c r="I36" s="91"/>
      <c r="J36" s="92"/>
      <c r="K36" s="92"/>
      <c r="L36" s="92"/>
      <c r="M36" s="93"/>
      <c r="N36" s="52"/>
      <c r="O36" s="238"/>
      <c r="P36" s="92"/>
      <c r="Q36" s="94"/>
      <c r="R36" s="147"/>
      <c r="S36" s="147"/>
      <c r="U36" s="30"/>
    </row>
    <row r="37" spans="1:21" s="6" customFormat="1" ht="9">
      <c r="A37" s="142" t="s">
        <v>411</v>
      </c>
      <c r="B37" s="44">
        <v>10</v>
      </c>
      <c r="C37" s="44"/>
      <c r="D37" s="52">
        <v>0</v>
      </c>
      <c r="E37" s="52">
        <v>0</v>
      </c>
      <c r="F37" s="52">
        <f>25500</f>
        <v>25500</v>
      </c>
      <c r="G37" s="44">
        <v>1</v>
      </c>
      <c r="H37" s="44">
        <f>B37*G37</f>
        <v>10</v>
      </c>
      <c r="I37" s="91">
        <v>0</v>
      </c>
      <c r="J37" s="92">
        <f>H37*I37</f>
        <v>0</v>
      </c>
      <c r="K37" s="92">
        <f>J37*0.1</f>
        <v>0</v>
      </c>
      <c r="L37" s="92">
        <f>J37*0.05</f>
        <v>0</v>
      </c>
      <c r="M37" s="93"/>
      <c r="N37" s="52">
        <f>(J37*'Base Data'!$C$5)+(K37*'Base Data'!$C$6)+(L37*'Base Data'!$C$7)</f>
        <v>0</v>
      </c>
      <c r="O37" s="52">
        <f>(D37+E37+F37)*G37*I37</f>
        <v>0</v>
      </c>
      <c r="P37" s="92">
        <v>0</v>
      </c>
      <c r="Q37" s="94"/>
      <c r="R37" s="147"/>
      <c r="S37" s="147"/>
      <c r="U37" s="30"/>
    </row>
    <row r="38" spans="1:21" s="6" customFormat="1" ht="9">
      <c r="A38" s="142" t="s">
        <v>414</v>
      </c>
      <c r="B38" s="44">
        <v>10</v>
      </c>
      <c r="C38" s="44"/>
      <c r="D38" s="52">
        <v>0</v>
      </c>
      <c r="E38" s="52">
        <v>0</v>
      </c>
      <c r="F38" s="52">
        <v>9700</v>
      </c>
      <c r="G38" s="44">
        <v>1</v>
      </c>
      <c r="H38" s="44">
        <f>B38*G38</f>
        <v>10</v>
      </c>
      <c r="I38" s="91">
        <v>0</v>
      </c>
      <c r="J38" s="92">
        <f>H38*I38</f>
        <v>0</v>
      </c>
      <c r="K38" s="92">
        <f>J38*0.1</f>
        <v>0</v>
      </c>
      <c r="L38" s="92">
        <f>J38*0.05</f>
        <v>0</v>
      </c>
      <c r="M38" s="93"/>
      <c r="N38" s="52">
        <f>(J38*'Base Data'!$C$5)+(K38*'Base Data'!$C$6)+(L38*'Base Data'!$C$7)</f>
        <v>0</v>
      </c>
      <c r="O38" s="52">
        <f>(D38+E38+F38)*G38*I38</f>
        <v>0</v>
      </c>
      <c r="P38" s="92">
        <v>0</v>
      </c>
      <c r="Q38" s="94"/>
      <c r="R38" s="147"/>
      <c r="S38" s="147"/>
      <c r="U38" s="30"/>
    </row>
    <row r="39" spans="1:21" s="6" customFormat="1" ht="18">
      <c r="A39" s="143" t="s">
        <v>174</v>
      </c>
      <c r="B39" s="44"/>
      <c r="C39" s="44"/>
      <c r="D39" s="52"/>
      <c r="E39" s="52"/>
      <c r="F39" s="52"/>
      <c r="G39" s="44"/>
      <c r="H39" s="44"/>
      <c r="I39" s="91"/>
      <c r="J39" s="92"/>
      <c r="K39" s="92"/>
      <c r="L39" s="92"/>
      <c r="M39" s="93"/>
      <c r="N39" s="52"/>
      <c r="O39" s="52"/>
      <c r="P39" s="92"/>
      <c r="Q39" s="94"/>
      <c r="R39" s="147"/>
      <c r="S39" s="147"/>
      <c r="U39" s="30"/>
    </row>
    <row r="40" spans="1:21" s="6" customFormat="1" ht="9">
      <c r="A40" s="142" t="s">
        <v>411</v>
      </c>
      <c r="B40" s="44">
        <v>10</v>
      </c>
      <c r="C40" s="44"/>
      <c r="D40" s="52">
        <v>0</v>
      </c>
      <c r="E40" s="52">
        <v>0</v>
      </c>
      <c r="F40" s="52">
        <v>115000</v>
      </c>
      <c r="G40" s="44">
        <v>1</v>
      </c>
      <c r="H40" s="44">
        <f>B40*G40</f>
        <v>10</v>
      </c>
      <c r="I40" s="91">
        <v>0</v>
      </c>
      <c r="J40" s="92">
        <f>H40*I40</f>
        <v>0</v>
      </c>
      <c r="K40" s="92">
        <f>J40*0.1</f>
        <v>0</v>
      </c>
      <c r="L40" s="92">
        <f>J40*0.05</f>
        <v>0</v>
      </c>
      <c r="M40" s="93"/>
      <c r="N40" s="52">
        <f>(J40*'Base Data'!$C$5)+(K40*'Base Data'!$C$6)+(L40*'Base Data'!$C$7)</f>
        <v>0</v>
      </c>
      <c r="O40" s="52">
        <f>(D40+E40+F40)*G40*I40</f>
        <v>0</v>
      </c>
      <c r="P40" s="92">
        <v>0</v>
      </c>
      <c r="Q40" s="94"/>
      <c r="R40" s="147"/>
      <c r="S40" s="147"/>
      <c r="U40" s="30"/>
    </row>
    <row r="41" spans="1:21" s="6" customFormat="1" ht="9">
      <c r="A41" s="142" t="s">
        <v>414</v>
      </c>
      <c r="B41" s="44">
        <v>10</v>
      </c>
      <c r="C41" s="44"/>
      <c r="D41" s="52">
        <v>0</v>
      </c>
      <c r="E41" s="52">
        <v>0</v>
      </c>
      <c r="F41" s="52">
        <v>9700</v>
      </c>
      <c r="G41" s="44">
        <v>1</v>
      </c>
      <c r="H41" s="44">
        <f>B41*G41</f>
        <v>10</v>
      </c>
      <c r="I41" s="91">
        <v>0</v>
      </c>
      <c r="J41" s="92">
        <f>H41*I41</f>
        <v>0</v>
      </c>
      <c r="K41" s="92">
        <f>J41*0.1</f>
        <v>0</v>
      </c>
      <c r="L41" s="92">
        <f>J41*0.05</f>
        <v>0</v>
      </c>
      <c r="M41" s="93"/>
      <c r="N41" s="52">
        <f>(J41*'Base Data'!$C$5)+(K41*'Base Data'!$C$6)+(L41*'Base Data'!$C$7)</f>
        <v>0</v>
      </c>
      <c r="O41" s="52">
        <f>(D41+E41+F41)*G41*I41</f>
        <v>0</v>
      </c>
      <c r="P41" s="92">
        <v>0</v>
      </c>
      <c r="Q41" s="94"/>
      <c r="R41" s="147"/>
      <c r="S41" s="147"/>
      <c r="U41" s="30"/>
    </row>
    <row r="42" spans="1:21" s="6" customFormat="1" ht="9">
      <c r="A42" s="142" t="s">
        <v>415</v>
      </c>
      <c r="B42" s="44" t="s">
        <v>433</v>
      </c>
      <c r="C42" s="44"/>
      <c r="D42" s="52"/>
      <c r="E42" s="52"/>
      <c r="F42" s="52"/>
      <c r="G42" s="44"/>
      <c r="H42" s="44"/>
      <c r="I42" s="92"/>
      <c r="J42" s="92"/>
      <c r="K42" s="92"/>
      <c r="L42" s="92"/>
      <c r="M42" s="44"/>
      <c r="N42" s="52"/>
      <c r="O42" s="52"/>
      <c r="P42" s="92"/>
      <c r="Q42" s="94"/>
      <c r="R42" s="147"/>
      <c r="S42" s="147"/>
      <c r="U42" s="30"/>
    </row>
    <row r="43" spans="1:21" s="6" customFormat="1" ht="9">
      <c r="A43" s="142" t="s">
        <v>416</v>
      </c>
      <c r="B43" s="44" t="s">
        <v>433</v>
      </c>
      <c r="C43" s="44"/>
      <c r="D43" s="52"/>
      <c r="E43" s="52"/>
      <c r="F43" s="52"/>
      <c r="G43" s="44"/>
      <c r="H43" s="44"/>
      <c r="I43" s="92"/>
      <c r="J43" s="92"/>
      <c r="K43" s="92"/>
      <c r="L43" s="92"/>
      <c r="M43" s="44"/>
      <c r="N43" s="52"/>
      <c r="O43" s="52"/>
      <c r="P43" s="92"/>
      <c r="Q43" s="94"/>
      <c r="R43" s="147"/>
      <c r="S43" s="147"/>
    </row>
    <row r="44" spans="1:21" s="6" customFormat="1" ht="9">
      <c r="A44" s="142" t="s">
        <v>417</v>
      </c>
      <c r="B44" s="44"/>
      <c r="C44" s="44"/>
      <c r="D44" s="52"/>
      <c r="E44" s="52"/>
      <c r="F44" s="52"/>
      <c r="G44" s="44"/>
      <c r="H44" s="44"/>
      <c r="I44" s="92"/>
      <c r="J44" s="92"/>
      <c r="K44" s="92"/>
      <c r="L44" s="92"/>
      <c r="M44" s="44"/>
      <c r="N44" s="52"/>
      <c r="O44" s="52"/>
      <c r="P44" s="92"/>
      <c r="Q44" s="94"/>
      <c r="R44" s="147"/>
      <c r="S44" s="147"/>
    </row>
    <row r="45" spans="1:21" s="6" customFormat="1" ht="9">
      <c r="A45" s="177" t="s">
        <v>435</v>
      </c>
      <c r="B45" s="44">
        <v>2</v>
      </c>
      <c r="C45" s="44"/>
      <c r="D45" s="52">
        <v>0</v>
      </c>
      <c r="E45" s="52">
        <v>0</v>
      </c>
      <c r="F45" s="52">
        <v>0</v>
      </c>
      <c r="G45" s="44">
        <v>1</v>
      </c>
      <c r="H45" s="44">
        <f>B45*G45</f>
        <v>2</v>
      </c>
      <c r="I45" s="91">
        <v>0</v>
      </c>
      <c r="J45" s="92">
        <f>H45*I45</f>
        <v>0</v>
      </c>
      <c r="K45" s="92">
        <f>J45*0.1</f>
        <v>0</v>
      </c>
      <c r="L45" s="92">
        <f>J45*0.05</f>
        <v>0</v>
      </c>
      <c r="M45" s="44">
        <f>C45*G45*I45</f>
        <v>0</v>
      </c>
      <c r="N45" s="52">
        <f>(J45*'Base Data'!$C$5)+(K45*'Base Data'!$C$6)+(L45*'Base Data'!$C$7)</f>
        <v>0</v>
      </c>
      <c r="O45" s="52">
        <f>(D45+E45+F45)*G45*I45</f>
        <v>0</v>
      </c>
      <c r="P45" s="92">
        <f t="shared" ref="P45:P47" si="9">G45*I45</f>
        <v>0</v>
      </c>
      <c r="Q45" s="94"/>
      <c r="R45" s="147"/>
      <c r="S45" s="147"/>
    </row>
    <row r="46" spans="1:21" s="6" customFormat="1" ht="9" customHeight="1">
      <c r="A46" s="177" t="s">
        <v>377</v>
      </c>
      <c r="B46" s="44">
        <v>8</v>
      </c>
      <c r="C46" s="44"/>
      <c r="D46" s="52">
        <v>0</v>
      </c>
      <c r="E46" s="52">
        <v>0</v>
      </c>
      <c r="F46" s="52">
        <v>0</v>
      </c>
      <c r="G46" s="44">
        <v>1</v>
      </c>
      <c r="H46" s="44">
        <f>B46*G46</f>
        <v>8</v>
      </c>
      <c r="I46" s="91">
        <v>0</v>
      </c>
      <c r="J46" s="92">
        <f>H46*I46</f>
        <v>0</v>
      </c>
      <c r="K46" s="92">
        <f>J46*0.1</f>
        <v>0</v>
      </c>
      <c r="L46" s="92">
        <f>J46*0.05</f>
        <v>0</v>
      </c>
      <c r="M46" s="44">
        <f>C46*G46*I46</f>
        <v>0</v>
      </c>
      <c r="N46" s="52">
        <f>(J46*'Base Data'!$C$5)+(K46*'Base Data'!$C$6)+(L46*'Base Data'!$C$7)</f>
        <v>0</v>
      </c>
      <c r="O46" s="52">
        <f>(D46+E46+F46)*G46*I46</f>
        <v>0</v>
      </c>
      <c r="P46" s="92">
        <f t="shared" si="9"/>
        <v>0</v>
      </c>
      <c r="Q46" s="94"/>
      <c r="R46" s="147"/>
      <c r="S46" s="147"/>
    </row>
    <row r="47" spans="1:21" s="6" customFormat="1" ht="9">
      <c r="A47" s="144" t="s">
        <v>492</v>
      </c>
      <c r="B47" s="44">
        <v>20</v>
      </c>
      <c r="C47" s="44">
        <v>0</v>
      </c>
      <c r="D47" s="52">
        <v>0</v>
      </c>
      <c r="E47" s="52">
        <v>0</v>
      </c>
      <c r="F47" s="52">
        <v>0</v>
      </c>
      <c r="G47" s="44">
        <v>2</v>
      </c>
      <c r="H47" s="44">
        <f>B47*G47</f>
        <v>40</v>
      </c>
      <c r="I47" s="91">
        <v>0</v>
      </c>
      <c r="J47" s="92">
        <f>H47*I47</f>
        <v>0</v>
      </c>
      <c r="K47" s="92">
        <f>J47*0.1</f>
        <v>0</v>
      </c>
      <c r="L47" s="92">
        <f>J47*0.05</f>
        <v>0</v>
      </c>
      <c r="M47" s="92">
        <f>C47*G47*I47</f>
        <v>0</v>
      </c>
      <c r="N47" s="52">
        <f>(J47*'Base Data'!$C$5)+(K47*'Base Data'!$C$6)+(L47*'Base Data'!$C$7)</f>
        <v>0</v>
      </c>
      <c r="O47" s="52">
        <f>(D47+E47+F47)*G47*I47</f>
        <v>0</v>
      </c>
      <c r="P47" s="92">
        <f t="shared" si="9"/>
        <v>0</v>
      </c>
      <c r="Q47" s="94"/>
      <c r="R47" s="184"/>
      <c r="S47" s="147"/>
    </row>
    <row r="48" spans="1:21" s="6" customFormat="1" ht="9">
      <c r="A48" s="145" t="s">
        <v>7</v>
      </c>
      <c r="B48" s="44"/>
      <c r="C48" s="44"/>
      <c r="D48" s="52"/>
      <c r="E48" s="52"/>
      <c r="F48" s="52"/>
      <c r="G48" s="44"/>
      <c r="H48" s="44"/>
      <c r="I48" s="91"/>
      <c r="J48" s="92">
        <f t="shared" ref="J48:P48" si="10">SUM(J7:J47)</f>
        <v>0</v>
      </c>
      <c r="K48" s="92">
        <f t="shared" si="10"/>
        <v>0</v>
      </c>
      <c r="L48" s="92">
        <f t="shared" si="10"/>
        <v>0</v>
      </c>
      <c r="M48" s="92">
        <f t="shared" si="10"/>
        <v>0</v>
      </c>
      <c r="N48" s="52">
        <f t="shared" si="10"/>
        <v>0</v>
      </c>
      <c r="O48" s="52">
        <f t="shared" si="10"/>
        <v>0</v>
      </c>
      <c r="P48" s="92">
        <f t="shared" si="10"/>
        <v>0</v>
      </c>
      <c r="Q48" s="94"/>
      <c r="R48" s="150">
        <f>SUM(O7,O9:O21,O26,O29,O32,O35,O38,O41)</f>
        <v>0</v>
      </c>
      <c r="S48" s="149">
        <f>SUM(O25,O28,O31,O34,O37,O40)</f>
        <v>0</v>
      </c>
    </row>
    <row r="49" spans="1:19" s="6" customFormat="1" ht="9">
      <c r="A49" s="142" t="s">
        <v>431</v>
      </c>
      <c r="B49" s="44"/>
      <c r="C49" s="44"/>
      <c r="D49" s="52"/>
      <c r="E49" s="52"/>
      <c r="F49" s="52"/>
      <c r="G49" s="44"/>
      <c r="H49" s="44"/>
      <c r="I49" s="92"/>
      <c r="J49" s="92"/>
      <c r="K49" s="92"/>
      <c r="L49" s="92"/>
      <c r="M49" s="44"/>
      <c r="N49" s="52"/>
      <c r="O49" s="52"/>
      <c r="P49" s="92"/>
      <c r="Q49" s="94"/>
      <c r="R49" s="147"/>
      <c r="S49" s="147"/>
    </row>
    <row r="50" spans="1:19" s="6" customFormat="1" ht="9">
      <c r="A50" s="142" t="s">
        <v>418</v>
      </c>
      <c r="B50" s="44" t="s">
        <v>422</v>
      </c>
      <c r="C50" s="44"/>
      <c r="D50" s="52"/>
      <c r="E50" s="52"/>
      <c r="F50" s="52"/>
      <c r="G50" s="44"/>
      <c r="H50" s="44"/>
      <c r="I50" s="92"/>
      <c r="J50" s="92"/>
      <c r="K50" s="92"/>
      <c r="L50" s="92"/>
      <c r="M50" s="44"/>
      <c r="N50" s="52"/>
      <c r="O50" s="52"/>
      <c r="P50" s="92"/>
      <c r="Q50" s="94"/>
      <c r="R50" s="147"/>
      <c r="S50" s="147"/>
    </row>
    <row r="51" spans="1:19" s="6" customFormat="1" ht="9">
      <c r="A51" s="142" t="s">
        <v>419</v>
      </c>
      <c r="B51" s="44" t="s">
        <v>433</v>
      </c>
      <c r="C51" s="44"/>
      <c r="D51" s="52"/>
      <c r="E51" s="52"/>
      <c r="F51" s="52"/>
      <c r="G51" s="44"/>
      <c r="H51" s="44"/>
      <c r="I51" s="92"/>
      <c r="J51" s="92"/>
      <c r="K51" s="92"/>
      <c r="L51" s="92"/>
      <c r="M51" s="44"/>
      <c r="N51" s="52"/>
      <c r="O51" s="52"/>
      <c r="P51" s="92"/>
      <c r="Q51" s="94"/>
      <c r="R51" s="147"/>
      <c r="S51" s="147"/>
    </row>
    <row r="52" spans="1:19" s="6" customFormat="1" ht="9">
      <c r="A52" s="142" t="s">
        <v>420</v>
      </c>
      <c r="B52" s="44" t="s">
        <v>433</v>
      </c>
      <c r="C52" s="44"/>
      <c r="D52" s="52"/>
      <c r="E52" s="52"/>
      <c r="F52" s="52"/>
      <c r="G52" s="44"/>
      <c r="H52" s="44"/>
      <c r="I52" s="92"/>
      <c r="J52" s="92"/>
      <c r="K52" s="92"/>
      <c r="L52" s="92"/>
      <c r="M52" s="44"/>
      <c r="N52" s="52"/>
      <c r="O52" s="52"/>
      <c r="P52" s="92"/>
      <c r="Q52" s="94"/>
      <c r="R52" s="147"/>
      <c r="S52" s="147"/>
    </row>
    <row r="53" spans="1:19" s="6" customFormat="1" ht="9">
      <c r="A53" s="142" t="s">
        <v>421</v>
      </c>
      <c r="B53" s="44"/>
      <c r="C53" s="44"/>
      <c r="D53" s="52"/>
      <c r="E53" s="52"/>
      <c r="F53" s="52"/>
      <c r="G53" s="44"/>
      <c r="H53" s="44"/>
      <c r="I53" s="92"/>
      <c r="J53" s="92"/>
      <c r="K53" s="92"/>
      <c r="L53" s="92"/>
      <c r="M53" s="44"/>
      <c r="N53" s="52"/>
      <c r="O53" s="52"/>
      <c r="P53" s="92"/>
      <c r="Q53" s="94"/>
      <c r="R53" s="147"/>
      <c r="S53" s="147"/>
    </row>
    <row r="54" spans="1:19" s="6" customFormat="1" ht="9.75" customHeight="1">
      <c r="A54" s="142" t="s">
        <v>429</v>
      </c>
      <c r="B54" s="44">
        <v>20</v>
      </c>
      <c r="C54" s="44"/>
      <c r="D54" s="52">
        <v>0</v>
      </c>
      <c r="E54" s="52">
        <v>0</v>
      </c>
      <c r="F54" s="52">
        <v>0</v>
      </c>
      <c r="G54" s="44">
        <v>1</v>
      </c>
      <c r="H54" s="44">
        <f t="shared" ref="H54:H60" si="11">B54*G54</f>
        <v>20</v>
      </c>
      <c r="I54" s="91">
        <v>0</v>
      </c>
      <c r="J54" s="92">
        <f t="shared" ref="J54:J60" si="12">H54*I54</f>
        <v>0</v>
      </c>
      <c r="K54" s="92">
        <f t="shared" ref="K54:K60" si="13">J54*0.1</f>
        <v>0</v>
      </c>
      <c r="L54" s="92">
        <f t="shared" ref="L54:L60" si="14">J54*0.05</f>
        <v>0</v>
      </c>
      <c r="M54" s="44"/>
      <c r="N54" s="52">
        <f>(J54*'Base Data'!$C$5)+(K54*'Base Data'!$C$6)+(L54*'Base Data'!$C$7)</f>
        <v>0</v>
      </c>
      <c r="O54" s="52">
        <f t="shared" ref="O54:O60" si="15">(D54+E54+F54)*G54*I54</f>
        <v>0</v>
      </c>
      <c r="P54" s="92">
        <v>0</v>
      </c>
      <c r="Q54" s="94"/>
      <c r="R54" s="147"/>
      <c r="S54" s="147"/>
    </row>
    <row r="55" spans="1:19" s="6" customFormat="1" ht="9">
      <c r="A55" s="143" t="s">
        <v>425</v>
      </c>
      <c r="B55" s="44">
        <v>15</v>
      </c>
      <c r="C55" s="44">
        <v>0</v>
      </c>
      <c r="D55" s="52">
        <v>0</v>
      </c>
      <c r="E55" s="52">
        <v>0</v>
      </c>
      <c r="F55" s="52">
        <v>0</v>
      </c>
      <c r="G55" s="44">
        <v>1</v>
      </c>
      <c r="H55" s="44">
        <f t="shared" si="11"/>
        <v>15</v>
      </c>
      <c r="I55" s="91">
        <v>0</v>
      </c>
      <c r="J55" s="92">
        <f t="shared" si="12"/>
        <v>0</v>
      </c>
      <c r="K55" s="92">
        <f t="shared" si="13"/>
        <v>0</v>
      </c>
      <c r="L55" s="92">
        <f t="shared" si="14"/>
        <v>0</v>
      </c>
      <c r="M55" s="44">
        <f>C55*G55*I55</f>
        <v>0</v>
      </c>
      <c r="N55" s="52">
        <f>(J55*'Base Data'!$C$5)+(K55*'Base Data'!$C$6)+(L55*'Base Data'!$C$7)</f>
        <v>0</v>
      </c>
      <c r="O55" s="52">
        <f t="shared" si="15"/>
        <v>0</v>
      </c>
      <c r="P55" s="92">
        <v>0</v>
      </c>
      <c r="Q55" s="94"/>
      <c r="R55" s="147"/>
      <c r="S55" s="147"/>
    </row>
    <row r="56" spans="1:19" s="6" customFormat="1" ht="9.75" customHeight="1">
      <c r="A56" s="142" t="s">
        <v>426</v>
      </c>
      <c r="B56" s="44">
        <v>2</v>
      </c>
      <c r="C56" s="44"/>
      <c r="D56" s="52">
        <v>0</v>
      </c>
      <c r="E56" s="52">
        <v>0</v>
      </c>
      <c r="F56" s="52">
        <v>0</v>
      </c>
      <c r="G56" s="44">
        <v>1</v>
      </c>
      <c r="H56" s="44">
        <f t="shared" si="11"/>
        <v>2</v>
      </c>
      <c r="I56" s="91">
        <v>0</v>
      </c>
      <c r="J56" s="92">
        <f t="shared" si="12"/>
        <v>0</v>
      </c>
      <c r="K56" s="92">
        <f t="shared" si="13"/>
        <v>0</v>
      </c>
      <c r="L56" s="92">
        <f t="shared" si="14"/>
        <v>0</v>
      </c>
      <c r="M56" s="44"/>
      <c r="N56" s="52">
        <f>(J56*'Base Data'!$C$5)+(K56*'Base Data'!$C$6)+(L56*'Base Data'!$C$7)</f>
        <v>0</v>
      </c>
      <c r="O56" s="52">
        <f t="shared" si="15"/>
        <v>0</v>
      </c>
      <c r="P56" s="92">
        <v>0</v>
      </c>
      <c r="Q56" s="94"/>
      <c r="R56" s="147"/>
      <c r="S56" s="147"/>
    </row>
    <row r="57" spans="1:19" s="6" customFormat="1" ht="9">
      <c r="A57" s="143" t="s">
        <v>436</v>
      </c>
      <c r="B57" s="44">
        <v>2</v>
      </c>
      <c r="C57" s="44"/>
      <c r="D57" s="52">
        <v>0</v>
      </c>
      <c r="E57" s="52">
        <v>0</v>
      </c>
      <c r="F57" s="52">
        <v>0</v>
      </c>
      <c r="G57" s="44">
        <v>1</v>
      </c>
      <c r="H57" s="44">
        <f t="shared" si="11"/>
        <v>2</v>
      </c>
      <c r="I57" s="91">
        <v>0</v>
      </c>
      <c r="J57" s="92">
        <f t="shared" si="12"/>
        <v>0</v>
      </c>
      <c r="K57" s="92">
        <f t="shared" si="13"/>
        <v>0</v>
      </c>
      <c r="L57" s="92">
        <f t="shared" si="14"/>
        <v>0</v>
      </c>
      <c r="M57" s="44"/>
      <c r="N57" s="52">
        <f>(J57*'Base Data'!$C$5)+(K57*'Base Data'!$C$6)+(L57*'Base Data'!$C$7)</f>
        <v>0</v>
      </c>
      <c r="O57" s="52">
        <f t="shared" si="15"/>
        <v>0</v>
      </c>
      <c r="P57" s="92">
        <v>0</v>
      </c>
      <c r="Q57" s="94"/>
      <c r="R57" s="147"/>
      <c r="S57" s="147"/>
    </row>
    <row r="58" spans="1:19" s="6" customFormat="1" ht="9">
      <c r="A58" s="143" t="s">
        <v>437</v>
      </c>
      <c r="B58" s="44">
        <v>2</v>
      </c>
      <c r="C58" s="44">
        <v>0</v>
      </c>
      <c r="D58" s="52">
        <v>0</v>
      </c>
      <c r="E58" s="52">
        <v>0</v>
      </c>
      <c r="F58" s="52">
        <v>0</v>
      </c>
      <c r="G58" s="44">
        <v>2</v>
      </c>
      <c r="H58" s="44">
        <f t="shared" si="11"/>
        <v>4</v>
      </c>
      <c r="I58" s="91">
        <v>0</v>
      </c>
      <c r="J58" s="92">
        <f t="shared" si="12"/>
        <v>0</v>
      </c>
      <c r="K58" s="92">
        <f t="shared" si="13"/>
        <v>0</v>
      </c>
      <c r="L58" s="92">
        <f t="shared" si="14"/>
        <v>0</v>
      </c>
      <c r="M58" s="44">
        <f>C58*G58*I58</f>
        <v>0</v>
      </c>
      <c r="N58" s="52">
        <f>(J58*'Base Data'!$C$5)+(K58*'Base Data'!$C$6)+(L58*'Base Data'!$C$7)</f>
        <v>0</v>
      </c>
      <c r="O58" s="52">
        <f t="shared" si="15"/>
        <v>0</v>
      </c>
      <c r="P58" s="92">
        <v>0</v>
      </c>
      <c r="Q58" s="94"/>
      <c r="R58" s="147"/>
      <c r="S58" s="147"/>
    </row>
    <row r="59" spans="1:19" s="6" customFormat="1" ht="9">
      <c r="A59" s="143" t="s">
        <v>438</v>
      </c>
      <c r="B59" s="44">
        <v>0.5</v>
      </c>
      <c r="C59" s="44"/>
      <c r="D59" s="52">
        <v>0</v>
      </c>
      <c r="E59" s="52">
        <v>0</v>
      </c>
      <c r="F59" s="52">
        <v>0</v>
      </c>
      <c r="G59" s="44">
        <v>12</v>
      </c>
      <c r="H59" s="44">
        <f t="shared" si="11"/>
        <v>6</v>
      </c>
      <c r="I59" s="91">
        <v>0</v>
      </c>
      <c r="J59" s="92">
        <f t="shared" si="12"/>
        <v>0</v>
      </c>
      <c r="K59" s="92">
        <f t="shared" si="13"/>
        <v>0</v>
      </c>
      <c r="L59" s="92">
        <f t="shared" si="14"/>
        <v>0</v>
      </c>
      <c r="M59" s="44"/>
      <c r="N59" s="52">
        <f>(J59*'Base Data'!$C$5)+(K59*'Base Data'!$C$6)+(L59*'Base Data'!$C$7)</f>
        <v>0</v>
      </c>
      <c r="O59" s="52">
        <f t="shared" si="15"/>
        <v>0</v>
      </c>
      <c r="P59" s="92">
        <v>0</v>
      </c>
      <c r="Q59" s="94"/>
      <c r="R59" s="147"/>
      <c r="S59" s="147"/>
    </row>
    <row r="60" spans="1:19" s="6" customFormat="1" ht="9">
      <c r="A60" s="142" t="s">
        <v>427</v>
      </c>
      <c r="B60" s="44">
        <v>40</v>
      </c>
      <c r="C60" s="18"/>
      <c r="D60" s="39">
        <v>0</v>
      </c>
      <c r="E60" s="39">
        <v>0</v>
      </c>
      <c r="F60" s="39">
        <v>0</v>
      </c>
      <c r="G60" s="18">
        <v>1</v>
      </c>
      <c r="H60" s="18">
        <f t="shared" si="11"/>
        <v>40</v>
      </c>
      <c r="I60" s="91">
        <v>0</v>
      </c>
      <c r="J60" s="19">
        <f t="shared" si="12"/>
        <v>0</v>
      </c>
      <c r="K60" s="19">
        <f t="shared" si="13"/>
        <v>0</v>
      </c>
      <c r="L60" s="19">
        <f t="shared" si="14"/>
        <v>0</v>
      </c>
      <c r="M60" s="18"/>
      <c r="N60" s="39">
        <f>(J60*'Base Data'!$C$5)+(K60*'Base Data'!$C$6)+(L60*'Base Data'!$C$7)</f>
        <v>0</v>
      </c>
      <c r="O60" s="39">
        <f t="shared" si="15"/>
        <v>0</v>
      </c>
      <c r="P60" s="92">
        <v>0</v>
      </c>
      <c r="Q60" s="29"/>
    </row>
    <row r="61" spans="1:19" s="6" customFormat="1" ht="9">
      <c r="A61" s="142" t="s">
        <v>428</v>
      </c>
      <c r="B61" s="44" t="s">
        <v>433</v>
      </c>
      <c r="C61" s="44"/>
      <c r="D61" s="52"/>
      <c r="E61" s="52"/>
      <c r="F61" s="52"/>
      <c r="G61" s="44"/>
      <c r="H61" s="44"/>
      <c r="I61" s="92"/>
      <c r="J61" s="92"/>
      <c r="K61" s="92"/>
      <c r="L61" s="92"/>
      <c r="M61" s="44"/>
      <c r="N61" s="52"/>
      <c r="O61" s="52"/>
      <c r="P61" s="92"/>
      <c r="Q61" s="94"/>
      <c r="R61" s="147"/>
      <c r="S61" s="147"/>
    </row>
    <row r="62" spans="1:19" s="6" customFormat="1" ht="9">
      <c r="A62" s="254" t="s">
        <v>27</v>
      </c>
      <c r="B62" s="239"/>
      <c r="C62" s="239"/>
      <c r="D62" s="240"/>
      <c r="E62" s="240"/>
      <c r="F62" s="240"/>
      <c r="G62" s="239"/>
      <c r="H62" s="239"/>
      <c r="I62" s="241"/>
      <c r="J62" s="241">
        <f t="shared" ref="J62:O62" si="16">SUM(J50:J61)</f>
        <v>0</v>
      </c>
      <c r="K62" s="241">
        <f t="shared" si="16"/>
        <v>0</v>
      </c>
      <c r="L62" s="241">
        <f t="shared" si="16"/>
        <v>0</v>
      </c>
      <c r="M62" s="240">
        <f t="shared" si="16"/>
        <v>0</v>
      </c>
      <c r="N62" s="240">
        <f t="shared" si="16"/>
        <v>0</v>
      </c>
      <c r="O62" s="240">
        <f t="shared" si="16"/>
        <v>0</v>
      </c>
      <c r="P62" s="241"/>
      <c r="Q62" s="242"/>
      <c r="R62" s="52">
        <f>SUM(R50:R61)</f>
        <v>0</v>
      </c>
      <c r="S62" s="147"/>
    </row>
    <row r="63" spans="1:19" s="2" customFormat="1">
      <c r="A63" s="24" t="s">
        <v>400</v>
      </c>
      <c r="B63" s="25"/>
      <c r="C63" s="25"/>
      <c r="D63" s="25"/>
      <c r="E63" s="25"/>
      <c r="F63" s="50"/>
      <c r="G63" s="25"/>
      <c r="H63" s="25"/>
      <c r="I63" s="26"/>
      <c r="J63" s="27">
        <f t="shared" ref="J63:P63" si="17">J48+J62</f>
        <v>0</v>
      </c>
      <c r="K63" s="27">
        <f t="shared" si="17"/>
        <v>0</v>
      </c>
      <c r="L63" s="27">
        <f t="shared" si="17"/>
        <v>0</v>
      </c>
      <c r="M63" s="40">
        <f t="shared" si="17"/>
        <v>0</v>
      </c>
      <c r="N63" s="40">
        <f t="shared" si="17"/>
        <v>0</v>
      </c>
      <c r="O63" s="40">
        <f t="shared" si="17"/>
        <v>0</v>
      </c>
      <c r="P63" s="27">
        <f t="shared" si="17"/>
        <v>0</v>
      </c>
      <c r="Q63" s="47"/>
    </row>
    <row r="64" spans="1:19" ht="6" customHeight="1">
      <c r="B64" s="54"/>
      <c r="C64" s="54"/>
      <c r="D64" s="54"/>
      <c r="E64" s="54"/>
      <c r="F64" s="54"/>
      <c r="G64" s="54"/>
      <c r="H64" s="54"/>
      <c r="I64" s="55"/>
    </row>
    <row r="65" spans="1:17" s="14" customFormat="1" ht="9">
      <c r="A65" s="255" t="s">
        <v>104</v>
      </c>
      <c r="B65" s="255"/>
      <c r="C65" s="255"/>
      <c r="D65" s="255"/>
      <c r="E65" s="255"/>
      <c r="F65" s="255"/>
      <c r="G65" s="255"/>
      <c r="H65" s="255"/>
      <c r="I65" s="255"/>
      <c r="J65" s="255"/>
      <c r="K65" s="255"/>
      <c r="L65" s="255"/>
      <c r="M65" s="255"/>
      <c r="N65" s="255"/>
      <c r="O65" s="17"/>
      <c r="P65" s="17"/>
      <c r="Q65" s="15"/>
    </row>
    <row r="66" spans="1:17" s="14" customFormat="1" ht="9" customHeight="1">
      <c r="A66" s="62"/>
      <c r="B66" s="62"/>
      <c r="C66" s="62"/>
      <c r="D66" s="62"/>
      <c r="E66" s="62"/>
      <c r="F66" s="62"/>
      <c r="G66" s="62"/>
      <c r="H66" s="62"/>
      <c r="I66" s="62"/>
      <c r="J66" s="62"/>
      <c r="K66" s="62"/>
      <c r="L66" s="62"/>
      <c r="M66" s="62"/>
      <c r="N66" s="62"/>
      <c r="O66" s="62"/>
      <c r="P66" s="62"/>
      <c r="Q66" s="15"/>
    </row>
    <row r="67" spans="1:17" s="14" customFormat="1" ht="9" customHeight="1">
      <c r="A67" s="62"/>
      <c r="B67" s="62"/>
      <c r="C67" s="62"/>
      <c r="D67" s="62"/>
      <c r="E67" s="62"/>
      <c r="F67" s="62"/>
      <c r="G67" s="62"/>
      <c r="H67" s="62"/>
      <c r="I67" s="62"/>
      <c r="J67" s="62"/>
      <c r="K67" s="62"/>
      <c r="L67" s="62"/>
      <c r="M67" s="62"/>
      <c r="N67" s="62"/>
      <c r="O67" s="62"/>
      <c r="P67" s="62"/>
      <c r="Q67" s="15"/>
    </row>
    <row r="68" spans="1:17" s="14" customFormat="1" ht="9" customHeight="1">
      <c r="A68" s="62"/>
      <c r="B68" s="62"/>
      <c r="C68" s="62"/>
      <c r="D68" s="62"/>
      <c r="E68" s="62"/>
      <c r="F68" s="62"/>
      <c r="G68" s="62"/>
      <c r="H68" s="62"/>
      <c r="I68" s="62"/>
      <c r="J68" s="62"/>
      <c r="K68" s="62"/>
      <c r="L68" s="62"/>
      <c r="M68" s="62"/>
      <c r="N68" s="62"/>
      <c r="O68" s="62"/>
      <c r="P68" s="62"/>
      <c r="Q68" s="62"/>
    </row>
    <row r="69" spans="1:17" s="14" customFormat="1" ht="9" customHeight="1">
      <c r="A69" s="118"/>
      <c r="B69" s="15"/>
      <c r="C69" s="15"/>
      <c r="D69" s="15"/>
      <c r="E69" s="15"/>
      <c r="F69" s="15"/>
      <c r="G69" s="15"/>
      <c r="H69" s="15"/>
      <c r="I69" s="16"/>
      <c r="J69" s="15"/>
      <c r="K69" s="15"/>
      <c r="L69" s="15"/>
      <c r="M69" s="15"/>
      <c r="N69" s="15"/>
      <c r="O69" s="17"/>
      <c r="P69" s="17"/>
      <c r="Q69" s="15"/>
    </row>
    <row r="70" spans="1:17" s="14" customFormat="1" ht="9" customHeight="1">
      <c r="A70" s="62"/>
      <c r="B70" s="62"/>
      <c r="C70" s="62"/>
      <c r="D70" s="62"/>
      <c r="E70" s="62"/>
      <c r="F70" s="62"/>
      <c r="G70" s="62"/>
      <c r="H70" s="62"/>
      <c r="I70" s="62"/>
      <c r="J70" s="62"/>
      <c r="K70" s="62"/>
      <c r="L70" s="62"/>
      <c r="M70" s="62"/>
      <c r="N70" s="15"/>
      <c r="O70" s="17"/>
      <c r="P70" s="17"/>
      <c r="Q70" s="15"/>
    </row>
    <row r="71" spans="1:17" s="14" customFormat="1" ht="9">
      <c r="A71" s="118"/>
      <c r="B71" s="15"/>
      <c r="C71" s="15"/>
      <c r="D71" s="15"/>
      <c r="E71" s="15"/>
      <c r="F71" s="15"/>
      <c r="G71" s="15"/>
      <c r="H71" s="15"/>
      <c r="I71" s="16"/>
      <c r="J71" s="15"/>
      <c r="K71" s="15"/>
      <c r="L71" s="15"/>
      <c r="M71" s="15"/>
      <c r="N71" s="15"/>
      <c r="O71" s="17"/>
      <c r="P71" s="17"/>
      <c r="Q71" s="15"/>
    </row>
    <row r="72" spans="1:17" s="14" customFormat="1" ht="9">
      <c r="A72" s="118"/>
      <c r="B72" s="15"/>
      <c r="C72" s="15"/>
      <c r="D72" s="15"/>
      <c r="E72" s="15"/>
      <c r="F72" s="15"/>
      <c r="G72" s="15"/>
      <c r="H72" s="15"/>
      <c r="I72" s="16"/>
      <c r="J72" s="15"/>
      <c r="K72" s="15"/>
      <c r="L72" s="15"/>
      <c r="M72" s="15"/>
      <c r="N72" s="15"/>
      <c r="O72" s="17"/>
      <c r="P72" s="17"/>
      <c r="Q72" s="15"/>
    </row>
    <row r="73" spans="1:17" s="14" customFormat="1" ht="9">
      <c r="B73" s="15"/>
      <c r="C73" s="15"/>
      <c r="D73" s="15"/>
      <c r="E73" s="15"/>
      <c r="F73" s="15"/>
      <c r="G73" s="15"/>
      <c r="H73" s="15"/>
      <c r="I73" s="16"/>
      <c r="J73" s="15"/>
      <c r="K73" s="15"/>
      <c r="L73" s="15"/>
      <c r="M73" s="15"/>
      <c r="N73" s="15"/>
      <c r="O73" s="17"/>
      <c r="P73" s="17"/>
      <c r="Q73" s="15"/>
    </row>
    <row r="74" spans="1:17" s="14" customFormat="1" ht="9">
      <c r="A74" s="406"/>
      <c r="B74" s="406"/>
      <c r="C74" s="406"/>
      <c r="D74" s="406"/>
      <c r="E74" s="406"/>
      <c r="F74" s="406"/>
      <c r="G74" s="406"/>
      <c r="H74" s="406"/>
      <c r="I74" s="406"/>
      <c r="J74" s="406"/>
      <c r="K74" s="406"/>
      <c r="L74" s="406"/>
      <c r="M74" s="406"/>
      <c r="N74" s="406"/>
      <c r="O74" s="17"/>
      <c r="P74" s="17"/>
      <c r="Q74" s="15"/>
    </row>
    <row r="75" spans="1:17" s="14" customFormat="1" ht="9">
      <c r="A75" s="76"/>
      <c r="B75" s="15"/>
      <c r="C75" s="15"/>
      <c r="D75" s="15"/>
      <c r="E75" s="15"/>
      <c r="F75" s="15"/>
      <c r="G75" s="15"/>
      <c r="H75" s="15"/>
      <c r="I75" s="16"/>
      <c r="J75" s="15"/>
      <c r="K75" s="15"/>
      <c r="L75" s="15"/>
      <c r="M75" s="15"/>
      <c r="N75" s="15"/>
      <c r="O75" s="17"/>
      <c r="P75" s="17"/>
      <c r="Q75" s="15"/>
    </row>
    <row r="76" spans="1:17" s="14" customFormat="1" ht="9">
      <c r="B76" s="15"/>
      <c r="C76" s="15"/>
      <c r="D76" s="15"/>
      <c r="E76" s="15"/>
      <c r="F76" s="15"/>
      <c r="G76" s="15"/>
      <c r="H76" s="15"/>
      <c r="I76" s="16"/>
      <c r="J76" s="15"/>
      <c r="K76" s="15"/>
      <c r="L76" s="15"/>
      <c r="M76" s="15"/>
      <c r="N76" s="15"/>
      <c r="O76" s="17"/>
      <c r="P76" s="17"/>
      <c r="Q76" s="15"/>
    </row>
    <row r="77" spans="1:17" s="14" customFormat="1" ht="9">
      <c r="B77" s="15"/>
      <c r="C77" s="15"/>
      <c r="D77" s="15"/>
      <c r="E77" s="15"/>
      <c r="F77" s="15"/>
      <c r="G77" s="15"/>
      <c r="H77" s="15"/>
      <c r="I77" s="16"/>
      <c r="J77" s="15"/>
      <c r="K77" s="15"/>
      <c r="L77" s="15"/>
      <c r="M77" s="15"/>
      <c r="N77" s="15"/>
      <c r="O77" s="17"/>
      <c r="P77" s="17"/>
      <c r="Q77" s="15"/>
    </row>
    <row r="78" spans="1:17" s="14" customFormat="1" ht="9">
      <c r="B78" s="15"/>
      <c r="C78" s="15"/>
      <c r="D78" s="15"/>
      <c r="E78" s="15"/>
      <c r="F78" s="15"/>
      <c r="G78" s="15"/>
      <c r="H78" s="15"/>
      <c r="I78" s="16"/>
      <c r="J78" s="15"/>
      <c r="K78" s="15"/>
      <c r="L78" s="15"/>
      <c r="M78" s="15"/>
      <c r="N78" s="15"/>
      <c r="O78" s="17"/>
      <c r="P78" s="17"/>
      <c r="Q78" s="15"/>
    </row>
    <row r="79" spans="1:17" s="14" customFormat="1" ht="9">
      <c r="B79" s="15"/>
      <c r="C79" s="15"/>
      <c r="D79" s="15"/>
      <c r="E79" s="15"/>
      <c r="F79" s="15"/>
      <c r="G79" s="15"/>
      <c r="H79" s="15"/>
      <c r="I79" s="16"/>
      <c r="J79" s="15"/>
      <c r="K79" s="15"/>
      <c r="L79" s="15"/>
      <c r="M79" s="15"/>
      <c r="N79" s="15"/>
      <c r="O79" s="17"/>
      <c r="P79" s="17"/>
      <c r="Q79" s="15"/>
    </row>
    <row r="80" spans="1:17" s="14" customFormat="1" ht="9">
      <c r="B80" s="15"/>
      <c r="C80" s="15"/>
      <c r="D80" s="15"/>
      <c r="E80" s="15"/>
      <c r="F80" s="15"/>
      <c r="G80" s="15"/>
      <c r="H80" s="15"/>
      <c r="I80" s="16"/>
      <c r="J80" s="15"/>
      <c r="K80" s="15"/>
      <c r="L80" s="15"/>
      <c r="M80" s="15"/>
      <c r="N80" s="15"/>
      <c r="O80" s="17"/>
      <c r="P80" s="17"/>
      <c r="Q80" s="15"/>
    </row>
    <row r="81" spans="2:17" s="14" customFormat="1" ht="9">
      <c r="B81" s="15"/>
      <c r="C81" s="15"/>
      <c r="D81" s="15"/>
      <c r="E81" s="15"/>
      <c r="F81" s="15"/>
      <c r="G81" s="15"/>
      <c r="H81" s="15"/>
      <c r="I81" s="16"/>
      <c r="J81" s="15"/>
      <c r="K81" s="15"/>
      <c r="L81" s="15"/>
      <c r="M81" s="15"/>
      <c r="N81" s="15"/>
      <c r="O81" s="17"/>
      <c r="P81" s="17"/>
      <c r="Q81" s="15"/>
    </row>
    <row r="82" spans="2:17" s="14" customFormat="1" ht="9">
      <c r="B82" s="15"/>
      <c r="C82" s="15"/>
      <c r="D82" s="15"/>
      <c r="E82" s="15"/>
      <c r="F82" s="15"/>
      <c r="G82" s="15"/>
      <c r="H82" s="15"/>
      <c r="I82" s="16"/>
      <c r="J82" s="15"/>
      <c r="K82" s="15"/>
      <c r="L82" s="15"/>
      <c r="M82" s="15"/>
      <c r="N82" s="15"/>
      <c r="O82" s="17"/>
      <c r="P82" s="17"/>
      <c r="Q82" s="15"/>
    </row>
    <row r="83" spans="2:17" s="14" customFormat="1" ht="9">
      <c r="B83" s="15"/>
      <c r="C83" s="15"/>
      <c r="D83" s="15"/>
      <c r="E83" s="15"/>
      <c r="F83" s="15"/>
      <c r="G83" s="15"/>
      <c r="H83" s="15"/>
      <c r="I83" s="16"/>
      <c r="J83" s="15"/>
      <c r="K83" s="15"/>
      <c r="L83" s="15"/>
      <c r="M83" s="15"/>
      <c r="N83" s="15"/>
      <c r="O83" s="17"/>
      <c r="P83" s="17"/>
      <c r="Q83" s="15"/>
    </row>
    <row r="84" spans="2:17" s="14" customFormat="1" ht="9">
      <c r="B84" s="15"/>
      <c r="C84" s="15"/>
      <c r="D84" s="15"/>
      <c r="E84" s="15"/>
      <c r="F84" s="15"/>
      <c r="G84" s="15"/>
      <c r="H84" s="15"/>
      <c r="I84" s="16"/>
      <c r="J84" s="15"/>
      <c r="K84" s="15"/>
      <c r="L84" s="15"/>
      <c r="M84" s="15"/>
      <c r="N84" s="15"/>
      <c r="O84" s="17"/>
      <c r="P84" s="17"/>
      <c r="Q84" s="15"/>
    </row>
    <row r="85" spans="2:17" s="14" customFormat="1" ht="9">
      <c r="B85" s="15"/>
      <c r="C85" s="15"/>
      <c r="D85" s="15"/>
      <c r="E85" s="15"/>
      <c r="F85" s="15"/>
      <c r="G85" s="15"/>
      <c r="H85" s="15"/>
      <c r="I85" s="16"/>
      <c r="J85" s="15"/>
      <c r="K85" s="15"/>
      <c r="L85" s="15"/>
      <c r="M85" s="15"/>
      <c r="N85" s="15"/>
      <c r="O85" s="17"/>
      <c r="P85" s="17"/>
      <c r="Q85" s="15"/>
    </row>
    <row r="86" spans="2:17" s="14" customFormat="1" ht="9">
      <c r="B86" s="15"/>
      <c r="C86" s="15"/>
      <c r="D86" s="15"/>
      <c r="E86" s="15"/>
      <c r="F86" s="15"/>
      <c r="G86" s="15"/>
      <c r="H86" s="15"/>
      <c r="I86" s="16"/>
      <c r="J86" s="15"/>
      <c r="K86" s="15"/>
      <c r="L86" s="15"/>
      <c r="M86" s="15"/>
      <c r="N86" s="15"/>
      <c r="O86" s="17"/>
      <c r="P86" s="17"/>
      <c r="Q86" s="15"/>
    </row>
    <row r="87" spans="2:17" s="14" customFormat="1" ht="9">
      <c r="B87" s="15"/>
      <c r="C87" s="15"/>
      <c r="D87" s="15"/>
      <c r="E87" s="15"/>
      <c r="F87" s="15"/>
      <c r="G87" s="15"/>
      <c r="H87" s="15"/>
      <c r="I87" s="16"/>
      <c r="J87" s="15"/>
      <c r="K87" s="15"/>
      <c r="L87" s="15"/>
      <c r="M87" s="15"/>
      <c r="N87" s="15"/>
      <c r="O87" s="17"/>
      <c r="P87" s="17"/>
      <c r="Q87" s="15"/>
    </row>
    <row r="88" spans="2:17" s="14" customFormat="1" ht="9">
      <c r="B88" s="15"/>
      <c r="C88" s="15"/>
      <c r="D88" s="15"/>
      <c r="E88" s="15"/>
      <c r="F88" s="15"/>
      <c r="G88" s="15"/>
      <c r="H88" s="15"/>
      <c r="I88" s="16"/>
      <c r="J88" s="15"/>
      <c r="K88" s="15"/>
      <c r="L88" s="15"/>
      <c r="M88" s="15"/>
      <c r="N88" s="15"/>
      <c r="O88" s="17"/>
      <c r="P88" s="17"/>
      <c r="Q88" s="15"/>
    </row>
    <row r="89" spans="2:17" s="14" customFormat="1" ht="9">
      <c r="B89" s="15"/>
      <c r="C89" s="15"/>
      <c r="D89" s="15"/>
      <c r="E89" s="15"/>
      <c r="F89" s="15"/>
      <c r="G89" s="15"/>
      <c r="H89" s="15"/>
      <c r="I89" s="16"/>
      <c r="J89" s="15"/>
      <c r="K89" s="15"/>
      <c r="L89" s="15"/>
      <c r="M89" s="15"/>
      <c r="N89" s="15"/>
      <c r="O89" s="17"/>
      <c r="P89" s="17"/>
      <c r="Q89" s="15"/>
    </row>
    <row r="90" spans="2:17" s="14" customFormat="1" ht="9">
      <c r="B90" s="15"/>
      <c r="C90" s="15"/>
      <c r="D90" s="15"/>
      <c r="E90" s="15"/>
      <c r="F90" s="15"/>
      <c r="G90" s="15"/>
      <c r="H90" s="15"/>
      <c r="I90" s="16"/>
      <c r="J90" s="15"/>
      <c r="K90" s="15"/>
      <c r="L90" s="15"/>
      <c r="M90" s="15"/>
      <c r="N90" s="15"/>
      <c r="O90" s="17"/>
      <c r="P90" s="17"/>
      <c r="Q90" s="15"/>
    </row>
    <row r="91" spans="2:17" s="14" customFormat="1" ht="9">
      <c r="B91" s="15"/>
      <c r="C91" s="15"/>
      <c r="D91" s="15"/>
      <c r="E91" s="15"/>
      <c r="F91" s="15"/>
      <c r="G91" s="15"/>
      <c r="H91" s="15"/>
      <c r="I91" s="16"/>
      <c r="J91" s="15"/>
      <c r="K91" s="15"/>
      <c r="L91" s="15"/>
      <c r="M91" s="15"/>
      <c r="N91" s="15"/>
      <c r="O91" s="17"/>
      <c r="P91" s="17"/>
      <c r="Q91" s="15"/>
    </row>
    <row r="92" spans="2:17" s="14" customFormat="1" ht="9">
      <c r="B92" s="15"/>
      <c r="C92" s="15"/>
      <c r="D92" s="15"/>
      <c r="E92" s="15"/>
      <c r="F92" s="15"/>
      <c r="G92" s="15"/>
      <c r="H92" s="15"/>
      <c r="I92" s="16"/>
      <c r="J92" s="15"/>
      <c r="K92" s="15"/>
      <c r="L92" s="15"/>
      <c r="M92" s="15"/>
      <c r="N92" s="15"/>
      <c r="O92" s="17"/>
      <c r="P92" s="17"/>
      <c r="Q92" s="15"/>
    </row>
    <row r="93" spans="2:17" s="14" customFormat="1" ht="9">
      <c r="B93" s="15"/>
      <c r="C93" s="15"/>
      <c r="D93" s="15"/>
      <c r="E93" s="15"/>
      <c r="F93" s="15"/>
      <c r="G93" s="15"/>
      <c r="H93" s="15"/>
      <c r="I93" s="16"/>
      <c r="J93" s="15"/>
      <c r="K93" s="15"/>
      <c r="L93" s="15"/>
      <c r="M93" s="15"/>
      <c r="N93" s="15"/>
      <c r="O93" s="17"/>
      <c r="P93" s="17"/>
      <c r="Q93" s="15"/>
    </row>
    <row r="94" spans="2:17" s="14" customFormat="1" ht="9">
      <c r="B94" s="15"/>
      <c r="C94" s="15"/>
      <c r="D94" s="15"/>
      <c r="E94" s="15"/>
      <c r="F94" s="15"/>
      <c r="G94" s="15"/>
      <c r="H94" s="15"/>
      <c r="I94" s="16"/>
      <c r="J94" s="15"/>
      <c r="K94" s="15"/>
      <c r="L94" s="15"/>
      <c r="M94" s="15"/>
      <c r="N94" s="15"/>
      <c r="O94" s="17"/>
      <c r="P94" s="17"/>
      <c r="Q94" s="15"/>
    </row>
    <row r="95" spans="2:17" s="14" customFormat="1" ht="9">
      <c r="B95" s="15"/>
      <c r="C95" s="15"/>
      <c r="D95" s="15"/>
      <c r="E95" s="15"/>
      <c r="F95" s="15"/>
      <c r="G95" s="15"/>
      <c r="H95" s="15"/>
      <c r="I95" s="16"/>
      <c r="J95" s="15"/>
      <c r="K95" s="15"/>
      <c r="L95" s="15"/>
      <c r="M95" s="15"/>
      <c r="N95" s="15"/>
      <c r="O95" s="17"/>
      <c r="P95" s="17"/>
      <c r="Q95" s="15"/>
    </row>
    <row r="96" spans="2:17" s="14" customFormat="1" ht="9">
      <c r="B96" s="15"/>
      <c r="C96" s="15"/>
      <c r="D96" s="15"/>
      <c r="E96" s="15"/>
      <c r="F96" s="15"/>
      <c r="G96" s="15"/>
      <c r="H96" s="15"/>
      <c r="I96" s="16"/>
      <c r="J96" s="15"/>
      <c r="K96" s="15"/>
      <c r="L96" s="15"/>
      <c r="M96" s="15"/>
      <c r="N96" s="15"/>
      <c r="O96" s="17"/>
      <c r="P96" s="17"/>
      <c r="Q96" s="15"/>
    </row>
    <row r="97" spans="2:17" s="14" customFormat="1" ht="9">
      <c r="B97" s="15"/>
      <c r="C97" s="15"/>
      <c r="D97" s="15"/>
      <c r="E97" s="15"/>
      <c r="F97" s="15"/>
      <c r="G97" s="15"/>
      <c r="H97" s="15"/>
      <c r="I97" s="16"/>
      <c r="J97" s="15"/>
      <c r="K97" s="15"/>
      <c r="L97" s="15"/>
      <c r="M97" s="15"/>
      <c r="N97" s="15"/>
      <c r="O97" s="17"/>
      <c r="P97" s="17"/>
      <c r="Q97" s="15"/>
    </row>
    <row r="98" spans="2:17" s="14" customFormat="1" ht="9">
      <c r="B98" s="15"/>
      <c r="C98" s="15"/>
      <c r="D98" s="15"/>
      <c r="E98" s="15"/>
      <c r="F98" s="15"/>
      <c r="G98" s="15"/>
      <c r="H98" s="15"/>
      <c r="I98" s="16"/>
      <c r="J98" s="15"/>
      <c r="K98" s="15"/>
      <c r="L98" s="15"/>
      <c r="M98" s="15"/>
      <c r="N98" s="15"/>
      <c r="O98" s="17"/>
      <c r="P98" s="17"/>
      <c r="Q98" s="15"/>
    </row>
    <row r="99" spans="2:17" s="14" customFormat="1" ht="9">
      <c r="B99" s="15"/>
      <c r="C99" s="15"/>
      <c r="D99" s="15"/>
      <c r="E99" s="15"/>
      <c r="F99" s="15"/>
      <c r="G99" s="15"/>
      <c r="H99" s="15"/>
      <c r="I99" s="16"/>
      <c r="J99" s="15"/>
      <c r="K99" s="15"/>
      <c r="L99" s="15"/>
      <c r="M99" s="15"/>
      <c r="N99" s="15"/>
      <c r="O99" s="17"/>
      <c r="P99" s="17"/>
      <c r="Q99" s="15"/>
    </row>
    <row r="100" spans="2:17" s="14" customFormat="1" ht="9">
      <c r="B100" s="15"/>
      <c r="C100" s="15"/>
      <c r="D100" s="15"/>
      <c r="E100" s="15"/>
      <c r="F100" s="15"/>
      <c r="G100" s="15"/>
      <c r="H100" s="15"/>
      <c r="I100" s="16"/>
      <c r="J100" s="15"/>
      <c r="K100" s="15"/>
      <c r="L100" s="15"/>
      <c r="M100" s="15"/>
      <c r="N100" s="15"/>
      <c r="O100" s="17"/>
      <c r="P100" s="17"/>
      <c r="Q100" s="15"/>
    </row>
    <row r="101" spans="2:17" s="14" customFormat="1" ht="9">
      <c r="B101" s="15"/>
      <c r="C101" s="15"/>
      <c r="D101" s="15"/>
      <c r="E101" s="15"/>
      <c r="F101" s="15"/>
      <c r="G101" s="15"/>
      <c r="H101" s="15"/>
      <c r="I101" s="16"/>
      <c r="J101" s="15"/>
      <c r="K101" s="15"/>
      <c r="L101" s="15"/>
      <c r="M101" s="15"/>
      <c r="N101" s="15"/>
      <c r="O101" s="17"/>
      <c r="P101" s="17"/>
      <c r="Q101" s="15"/>
    </row>
    <row r="102" spans="2:17" s="14" customFormat="1" ht="9">
      <c r="B102" s="15"/>
      <c r="C102" s="15"/>
      <c r="D102" s="15"/>
      <c r="E102" s="15"/>
      <c r="F102" s="15"/>
      <c r="G102" s="15"/>
      <c r="H102" s="15"/>
      <c r="I102" s="16"/>
      <c r="J102" s="15"/>
      <c r="K102" s="15"/>
      <c r="L102" s="15"/>
      <c r="M102" s="15"/>
      <c r="N102" s="15"/>
      <c r="O102" s="17"/>
      <c r="P102" s="17"/>
      <c r="Q102" s="15"/>
    </row>
    <row r="103" spans="2:17" s="14" customFormat="1" ht="9">
      <c r="B103" s="15"/>
      <c r="C103" s="15"/>
      <c r="D103" s="15"/>
      <c r="E103" s="15"/>
      <c r="F103" s="15"/>
      <c r="G103" s="15"/>
      <c r="H103" s="15"/>
      <c r="I103" s="16"/>
      <c r="J103" s="15"/>
      <c r="K103" s="15"/>
      <c r="L103" s="15"/>
      <c r="M103" s="15"/>
      <c r="N103" s="15"/>
      <c r="O103" s="17"/>
      <c r="P103" s="17"/>
      <c r="Q103" s="15"/>
    </row>
    <row r="104" spans="2:17" s="14" customFormat="1" ht="9">
      <c r="B104" s="15"/>
      <c r="C104" s="15"/>
      <c r="D104" s="15"/>
      <c r="E104" s="15"/>
      <c r="F104" s="15"/>
      <c r="G104" s="15"/>
      <c r="H104" s="15"/>
      <c r="I104" s="16"/>
      <c r="J104" s="15"/>
      <c r="K104" s="15"/>
      <c r="L104" s="15"/>
      <c r="M104" s="15"/>
      <c r="N104" s="15"/>
      <c r="O104" s="17"/>
      <c r="P104" s="17"/>
      <c r="Q104" s="15"/>
    </row>
    <row r="105" spans="2:17" s="14" customFormat="1" ht="9">
      <c r="B105" s="15"/>
      <c r="C105" s="15"/>
      <c r="D105" s="15"/>
      <c r="E105" s="15"/>
      <c r="F105" s="15"/>
      <c r="G105" s="15"/>
      <c r="H105" s="15"/>
      <c r="I105" s="16"/>
      <c r="J105" s="15"/>
      <c r="K105" s="15"/>
      <c r="L105" s="15"/>
      <c r="M105" s="15"/>
      <c r="N105" s="15"/>
      <c r="O105" s="17"/>
      <c r="P105" s="17"/>
      <c r="Q105" s="15"/>
    </row>
    <row r="106" spans="2:17" s="14" customFormat="1" ht="9">
      <c r="B106" s="15"/>
      <c r="C106" s="15"/>
      <c r="D106" s="15"/>
      <c r="E106" s="15"/>
      <c r="F106" s="15"/>
      <c r="G106" s="15"/>
      <c r="H106" s="15"/>
      <c r="I106" s="16"/>
      <c r="J106" s="15"/>
      <c r="K106" s="15"/>
      <c r="L106" s="15"/>
      <c r="M106" s="15"/>
      <c r="N106" s="15"/>
      <c r="O106" s="17"/>
      <c r="P106" s="17"/>
      <c r="Q106" s="15"/>
    </row>
    <row r="107" spans="2:17" s="14" customFormat="1" ht="9">
      <c r="B107" s="15"/>
      <c r="C107" s="15"/>
      <c r="D107" s="15"/>
      <c r="E107" s="15"/>
      <c r="F107" s="15"/>
      <c r="G107" s="15"/>
      <c r="H107" s="15"/>
      <c r="I107" s="16"/>
      <c r="J107" s="15"/>
      <c r="K107" s="15"/>
      <c r="L107" s="15"/>
      <c r="M107" s="15"/>
      <c r="N107" s="15"/>
      <c r="O107" s="17"/>
      <c r="P107" s="17"/>
      <c r="Q107" s="15"/>
    </row>
    <row r="108" spans="2:17" s="14" customFormat="1" ht="9">
      <c r="B108" s="15"/>
      <c r="C108" s="15"/>
      <c r="D108" s="15"/>
      <c r="E108" s="15"/>
      <c r="F108" s="15"/>
      <c r="G108" s="15"/>
      <c r="H108" s="15"/>
      <c r="I108" s="16"/>
      <c r="J108" s="15"/>
      <c r="K108" s="15"/>
      <c r="L108" s="15"/>
      <c r="M108" s="15"/>
      <c r="N108" s="15"/>
      <c r="O108" s="17"/>
      <c r="P108" s="17"/>
      <c r="Q108" s="15"/>
    </row>
    <row r="109" spans="2:17" s="14" customFormat="1" ht="9">
      <c r="B109" s="15"/>
      <c r="C109" s="15"/>
      <c r="D109" s="15"/>
      <c r="E109" s="15"/>
      <c r="F109" s="15"/>
      <c r="G109" s="15"/>
      <c r="H109" s="15"/>
      <c r="I109" s="16"/>
      <c r="J109" s="15"/>
      <c r="K109" s="15"/>
      <c r="L109" s="15"/>
      <c r="M109" s="15"/>
      <c r="N109" s="15"/>
      <c r="O109" s="17"/>
      <c r="P109" s="17"/>
      <c r="Q109" s="15"/>
    </row>
    <row r="110" spans="2:17" s="14" customFormat="1" ht="9">
      <c r="B110" s="15"/>
      <c r="C110" s="15"/>
      <c r="D110" s="15"/>
      <c r="E110" s="15"/>
      <c r="F110" s="15"/>
      <c r="G110" s="15"/>
      <c r="H110" s="15"/>
      <c r="I110" s="16"/>
      <c r="J110" s="15"/>
      <c r="K110" s="15"/>
      <c r="L110" s="15"/>
      <c r="M110" s="15"/>
      <c r="N110" s="15"/>
      <c r="O110" s="17"/>
      <c r="P110" s="17"/>
      <c r="Q110" s="15"/>
    </row>
    <row r="111" spans="2:17" s="14" customFormat="1" ht="9">
      <c r="B111" s="15"/>
      <c r="C111" s="15"/>
      <c r="D111" s="15"/>
      <c r="E111" s="15"/>
      <c r="F111" s="15"/>
      <c r="G111" s="15"/>
      <c r="H111" s="15"/>
      <c r="I111" s="16"/>
      <c r="J111" s="15"/>
      <c r="K111" s="15"/>
      <c r="L111" s="15"/>
      <c r="M111" s="15"/>
      <c r="N111" s="15"/>
      <c r="O111" s="17"/>
      <c r="P111" s="17"/>
      <c r="Q111" s="15"/>
    </row>
    <row r="112" spans="2:17" s="14" customFormat="1" ht="9">
      <c r="B112" s="15"/>
      <c r="C112" s="15"/>
      <c r="D112" s="15"/>
      <c r="E112" s="15"/>
      <c r="F112" s="15"/>
      <c r="G112" s="15"/>
      <c r="H112" s="15"/>
      <c r="I112" s="16"/>
      <c r="J112" s="15"/>
      <c r="K112" s="15"/>
      <c r="L112" s="15"/>
      <c r="M112" s="15"/>
      <c r="N112" s="15"/>
      <c r="O112" s="17"/>
      <c r="P112" s="17"/>
      <c r="Q112" s="15"/>
    </row>
    <row r="113" spans="2:17" s="14" customFormat="1" ht="9">
      <c r="B113" s="15"/>
      <c r="C113" s="15"/>
      <c r="D113" s="15"/>
      <c r="E113" s="15"/>
      <c r="F113" s="15"/>
      <c r="G113" s="15"/>
      <c r="H113" s="15"/>
      <c r="I113" s="16"/>
      <c r="J113" s="15"/>
      <c r="K113" s="15"/>
      <c r="L113" s="15"/>
      <c r="M113" s="15"/>
      <c r="N113" s="15"/>
      <c r="O113" s="17"/>
      <c r="P113" s="17"/>
      <c r="Q113" s="15"/>
    </row>
    <row r="114" spans="2:17" s="14" customFormat="1" ht="9">
      <c r="B114" s="15"/>
      <c r="C114" s="15"/>
      <c r="D114" s="15"/>
      <c r="E114" s="15"/>
      <c r="F114" s="15"/>
      <c r="G114" s="15"/>
      <c r="H114" s="15"/>
      <c r="I114" s="16"/>
      <c r="J114" s="15"/>
      <c r="K114" s="15"/>
      <c r="L114" s="15"/>
      <c r="M114" s="15"/>
      <c r="N114" s="15"/>
      <c r="O114" s="17"/>
      <c r="P114" s="17"/>
      <c r="Q114" s="15"/>
    </row>
    <row r="115" spans="2:17" s="14" customFormat="1" ht="9">
      <c r="B115" s="15"/>
      <c r="C115" s="15"/>
      <c r="D115" s="15"/>
      <c r="E115" s="15"/>
      <c r="F115" s="15"/>
      <c r="G115" s="15"/>
      <c r="H115" s="15"/>
      <c r="I115" s="16"/>
      <c r="J115" s="15"/>
      <c r="K115" s="15"/>
      <c r="L115" s="15"/>
      <c r="M115" s="15"/>
      <c r="N115" s="15"/>
      <c r="O115" s="17"/>
      <c r="P115" s="17"/>
      <c r="Q115" s="15"/>
    </row>
    <row r="116" spans="2:17" s="14" customFormat="1" ht="9">
      <c r="B116" s="15"/>
      <c r="C116" s="15"/>
      <c r="D116" s="15"/>
      <c r="E116" s="15"/>
      <c r="F116" s="15"/>
      <c r="G116" s="15"/>
      <c r="H116" s="15"/>
      <c r="I116" s="16"/>
      <c r="J116" s="15"/>
      <c r="K116" s="15"/>
      <c r="L116" s="15"/>
      <c r="M116" s="15"/>
      <c r="N116" s="15"/>
      <c r="O116" s="17"/>
      <c r="P116" s="17"/>
      <c r="Q116" s="15"/>
    </row>
    <row r="117" spans="2:17" s="14" customFormat="1" ht="9">
      <c r="B117" s="15"/>
      <c r="C117" s="15"/>
      <c r="D117" s="15"/>
      <c r="E117" s="15"/>
      <c r="F117" s="15"/>
      <c r="G117" s="15"/>
      <c r="H117" s="15"/>
      <c r="I117" s="16"/>
      <c r="J117" s="15"/>
      <c r="K117" s="15"/>
      <c r="L117" s="15"/>
      <c r="M117" s="15"/>
      <c r="N117" s="15"/>
      <c r="O117" s="17"/>
      <c r="P117" s="17"/>
      <c r="Q117" s="15"/>
    </row>
    <row r="118" spans="2:17">
      <c r="P118" s="17"/>
    </row>
    <row r="119" spans="2:17">
      <c r="P119" s="17"/>
    </row>
  </sheetData>
  <mergeCells count="3">
    <mergeCell ref="A74:N74"/>
    <mergeCell ref="A1:Q1"/>
    <mergeCell ref="A2:Q2"/>
  </mergeCells>
  <phoneticPr fontId="7" type="noConversion"/>
  <pageMargins left="0.25" right="0.25" top="0.5" bottom="0.75" header="0.5" footer="0.5"/>
  <pageSetup scale="68" orientation="landscape" r:id="rId1"/>
  <headerFooter alignWithMargins="0"/>
</worksheet>
</file>

<file path=xl/worksheets/sheet19.xml><?xml version="1.0" encoding="utf-8"?>
<worksheet xmlns="http://schemas.openxmlformats.org/spreadsheetml/2006/main" xmlns:r="http://schemas.openxmlformats.org/officeDocument/2006/relationships">
  <sheetPr>
    <pageSetUpPr fitToPage="1"/>
  </sheetPr>
  <dimension ref="A1:U103"/>
  <sheetViews>
    <sheetView zoomScaleNormal="100" workbookViewId="0">
      <pane xSplit="1" ySplit="3" topLeftCell="B4" activePane="bottomRight" state="frozen"/>
      <selection activeCell="P31" sqref="P31"/>
      <selection pane="topRight" activeCell="P31" sqref="P31"/>
      <selection pane="bottomLeft" activeCell="P31" sqref="P31"/>
      <selection pane="bottomRight" activeCell="Q31" sqref="Q31:Q32"/>
    </sheetView>
  </sheetViews>
  <sheetFormatPr defaultRowHeight="11.25"/>
  <cols>
    <col min="1" max="1" width="36.5703125" style="1" customWidth="1"/>
    <col min="2" max="2" width="8.85546875" style="7" bestFit="1" customWidth="1"/>
    <col min="3" max="3" width="8" style="7" hidden="1" customWidth="1"/>
    <col min="4" max="4" width="8.42578125" style="7" bestFit="1" customWidth="1"/>
    <col min="5" max="5" width="8.85546875" style="7" bestFit="1" customWidth="1"/>
    <col min="6" max="6" width="8" style="7" customWidth="1"/>
    <col min="7" max="7" width="9.28515625" style="7" bestFit="1" customWidth="1"/>
    <col min="8" max="8" width="8.42578125" style="7" customWidth="1"/>
    <col min="9" max="9" width="9.42578125" style="11" bestFit="1" customWidth="1"/>
    <col min="10" max="11" width="6.85546875" style="7" bestFit="1" customWidth="1"/>
    <col min="12" max="12" width="8.85546875" style="7" customWidth="1"/>
    <col min="13" max="13" width="7.85546875" style="7" hidden="1" customWidth="1"/>
    <col min="14" max="14" width="10.140625" style="7" customWidth="1"/>
    <col min="15" max="15" width="10.140625" style="8" bestFit="1" customWidth="1"/>
    <col min="16" max="16" width="8.5703125" style="8" customWidth="1"/>
    <col min="17" max="17" width="3.7109375" style="7" customWidth="1"/>
    <col min="18" max="19" width="0" style="1" hidden="1" customWidth="1"/>
    <col min="20" max="20" width="11.140625" style="1" customWidth="1"/>
    <col min="21" max="21" width="8.5703125" style="1" customWidth="1"/>
    <col min="22" max="16384" width="9.140625" style="1"/>
  </cols>
  <sheetData>
    <row r="1" spans="1:21">
      <c r="A1" s="395" t="s">
        <v>192</v>
      </c>
      <c r="B1" s="395"/>
      <c r="C1" s="395"/>
      <c r="D1" s="395"/>
      <c r="E1" s="395"/>
      <c r="F1" s="395"/>
      <c r="G1" s="395"/>
      <c r="H1" s="395"/>
      <c r="I1" s="395"/>
      <c r="J1" s="395"/>
      <c r="K1" s="395"/>
      <c r="L1" s="395"/>
      <c r="M1" s="395"/>
      <c r="N1" s="395"/>
      <c r="O1" s="395"/>
      <c r="P1" s="395"/>
      <c r="Q1" s="395"/>
    </row>
    <row r="2" spans="1:21">
      <c r="A2" s="407" t="s">
        <v>190</v>
      </c>
      <c r="B2" s="407"/>
      <c r="C2" s="407"/>
      <c r="D2" s="407"/>
      <c r="E2" s="407"/>
      <c r="F2" s="407"/>
      <c r="G2" s="407"/>
      <c r="H2" s="407"/>
      <c r="I2" s="407"/>
      <c r="J2" s="407"/>
      <c r="K2" s="407"/>
      <c r="L2" s="407"/>
      <c r="M2" s="407"/>
      <c r="N2" s="407"/>
      <c r="O2" s="407"/>
      <c r="P2" s="407"/>
      <c r="Q2" s="407"/>
    </row>
    <row r="3" spans="1:21" s="3" customFormat="1" ht="63">
      <c r="A3" s="45" t="s">
        <v>392</v>
      </c>
      <c r="B3" s="12" t="s">
        <v>393</v>
      </c>
      <c r="C3" s="12" t="s">
        <v>430</v>
      </c>
      <c r="D3" s="12" t="s">
        <v>4</v>
      </c>
      <c r="E3" s="12" t="s">
        <v>6</v>
      </c>
      <c r="F3" s="12" t="s">
        <v>5</v>
      </c>
      <c r="G3" s="12" t="s">
        <v>176</v>
      </c>
      <c r="H3" s="12" t="s">
        <v>459</v>
      </c>
      <c r="I3" s="60" t="s">
        <v>460</v>
      </c>
      <c r="J3" s="13" t="s">
        <v>462</v>
      </c>
      <c r="K3" s="13" t="s">
        <v>463</v>
      </c>
      <c r="L3" s="13" t="s">
        <v>461</v>
      </c>
      <c r="M3" s="12" t="s">
        <v>391</v>
      </c>
      <c r="N3" s="12" t="s">
        <v>8</v>
      </c>
      <c r="O3" s="13" t="s">
        <v>9</v>
      </c>
      <c r="P3" s="13" t="s">
        <v>175</v>
      </c>
      <c r="Q3" s="28" t="s">
        <v>394</v>
      </c>
      <c r="R3" s="3" t="s">
        <v>307</v>
      </c>
      <c r="S3" s="3" t="s">
        <v>308</v>
      </c>
    </row>
    <row r="4" spans="1:21" s="6" customFormat="1" ht="9">
      <c r="A4" s="21" t="s">
        <v>405</v>
      </c>
      <c r="B4" s="22" t="s">
        <v>433</v>
      </c>
      <c r="C4" s="22"/>
      <c r="D4" s="38"/>
      <c r="E4" s="38"/>
      <c r="F4" s="38"/>
      <c r="G4" s="22"/>
      <c r="H4" s="22"/>
      <c r="I4" s="23"/>
      <c r="J4" s="23"/>
      <c r="K4" s="23"/>
      <c r="L4" s="23"/>
      <c r="M4" s="22"/>
      <c r="N4" s="38"/>
      <c r="O4" s="38"/>
      <c r="P4" s="38"/>
      <c r="Q4" s="237"/>
    </row>
    <row r="5" spans="1:21" s="6" customFormat="1" ht="9">
      <c r="A5" s="20" t="s">
        <v>406</v>
      </c>
      <c r="B5" s="18" t="s">
        <v>433</v>
      </c>
      <c r="C5" s="18"/>
      <c r="D5" s="39"/>
      <c r="E5" s="39"/>
      <c r="F5" s="39"/>
      <c r="G5" s="18"/>
      <c r="H5" s="18"/>
      <c r="I5" s="19"/>
      <c r="J5" s="19"/>
      <c r="K5" s="19"/>
      <c r="L5" s="19"/>
      <c r="M5" s="18"/>
      <c r="N5" s="39"/>
      <c r="O5" s="39"/>
      <c r="P5" s="39"/>
      <c r="Q5" s="29"/>
    </row>
    <row r="6" spans="1:21" s="6" customFormat="1" ht="9">
      <c r="A6" s="142" t="s">
        <v>407</v>
      </c>
      <c r="B6" s="44"/>
      <c r="C6" s="44"/>
      <c r="D6" s="52"/>
      <c r="E6" s="52"/>
      <c r="F6" s="52"/>
      <c r="G6" s="44"/>
      <c r="H6" s="44"/>
      <c r="I6" s="92"/>
      <c r="J6" s="92"/>
      <c r="K6" s="92"/>
      <c r="L6" s="92"/>
      <c r="M6" s="44"/>
      <c r="N6" s="52"/>
      <c r="O6" s="52"/>
      <c r="P6" s="52"/>
      <c r="Q6" s="94"/>
      <c r="R6" s="147"/>
      <c r="S6" s="147"/>
    </row>
    <row r="7" spans="1:21" s="6" customFormat="1" ht="9">
      <c r="A7" s="143" t="s">
        <v>408</v>
      </c>
      <c r="B7" s="44">
        <v>40</v>
      </c>
      <c r="C7" s="44"/>
      <c r="D7" s="52">
        <v>0</v>
      </c>
      <c r="E7" s="52">
        <v>0</v>
      </c>
      <c r="F7" s="52">
        <v>0</v>
      </c>
      <c r="G7" s="44">
        <v>1</v>
      </c>
      <c r="H7" s="44">
        <f>B7*G7</f>
        <v>40</v>
      </c>
      <c r="I7" s="91">
        <v>0</v>
      </c>
      <c r="J7" s="92">
        <f>H7*I7</f>
        <v>0</v>
      </c>
      <c r="K7" s="92">
        <f>J7*0.1</f>
        <v>0</v>
      </c>
      <c r="L7" s="91">
        <f>J7*0.05</f>
        <v>0</v>
      </c>
      <c r="M7" s="44">
        <f>C7*G7*I7</f>
        <v>0</v>
      </c>
      <c r="N7" s="52">
        <f>(J7*'Base Data'!$C$5)+(K7*'Base Data'!$C$6)+(L7*'Base Data'!$C$7)</f>
        <v>0</v>
      </c>
      <c r="O7" s="52">
        <f>(D7+E7+F7)*G7*I7</f>
        <v>0</v>
      </c>
      <c r="P7" s="92">
        <f>G7*I7</f>
        <v>0</v>
      </c>
      <c r="Q7" s="94" t="s">
        <v>387</v>
      </c>
      <c r="R7" s="147"/>
      <c r="S7" s="147"/>
    </row>
    <row r="8" spans="1:21" s="6" customFormat="1" ht="9">
      <c r="A8" s="142" t="s">
        <v>409</v>
      </c>
      <c r="B8" s="44"/>
      <c r="C8" s="44"/>
      <c r="D8" s="52"/>
      <c r="E8" s="52"/>
      <c r="F8" s="52"/>
      <c r="G8" s="44"/>
      <c r="H8" s="44"/>
      <c r="I8" s="92"/>
      <c r="J8" s="92"/>
      <c r="K8" s="92"/>
      <c r="L8" s="92"/>
      <c r="M8" s="44"/>
      <c r="N8" s="52"/>
      <c r="O8" s="52"/>
      <c r="P8" s="92"/>
      <c r="Q8" s="94"/>
      <c r="R8" s="147"/>
      <c r="S8" s="147"/>
      <c r="U8" s="30"/>
    </row>
    <row r="9" spans="1:21" s="6" customFormat="1" ht="9">
      <c r="A9" s="143" t="s">
        <v>486</v>
      </c>
      <c r="B9" s="44">
        <v>12</v>
      </c>
      <c r="C9" s="44"/>
      <c r="D9" s="52">
        <v>0</v>
      </c>
      <c r="E9" s="52">
        <f>'Testing Costs'!$B$13</f>
        <v>5000</v>
      </c>
      <c r="F9" s="52">
        <v>0</v>
      </c>
      <c r="G9" s="44">
        <v>1</v>
      </c>
      <c r="H9" s="44">
        <f t="shared" ref="H9:H21" si="0">B9*G9</f>
        <v>12</v>
      </c>
      <c r="I9" s="91">
        <v>0</v>
      </c>
      <c r="J9" s="92">
        <f t="shared" ref="J9:J21" si="1">H9*I9</f>
        <v>0</v>
      </c>
      <c r="K9" s="92">
        <f t="shared" ref="K9:K21" si="2">J9*0.1</f>
        <v>0</v>
      </c>
      <c r="L9" s="92">
        <f t="shared" ref="L9:L21" si="3">J9*0.05</f>
        <v>0</v>
      </c>
      <c r="M9" s="93"/>
      <c r="N9" s="52">
        <f>(J9*'Base Data'!$C$5)+(K9*'Base Data'!$C$6)+(L9*'Base Data'!$C$7)</f>
        <v>0</v>
      </c>
      <c r="O9" s="52">
        <f t="shared" ref="O9:O21" si="4">(D9+E9+F9)*G9*I9</f>
        <v>0</v>
      </c>
      <c r="P9" s="92">
        <f t="shared" ref="P9:P47" si="5">G9*I9</f>
        <v>0</v>
      </c>
      <c r="Q9" s="94"/>
      <c r="R9" s="147"/>
      <c r="S9" s="147"/>
      <c r="U9" s="30"/>
    </row>
    <row r="10" spans="1:21" s="6" customFormat="1" ht="9">
      <c r="A10" s="143" t="s">
        <v>133</v>
      </c>
      <c r="B10" s="44">
        <v>12</v>
      </c>
      <c r="C10" s="44"/>
      <c r="D10" s="52">
        <v>0</v>
      </c>
      <c r="E10" s="52">
        <f>'Testing Costs'!$B$17</f>
        <v>8000</v>
      </c>
      <c r="F10" s="52">
        <v>0</v>
      </c>
      <c r="G10" s="44">
        <v>1</v>
      </c>
      <c r="H10" s="44">
        <f t="shared" si="0"/>
        <v>12</v>
      </c>
      <c r="I10" s="91">
        <v>0</v>
      </c>
      <c r="J10" s="92">
        <f t="shared" si="1"/>
        <v>0</v>
      </c>
      <c r="K10" s="92">
        <f t="shared" si="2"/>
        <v>0</v>
      </c>
      <c r="L10" s="92">
        <f t="shared" si="3"/>
        <v>0</v>
      </c>
      <c r="M10" s="93"/>
      <c r="N10" s="52">
        <f>(J10*'Base Data'!$C$5)+(K10*'Base Data'!$C$6)+(L10*'Base Data'!$C$7)</f>
        <v>0</v>
      </c>
      <c r="O10" s="52">
        <f t="shared" si="4"/>
        <v>0</v>
      </c>
      <c r="P10" s="92">
        <f t="shared" si="5"/>
        <v>0</v>
      </c>
      <c r="Q10" s="94"/>
      <c r="R10" s="147"/>
      <c r="S10" s="147"/>
      <c r="U10" s="30"/>
    </row>
    <row r="11" spans="1:21" s="6" customFormat="1" ht="9">
      <c r="A11" s="143" t="s">
        <v>134</v>
      </c>
      <c r="B11" s="44">
        <v>12</v>
      </c>
      <c r="C11" s="44"/>
      <c r="D11" s="52">
        <v>0</v>
      </c>
      <c r="E11" s="52">
        <f>'Testing Costs'!$B$15</f>
        <v>8000</v>
      </c>
      <c r="F11" s="52">
        <v>0</v>
      </c>
      <c r="G11" s="44">
        <v>1</v>
      </c>
      <c r="H11" s="44">
        <f t="shared" si="0"/>
        <v>12</v>
      </c>
      <c r="I11" s="91">
        <v>0</v>
      </c>
      <c r="J11" s="92">
        <f t="shared" si="1"/>
        <v>0</v>
      </c>
      <c r="K11" s="92">
        <f t="shared" si="2"/>
        <v>0</v>
      </c>
      <c r="L11" s="92">
        <f t="shared" si="3"/>
        <v>0</v>
      </c>
      <c r="M11" s="93"/>
      <c r="N11" s="52">
        <f>(J11*'Base Data'!$C$5)+(K11*'Base Data'!$C$6)+(L11*'Base Data'!$C$7)</f>
        <v>0</v>
      </c>
      <c r="O11" s="52">
        <f t="shared" si="4"/>
        <v>0</v>
      </c>
      <c r="P11" s="92">
        <f t="shared" si="5"/>
        <v>0</v>
      </c>
      <c r="Q11" s="94"/>
      <c r="R11" s="147"/>
      <c r="S11" s="147"/>
      <c r="U11" s="30"/>
    </row>
    <row r="12" spans="1:21" s="6" customFormat="1" ht="9">
      <c r="A12" s="143" t="s">
        <v>135</v>
      </c>
      <c r="B12" s="44">
        <v>12</v>
      </c>
      <c r="C12" s="44"/>
      <c r="D12" s="52">
        <v>0</v>
      </c>
      <c r="E12" s="52">
        <f>'Testing Costs'!$B$14</f>
        <v>7000</v>
      </c>
      <c r="F12" s="52">
        <v>0</v>
      </c>
      <c r="G12" s="44">
        <v>1</v>
      </c>
      <c r="H12" s="44">
        <f t="shared" si="0"/>
        <v>12</v>
      </c>
      <c r="I12" s="91">
        <v>0</v>
      </c>
      <c r="J12" s="92">
        <f t="shared" si="1"/>
        <v>0</v>
      </c>
      <c r="K12" s="92">
        <f t="shared" si="2"/>
        <v>0</v>
      </c>
      <c r="L12" s="92">
        <f t="shared" si="3"/>
        <v>0</v>
      </c>
      <c r="M12" s="93"/>
      <c r="N12" s="52">
        <f>(J12*'Base Data'!$C$5)+(K12*'Base Data'!$C$6)+(L12*'Base Data'!$C$7)</f>
        <v>0</v>
      </c>
      <c r="O12" s="52">
        <f t="shared" si="4"/>
        <v>0</v>
      </c>
      <c r="P12" s="92">
        <f t="shared" si="5"/>
        <v>0</v>
      </c>
      <c r="Q12" s="94"/>
      <c r="R12" s="147"/>
      <c r="S12" s="147"/>
      <c r="U12" s="30"/>
    </row>
    <row r="13" spans="1:21" s="6" customFormat="1" ht="9">
      <c r="A13" s="143" t="s">
        <v>136</v>
      </c>
      <c r="B13" s="44">
        <v>12</v>
      </c>
      <c r="C13" s="44"/>
      <c r="D13" s="52">
        <v>0</v>
      </c>
      <c r="E13" s="52">
        <f>'Testing Costs'!$B$16</f>
        <v>16000</v>
      </c>
      <c r="F13" s="52">
        <v>0</v>
      </c>
      <c r="G13" s="44">
        <v>1</v>
      </c>
      <c r="H13" s="44">
        <f t="shared" si="0"/>
        <v>12</v>
      </c>
      <c r="I13" s="91">
        <v>0</v>
      </c>
      <c r="J13" s="92">
        <f t="shared" si="1"/>
        <v>0</v>
      </c>
      <c r="K13" s="92">
        <f t="shared" si="2"/>
        <v>0</v>
      </c>
      <c r="L13" s="92">
        <f t="shared" si="3"/>
        <v>0</v>
      </c>
      <c r="M13" s="93"/>
      <c r="N13" s="52">
        <f>(J13*'Base Data'!$C$5)+(K13*'Base Data'!$C$6)+(L13*'Base Data'!$C$7)</f>
        <v>0</v>
      </c>
      <c r="O13" s="52">
        <f t="shared" si="4"/>
        <v>0</v>
      </c>
      <c r="P13" s="92">
        <f t="shared" si="5"/>
        <v>0</v>
      </c>
      <c r="Q13" s="94"/>
      <c r="R13" s="147"/>
      <c r="S13" s="147"/>
      <c r="U13" s="30"/>
    </row>
    <row r="14" spans="1:21" s="6" customFormat="1" ht="9" customHeight="1">
      <c r="A14" s="143" t="s">
        <v>148</v>
      </c>
      <c r="B14" s="44">
        <v>12</v>
      </c>
      <c r="C14" s="44"/>
      <c r="D14" s="52">
        <v>0</v>
      </c>
      <c r="E14" s="52">
        <f>'Testing Costs'!$B$13</f>
        <v>5000</v>
      </c>
      <c r="F14" s="52">
        <v>0</v>
      </c>
      <c r="G14" s="44">
        <v>1</v>
      </c>
      <c r="H14" s="44">
        <f t="shared" si="0"/>
        <v>12</v>
      </c>
      <c r="I14" s="91">
        <v>0</v>
      </c>
      <c r="J14" s="92">
        <f t="shared" si="1"/>
        <v>0</v>
      </c>
      <c r="K14" s="92">
        <f t="shared" si="2"/>
        <v>0</v>
      </c>
      <c r="L14" s="92">
        <f t="shared" si="3"/>
        <v>0</v>
      </c>
      <c r="M14" s="93"/>
      <c r="N14" s="52">
        <f>(J14*'Base Data'!$C$5)+(K14*'Base Data'!$C$6)+(L14*'Base Data'!$C$7)</f>
        <v>0</v>
      </c>
      <c r="O14" s="52">
        <f t="shared" si="4"/>
        <v>0</v>
      </c>
      <c r="P14" s="92">
        <f t="shared" si="5"/>
        <v>0</v>
      </c>
      <c r="Q14" s="94"/>
      <c r="R14" s="147"/>
      <c r="S14" s="147"/>
      <c r="U14" s="30"/>
    </row>
    <row r="15" spans="1:21" s="6" customFormat="1" ht="9">
      <c r="A15" s="143" t="s">
        <v>149</v>
      </c>
      <c r="B15" s="44">
        <v>12</v>
      </c>
      <c r="C15" s="44"/>
      <c r="D15" s="52">
        <v>0</v>
      </c>
      <c r="E15" s="52">
        <f>'Testing Costs'!$B$17</f>
        <v>8000</v>
      </c>
      <c r="F15" s="52">
        <v>0</v>
      </c>
      <c r="G15" s="44">
        <v>1</v>
      </c>
      <c r="H15" s="44">
        <f t="shared" si="0"/>
        <v>12</v>
      </c>
      <c r="I15" s="91">
        <v>0</v>
      </c>
      <c r="J15" s="92">
        <f t="shared" si="1"/>
        <v>0</v>
      </c>
      <c r="K15" s="92">
        <f t="shared" si="2"/>
        <v>0</v>
      </c>
      <c r="L15" s="92">
        <f t="shared" si="3"/>
        <v>0</v>
      </c>
      <c r="M15" s="93"/>
      <c r="N15" s="52">
        <f>(J15*'Base Data'!$C$5)+(K15*'Base Data'!$C$6)+(L15*'Base Data'!$C$7)</f>
        <v>0</v>
      </c>
      <c r="O15" s="52">
        <f t="shared" si="4"/>
        <v>0</v>
      </c>
      <c r="P15" s="92">
        <f t="shared" si="5"/>
        <v>0</v>
      </c>
      <c r="Q15" s="94"/>
      <c r="R15" s="147"/>
      <c r="S15" s="147"/>
      <c r="U15" s="30"/>
    </row>
    <row r="16" spans="1:21" s="6" customFormat="1" ht="9">
      <c r="A16" s="143" t="s">
        <v>150</v>
      </c>
      <c r="B16" s="44">
        <v>12</v>
      </c>
      <c r="C16" s="44"/>
      <c r="D16" s="52">
        <v>0</v>
      </c>
      <c r="E16" s="52">
        <f>'Testing Costs'!$B$15</f>
        <v>8000</v>
      </c>
      <c r="F16" s="52">
        <v>0</v>
      </c>
      <c r="G16" s="44">
        <v>1</v>
      </c>
      <c r="H16" s="44">
        <f t="shared" si="0"/>
        <v>12</v>
      </c>
      <c r="I16" s="91">
        <v>0</v>
      </c>
      <c r="J16" s="92">
        <f t="shared" si="1"/>
        <v>0</v>
      </c>
      <c r="K16" s="92">
        <f t="shared" si="2"/>
        <v>0</v>
      </c>
      <c r="L16" s="92">
        <f t="shared" si="3"/>
        <v>0</v>
      </c>
      <c r="M16" s="93"/>
      <c r="N16" s="52">
        <f>(J16*'Base Data'!$C$5)+(K16*'Base Data'!$C$6)+(L16*'Base Data'!$C$7)</f>
        <v>0</v>
      </c>
      <c r="O16" s="52">
        <f t="shared" si="4"/>
        <v>0</v>
      </c>
      <c r="P16" s="92">
        <f t="shared" si="5"/>
        <v>0</v>
      </c>
      <c r="Q16" s="94"/>
      <c r="R16" s="147"/>
      <c r="S16" s="147"/>
      <c r="U16" s="30"/>
    </row>
    <row r="17" spans="1:21" s="6" customFormat="1" ht="9">
      <c r="A17" s="143" t="s">
        <v>151</v>
      </c>
      <c r="B17" s="44">
        <v>12</v>
      </c>
      <c r="C17" s="44"/>
      <c r="D17" s="52">
        <v>0</v>
      </c>
      <c r="E17" s="52">
        <f>'Testing Costs'!$B$14</f>
        <v>7000</v>
      </c>
      <c r="F17" s="52">
        <v>0</v>
      </c>
      <c r="G17" s="44">
        <v>1</v>
      </c>
      <c r="H17" s="44">
        <f t="shared" si="0"/>
        <v>12</v>
      </c>
      <c r="I17" s="91">
        <v>0</v>
      </c>
      <c r="J17" s="92">
        <f t="shared" si="1"/>
        <v>0</v>
      </c>
      <c r="K17" s="92">
        <f t="shared" si="2"/>
        <v>0</v>
      </c>
      <c r="L17" s="92">
        <f t="shared" si="3"/>
        <v>0</v>
      </c>
      <c r="M17" s="93"/>
      <c r="N17" s="52">
        <f>(J17*'Base Data'!$C$5)+(K17*'Base Data'!$C$6)+(L17*'Base Data'!$C$7)</f>
        <v>0</v>
      </c>
      <c r="O17" s="52">
        <f t="shared" si="4"/>
        <v>0</v>
      </c>
      <c r="P17" s="92">
        <f t="shared" si="5"/>
        <v>0</v>
      </c>
      <c r="Q17" s="94"/>
      <c r="R17" s="147"/>
      <c r="S17" s="147"/>
      <c r="U17" s="30"/>
    </row>
    <row r="18" spans="1:21" s="6" customFormat="1" ht="9">
      <c r="A18" s="143" t="s">
        <v>152</v>
      </c>
      <c r="B18" s="44">
        <v>12</v>
      </c>
      <c r="C18" s="44"/>
      <c r="D18" s="52">
        <v>0</v>
      </c>
      <c r="E18" s="52">
        <f>'Testing Costs'!$B$16</f>
        <v>16000</v>
      </c>
      <c r="F18" s="52">
        <v>0</v>
      </c>
      <c r="G18" s="44">
        <v>1</v>
      </c>
      <c r="H18" s="44">
        <f t="shared" si="0"/>
        <v>12</v>
      </c>
      <c r="I18" s="91">
        <v>0</v>
      </c>
      <c r="J18" s="92">
        <f t="shared" si="1"/>
        <v>0</v>
      </c>
      <c r="K18" s="92">
        <f t="shared" si="2"/>
        <v>0</v>
      </c>
      <c r="L18" s="92">
        <f t="shared" si="3"/>
        <v>0</v>
      </c>
      <c r="M18" s="93"/>
      <c r="N18" s="52">
        <f>(J18*'Base Data'!$C$5)+(K18*'Base Data'!$C$6)+(L18*'Base Data'!$C$7)</f>
        <v>0</v>
      </c>
      <c r="O18" s="52">
        <f t="shared" si="4"/>
        <v>0</v>
      </c>
      <c r="P18" s="92">
        <f t="shared" si="5"/>
        <v>0</v>
      </c>
      <c r="Q18" s="94"/>
      <c r="R18" s="147"/>
      <c r="S18" s="147"/>
      <c r="U18" s="30"/>
    </row>
    <row r="19" spans="1:21" s="6" customFormat="1" ht="18.75" customHeight="1">
      <c r="A19" s="332" t="s">
        <v>482</v>
      </c>
      <c r="B19" s="44">
        <v>24</v>
      </c>
      <c r="C19" s="331"/>
      <c r="D19" s="52">
        <v>0</v>
      </c>
      <c r="E19" s="52">
        <f>$E$10+$E$11</f>
        <v>16000</v>
      </c>
      <c r="F19" s="39">
        <v>0</v>
      </c>
      <c r="G19" s="18">
        <v>1</v>
      </c>
      <c r="H19" s="18">
        <f t="shared" si="0"/>
        <v>24</v>
      </c>
      <c r="I19" s="91">
        <v>0</v>
      </c>
      <c r="J19" s="92">
        <f t="shared" si="1"/>
        <v>0</v>
      </c>
      <c r="K19" s="92">
        <f t="shared" si="2"/>
        <v>0</v>
      </c>
      <c r="L19" s="92">
        <f t="shared" si="3"/>
        <v>0</v>
      </c>
      <c r="M19" s="93"/>
      <c r="N19" s="52">
        <f>(J19*'Base Data'!$C$5)+(K19*'Base Data'!$C$6)+(L19*'Base Data'!$C$7)</f>
        <v>0</v>
      </c>
      <c r="O19" s="52">
        <f t="shared" si="4"/>
        <v>0</v>
      </c>
      <c r="P19" s="92">
        <v>0</v>
      </c>
      <c r="Q19" s="94"/>
    </row>
    <row r="20" spans="1:21" s="6" customFormat="1" ht="9" customHeight="1">
      <c r="A20" s="143" t="s">
        <v>268</v>
      </c>
      <c r="B20" s="44">
        <v>5</v>
      </c>
      <c r="C20" s="44"/>
      <c r="D20" s="52">
        <v>0</v>
      </c>
      <c r="E20" s="52">
        <v>400</v>
      </c>
      <c r="F20" s="52">
        <v>0</v>
      </c>
      <c r="G20" s="44">
        <v>1</v>
      </c>
      <c r="H20" s="44">
        <f t="shared" si="0"/>
        <v>5</v>
      </c>
      <c r="I20" s="91">
        <v>0</v>
      </c>
      <c r="J20" s="92">
        <f t="shared" si="1"/>
        <v>0</v>
      </c>
      <c r="K20" s="92">
        <f t="shared" si="2"/>
        <v>0</v>
      </c>
      <c r="L20" s="92">
        <f t="shared" si="3"/>
        <v>0</v>
      </c>
      <c r="M20" s="93"/>
      <c r="N20" s="52">
        <f>(J20*'Base Data'!$C$5)+(K20*'Base Data'!$C$6)+(L20*'Base Data'!$C$7)</f>
        <v>0</v>
      </c>
      <c r="O20" s="52">
        <f t="shared" si="4"/>
        <v>0</v>
      </c>
      <c r="P20" s="92">
        <f t="shared" si="5"/>
        <v>0</v>
      </c>
      <c r="Q20" s="94"/>
      <c r="R20" s="147"/>
      <c r="S20" s="147"/>
      <c r="U20" s="30"/>
    </row>
    <row r="21" spans="1:21" s="6" customFormat="1" ht="9" customHeight="1">
      <c r="A21" s="143" t="s">
        <v>269</v>
      </c>
      <c r="B21" s="44">
        <v>5</v>
      </c>
      <c r="C21" s="44"/>
      <c r="D21" s="52">
        <v>0</v>
      </c>
      <c r="E21" s="52">
        <v>400</v>
      </c>
      <c r="F21" s="52">
        <v>0</v>
      </c>
      <c r="G21" s="44">
        <v>12</v>
      </c>
      <c r="H21" s="44">
        <f t="shared" si="0"/>
        <v>60</v>
      </c>
      <c r="I21" s="91">
        <v>0</v>
      </c>
      <c r="J21" s="92">
        <f t="shared" si="1"/>
        <v>0</v>
      </c>
      <c r="K21" s="92">
        <f t="shared" si="2"/>
        <v>0</v>
      </c>
      <c r="L21" s="92">
        <f t="shared" si="3"/>
        <v>0</v>
      </c>
      <c r="M21" s="93"/>
      <c r="N21" s="52">
        <f>(J21*'Base Data'!$C$5)+(K21*'Base Data'!$C$6)+(L21*'Base Data'!$C$7)</f>
        <v>0</v>
      </c>
      <c r="O21" s="52">
        <f t="shared" si="4"/>
        <v>0</v>
      </c>
      <c r="P21" s="92">
        <f t="shared" si="5"/>
        <v>0</v>
      </c>
      <c r="Q21" s="94"/>
      <c r="R21" s="147"/>
      <c r="S21" s="147"/>
      <c r="U21" s="30"/>
    </row>
    <row r="22" spans="1:21" s="6" customFormat="1" ht="9">
      <c r="A22" s="143" t="s">
        <v>270</v>
      </c>
      <c r="B22" s="44"/>
      <c r="C22" s="44"/>
      <c r="D22" s="52"/>
      <c r="E22" s="52"/>
      <c r="F22" s="52"/>
      <c r="G22" s="44"/>
      <c r="H22" s="44"/>
      <c r="I22" s="92"/>
      <c r="J22" s="92"/>
      <c r="K22" s="92"/>
      <c r="L22" s="92"/>
      <c r="M22" s="93"/>
      <c r="N22" s="52"/>
      <c r="O22" s="52"/>
      <c r="P22" s="92"/>
      <c r="Q22" s="94"/>
      <c r="R22" s="147"/>
      <c r="S22" s="147"/>
      <c r="U22" s="30"/>
    </row>
    <row r="23" spans="1:21" s="6" customFormat="1" ht="9">
      <c r="A23" s="143" t="s">
        <v>432</v>
      </c>
      <c r="B23" s="44">
        <v>40</v>
      </c>
      <c r="C23" s="44"/>
      <c r="D23" s="52">
        <v>0</v>
      </c>
      <c r="E23" s="52"/>
      <c r="F23" s="52">
        <v>0</v>
      </c>
      <c r="G23" s="44">
        <v>1</v>
      </c>
      <c r="H23" s="44">
        <f>B23*G23</f>
        <v>40</v>
      </c>
      <c r="I23" s="91">
        <v>0</v>
      </c>
      <c r="J23" s="92">
        <f>H23*I23</f>
        <v>0</v>
      </c>
      <c r="K23" s="92">
        <f>J23*0.1</f>
        <v>0</v>
      </c>
      <c r="L23" s="92">
        <f>J23*0.05</f>
        <v>0</v>
      </c>
      <c r="M23" s="93"/>
      <c r="N23" s="52">
        <f>(J23*'Base Data'!$C$5)+(K23*'Base Data'!$C$6)+(L23*'Base Data'!$C$7)</f>
        <v>0</v>
      </c>
      <c r="O23" s="52">
        <f>(D23+E23+F23)*G23*I23</f>
        <v>0</v>
      </c>
      <c r="P23" s="92">
        <f t="shared" si="5"/>
        <v>0</v>
      </c>
      <c r="Q23" s="94"/>
      <c r="R23" s="147"/>
      <c r="S23" s="147"/>
      <c r="U23" s="30"/>
    </row>
    <row r="24" spans="1:21" s="6" customFormat="1" ht="9">
      <c r="A24" s="142" t="s">
        <v>410</v>
      </c>
      <c r="B24" s="44"/>
      <c r="C24" s="44"/>
      <c r="D24" s="52"/>
      <c r="E24" s="52"/>
      <c r="F24" s="52"/>
      <c r="G24" s="44"/>
      <c r="H24" s="44"/>
      <c r="I24" s="92"/>
      <c r="J24" s="92"/>
      <c r="K24" s="92"/>
      <c r="L24" s="92"/>
      <c r="M24" s="93"/>
      <c r="N24" s="52"/>
      <c r="O24" s="52"/>
      <c r="P24" s="92"/>
      <c r="Q24" s="94"/>
      <c r="R24" s="147"/>
      <c r="S24" s="147"/>
      <c r="U24" s="30"/>
    </row>
    <row r="25" spans="1:21" s="6" customFormat="1" ht="9">
      <c r="A25" s="142" t="s">
        <v>411</v>
      </c>
      <c r="B25" s="44">
        <v>10</v>
      </c>
      <c r="C25" s="44"/>
      <c r="D25" s="52">
        <v>0</v>
      </c>
      <c r="E25" s="52">
        <v>0</v>
      </c>
      <c r="F25" s="52">
        <v>43100</v>
      </c>
      <c r="G25" s="44">
        <v>1</v>
      </c>
      <c r="H25" s="44">
        <f>B25*G25</f>
        <v>10</v>
      </c>
      <c r="I25" s="91">
        <v>0</v>
      </c>
      <c r="J25" s="92">
        <f>H25*I25</f>
        <v>0</v>
      </c>
      <c r="K25" s="92">
        <f>J25*0.1</f>
        <v>0</v>
      </c>
      <c r="L25" s="92">
        <f>J25*0.05</f>
        <v>0</v>
      </c>
      <c r="M25" s="93"/>
      <c r="N25" s="52">
        <f>(J25*'Base Data'!$C$5)+(K25*'Base Data'!$C$6)+(L25*'Base Data'!$C$7)</f>
        <v>0</v>
      </c>
      <c r="O25" s="52">
        <f>(D25+E25+F25)*G25*I25</f>
        <v>0</v>
      </c>
      <c r="P25" s="92">
        <f t="shared" si="5"/>
        <v>0</v>
      </c>
      <c r="Q25" s="94"/>
      <c r="R25" s="147"/>
      <c r="S25" s="147"/>
      <c r="U25" s="30"/>
    </row>
    <row r="26" spans="1:21" s="6" customFormat="1" ht="9">
      <c r="A26" s="142" t="s">
        <v>414</v>
      </c>
      <c r="B26" s="44">
        <v>10</v>
      </c>
      <c r="C26" s="44"/>
      <c r="D26" s="52">
        <v>0</v>
      </c>
      <c r="E26" s="52">
        <v>0</v>
      </c>
      <c r="F26" s="52">
        <v>14700</v>
      </c>
      <c r="G26" s="44">
        <v>1</v>
      </c>
      <c r="H26" s="44">
        <f>B26*G26</f>
        <v>10</v>
      </c>
      <c r="I26" s="91">
        <v>0</v>
      </c>
      <c r="J26" s="92">
        <f>H26*I26</f>
        <v>0</v>
      </c>
      <c r="K26" s="92">
        <f>J26*0.1</f>
        <v>0</v>
      </c>
      <c r="L26" s="92">
        <f>J26*0.05</f>
        <v>0</v>
      </c>
      <c r="M26" s="93"/>
      <c r="N26" s="52">
        <f>(J26*'Base Data'!$C$5)+(K26*'Base Data'!$C$6)+(L26*'Base Data'!$C$7)</f>
        <v>0</v>
      </c>
      <c r="O26" s="52">
        <f>(D26+E26+F26)*G26*I26</f>
        <v>0</v>
      </c>
      <c r="P26" s="92">
        <f t="shared" si="5"/>
        <v>0</v>
      </c>
      <c r="Q26" s="94"/>
      <c r="R26" s="147"/>
      <c r="S26" s="147"/>
      <c r="U26" s="30"/>
    </row>
    <row r="27" spans="1:21" s="6" customFormat="1" ht="9">
      <c r="A27" s="142" t="s">
        <v>356</v>
      </c>
      <c r="B27" s="44"/>
      <c r="C27" s="44"/>
      <c r="D27" s="52"/>
      <c r="E27" s="52"/>
      <c r="F27" s="52"/>
      <c r="G27" s="44"/>
      <c r="H27" s="44"/>
      <c r="I27" s="92"/>
      <c r="J27" s="92"/>
      <c r="K27" s="92"/>
      <c r="L27" s="92"/>
      <c r="M27" s="93"/>
      <c r="N27" s="52"/>
      <c r="O27" s="52"/>
      <c r="P27" s="92"/>
      <c r="Q27" s="94"/>
      <c r="R27" s="147"/>
      <c r="S27" s="147"/>
      <c r="U27" s="30"/>
    </row>
    <row r="28" spans="1:21" s="6" customFormat="1" ht="9">
      <c r="A28" s="142" t="s">
        <v>411</v>
      </c>
      <c r="B28" s="44">
        <v>10</v>
      </c>
      <c r="C28" s="44"/>
      <c r="D28" s="52">
        <v>0</v>
      </c>
      <c r="E28" s="52">
        <v>0</v>
      </c>
      <c r="F28" s="52">
        <v>158000</v>
      </c>
      <c r="G28" s="44">
        <v>1</v>
      </c>
      <c r="H28" s="44">
        <f>B28*G28</f>
        <v>10</v>
      </c>
      <c r="I28" s="91">
        <v>0</v>
      </c>
      <c r="J28" s="92">
        <f>H28*I28</f>
        <v>0</v>
      </c>
      <c r="K28" s="92">
        <f>J28*0.1</f>
        <v>0</v>
      </c>
      <c r="L28" s="92">
        <f>J28*0.05</f>
        <v>0</v>
      </c>
      <c r="M28" s="93"/>
      <c r="N28" s="52">
        <f>(J28*'Base Data'!$C$5)+(K28*'Base Data'!$C$6)+(L28*'Base Data'!$C$7)</f>
        <v>0</v>
      </c>
      <c r="O28" s="52">
        <f>(D28+E28+F28)*G28*I28</f>
        <v>0</v>
      </c>
      <c r="P28" s="92">
        <f t="shared" si="5"/>
        <v>0</v>
      </c>
      <c r="Q28" s="94"/>
      <c r="R28" s="147"/>
      <c r="S28" s="147"/>
      <c r="U28" s="30"/>
    </row>
    <row r="29" spans="1:21" s="6" customFormat="1" ht="9">
      <c r="A29" s="142" t="s">
        <v>414</v>
      </c>
      <c r="B29" s="44">
        <v>10</v>
      </c>
      <c r="C29" s="44"/>
      <c r="D29" s="52">
        <v>0</v>
      </c>
      <c r="E29" s="52">
        <v>0</v>
      </c>
      <c r="F29" s="52">
        <v>56100</v>
      </c>
      <c r="G29" s="44">
        <v>1</v>
      </c>
      <c r="H29" s="44">
        <f>B29*G29</f>
        <v>10</v>
      </c>
      <c r="I29" s="91">
        <v>0</v>
      </c>
      <c r="J29" s="92">
        <f>H29*I29</f>
        <v>0</v>
      </c>
      <c r="K29" s="92">
        <f>J29*0.1</f>
        <v>0</v>
      </c>
      <c r="L29" s="92">
        <f>J29*0.05</f>
        <v>0</v>
      </c>
      <c r="M29" s="93"/>
      <c r="N29" s="52">
        <f>(J29*'Base Data'!$C$5)+(K29*'Base Data'!$C$6)+(L29*'Base Data'!$C$7)</f>
        <v>0</v>
      </c>
      <c r="O29" s="52">
        <f>(D29+E29+F29)*G29*I29</f>
        <v>0</v>
      </c>
      <c r="P29" s="92">
        <f t="shared" si="5"/>
        <v>0</v>
      </c>
      <c r="Q29" s="94"/>
      <c r="R29" s="147"/>
      <c r="S29" s="147"/>
      <c r="U29" s="30"/>
    </row>
    <row r="30" spans="1:21" s="6" customFormat="1" ht="9">
      <c r="A30" s="142" t="s">
        <v>522</v>
      </c>
      <c r="B30" s="44"/>
      <c r="C30" s="44"/>
      <c r="D30" s="52"/>
      <c r="E30" s="52"/>
      <c r="F30" s="52"/>
      <c r="G30" s="44"/>
      <c r="H30" s="44"/>
      <c r="I30" s="91"/>
      <c r="J30" s="19"/>
      <c r="K30" s="19"/>
      <c r="L30" s="19"/>
      <c r="M30" s="46"/>
      <c r="N30" s="39"/>
      <c r="O30" s="39"/>
      <c r="P30" s="19"/>
      <c r="Q30" s="29"/>
    </row>
    <row r="31" spans="1:21" s="6" customFormat="1" ht="9">
      <c r="A31" s="142" t="s">
        <v>411</v>
      </c>
      <c r="B31" s="44">
        <v>10</v>
      </c>
      <c r="C31" s="44"/>
      <c r="D31" s="52">
        <v>0</v>
      </c>
      <c r="E31" s="52">
        <v>0</v>
      </c>
      <c r="F31" s="52">
        <f>Monitors!$F$32</f>
        <v>8523</v>
      </c>
      <c r="G31" s="44">
        <v>1</v>
      </c>
      <c r="H31" s="44">
        <f t="shared" ref="H31:H32" si="6">B31*G31</f>
        <v>10</v>
      </c>
      <c r="I31" s="91">
        <v>0</v>
      </c>
      <c r="J31" s="19">
        <f t="shared" ref="J31:J32" si="7">H31*I31</f>
        <v>0</v>
      </c>
      <c r="K31" s="19">
        <f t="shared" ref="K31:K32" si="8">J31*0.1</f>
        <v>0</v>
      </c>
      <c r="L31" s="19">
        <f t="shared" ref="L31:L32" si="9">J31*0.05</f>
        <v>0</v>
      </c>
      <c r="M31" s="46"/>
      <c r="N31" s="39">
        <f>(J31*'Base Data'!$C$5)+(K31*'Base Data'!$C$6)+(L31*'Base Data'!$C$7)</f>
        <v>0</v>
      </c>
      <c r="O31" s="39">
        <f>(D31+E31+F31)*G31*I31</f>
        <v>0</v>
      </c>
      <c r="P31" s="19">
        <v>0</v>
      </c>
      <c r="Q31" s="29"/>
    </row>
    <row r="32" spans="1:21" s="6" customFormat="1" ht="9">
      <c r="A32" s="142" t="s">
        <v>414</v>
      </c>
      <c r="B32" s="44">
        <v>10</v>
      </c>
      <c r="C32" s="44"/>
      <c r="D32" s="52">
        <v>0</v>
      </c>
      <c r="E32" s="52">
        <v>0</v>
      </c>
      <c r="F32" s="52">
        <f>Monitors!$G$32</f>
        <v>1436</v>
      </c>
      <c r="G32" s="44">
        <v>1</v>
      </c>
      <c r="H32" s="44">
        <f t="shared" si="6"/>
        <v>10</v>
      </c>
      <c r="I32" s="91">
        <v>0</v>
      </c>
      <c r="J32" s="19">
        <f t="shared" si="7"/>
        <v>0</v>
      </c>
      <c r="K32" s="19">
        <f t="shared" si="8"/>
        <v>0</v>
      </c>
      <c r="L32" s="19">
        <f t="shared" si="9"/>
        <v>0</v>
      </c>
      <c r="M32" s="46"/>
      <c r="N32" s="39">
        <f>(J32*'Base Data'!$C$5)+(K32*'Base Data'!$C$6)+(L32*'Base Data'!$C$7)</f>
        <v>0</v>
      </c>
      <c r="O32" s="39">
        <f>(D32+E32+F32)*G32*I32</f>
        <v>0</v>
      </c>
      <c r="P32" s="19">
        <v>0</v>
      </c>
      <c r="Q32" s="29"/>
    </row>
    <row r="33" spans="1:21" s="6" customFormat="1" ht="18">
      <c r="A33" s="143" t="s">
        <v>173</v>
      </c>
      <c r="B33" s="44"/>
      <c r="C33" s="44"/>
      <c r="D33" s="52"/>
      <c r="E33" s="52"/>
      <c r="F33" s="95"/>
      <c r="G33" s="44"/>
      <c r="H33" s="44"/>
      <c r="I33" s="91"/>
      <c r="J33" s="92"/>
      <c r="K33" s="92"/>
      <c r="L33" s="92"/>
      <c r="M33" s="93"/>
      <c r="N33" s="52"/>
      <c r="O33" s="52"/>
      <c r="P33" s="92"/>
      <c r="Q33" s="94"/>
      <c r="R33" s="147"/>
      <c r="S33" s="147"/>
      <c r="U33" s="30"/>
    </row>
    <row r="34" spans="1:21" s="6" customFormat="1" ht="9">
      <c r="A34" s="142" t="s">
        <v>411</v>
      </c>
      <c r="B34" s="44">
        <v>10</v>
      </c>
      <c r="C34" s="44"/>
      <c r="D34" s="52">
        <v>0</v>
      </c>
      <c r="E34" s="52">
        <v>0</v>
      </c>
      <c r="F34" s="52">
        <v>24300</v>
      </c>
      <c r="G34" s="44">
        <v>1</v>
      </c>
      <c r="H34" s="44">
        <f>B34*G34</f>
        <v>10</v>
      </c>
      <c r="I34" s="91">
        <v>0</v>
      </c>
      <c r="J34" s="92">
        <f>H34*I34</f>
        <v>0</v>
      </c>
      <c r="K34" s="92">
        <f>J34*0.1</f>
        <v>0</v>
      </c>
      <c r="L34" s="92">
        <f>J34*0.05</f>
        <v>0</v>
      </c>
      <c r="M34" s="93"/>
      <c r="N34" s="52">
        <f>(J34*'Base Data'!$C$5)+(K34*'Base Data'!$C$6)+(L34*'Base Data'!$C$7)</f>
        <v>0</v>
      </c>
      <c r="O34" s="52">
        <f>(D34+E34+F34)*G34*I34</f>
        <v>0</v>
      </c>
      <c r="P34" s="92">
        <f t="shared" si="5"/>
        <v>0</v>
      </c>
      <c r="Q34" s="94"/>
      <c r="R34" s="147"/>
      <c r="S34" s="147"/>
      <c r="U34" s="30"/>
    </row>
    <row r="35" spans="1:21" s="6" customFormat="1" ht="9">
      <c r="A35" s="142" t="s">
        <v>414</v>
      </c>
      <c r="B35" s="44">
        <v>10</v>
      </c>
      <c r="C35" s="44"/>
      <c r="D35" s="52">
        <v>0</v>
      </c>
      <c r="E35" s="52">
        <v>0</v>
      </c>
      <c r="F35" s="52">
        <v>5600</v>
      </c>
      <c r="G35" s="44">
        <v>1</v>
      </c>
      <c r="H35" s="44">
        <f>B35*G35</f>
        <v>10</v>
      </c>
      <c r="I35" s="91">
        <v>0</v>
      </c>
      <c r="J35" s="92">
        <f>H35*I35</f>
        <v>0</v>
      </c>
      <c r="K35" s="92">
        <f>J35*0.1</f>
        <v>0</v>
      </c>
      <c r="L35" s="92">
        <f>J35*0.05</f>
        <v>0</v>
      </c>
      <c r="M35" s="93"/>
      <c r="N35" s="52">
        <f>(J35*'Base Data'!$C$5)+(K35*'Base Data'!$C$6)+(L35*'Base Data'!$C$7)</f>
        <v>0</v>
      </c>
      <c r="O35" s="52">
        <f>(D35+E35+F35)*G35*I35</f>
        <v>0</v>
      </c>
      <c r="P35" s="92">
        <f t="shared" si="5"/>
        <v>0</v>
      </c>
      <c r="Q35" s="94"/>
      <c r="R35" s="147"/>
      <c r="S35" s="147"/>
      <c r="U35" s="30"/>
    </row>
    <row r="36" spans="1:21" s="6" customFormat="1" ht="18">
      <c r="A36" s="143" t="s">
        <v>475</v>
      </c>
      <c r="B36" s="44"/>
      <c r="C36" s="44"/>
      <c r="D36" s="52"/>
      <c r="E36" s="52"/>
      <c r="F36" s="52"/>
      <c r="G36" s="44"/>
      <c r="H36" s="44"/>
      <c r="I36" s="91"/>
      <c r="J36" s="92"/>
      <c r="K36" s="92"/>
      <c r="L36" s="92"/>
      <c r="M36" s="93"/>
      <c r="N36" s="52"/>
      <c r="O36" s="238"/>
      <c r="P36" s="92"/>
      <c r="Q36" s="94"/>
      <c r="R36" s="147"/>
      <c r="S36" s="147"/>
      <c r="U36" s="30"/>
    </row>
    <row r="37" spans="1:21" s="6" customFormat="1" ht="9">
      <c r="A37" s="142" t="s">
        <v>411</v>
      </c>
      <c r="B37" s="44">
        <v>10</v>
      </c>
      <c r="C37" s="44"/>
      <c r="D37" s="52">
        <v>0</v>
      </c>
      <c r="E37" s="52">
        <v>0</v>
      </c>
      <c r="F37" s="52">
        <f>25500</f>
        <v>25500</v>
      </c>
      <c r="G37" s="44">
        <v>1</v>
      </c>
      <c r="H37" s="44">
        <f>B37*G37</f>
        <v>10</v>
      </c>
      <c r="I37" s="91">
        <v>0</v>
      </c>
      <c r="J37" s="92">
        <f>H37*I37</f>
        <v>0</v>
      </c>
      <c r="K37" s="92">
        <f>J37*0.1</f>
        <v>0</v>
      </c>
      <c r="L37" s="92">
        <f>J37*0.05</f>
        <v>0</v>
      </c>
      <c r="M37" s="93"/>
      <c r="N37" s="52">
        <f>(J37*'Base Data'!$C$5)+(K37*'Base Data'!$C$6)+(L37*'Base Data'!$C$7)</f>
        <v>0</v>
      </c>
      <c r="O37" s="52">
        <f>(D37+E37+F37)*G37*I37</f>
        <v>0</v>
      </c>
      <c r="P37" s="92">
        <f t="shared" si="5"/>
        <v>0</v>
      </c>
      <c r="Q37" s="94"/>
      <c r="R37" s="147"/>
      <c r="S37" s="147"/>
      <c r="U37" s="30"/>
    </row>
    <row r="38" spans="1:21" s="6" customFormat="1" ht="9">
      <c r="A38" s="142" t="s">
        <v>414</v>
      </c>
      <c r="B38" s="44">
        <v>10</v>
      </c>
      <c r="C38" s="44"/>
      <c r="D38" s="52">
        <v>0</v>
      </c>
      <c r="E38" s="52">
        <v>0</v>
      </c>
      <c r="F38" s="52">
        <v>9700</v>
      </c>
      <c r="G38" s="44">
        <v>1</v>
      </c>
      <c r="H38" s="44">
        <f>B38*G38</f>
        <v>10</v>
      </c>
      <c r="I38" s="91">
        <v>0</v>
      </c>
      <c r="J38" s="92">
        <f>H38*I38</f>
        <v>0</v>
      </c>
      <c r="K38" s="92">
        <f>J38*0.1</f>
        <v>0</v>
      </c>
      <c r="L38" s="92">
        <f>J38*0.05</f>
        <v>0</v>
      </c>
      <c r="M38" s="93"/>
      <c r="N38" s="52">
        <f>(J38*'Base Data'!$C$5)+(K38*'Base Data'!$C$6)+(L38*'Base Data'!$C$7)</f>
        <v>0</v>
      </c>
      <c r="O38" s="52">
        <f>(D38+E38+F38)*G38*I38</f>
        <v>0</v>
      </c>
      <c r="P38" s="92">
        <f t="shared" si="5"/>
        <v>0</v>
      </c>
      <c r="Q38" s="94"/>
      <c r="R38" s="147"/>
      <c r="S38" s="147"/>
      <c r="U38" s="30"/>
    </row>
    <row r="39" spans="1:21" s="6" customFormat="1" ht="18">
      <c r="A39" s="143" t="s">
        <v>174</v>
      </c>
      <c r="B39" s="44"/>
      <c r="C39" s="44"/>
      <c r="D39" s="52"/>
      <c r="E39" s="52"/>
      <c r="F39" s="52"/>
      <c r="G39" s="44"/>
      <c r="H39" s="44"/>
      <c r="I39" s="91"/>
      <c r="J39" s="92"/>
      <c r="K39" s="92"/>
      <c r="L39" s="92"/>
      <c r="M39" s="93"/>
      <c r="N39" s="52"/>
      <c r="O39" s="52"/>
      <c r="P39" s="92"/>
      <c r="Q39" s="94"/>
      <c r="R39" s="147"/>
      <c r="S39" s="147"/>
      <c r="U39" s="30"/>
    </row>
    <row r="40" spans="1:21" s="6" customFormat="1" ht="9">
      <c r="A40" s="142" t="s">
        <v>411</v>
      </c>
      <c r="B40" s="44">
        <v>10</v>
      </c>
      <c r="C40" s="44"/>
      <c r="D40" s="52">
        <v>0</v>
      </c>
      <c r="E40" s="52">
        <v>0</v>
      </c>
      <c r="F40" s="52">
        <v>115000</v>
      </c>
      <c r="G40" s="44">
        <v>1</v>
      </c>
      <c r="H40" s="44">
        <f>B40*G40</f>
        <v>10</v>
      </c>
      <c r="I40" s="91">
        <v>0</v>
      </c>
      <c r="J40" s="92">
        <f>H40*I40</f>
        <v>0</v>
      </c>
      <c r="K40" s="92">
        <f>J40*0.1</f>
        <v>0</v>
      </c>
      <c r="L40" s="92">
        <f>J40*0.05</f>
        <v>0</v>
      </c>
      <c r="M40" s="93"/>
      <c r="N40" s="52">
        <f>(J40*'Base Data'!$C$5)+(K40*'Base Data'!$C$6)+(L40*'Base Data'!$C$7)</f>
        <v>0</v>
      </c>
      <c r="O40" s="52">
        <f>(D40+E40+F40)*G40*I40</f>
        <v>0</v>
      </c>
      <c r="P40" s="92">
        <f t="shared" si="5"/>
        <v>0</v>
      </c>
      <c r="Q40" s="94"/>
      <c r="R40" s="147"/>
      <c r="S40" s="147"/>
      <c r="U40" s="30"/>
    </row>
    <row r="41" spans="1:21" s="6" customFormat="1" ht="9">
      <c r="A41" s="142" t="s">
        <v>414</v>
      </c>
      <c r="B41" s="44">
        <v>10</v>
      </c>
      <c r="C41" s="44"/>
      <c r="D41" s="52">
        <v>0</v>
      </c>
      <c r="E41" s="52">
        <v>0</v>
      </c>
      <c r="F41" s="52">
        <v>9700</v>
      </c>
      <c r="G41" s="44">
        <v>1</v>
      </c>
      <c r="H41" s="44">
        <f>B41*G41</f>
        <v>10</v>
      </c>
      <c r="I41" s="91">
        <v>0</v>
      </c>
      <c r="J41" s="92">
        <f>H41*I41</f>
        <v>0</v>
      </c>
      <c r="K41" s="92">
        <f>J41*0.1</f>
        <v>0</v>
      </c>
      <c r="L41" s="92">
        <f>J41*0.05</f>
        <v>0</v>
      </c>
      <c r="M41" s="93"/>
      <c r="N41" s="52">
        <f>(J41*'Base Data'!$C$5)+(K41*'Base Data'!$C$6)+(L41*'Base Data'!$C$7)</f>
        <v>0</v>
      </c>
      <c r="O41" s="52">
        <f>(D41+E41+F41)*G41*I41</f>
        <v>0</v>
      </c>
      <c r="P41" s="92">
        <f t="shared" si="5"/>
        <v>0</v>
      </c>
      <c r="Q41" s="94"/>
      <c r="R41" s="147"/>
      <c r="S41" s="147"/>
      <c r="U41" s="30"/>
    </row>
    <row r="42" spans="1:21" s="6" customFormat="1" ht="9">
      <c r="A42" s="142" t="s">
        <v>415</v>
      </c>
      <c r="B42" s="44" t="s">
        <v>433</v>
      </c>
      <c r="C42" s="44"/>
      <c r="D42" s="52"/>
      <c r="E42" s="52"/>
      <c r="F42" s="52"/>
      <c r="G42" s="44"/>
      <c r="H42" s="44"/>
      <c r="I42" s="92"/>
      <c r="J42" s="92"/>
      <c r="K42" s="92"/>
      <c r="L42" s="92"/>
      <c r="M42" s="44"/>
      <c r="N42" s="52"/>
      <c r="O42" s="52"/>
      <c r="P42" s="92"/>
      <c r="Q42" s="94"/>
      <c r="R42" s="147"/>
      <c r="S42" s="147"/>
      <c r="U42" s="30"/>
    </row>
    <row r="43" spans="1:21" s="6" customFormat="1" ht="9">
      <c r="A43" s="142" t="s">
        <v>416</v>
      </c>
      <c r="B43" s="44" t="s">
        <v>433</v>
      </c>
      <c r="C43" s="44"/>
      <c r="D43" s="52"/>
      <c r="E43" s="52"/>
      <c r="F43" s="52"/>
      <c r="G43" s="44"/>
      <c r="H43" s="44"/>
      <c r="I43" s="92"/>
      <c r="J43" s="92"/>
      <c r="K43" s="92"/>
      <c r="L43" s="92"/>
      <c r="M43" s="44"/>
      <c r="N43" s="52"/>
      <c r="O43" s="52"/>
      <c r="P43" s="92"/>
      <c r="Q43" s="94"/>
      <c r="R43" s="147"/>
      <c r="S43" s="147"/>
    </row>
    <row r="44" spans="1:21" s="6" customFormat="1" ht="9">
      <c r="A44" s="142" t="s">
        <v>417</v>
      </c>
      <c r="B44" s="44"/>
      <c r="C44" s="44"/>
      <c r="D44" s="52"/>
      <c r="E44" s="52"/>
      <c r="F44" s="52"/>
      <c r="G44" s="44"/>
      <c r="H44" s="44"/>
      <c r="I44" s="92"/>
      <c r="J44" s="92"/>
      <c r="K44" s="92"/>
      <c r="L44" s="92"/>
      <c r="M44" s="44"/>
      <c r="N44" s="52"/>
      <c r="O44" s="52"/>
      <c r="P44" s="92"/>
      <c r="Q44" s="94"/>
      <c r="R44" s="147"/>
      <c r="S44" s="147"/>
    </row>
    <row r="45" spans="1:21" s="6" customFormat="1" ht="9">
      <c r="A45" s="177" t="s">
        <v>435</v>
      </c>
      <c r="B45" s="44">
        <v>2</v>
      </c>
      <c r="C45" s="44"/>
      <c r="D45" s="52">
        <v>0</v>
      </c>
      <c r="E45" s="52">
        <v>0</v>
      </c>
      <c r="F45" s="52">
        <v>0</v>
      </c>
      <c r="G45" s="44">
        <v>1</v>
      </c>
      <c r="H45" s="44">
        <f>B45*G45</f>
        <v>2</v>
      </c>
      <c r="I45" s="91">
        <v>0</v>
      </c>
      <c r="J45" s="92">
        <f>H45*I45</f>
        <v>0</v>
      </c>
      <c r="K45" s="92">
        <f>J45*0.1</f>
        <v>0</v>
      </c>
      <c r="L45" s="92">
        <f>J45*0.05</f>
        <v>0</v>
      </c>
      <c r="M45" s="44">
        <f>C45*G45*I45</f>
        <v>0</v>
      </c>
      <c r="N45" s="52">
        <f>(J45*'Base Data'!$C$5)+(K45*'Base Data'!$C$6)+(L45*'Base Data'!$C$7)</f>
        <v>0</v>
      </c>
      <c r="O45" s="52">
        <f>(D45+E45+F45)*G45*I45</f>
        <v>0</v>
      </c>
      <c r="P45" s="92">
        <f t="shared" si="5"/>
        <v>0</v>
      </c>
      <c r="Q45" s="94"/>
      <c r="R45" s="147"/>
      <c r="S45" s="147"/>
    </row>
    <row r="46" spans="1:21" s="6" customFormat="1" ht="9" customHeight="1">
      <c r="A46" s="177" t="s">
        <v>377</v>
      </c>
      <c r="B46" s="44">
        <v>8</v>
      </c>
      <c r="C46" s="44"/>
      <c r="D46" s="52">
        <v>0</v>
      </c>
      <c r="E46" s="52">
        <v>0</v>
      </c>
      <c r="F46" s="52">
        <v>0</v>
      </c>
      <c r="G46" s="44">
        <v>1</v>
      </c>
      <c r="H46" s="44">
        <f>B46*G46</f>
        <v>8</v>
      </c>
      <c r="I46" s="91">
        <v>0</v>
      </c>
      <c r="J46" s="92">
        <f>H46*I46</f>
        <v>0</v>
      </c>
      <c r="K46" s="92">
        <f>J46*0.1</f>
        <v>0</v>
      </c>
      <c r="L46" s="92">
        <f>J46*0.05</f>
        <v>0</v>
      </c>
      <c r="M46" s="44">
        <f>C46*G46*I46</f>
        <v>0</v>
      </c>
      <c r="N46" s="52">
        <f>(J46*'Base Data'!$C$5)+(K46*'Base Data'!$C$6)+(L46*'Base Data'!$C$7)</f>
        <v>0</v>
      </c>
      <c r="O46" s="52">
        <f>(D46+E46+F46)*G46*I46</f>
        <v>0</v>
      </c>
      <c r="P46" s="92">
        <f t="shared" si="5"/>
        <v>0</v>
      </c>
      <c r="Q46" s="94"/>
      <c r="R46" s="147"/>
      <c r="S46" s="147"/>
    </row>
    <row r="47" spans="1:21" s="6" customFormat="1" ht="9">
      <c r="A47" s="144" t="s">
        <v>492</v>
      </c>
      <c r="B47" s="44">
        <v>20</v>
      </c>
      <c r="C47" s="44">
        <v>0</v>
      </c>
      <c r="D47" s="52">
        <v>0</v>
      </c>
      <c r="E47" s="52">
        <v>0</v>
      </c>
      <c r="F47" s="52">
        <v>0</v>
      </c>
      <c r="G47" s="44">
        <v>2</v>
      </c>
      <c r="H47" s="44">
        <f>B47*G47</f>
        <v>40</v>
      </c>
      <c r="I47" s="91">
        <v>0</v>
      </c>
      <c r="J47" s="92">
        <f>H47*I47</f>
        <v>0</v>
      </c>
      <c r="K47" s="92">
        <f>J47*0.1</f>
        <v>0</v>
      </c>
      <c r="L47" s="92">
        <f>J47*0.05</f>
        <v>0</v>
      </c>
      <c r="M47" s="92">
        <f>C47*G47*I47</f>
        <v>0</v>
      </c>
      <c r="N47" s="52">
        <f>(J47*'Base Data'!$C$5)+(K47*'Base Data'!$C$6)+(L47*'Base Data'!$C$7)</f>
        <v>0</v>
      </c>
      <c r="O47" s="52">
        <f>(D47+E47+F47)*G47*I47</f>
        <v>0</v>
      </c>
      <c r="P47" s="92">
        <f t="shared" si="5"/>
        <v>0</v>
      </c>
      <c r="Q47" s="94"/>
      <c r="R47" s="184"/>
      <c r="S47" s="147"/>
    </row>
    <row r="48" spans="1:21" s="6" customFormat="1" ht="9">
      <c r="A48" s="145" t="s">
        <v>7</v>
      </c>
      <c r="B48" s="44"/>
      <c r="C48" s="44"/>
      <c r="D48" s="52"/>
      <c r="E48" s="52"/>
      <c r="F48" s="52"/>
      <c r="G48" s="44"/>
      <c r="H48" s="44"/>
      <c r="I48" s="91"/>
      <c r="J48" s="92">
        <f t="shared" ref="J48:P48" si="10">SUM(J7:J47)</f>
        <v>0</v>
      </c>
      <c r="K48" s="92">
        <f t="shared" si="10"/>
        <v>0</v>
      </c>
      <c r="L48" s="92">
        <f t="shared" si="10"/>
        <v>0</v>
      </c>
      <c r="M48" s="92">
        <f t="shared" si="10"/>
        <v>0</v>
      </c>
      <c r="N48" s="52">
        <f t="shared" si="10"/>
        <v>0</v>
      </c>
      <c r="O48" s="52">
        <f t="shared" si="10"/>
        <v>0</v>
      </c>
      <c r="P48" s="92">
        <f t="shared" si="10"/>
        <v>0</v>
      </c>
      <c r="Q48" s="94"/>
      <c r="R48" s="150">
        <f>SUM(O7,O9:O21,O26,O29,O32,O35,O38,O41)</f>
        <v>0</v>
      </c>
      <c r="S48" s="149">
        <f>SUM(O25,O28,O31,O34,O37,O40)</f>
        <v>0</v>
      </c>
    </row>
    <row r="49" spans="1:19" s="6" customFormat="1" ht="9">
      <c r="A49" s="142" t="s">
        <v>431</v>
      </c>
      <c r="B49" s="44"/>
      <c r="C49" s="44"/>
      <c r="D49" s="52"/>
      <c r="E49" s="52"/>
      <c r="F49" s="52"/>
      <c r="G49" s="44"/>
      <c r="H49" s="44"/>
      <c r="I49" s="92"/>
      <c r="J49" s="92"/>
      <c r="K49" s="92"/>
      <c r="L49" s="92"/>
      <c r="M49" s="44"/>
      <c r="N49" s="52"/>
      <c r="O49" s="52"/>
      <c r="P49" s="92"/>
      <c r="Q49" s="94"/>
      <c r="R49" s="147"/>
      <c r="S49" s="147"/>
    </row>
    <row r="50" spans="1:19" s="6" customFormat="1" ht="9">
      <c r="A50" s="142" t="s">
        <v>418</v>
      </c>
      <c r="B50" s="44" t="s">
        <v>422</v>
      </c>
      <c r="C50" s="44"/>
      <c r="D50" s="52"/>
      <c r="E50" s="52"/>
      <c r="F50" s="52"/>
      <c r="G50" s="44"/>
      <c r="H50" s="44"/>
      <c r="I50" s="92"/>
      <c r="J50" s="92"/>
      <c r="K50" s="92"/>
      <c r="L50" s="92"/>
      <c r="M50" s="44"/>
      <c r="N50" s="52"/>
      <c r="O50" s="52"/>
      <c r="P50" s="92"/>
      <c r="Q50" s="94"/>
      <c r="R50" s="147"/>
      <c r="S50" s="147"/>
    </row>
    <row r="51" spans="1:19" s="6" customFormat="1" ht="9">
      <c r="A51" s="142" t="s">
        <v>419</v>
      </c>
      <c r="B51" s="44" t="s">
        <v>433</v>
      </c>
      <c r="C51" s="44"/>
      <c r="D51" s="52"/>
      <c r="E51" s="52"/>
      <c r="F51" s="52"/>
      <c r="G51" s="44"/>
      <c r="H51" s="44"/>
      <c r="I51" s="92"/>
      <c r="J51" s="92"/>
      <c r="K51" s="92"/>
      <c r="L51" s="92"/>
      <c r="M51" s="44"/>
      <c r="N51" s="52"/>
      <c r="O51" s="52"/>
      <c r="P51" s="92"/>
      <c r="Q51" s="94"/>
      <c r="R51" s="147"/>
      <c r="S51" s="147"/>
    </row>
    <row r="52" spans="1:19" s="6" customFormat="1" ht="9">
      <c r="A52" s="142" t="s">
        <v>420</v>
      </c>
      <c r="B52" s="44" t="s">
        <v>433</v>
      </c>
      <c r="C52" s="44"/>
      <c r="D52" s="52"/>
      <c r="E52" s="52"/>
      <c r="F52" s="52"/>
      <c r="G52" s="44"/>
      <c r="H52" s="44"/>
      <c r="I52" s="92"/>
      <c r="J52" s="92"/>
      <c r="K52" s="92"/>
      <c r="L52" s="92"/>
      <c r="M52" s="44"/>
      <c r="N52" s="52"/>
      <c r="O52" s="52"/>
      <c r="P52" s="92"/>
      <c r="Q52" s="94"/>
      <c r="R52" s="147"/>
      <c r="S52" s="147"/>
    </row>
    <row r="53" spans="1:19" s="6" customFormat="1" ht="9">
      <c r="A53" s="142" t="s">
        <v>421</v>
      </c>
      <c r="B53" s="44"/>
      <c r="C53" s="44"/>
      <c r="D53" s="52"/>
      <c r="E53" s="52"/>
      <c r="F53" s="52"/>
      <c r="G53" s="44"/>
      <c r="H53" s="44"/>
      <c r="I53" s="92"/>
      <c r="J53" s="92"/>
      <c r="K53" s="92"/>
      <c r="L53" s="92"/>
      <c r="M53" s="44"/>
      <c r="N53" s="52"/>
      <c r="O53" s="52"/>
      <c r="P53" s="92"/>
      <c r="Q53" s="94"/>
      <c r="R53" s="147"/>
      <c r="S53" s="147"/>
    </row>
    <row r="54" spans="1:19" s="6" customFormat="1" ht="9.75" customHeight="1">
      <c r="A54" s="142" t="s">
        <v>429</v>
      </c>
      <c r="B54" s="44">
        <v>20</v>
      </c>
      <c r="C54" s="44"/>
      <c r="D54" s="52">
        <v>0</v>
      </c>
      <c r="E54" s="52">
        <v>0</v>
      </c>
      <c r="F54" s="52">
        <v>0</v>
      </c>
      <c r="G54" s="44">
        <v>1</v>
      </c>
      <c r="H54" s="44">
        <f t="shared" ref="H54:H60" si="11">B54*G54</f>
        <v>20</v>
      </c>
      <c r="I54" s="91">
        <v>0</v>
      </c>
      <c r="J54" s="92">
        <f t="shared" ref="J54:J60" si="12">H54*I54</f>
        <v>0</v>
      </c>
      <c r="K54" s="92">
        <f t="shared" ref="K54:K60" si="13">J54*0.1</f>
        <v>0</v>
      </c>
      <c r="L54" s="92">
        <f t="shared" ref="L54:L60" si="14">J54*0.05</f>
        <v>0</v>
      </c>
      <c r="M54" s="44"/>
      <c r="N54" s="52">
        <f>(J54*'Base Data'!$C$5)+(K54*'Base Data'!$C$6)+(L54*'Base Data'!$C$7)</f>
        <v>0</v>
      </c>
      <c r="O54" s="52">
        <f t="shared" ref="O54:O60" si="15">(D54+E54+F54)*G54*I54</f>
        <v>0</v>
      </c>
      <c r="P54" s="92">
        <v>0</v>
      </c>
      <c r="Q54" s="94"/>
      <c r="R54" s="147"/>
      <c r="S54" s="147"/>
    </row>
    <row r="55" spans="1:19" s="6" customFormat="1" ht="9">
      <c r="A55" s="143" t="s">
        <v>425</v>
      </c>
      <c r="B55" s="44">
        <v>15</v>
      </c>
      <c r="C55" s="44">
        <v>0</v>
      </c>
      <c r="D55" s="52">
        <v>0</v>
      </c>
      <c r="E55" s="52">
        <v>0</v>
      </c>
      <c r="F55" s="52">
        <v>0</v>
      </c>
      <c r="G55" s="44">
        <v>1</v>
      </c>
      <c r="H55" s="44">
        <f t="shared" si="11"/>
        <v>15</v>
      </c>
      <c r="I55" s="91">
        <v>0</v>
      </c>
      <c r="J55" s="92">
        <f t="shared" si="12"/>
        <v>0</v>
      </c>
      <c r="K55" s="92">
        <f t="shared" si="13"/>
        <v>0</v>
      </c>
      <c r="L55" s="92">
        <f t="shared" si="14"/>
        <v>0</v>
      </c>
      <c r="M55" s="44">
        <f>C55*G55*I55</f>
        <v>0</v>
      </c>
      <c r="N55" s="52">
        <f>(J55*'Base Data'!$C$5)+(K55*'Base Data'!$C$6)+(L55*'Base Data'!$C$7)</f>
        <v>0</v>
      </c>
      <c r="O55" s="52">
        <f t="shared" si="15"/>
        <v>0</v>
      </c>
      <c r="P55" s="92">
        <v>0</v>
      </c>
      <c r="Q55" s="94"/>
      <c r="R55" s="147"/>
      <c r="S55" s="147"/>
    </row>
    <row r="56" spans="1:19" s="6" customFormat="1" ht="9.75" customHeight="1">
      <c r="A56" s="142" t="s">
        <v>426</v>
      </c>
      <c r="B56" s="44">
        <v>2</v>
      </c>
      <c r="C56" s="44"/>
      <c r="D56" s="52">
        <v>0</v>
      </c>
      <c r="E56" s="52">
        <v>0</v>
      </c>
      <c r="F56" s="52">
        <v>0</v>
      </c>
      <c r="G56" s="44">
        <v>1</v>
      </c>
      <c r="H56" s="44">
        <f t="shared" si="11"/>
        <v>2</v>
      </c>
      <c r="I56" s="91">
        <v>0</v>
      </c>
      <c r="J56" s="92">
        <f t="shared" si="12"/>
        <v>0</v>
      </c>
      <c r="K56" s="92">
        <f t="shared" si="13"/>
        <v>0</v>
      </c>
      <c r="L56" s="92">
        <f t="shared" si="14"/>
        <v>0</v>
      </c>
      <c r="M56" s="44"/>
      <c r="N56" s="52">
        <f>(J56*'Base Data'!$C$5)+(K56*'Base Data'!$C$6)+(L56*'Base Data'!$C$7)</f>
        <v>0</v>
      </c>
      <c r="O56" s="52">
        <f t="shared" si="15"/>
        <v>0</v>
      </c>
      <c r="P56" s="92">
        <v>0</v>
      </c>
      <c r="Q56" s="94"/>
      <c r="R56" s="147"/>
      <c r="S56" s="147"/>
    </row>
    <row r="57" spans="1:19" s="6" customFormat="1" ht="9">
      <c r="A57" s="143" t="s">
        <v>436</v>
      </c>
      <c r="B57" s="44">
        <v>2</v>
      </c>
      <c r="C57" s="44"/>
      <c r="D57" s="52">
        <v>0</v>
      </c>
      <c r="E57" s="52">
        <v>0</v>
      </c>
      <c r="F57" s="52">
        <v>0</v>
      </c>
      <c r="G57" s="44">
        <v>1</v>
      </c>
      <c r="H57" s="44">
        <f t="shared" si="11"/>
        <v>2</v>
      </c>
      <c r="I57" s="91">
        <v>0</v>
      </c>
      <c r="J57" s="92">
        <f t="shared" si="12"/>
        <v>0</v>
      </c>
      <c r="K57" s="92">
        <f t="shared" si="13"/>
        <v>0</v>
      </c>
      <c r="L57" s="92">
        <f t="shared" si="14"/>
        <v>0</v>
      </c>
      <c r="M57" s="44"/>
      <c r="N57" s="52">
        <f>(J57*'Base Data'!$C$5)+(K57*'Base Data'!$C$6)+(L57*'Base Data'!$C$7)</f>
        <v>0</v>
      </c>
      <c r="O57" s="52">
        <f t="shared" si="15"/>
        <v>0</v>
      </c>
      <c r="P57" s="92">
        <v>0</v>
      </c>
      <c r="Q57" s="94"/>
      <c r="R57" s="147"/>
      <c r="S57" s="147"/>
    </row>
    <row r="58" spans="1:19" s="6" customFormat="1" ht="9">
      <c r="A58" s="143" t="s">
        <v>437</v>
      </c>
      <c r="B58" s="44">
        <v>2</v>
      </c>
      <c r="C58" s="44">
        <v>0</v>
      </c>
      <c r="D58" s="52">
        <v>0</v>
      </c>
      <c r="E58" s="52">
        <v>0</v>
      </c>
      <c r="F58" s="52">
        <v>0</v>
      </c>
      <c r="G58" s="44">
        <v>2</v>
      </c>
      <c r="H58" s="44">
        <f t="shared" si="11"/>
        <v>4</v>
      </c>
      <c r="I58" s="91">
        <v>0</v>
      </c>
      <c r="J58" s="92">
        <f t="shared" si="12"/>
        <v>0</v>
      </c>
      <c r="K58" s="92">
        <f t="shared" si="13"/>
        <v>0</v>
      </c>
      <c r="L58" s="92">
        <f t="shared" si="14"/>
        <v>0</v>
      </c>
      <c r="M58" s="44">
        <f>C58*G58*I58</f>
        <v>0</v>
      </c>
      <c r="N58" s="52">
        <f>(J58*'Base Data'!$C$5)+(K58*'Base Data'!$C$6)+(L58*'Base Data'!$C$7)</f>
        <v>0</v>
      </c>
      <c r="O58" s="52">
        <f t="shared" si="15"/>
        <v>0</v>
      </c>
      <c r="P58" s="92">
        <v>0</v>
      </c>
      <c r="Q58" s="94"/>
      <c r="R58" s="147"/>
      <c r="S58" s="147"/>
    </row>
    <row r="59" spans="1:19" s="6" customFormat="1" ht="9">
      <c r="A59" s="143" t="s">
        <v>438</v>
      </c>
      <c r="B59" s="44">
        <v>0.5</v>
      </c>
      <c r="C59" s="44"/>
      <c r="D59" s="52">
        <v>0</v>
      </c>
      <c r="E59" s="52">
        <v>0</v>
      </c>
      <c r="F59" s="52">
        <v>0</v>
      </c>
      <c r="G59" s="44">
        <v>12</v>
      </c>
      <c r="H59" s="44">
        <f t="shared" si="11"/>
        <v>6</v>
      </c>
      <c r="I59" s="91">
        <v>0</v>
      </c>
      <c r="J59" s="92">
        <f t="shared" si="12"/>
        <v>0</v>
      </c>
      <c r="K59" s="92">
        <f t="shared" si="13"/>
        <v>0</v>
      </c>
      <c r="L59" s="92">
        <f t="shared" si="14"/>
        <v>0</v>
      </c>
      <c r="M59" s="44"/>
      <c r="N59" s="52">
        <f>(J59*'Base Data'!$C$5)+(K59*'Base Data'!$C$6)+(L59*'Base Data'!$C$7)</f>
        <v>0</v>
      </c>
      <c r="O59" s="52">
        <f t="shared" si="15"/>
        <v>0</v>
      </c>
      <c r="P59" s="92">
        <v>0</v>
      </c>
      <c r="Q59" s="94"/>
      <c r="R59" s="147"/>
      <c r="S59" s="147"/>
    </row>
    <row r="60" spans="1:19" s="6" customFormat="1" ht="9">
      <c r="A60" s="142" t="s">
        <v>427</v>
      </c>
      <c r="B60" s="44">
        <v>40</v>
      </c>
      <c r="C60" s="18"/>
      <c r="D60" s="39">
        <v>0</v>
      </c>
      <c r="E60" s="39">
        <v>0</v>
      </c>
      <c r="F60" s="39">
        <v>0</v>
      </c>
      <c r="G60" s="18">
        <v>1</v>
      </c>
      <c r="H60" s="18">
        <f t="shared" si="11"/>
        <v>40</v>
      </c>
      <c r="I60" s="91">
        <v>0</v>
      </c>
      <c r="J60" s="19">
        <f t="shared" si="12"/>
        <v>0</v>
      </c>
      <c r="K60" s="19">
        <f t="shared" si="13"/>
        <v>0</v>
      </c>
      <c r="L60" s="19">
        <f t="shared" si="14"/>
        <v>0</v>
      </c>
      <c r="M60" s="18"/>
      <c r="N60" s="39">
        <f>(J60*'Base Data'!$C$5)+(K60*'Base Data'!$C$6)+(L60*'Base Data'!$C$7)</f>
        <v>0</v>
      </c>
      <c r="O60" s="39">
        <f t="shared" si="15"/>
        <v>0</v>
      </c>
      <c r="P60" s="92">
        <v>0</v>
      </c>
      <c r="Q60" s="29"/>
    </row>
    <row r="61" spans="1:19" s="6" customFormat="1" ht="9">
      <c r="A61" s="142" t="s">
        <v>428</v>
      </c>
      <c r="B61" s="44" t="s">
        <v>433</v>
      </c>
      <c r="C61" s="44"/>
      <c r="D61" s="52"/>
      <c r="E61" s="52"/>
      <c r="F61" s="52"/>
      <c r="G61" s="44"/>
      <c r="H61" s="44"/>
      <c r="I61" s="92"/>
      <c r="J61" s="92"/>
      <c r="K61" s="92"/>
      <c r="L61" s="92"/>
      <c r="M61" s="44"/>
      <c r="N61" s="52"/>
      <c r="O61" s="52"/>
      <c r="P61" s="92"/>
      <c r="Q61" s="94"/>
      <c r="R61" s="147"/>
      <c r="S61" s="147"/>
    </row>
    <row r="62" spans="1:19" s="6" customFormat="1" ht="9">
      <c r="A62" s="250" t="s">
        <v>27</v>
      </c>
      <c r="B62" s="245"/>
      <c r="C62" s="245"/>
      <c r="D62" s="246"/>
      <c r="E62" s="246"/>
      <c r="F62" s="246"/>
      <c r="G62" s="245"/>
      <c r="H62" s="245"/>
      <c r="I62" s="247"/>
      <c r="J62" s="247">
        <f t="shared" ref="J62:O62" si="16">SUM(J50:J61)</f>
        <v>0</v>
      </c>
      <c r="K62" s="247">
        <f t="shared" si="16"/>
        <v>0</v>
      </c>
      <c r="L62" s="247">
        <f t="shared" si="16"/>
        <v>0</v>
      </c>
      <c r="M62" s="246">
        <f t="shared" si="16"/>
        <v>0</v>
      </c>
      <c r="N62" s="246">
        <f t="shared" si="16"/>
        <v>0</v>
      </c>
      <c r="O62" s="246">
        <f t="shared" si="16"/>
        <v>0</v>
      </c>
      <c r="P62" s="247"/>
      <c r="Q62" s="248"/>
      <c r="R62" s="39">
        <f>SUM(R50:R61)</f>
        <v>0</v>
      </c>
    </row>
    <row r="63" spans="1:19" s="2" customFormat="1">
      <c r="A63" s="24" t="s">
        <v>400</v>
      </c>
      <c r="B63" s="25"/>
      <c r="C63" s="25"/>
      <c r="D63" s="25"/>
      <c r="E63" s="25"/>
      <c r="F63" s="50"/>
      <c r="G63" s="25"/>
      <c r="H63" s="25"/>
      <c r="I63" s="26"/>
      <c r="J63" s="27">
        <f t="shared" ref="J63:P63" si="17">J48+J62</f>
        <v>0</v>
      </c>
      <c r="K63" s="27">
        <f t="shared" si="17"/>
        <v>0</v>
      </c>
      <c r="L63" s="27">
        <f t="shared" si="17"/>
        <v>0</v>
      </c>
      <c r="M63" s="40">
        <f t="shared" si="17"/>
        <v>0</v>
      </c>
      <c r="N63" s="40">
        <f t="shared" si="17"/>
        <v>0</v>
      </c>
      <c r="O63" s="40">
        <f t="shared" si="17"/>
        <v>0</v>
      </c>
      <c r="P63" s="235">
        <f t="shared" si="17"/>
        <v>0</v>
      </c>
      <c r="Q63" s="236"/>
    </row>
    <row r="64" spans="1:19" ht="6" customHeight="1">
      <c r="B64" s="54"/>
      <c r="C64" s="54"/>
      <c r="D64" s="54"/>
      <c r="E64" s="54"/>
      <c r="F64" s="54"/>
      <c r="G64" s="54"/>
      <c r="H64" s="54"/>
      <c r="I64" s="55"/>
    </row>
    <row r="65" spans="1:17" s="14" customFormat="1" ht="9">
      <c r="A65" s="255" t="s">
        <v>104</v>
      </c>
      <c r="B65" s="97"/>
      <c r="C65" s="97"/>
      <c r="D65" s="97"/>
      <c r="E65" s="97"/>
      <c r="F65" s="97"/>
      <c r="G65" s="97"/>
      <c r="H65" s="97"/>
      <c r="I65" s="97"/>
      <c r="J65" s="97"/>
      <c r="K65" s="97"/>
      <c r="L65" s="97"/>
      <c r="M65" s="97"/>
      <c r="N65" s="97"/>
      <c r="O65" s="17"/>
      <c r="P65" s="17"/>
      <c r="Q65" s="15"/>
    </row>
    <row r="66" spans="1:17" s="14" customFormat="1" ht="9">
      <c r="B66" s="15"/>
      <c r="C66" s="15"/>
      <c r="D66" s="15"/>
      <c r="E66" s="15"/>
      <c r="F66" s="15"/>
      <c r="G66" s="15"/>
      <c r="H66" s="15"/>
      <c r="I66" s="16"/>
      <c r="J66" s="15"/>
      <c r="K66" s="15"/>
      <c r="L66" s="15"/>
      <c r="M66" s="15"/>
      <c r="N66" s="15"/>
      <c r="O66" s="17"/>
      <c r="P66" s="17"/>
      <c r="Q66" s="15"/>
    </row>
    <row r="67" spans="1:17" s="14" customFormat="1" ht="9">
      <c r="B67" s="15"/>
      <c r="C67" s="15"/>
      <c r="D67" s="15"/>
      <c r="E67" s="15"/>
      <c r="F67" s="15"/>
      <c r="G67" s="15"/>
      <c r="H67" s="15"/>
      <c r="I67" s="16"/>
      <c r="J67" s="15"/>
      <c r="K67" s="15"/>
      <c r="L67" s="15"/>
      <c r="M67" s="15"/>
      <c r="N67" s="15"/>
      <c r="O67" s="17"/>
      <c r="P67" s="17"/>
      <c r="Q67" s="15"/>
    </row>
    <row r="68" spans="1:17" s="14" customFormat="1" ht="9">
      <c r="B68" s="15"/>
      <c r="C68" s="15"/>
      <c r="D68" s="15"/>
      <c r="E68" s="15"/>
      <c r="F68" s="15"/>
      <c r="G68" s="15"/>
      <c r="H68" s="15"/>
      <c r="I68" s="16"/>
      <c r="J68" s="15"/>
      <c r="K68" s="15"/>
      <c r="L68" s="15"/>
      <c r="M68" s="15"/>
      <c r="N68" s="15"/>
      <c r="O68" s="17"/>
      <c r="P68" s="17"/>
      <c r="Q68" s="15"/>
    </row>
    <row r="69" spans="1:17" s="14" customFormat="1" ht="9">
      <c r="B69" s="15"/>
      <c r="C69" s="15"/>
      <c r="D69" s="15"/>
      <c r="E69" s="15"/>
      <c r="F69" s="15"/>
      <c r="G69" s="15"/>
      <c r="H69" s="15"/>
      <c r="I69" s="16"/>
      <c r="J69" s="15"/>
      <c r="K69" s="15"/>
      <c r="L69" s="15"/>
      <c r="M69" s="15"/>
      <c r="N69" s="15"/>
      <c r="O69" s="17"/>
      <c r="P69" s="17"/>
      <c r="Q69" s="15"/>
    </row>
    <row r="70" spans="1:17" s="14" customFormat="1" ht="9">
      <c r="B70" s="15"/>
      <c r="C70" s="15"/>
      <c r="D70" s="15"/>
      <c r="E70" s="15"/>
      <c r="F70" s="15"/>
      <c r="G70" s="15"/>
      <c r="H70" s="15"/>
      <c r="I70" s="16"/>
      <c r="J70" s="15"/>
      <c r="K70" s="15"/>
      <c r="L70" s="15"/>
      <c r="M70" s="15"/>
      <c r="N70" s="15"/>
      <c r="O70" s="17"/>
      <c r="P70" s="17"/>
      <c r="Q70" s="15"/>
    </row>
    <row r="71" spans="1:17" s="14" customFormat="1" ht="9">
      <c r="B71" s="15"/>
      <c r="C71" s="15"/>
      <c r="D71" s="15"/>
      <c r="E71" s="15"/>
      <c r="F71" s="15"/>
      <c r="G71" s="15"/>
      <c r="H71" s="15"/>
      <c r="I71" s="16"/>
      <c r="J71" s="15"/>
      <c r="K71" s="15"/>
      <c r="L71" s="15"/>
      <c r="M71" s="15"/>
      <c r="N71" s="15"/>
      <c r="O71" s="17"/>
      <c r="P71" s="17"/>
      <c r="Q71" s="15"/>
    </row>
    <row r="72" spans="1:17" s="14" customFormat="1" ht="9">
      <c r="B72" s="15"/>
      <c r="C72" s="15"/>
      <c r="D72" s="15"/>
      <c r="E72" s="15"/>
      <c r="F72" s="15"/>
      <c r="G72" s="15"/>
      <c r="H72" s="15"/>
      <c r="I72" s="16"/>
      <c r="J72" s="15"/>
      <c r="K72" s="15"/>
      <c r="L72" s="15"/>
      <c r="M72" s="15"/>
      <c r="N72" s="15"/>
      <c r="O72" s="17"/>
      <c r="P72" s="17"/>
      <c r="Q72" s="15"/>
    </row>
    <row r="73" spans="1:17" s="14" customFormat="1" ht="9">
      <c r="B73" s="15"/>
      <c r="C73" s="15"/>
      <c r="D73" s="15"/>
      <c r="E73" s="15"/>
      <c r="F73" s="15"/>
      <c r="G73" s="15"/>
      <c r="H73" s="15"/>
      <c r="I73" s="16"/>
      <c r="J73" s="15"/>
      <c r="K73" s="15"/>
      <c r="L73" s="15"/>
      <c r="M73" s="15"/>
      <c r="N73" s="15"/>
      <c r="O73" s="17"/>
      <c r="P73" s="17"/>
      <c r="Q73" s="15"/>
    </row>
    <row r="74" spans="1:17" s="14" customFormat="1" ht="9">
      <c r="B74" s="15"/>
      <c r="C74" s="15"/>
      <c r="D74" s="15"/>
      <c r="E74" s="15"/>
      <c r="F74" s="15"/>
      <c r="G74" s="15"/>
      <c r="H74" s="15"/>
      <c r="I74" s="16"/>
      <c r="J74" s="15"/>
      <c r="K74" s="15"/>
      <c r="L74" s="15"/>
      <c r="M74" s="15"/>
      <c r="N74" s="15"/>
      <c r="O74" s="17"/>
      <c r="P74" s="17"/>
      <c r="Q74" s="15"/>
    </row>
    <row r="75" spans="1:17" s="14" customFormat="1" ht="9">
      <c r="B75" s="15"/>
      <c r="C75" s="15"/>
      <c r="D75" s="15"/>
      <c r="E75" s="15"/>
      <c r="F75" s="15"/>
      <c r="G75" s="15"/>
      <c r="H75" s="15"/>
      <c r="I75" s="16"/>
      <c r="J75" s="15"/>
      <c r="K75" s="15"/>
      <c r="L75" s="15"/>
      <c r="M75" s="15"/>
      <c r="N75" s="15"/>
      <c r="O75" s="17"/>
      <c r="P75" s="17"/>
      <c r="Q75" s="15"/>
    </row>
    <row r="76" spans="1:17" s="14" customFormat="1" ht="9">
      <c r="B76" s="15"/>
      <c r="C76" s="15"/>
      <c r="D76" s="15"/>
      <c r="E76" s="15"/>
      <c r="F76" s="15"/>
      <c r="G76" s="15"/>
      <c r="H76" s="15"/>
      <c r="I76" s="16"/>
      <c r="J76" s="15"/>
      <c r="K76" s="15"/>
      <c r="L76" s="15"/>
      <c r="M76" s="15"/>
      <c r="N76" s="15"/>
      <c r="O76" s="17"/>
      <c r="P76" s="17"/>
      <c r="Q76" s="15"/>
    </row>
    <row r="77" spans="1:17" s="14" customFormat="1" ht="9">
      <c r="B77" s="15"/>
      <c r="C77" s="15"/>
      <c r="D77" s="15"/>
      <c r="E77" s="15"/>
      <c r="F77" s="15"/>
      <c r="G77" s="15"/>
      <c r="H77" s="15"/>
      <c r="I77" s="16"/>
      <c r="J77" s="15"/>
      <c r="K77" s="15"/>
      <c r="L77" s="15"/>
      <c r="M77" s="15"/>
      <c r="N77" s="15"/>
      <c r="O77" s="17"/>
      <c r="P77" s="17"/>
      <c r="Q77" s="15"/>
    </row>
    <row r="78" spans="1:17" s="14" customFormat="1" ht="9">
      <c r="B78" s="15"/>
      <c r="C78" s="15"/>
      <c r="D78" s="15"/>
      <c r="E78" s="15"/>
      <c r="F78" s="15"/>
      <c r="G78" s="15"/>
      <c r="H78" s="15"/>
      <c r="I78" s="16"/>
      <c r="J78" s="15"/>
      <c r="K78" s="15"/>
      <c r="L78" s="15"/>
      <c r="M78" s="15"/>
      <c r="N78" s="15"/>
      <c r="O78" s="17"/>
      <c r="P78" s="17"/>
      <c r="Q78" s="15"/>
    </row>
    <row r="79" spans="1:17" s="14" customFormat="1" ht="9">
      <c r="B79" s="15"/>
      <c r="C79" s="15"/>
      <c r="D79" s="15"/>
      <c r="E79" s="15"/>
      <c r="F79" s="15"/>
      <c r="G79" s="15"/>
      <c r="H79" s="15"/>
      <c r="I79" s="16"/>
      <c r="J79" s="15"/>
      <c r="K79" s="15"/>
      <c r="L79" s="15"/>
      <c r="M79" s="15"/>
      <c r="N79" s="15"/>
      <c r="O79" s="17"/>
      <c r="P79" s="17"/>
      <c r="Q79" s="15"/>
    </row>
    <row r="80" spans="1:17" s="14" customFormat="1" ht="9">
      <c r="B80" s="15"/>
      <c r="C80" s="15"/>
      <c r="D80" s="15"/>
      <c r="E80" s="15"/>
      <c r="F80" s="15"/>
      <c r="G80" s="15"/>
      <c r="H80" s="15"/>
      <c r="I80" s="16"/>
      <c r="J80" s="15"/>
      <c r="K80" s="15"/>
      <c r="L80" s="15"/>
      <c r="M80" s="15"/>
      <c r="N80" s="15"/>
      <c r="O80" s="17"/>
      <c r="P80" s="17"/>
      <c r="Q80" s="15"/>
    </row>
    <row r="81" spans="2:17" s="14" customFormat="1" ht="9">
      <c r="B81" s="15"/>
      <c r="C81" s="15"/>
      <c r="D81" s="15"/>
      <c r="E81" s="15"/>
      <c r="F81" s="15"/>
      <c r="G81" s="15"/>
      <c r="H81" s="15"/>
      <c r="I81" s="16"/>
      <c r="J81" s="15"/>
      <c r="K81" s="15"/>
      <c r="L81" s="15"/>
      <c r="M81" s="15"/>
      <c r="N81" s="15"/>
      <c r="O81" s="17"/>
      <c r="P81" s="17"/>
      <c r="Q81" s="15"/>
    </row>
    <row r="82" spans="2:17" s="14" customFormat="1" ht="9">
      <c r="B82" s="15"/>
      <c r="C82" s="15"/>
      <c r="D82" s="15"/>
      <c r="E82" s="15"/>
      <c r="F82" s="15"/>
      <c r="G82" s="15"/>
      <c r="H82" s="15"/>
      <c r="I82" s="16"/>
      <c r="J82" s="15"/>
      <c r="K82" s="15"/>
      <c r="L82" s="15"/>
      <c r="M82" s="15"/>
      <c r="N82" s="15"/>
      <c r="O82" s="17"/>
      <c r="P82" s="17"/>
      <c r="Q82" s="15"/>
    </row>
    <row r="83" spans="2:17" s="14" customFormat="1" ht="9">
      <c r="B83" s="15"/>
      <c r="C83" s="15"/>
      <c r="D83" s="15"/>
      <c r="E83" s="15"/>
      <c r="F83" s="15"/>
      <c r="G83" s="15"/>
      <c r="H83" s="15"/>
      <c r="I83" s="16"/>
      <c r="J83" s="15"/>
      <c r="K83" s="15"/>
      <c r="L83" s="15"/>
      <c r="M83" s="15"/>
      <c r="N83" s="15"/>
      <c r="O83" s="17"/>
      <c r="P83" s="17"/>
      <c r="Q83" s="15"/>
    </row>
    <row r="84" spans="2:17" s="14" customFormat="1" ht="9">
      <c r="B84" s="15"/>
      <c r="C84" s="15"/>
      <c r="D84" s="15"/>
      <c r="E84" s="15"/>
      <c r="F84" s="15"/>
      <c r="G84" s="15"/>
      <c r="H84" s="15"/>
      <c r="I84" s="16"/>
      <c r="J84" s="15"/>
      <c r="K84" s="15"/>
      <c r="L84" s="15"/>
      <c r="M84" s="15"/>
      <c r="N84" s="15"/>
      <c r="O84" s="17"/>
      <c r="P84" s="17"/>
      <c r="Q84" s="15"/>
    </row>
    <row r="85" spans="2:17" s="14" customFormat="1" ht="9">
      <c r="B85" s="15"/>
      <c r="C85" s="15"/>
      <c r="D85" s="15"/>
      <c r="E85" s="15"/>
      <c r="F85" s="15"/>
      <c r="G85" s="15"/>
      <c r="H85" s="15"/>
      <c r="I85" s="16"/>
      <c r="J85" s="15"/>
      <c r="K85" s="15"/>
      <c r="L85" s="15"/>
      <c r="M85" s="15"/>
      <c r="N85" s="15"/>
      <c r="O85" s="17"/>
      <c r="P85" s="17"/>
      <c r="Q85" s="15"/>
    </row>
    <row r="86" spans="2:17" s="14" customFormat="1" ht="9">
      <c r="B86" s="15"/>
      <c r="C86" s="15"/>
      <c r="D86" s="15"/>
      <c r="E86" s="15"/>
      <c r="F86" s="15"/>
      <c r="G86" s="15"/>
      <c r="H86" s="15"/>
      <c r="I86" s="16"/>
      <c r="J86" s="15"/>
      <c r="K86" s="15"/>
      <c r="L86" s="15"/>
      <c r="M86" s="15"/>
      <c r="N86" s="15"/>
      <c r="O86" s="17"/>
      <c r="P86" s="17"/>
      <c r="Q86" s="15"/>
    </row>
    <row r="87" spans="2:17" s="14" customFormat="1" ht="9">
      <c r="B87" s="15"/>
      <c r="C87" s="15"/>
      <c r="D87" s="15"/>
      <c r="E87" s="15"/>
      <c r="F87" s="15"/>
      <c r="G87" s="15"/>
      <c r="H87" s="15"/>
      <c r="I87" s="16"/>
      <c r="J87" s="15"/>
      <c r="K87" s="15"/>
      <c r="L87" s="15"/>
      <c r="M87" s="15"/>
      <c r="N87" s="15"/>
      <c r="O87" s="17"/>
      <c r="P87" s="17"/>
      <c r="Q87" s="15"/>
    </row>
    <row r="88" spans="2:17" s="14" customFormat="1" ht="9">
      <c r="B88" s="15"/>
      <c r="C88" s="15"/>
      <c r="D88" s="15"/>
      <c r="E88" s="15"/>
      <c r="F88" s="15"/>
      <c r="G88" s="15"/>
      <c r="H88" s="15"/>
      <c r="I88" s="16"/>
      <c r="J88" s="15"/>
      <c r="K88" s="15"/>
      <c r="L88" s="15"/>
      <c r="M88" s="15"/>
      <c r="N88" s="15"/>
      <c r="O88" s="17"/>
      <c r="P88" s="17"/>
      <c r="Q88" s="15"/>
    </row>
    <row r="89" spans="2:17" s="14" customFormat="1" ht="9">
      <c r="B89" s="15"/>
      <c r="C89" s="15"/>
      <c r="D89" s="15"/>
      <c r="E89" s="15"/>
      <c r="F89" s="15"/>
      <c r="G89" s="15"/>
      <c r="H89" s="15"/>
      <c r="I89" s="16"/>
      <c r="J89" s="15"/>
      <c r="K89" s="15"/>
      <c r="L89" s="15"/>
      <c r="M89" s="15"/>
      <c r="N89" s="15"/>
      <c r="O89" s="17"/>
      <c r="P89" s="17"/>
      <c r="Q89" s="15"/>
    </row>
    <row r="90" spans="2:17" s="14" customFormat="1" ht="9">
      <c r="B90" s="15"/>
      <c r="C90" s="15"/>
      <c r="D90" s="15"/>
      <c r="E90" s="15"/>
      <c r="F90" s="15"/>
      <c r="G90" s="15"/>
      <c r="H90" s="15"/>
      <c r="I90" s="16"/>
      <c r="J90" s="15"/>
      <c r="K90" s="15"/>
      <c r="L90" s="15"/>
      <c r="M90" s="15"/>
      <c r="N90" s="15"/>
      <c r="O90" s="17"/>
      <c r="P90" s="17"/>
      <c r="Q90" s="15"/>
    </row>
    <row r="91" spans="2:17" s="14" customFormat="1" ht="9">
      <c r="B91" s="15"/>
      <c r="C91" s="15"/>
      <c r="D91" s="15"/>
      <c r="E91" s="15"/>
      <c r="F91" s="15"/>
      <c r="G91" s="15"/>
      <c r="H91" s="15"/>
      <c r="I91" s="16"/>
      <c r="J91" s="15"/>
      <c r="K91" s="15"/>
      <c r="L91" s="15"/>
      <c r="M91" s="15"/>
      <c r="N91" s="15"/>
      <c r="O91" s="17"/>
      <c r="P91" s="17"/>
      <c r="Q91" s="15"/>
    </row>
    <row r="92" spans="2:17" s="14" customFormat="1" ht="9">
      <c r="B92" s="15"/>
      <c r="C92" s="15"/>
      <c r="D92" s="15"/>
      <c r="E92" s="15"/>
      <c r="F92" s="15"/>
      <c r="G92" s="15"/>
      <c r="H92" s="15"/>
      <c r="I92" s="16"/>
      <c r="J92" s="15"/>
      <c r="K92" s="15"/>
      <c r="L92" s="15"/>
      <c r="M92" s="15"/>
      <c r="N92" s="15"/>
      <c r="O92" s="17"/>
      <c r="P92" s="17"/>
      <c r="Q92" s="15"/>
    </row>
    <row r="93" spans="2:17" s="14" customFormat="1" ht="9">
      <c r="B93" s="15"/>
      <c r="C93" s="15"/>
      <c r="D93" s="15"/>
      <c r="E93" s="15"/>
      <c r="F93" s="15"/>
      <c r="G93" s="15"/>
      <c r="H93" s="15"/>
      <c r="I93" s="16"/>
      <c r="J93" s="15"/>
      <c r="K93" s="15"/>
      <c r="L93" s="15"/>
      <c r="M93" s="15"/>
      <c r="N93" s="15"/>
      <c r="O93" s="17"/>
      <c r="P93" s="17"/>
      <c r="Q93" s="15"/>
    </row>
    <row r="94" spans="2:17" s="14" customFormat="1" ht="9">
      <c r="B94" s="15"/>
      <c r="C94" s="15"/>
      <c r="D94" s="15"/>
      <c r="E94" s="15"/>
      <c r="F94" s="15"/>
      <c r="G94" s="15"/>
      <c r="H94" s="15"/>
      <c r="I94" s="16"/>
      <c r="J94" s="15"/>
      <c r="K94" s="15"/>
      <c r="L94" s="15"/>
      <c r="M94" s="15"/>
      <c r="N94" s="15"/>
      <c r="O94" s="17"/>
      <c r="P94" s="17"/>
      <c r="Q94" s="15"/>
    </row>
    <row r="95" spans="2:17" s="14" customFormat="1" ht="9">
      <c r="B95" s="15"/>
      <c r="C95" s="15"/>
      <c r="D95" s="15"/>
      <c r="E95" s="15"/>
      <c r="F95" s="15"/>
      <c r="G95" s="15"/>
      <c r="H95" s="15"/>
      <c r="I95" s="16"/>
      <c r="J95" s="15"/>
      <c r="K95" s="15"/>
      <c r="L95" s="15"/>
      <c r="M95" s="15"/>
      <c r="N95" s="15"/>
      <c r="O95" s="17"/>
      <c r="P95" s="17"/>
      <c r="Q95" s="15"/>
    </row>
    <row r="96" spans="2:17" s="14" customFormat="1" ht="9">
      <c r="B96" s="15"/>
      <c r="C96" s="15"/>
      <c r="D96" s="15"/>
      <c r="E96" s="15"/>
      <c r="F96" s="15"/>
      <c r="G96" s="15"/>
      <c r="H96" s="15"/>
      <c r="I96" s="16"/>
      <c r="J96" s="15"/>
      <c r="K96" s="15"/>
      <c r="L96" s="15"/>
      <c r="M96" s="15"/>
      <c r="N96" s="15"/>
      <c r="O96" s="17"/>
      <c r="P96" s="17"/>
      <c r="Q96" s="15"/>
    </row>
    <row r="97" spans="2:17" s="14" customFormat="1" ht="9">
      <c r="B97" s="15"/>
      <c r="C97" s="15"/>
      <c r="D97" s="15"/>
      <c r="E97" s="15"/>
      <c r="F97" s="15"/>
      <c r="G97" s="15"/>
      <c r="H97" s="15"/>
      <c r="I97" s="16"/>
      <c r="J97" s="15"/>
      <c r="K97" s="15"/>
      <c r="L97" s="15"/>
      <c r="M97" s="15"/>
      <c r="N97" s="15"/>
      <c r="O97" s="17"/>
      <c r="P97" s="17"/>
      <c r="Q97" s="15"/>
    </row>
    <row r="98" spans="2:17" s="14" customFormat="1" ht="9">
      <c r="B98" s="15"/>
      <c r="C98" s="15"/>
      <c r="D98" s="15"/>
      <c r="E98" s="15"/>
      <c r="F98" s="15"/>
      <c r="G98" s="15"/>
      <c r="H98" s="15"/>
      <c r="I98" s="16"/>
      <c r="J98" s="15"/>
      <c r="K98" s="15"/>
      <c r="L98" s="15"/>
      <c r="M98" s="15"/>
      <c r="N98" s="15"/>
      <c r="O98" s="17"/>
      <c r="P98" s="17"/>
      <c r="Q98" s="15"/>
    </row>
    <row r="99" spans="2:17" s="14" customFormat="1" ht="9">
      <c r="B99" s="15"/>
      <c r="C99" s="15"/>
      <c r="D99" s="15"/>
      <c r="E99" s="15"/>
      <c r="F99" s="15"/>
      <c r="G99" s="15"/>
      <c r="H99" s="15"/>
      <c r="I99" s="16"/>
      <c r="J99" s="15"/>
      <c r="K99" s="15"/>
      <c r="L99" s="15"/>
      <c r="M99" s="15"/>
      <c r="N99" s="15"/>
      <c r="O99" s="17"/>
      <c r="P99" s="17"/>
      <c r="Q99" s="15"/>
    </row>
    <row r="100" spans="2:17" s="14" customFormat="1" ht="9">
      <c r="B100" s="15"/>
      <c r="C100" s="15"/>
      <c r="D100" s="15"/>
      <c r="E100" s="15"/>
      <c r="F100" s="15"/>
      <c r="G100" s="15"/>
      <c r="H100" s="15"/>
      <c r="I100" s="16"/>
      <c r="J100" s="15"/>
      <c r="K100" s="15"/>
      <c r="L100" s="15"/>
      <c r="M100" s="15"/>
      <c r="N100" s="15"/>
      <c r="O100" s="17"/>
      <c r="P100" s="17"/>
      <c r="Q100" s="15"/>
    </row>
    <row r="101" spans="2:17" s="14" customFormat="1" ht="9">
      <c r="B101" s="15"/>
      <c r="C101" s="15"/>
      <c r="D101" s="15"/>
      <c r="E101" s="15"/>
      <c r="F101" s="15"/>
      <c r="G101" s="15"/>
      <c r="H101" s="15"/>
      <c r="I101" s="16"/>
      <c r="J101" s="15"/>
      <c r="K101" s="15"/>
      <c r="L101" s="15"/>
      <c r="M101" s="15"/>
      <c r="N101" s="15"/>
      <c r="O101" s="17"/>
      <c r="P101" s="17"/>
      <c r="Q101" s="15"/>
    </row>
    <row r="102" spans="2:17">
      <c r="P102" s="17"/>
    </row>
    <row r="103" spans="2:17">
      <c r="P103" s="17"/>
    </row>
  </sheetData>
  <mergeCells count="2">
    <mergeCell ref="A1:Q1"/>
    <mergeCell ref="A2:Q2"/>
  </mergeCells>
  <phoneticPr fontId="7" type="noConversion"/>
  <pageMargins left="0.25" right="0.25" top="0.5" bottom="0.75" header="0.5" footer="0.5"/>
  <pageSetup scale="64" orientation="landscape" r:id="rId1"/>
  <headerFooter alignWithMargins="0"/>
</worksheet>
</file>

<file path=xl/worksheets/sheet2.xml><?xml version="1.0" encoding="utf-8"?>
<worksheet xmlns="http://schemas.openxmlformats.org/spreadsheetml/2006/main" xmlns:r="http://schemas.openxmlformats.org/officeDocument/2006/relationships">
  <dimension ref="A1:E15"/>
  <sheetViews>
    <sheetView workbookViewId="0">
      <selection activeCell="A2" sqref="A2:Q2"/>
    </sheetView>
  </sheetViews>
  <sheetFormatPr defaultRowHeight="12.75"/>
  <cols>
    <col min="2" max="2" width="11.7109375" customWidth="1"/>
    <col min="3" max="3" width="13" customWidth="1"/>
    <col min="4" max="4" width="12.5703125" customWidth="1"/>
    <col min="5" max="5" width="14.85546875" customWidth="1"/>
  </cols>
  <sheetData>
    <row r="1" spans="1:5" ht="13.5" thickBot="1">
      <c r="A1" s="157" t="s">
        <v>210</v>
      </c>
      <c r="B1" s="158" t="s">
        <v>212</v>
      </c>
      <c r="C1" s="159" t="s">
        <v>214</v>
      </c>
      <c r="D1" s="159" t="s">
        <v>309</v>
      </c>
      <c r="E1" s="160" t="s">
        <v>220</v>
      </c>
    </row>
    <row r="2" spans="1:5" ht="64.5" thickBot="1">
      <c r="A2" s="162" t="s">
        <v>310</v>
      </c>
      <c r="B2" s="163" t="s">
        <v>311</v>
      </c>
      <c r="C2" s="164" t="s">
        <v>312</v>
      </c>
      <c r="D2" s="164" t="s">
        <v>313</v>
      </c>
      <c r="E2" s="165" t="s">
        <v>314</v>
      </c>
    </row>
    <row r="3" spans="1:5" ht="51">
      <c r="A3" s="161" t="s">
        <v>315</v>
      </c>
      <c r="B3" s="355">
        <f>SUM('Summary 2'!$D$3:$D$4)</f>
        <v>119</v>
      </c>
      <c r="C3" s="356">
        <f>'Fac-ExistLrgSolid-Yr1'!R52+'Fac-ExistLrgSolid-Yr2'!R52+'Fac-ExistLrgSolid-Yr3'!R52</f>
        <v>110349070</v>
      </c>
      <c r="D3" s="356">
        <f>'Fac-ExistLrgSolid-Yr1'!S52+'Fac-ExistLrgSolid-Yr2'!S52+'Fac-ExistLrgSolid-Yr3'!S52</f>
        <v>99173831</v>
      </c>
      <c r="E3" s="357">
        <f>C3/3</f>
        <v>36783023.333333336</v>
      </c>
    </row>
    <row r="4" spans="1:5" ht="38.25">
      <c r="A4" s="151" t="s">
        <v>316</v>
      </c>
      <c r="B4" s="75">
        <f>SUM('Summary 2'!$B$3:$B$4)</f>
        <v>0</v>
      </c>
      <c r="C4" s="358">
        <f>'Fac-NewLrgSolid-Yr1'!R48+'Fac-NewLrgSolid-Yr2'!R48+'Fac-NewLrgSolid-Yr3'!R48</f>
        <v>0</v>
      </c>
      <c r="D4" s="358">
        <f>'Fac-NewLrgSolid-Yr1'!S48+'Fac-NewLrgSolid-Yr2'!S48+'Fac-NewLrgSolid-Yr3'!S48</f>
        <v>0</v>
      </c>
      <c r="E4" s="359">
        <f t="shared" ref="E4:E14" si="0">C4/3</f>
        <v>0</v>
      </c>
    </row>
    <row r="5" spans="1:5" ht="51">
      <c r="A5" s="151" t="s">
        <v>317</v>
      </c>
      <c r="B5" s="69">
        <f>SUM('Summary 2'!$D$9:$D$10)</f>
        <v>4</v>
      </c>
      <c r="C5" s="358">
        <f>'Fac - ExistSmlSolid-Yr1'!R20+'Fac - ExistSmlSolid-Yr2'!R20+'Fac - ExistSmlSolid-Yr3'!R20</f>
        <v>153376</v>
      </c>
      <c r="D5" s="358">
        <f>'Fac - ExistSmlSolid-Yr1'!S20+'Fac - ExistSmlSolid-Yr2'!S20+'Fac - ExistSmlSolid-Yr3'!S20</f>
        <v>0</v>
      </c>
      <c r="E5" s="359">
        <f>C5/3</f>
        <v>51125.333333333336</v>
      </c>
    </row>
    <row r="6" spans="1:5" ht="38.25">
      <c r="A6" s="151" t="s">
        <v>318</v>
      </c>
      <c r="B6" s="75">
        <f>SUM('Summary 2'!$B$9:$B$10)</f>
        <v>0</v>
      </c>
      <c r="C6" s="358">
        <f>'Fac-NewSmlSolid-Yr1'!R16+'Fac-NewSmlSolid-Yr2'!R16+'Fac-NewSmlSolid-Yr3'!R16</f>
        <v>0</v>
      </c>
      <c r="D6" s="358">
        <f>'Fac-NewSmlSolid-Yr1'!S16+'Fac-NewSmlSolid-Yr2'!S16+'Fac-NewSmlSolid-Yr3'!S16</f>
        <v>0</v>
      </c>
      <c r="E6" s="359">
        <f t="shared" si="0"/>
        <v>0</v>
      </c>
    </row>
    <row r="7" spans="1:5" ht="51">
      <c r="A7" s="151" t="s">
        <v>319</v>
      </c>
      <c r="B7" s="75">
        <f>SUM('Summary 2'!$D$5)</f>
        <v>58</v>
      </c>
      <c r="C7" s="358">
        <f>'Fac-ExistLrgLiquid-Yr1'!R52+'Fac-ExistLrgLiquid-Yr2'!R52+'Fac-ExistLrgLiquid-Yr3'!R52</f>
        <v>36026848</v>
      </c>
      <c r="D7" s="358">
        <f>'Fac-ExistLrgLiquid-Yr1'!S52+'Fac-ExistLrgLiquid-Yr2'!S52+'Fac-ExistLrgLiquid-Yr3'!S52</f>
        <v>36889238</v>
      </c>
      <c r="E7" s="359">
        <f t="shared" si="0"/>
        <v>12008949.333333334</v>
      </c>
    </row>
    <row r="8" spans="1:5" ht="38.25">
      <c r="A8" s="151" t="s">
        <v>320</v>
      </c>
      <c r="B8" s="75">
        <f>SUM('Summary 2'!$B$5)</f>
        <v>4</v>
      </c>
      <c r="C8" s="358">
        <f>'Fac-NewLrgLiquid-Yr1'!R48+'Fac-NewLrgLiquid-Yr2'!R48+'Fac-NewLrgLiquid-Yr3'!R48</f>
        <v>1198056</v>
      </c>
      <c r="D8" s="358">
        <f>'Fac-NewLrgLiquid-Yr1'!S48+'Fac-NewLrgLiquid-Yr2'!S48+'Fac-NewLrgLiquid-Yr3'!S48</f>
        <v>1508230</v>
      </c>
      <c r="E8" s="359">
        <f t="shared" si="0"/>
        <v>399352</v>
      </c>
    </row>
    <row r="9" spans="1:5" ht="51">
      <c r="A9" s="151" t="s">
        <v>321</v>
      </c>
      <c r="B9" s="75">
        <f>SUM('Summary 2'!$D$11)</f>
        <v>42</v>
      </c>
      <c r="C9" s="358">
        <f>'Fac - ExistSmlLiquid-Yr1'!R20+'Fac - ExistSmlLiquid-Yr2'!R20+'Fac - ExistSmlLiquid-Yr3'!R20</f>
        <v>1461260</v>
      </c>
      <c r="D9" s="358">
        <f>'Fac - ExistSmlLiquid-Yr1'!S20+'Fac - ExistSmlLiquid-Yr2'!S20+'Fac - ExistSmlLiquid-Yr3'!S20</f>
        <v>0</v>
      </c>
      <c r="E9" s="359">
        <f t="shared" si="0"/>
        <v>487086.66666666669</v>
      </c>
    </row>
    <row r="10" spans="1:5" ht="38.25">
      <c r="A10" s="151" t="s">
        <v>322</v>
      </c>
      <c r="B10" s="75">
        <f>SUM('Summary 2'!$B$11)</f>
        <v>1</v>
      </c>
      <c r="C10" s="358">
        <f>'Fac-NewSmlLiquid-Yr1'!R16+'Fac-NewSmlLiquid-Yr2'!R16+'Fac-NewSmlLiquid-Yr3'!R16</f>
        <v>6684</v>
      </c>
      <c r="D10" s="358">
        <f>'Fac-NewSmlLiquid-Yr1'!S16+'Fac-NewSmlLiquid-Yr2'!S16+'Fac-NewSmlLiquid-Yr3'!S16</f>
        <v>0</v>
      </c>
      <c r="E10" s="359">
        <f t="shared" si="0"/>
        <v>2228</v>
      </c>
    </row>
    <row r="11" spans="1:5" ht="51">
      <c r="A11" s="151" t="s">
        <v>323</v>
      </c>
      <c r="B11" s="75">
        <f>SUM('Summary 2'!$D$6:$D$8)</f>
        <v>529</v>
      </c>
      <c r="C11" s="358">
        <f>'Fac-ExistLrgGas-Yr1'!R53+'Fac-ExistLrgGas-Yr2'!R53+'Fac-ExistLrgGas-Yr3'!R53</f>
        <v>32570074</v>
      </c>
      <c r="D11" s="358">
        <f>'Fac-ExistLrgGas-Yr1'!S53+'Fac-ExistLrgGas-Yr2'!S53+'Fac-ExistLrgGas-Yr3'!S53</f>
        <v>381388</v>
      </c>
      <c r="E11" s="359">
        <f t="shared" si="0"/>
        <v>10856691.333333334</v>
      </c>
    </row>
    <row r="12" spans="1:5" ht="38.25">
      <c r="A12" s="151" t="s">
        <v>324</v>
      </c>
      <c r="B12" s="75">
        <f>SUM('Summary 2'!$B$6:$B$8)</f>
        <v>2</v>
      </c>
      <c r="C12" s="358">
        <f>'Fac-NewLrgGas-Yr1'!R47+'Fac-NewLrgGas-Yr2'!R47+'Fac-NewLrgGas-Yr3'!R47</f>
        <v>43125</v>
      </c>
      <c r="D12" s="358">
        <f>'Fac-NewLrgGas-Yr1'!S47+'Fac-NewLrgGas-Yr2'!S47+'Fac-NewLrgGas-Yr3'!S47</f>
        <v>0</v>
      </c>
      <c r="E12" s="359">
        <f t="shared" si="0"/>
        <v>14375</v>
      </c>
    </row>
    <row r="13" spans="1:5" ht="51">
      <c r="A13" s="151" t="s">
        <v>325</v>
      </c>
      <c r="B13" s="75">
        <f>SUM('Summary 2'!$D$12)</f>
        <v>887</v>
      </c>
      <c r="C13" s="358">
        <f>'Fac - ExistSmlGas-Yr1'!R20+'Fac - ExistSmlGas-Yr2'!R20+'Fac - ExistSmlGas-Yr3'!R20</f>
        <v>26099949.32</v>
      </c>
      <c r="D13" s="358">
        <f>'Fac - ExistSmlGas-Yr1'!S20+'Fac - ExistSmlGas-Yr2'!S20+'Fac - ExistSmlGas-Yr3'!S20</f>
        <v>0</v>
      </c>
      <c r="E13" s="359">
        <f t="shared" si="0"/>
        <v>8699983.1066666674</v>
      </c>
    </row>
    <row r="14" spans="1:5" ht="39" thickBot="1">
      <c r="A14" s="152" t="s">
        <v>326</v>
      </c>
      <c r="B14" s="360">
        <f>SUM('Summary 2'!$B$12)</f>
        <v>9</v>
      </c>
      <c r="C14" s="361">
        <f>'Fac-NewSmlGas-Yr1'!R16+'Fac-NewSmlGas-Yr2'!R16+'Fac-NewSmlGas-Yr3'!R16</f>
        <v>62384</v>
      </c>
      <c r="D14" s="361">
        <f>'Fac-NewSmlGas-Yr1'!S16+'Fac-NewSmlGas-Yr2'!S16+'Fac-NewSmlGas-Yr3'!S16</f>
        <v>0</v>
      </c>
      <c r="E14" s="362">
        <f t="shared" si="0"/>
        <v>20794.666666666668</v>
      </c>
    </row>
    <row r="15" spans="1:5" ht="13.5" thickBot="1">
      <c r="A15" s="155" t="s">
        <v>449</v>
      </c>
      <c r="B15" s="166">
        <f>SUM(B3:B14)</f>
        <v>1655</v>
      </c>
      <c r="C15" s="156">
        <f>SUM(C3:C14)</f>
        <v>207970826.31999999</v>
      </c>
      <c r="D15" s="156">
        <f>SUM(D3:D14)</f>
        <v>137952687</v>
      </c>
      <c r="E15" s="156">
        <f>SUM(E3:E14)</f>
        <v>69323608.773333341</v>
      </c>
    </row>
  </sheetData>
  <phoneticPr fontId="7" type="noConversion"/>
  <pageMargins left="0.75" right="0.75" top="1" bottom="1" header="0.5" footer="0.5"/>
  <pageSetup orientation="portrait" r:id="rId1"/>
  <headerFooter alignWithMargins="0"/>
</worksheet>
</file>

<file path=xl/worksheets/sheet20.xml><?xml version="1.0" encoding="utf-8"?>
<worksheet xmlns="http://schemas.openxmlformats.org/spreadsheetml/2006/main" xmlns:r="http://schemas.openxmlformats.org/officeDocument/2006/relationships">
  <sheetPr>
    <pageSetUpPr fitToPage="1"/>
  </sheetPr>
  <dimension ref="A1:U106"/>
  <sheetViews>
    <sheetView zoomScaleNormal="100" workbookViewId="0">
      <pane xSplit="1" ySplit="3" topLeftCell="B4" activePane="bottomRight" state="frozen"/>
      <selection activeCell="P31" sqref="P31"/>
      <selection pane="topRight" activeCell="P31" sqref="P31"/>
      <selection pane="bottomLeft" activeCell="P31" sqref="P31"/>
      <selection pane="bottomRight" activeCell="O41" sqref="O41"/>
    </sheetView>
  </sheetViews>
  <sheetFormatPr defaultRowHeight="11.25"/>
  <cols>
    <col min="1" max="1" width="36.5703125" style="1" customWidth="1"/>
    <col min="2" max="2" width="8.85546875" style="7" bestFit="1" customWidth="1"/>
    <col min="3" max="3" width="8" style="7" hidden="1" customWidth="1"/>
    <col min="4" max="4" width="8.42578125" style="7" bestFit="1" customWidth="1"/>
    <col min="5" max="5" width="8.85546875" style="7" bestFit="1" customWidth="1"/>
    <col min="6" max="6" width="8" style="7" customWidth="1"/>
    <col min="7" max="7" width="9.28515625" style="7" bestFit="1" customWidth="1"/>
    <col min="8" max="8" width="8.42578125" style="7" customWidth="1"/>
    <col min="9" max="9" width="9.42578125" style="11" bestFit="1" customWidth="1"/>
    <col min="10" max="11" width="6.85546875" style="7" bestFit="1" customWidth="1"/>
    <col min="12" max="12" width="8.85546875" style="7" customWidth="1"/>
    <col min="13" max="13" width="7.85546875" style="7" hidden="1" customWidth="1"/>
    <col min="14" max="14" width="9" style="7" customWidth="1"/>
    <col min="15" max="15" width="10.140625" style="8" bestFit="1" customWidth="1"/>
    <col min="16" max="16" width="10" style="8" bestFit="1" customWidth="1"/>
    <col min="17" max="17" width="3.7109375" style="7" customWidth="1"/>
    <col min="18" max="19" width="0" style="1" hidden="1" customWidth="1"/>
    <col min="20" max="20" width="11.140625" style="1" customWidth="1"/>
    <col min="21" max="21" width="8.5703125" style="1" customWidth="1"/>
    <col min="22" max="16384" width="9.140625" style="1"/>
  </cols>
  <sheetData>
    <row r="1" spans="1:21">
      <c r="A1" s="395" t="s">
        <v>193</v>
      </c>
      <c r="B1" s="395"/>
      <c r="C1" s="395"/>
      <c r="D1" s="395"/>
      <c r="E1" s="395"/>
      <c r="F1" s="395"/>
      <c r="G1" s="395"/>
      <c r="H1" s="395"/>
      <c r="I1" s="395"/>
      <c r="J1" s="395"/>
      <c r="K1" s="395"/>
      <c r="L1" s="395"/>
      <c r="M1" s="395"/>
      <c r="N1" s="395"/>
      <c r="O1" s="395"/>
      <c r="P1" s="395"/>
      <c r="Q1" s="395"/>
    </row>
    <row r="2" spans="1:21">
      <c r="A2" s="407" t="s">
        <v>191</v>
      </c>
      <c r="B2" s="407"/>
      <c r="C2" s="407"/>
      <c r="D2" s="407"/>
      <c r="E2" s="407"/>
      <c r="F2" s="407"/>
      <c r="G2" s="407"/>
      <c r="H2" s="407"/>
      <c r="I2" s="407"/>
      <c r="J2" s="407"/>
      <c r="K2" s="407"/>
      <c r="L2" s="407"/>
      <c r="M2" s="407"/>
      <c r="N2" s="407"/>
      <c r="O2" s="407"/>
      <c r="P2" s="407"/>
      <c r="Q2" s="407"/>
    </row>
    <row r="3" spans="1:21" s="3" customFormat="1" ht="63">
      <c r="A3" s="45" t="s">
        <v>392</v>
      </c>
      <c r="B3" s="12" t="s">
        <v>393</v>
      </c>
      <c r="C3" s="12" t="s">
        <v>430</v>
      </c>
      <c r="D3" s="12" t="s">
        <v>4</v>
      </c>
      <c r="E3" s="12" t="s">
        <v>6</v>
      </c>
      <c r="F3" s="12" t="s">
        <v>5</v>
      </c>
      <c r="G3" s="12" t="s">
        <v>176</v>
      </c>
      <c r="H3" s="12" t="s">
        <v>459</v>
      </c>
      <c r="I3" s="60" t="s">
        <v>460</v>
      </c>
      <c r="J3" s="13" t="s">
        <v>462</v>
      </c>
      <c r="K3" s="13" t="s">
        <v>463</v>
      </c>
      <c r="L3" s="13" t="s">
        <v>461</v>
      </c>
      <c r="M3" s="12" t="s">
        <v>391</v>
      </c>
      <c r="N3" s="12" t="s">
        <v>8</v>
      </c>
      <c r="O3" s="13" t="s">
        <v>9</v>
      </c>
      <c r="P3" s="13" t="s">
        <v>175</v>
      </c>
      <c r="Q3" s="28" t="s">
        <v>394</v>
      </c>
      <c r="R3" s="3" t="s">
        <v>307</v>
      </c>
      <c r="S3" s="3" t="s">
        <v>308</v>
      </c>
    </row>
    <row r="4" spans="1:21" s="6" customFormat="1" ht="9">
      <c r="A4" s="21" t="s">
        <v>405</v>
      </c>
      <c r="B4" s="22" t="s">
        <v>433</v>
      </c>
      <c r="C4" s="22"/>
      <c r="D4" s="38"/>
      <c r="E4" s="38"/>
      <c r="F4" s="38"/>
      <c r="G4" s="22"/>
      <c r="H4" s="22"/>
      <c r="I4" s="23"/>
      <c r="J4" s="23"/>
      <c r="K4" s="23"/>
      <c r="L4" s="23"/>
      <c r="M4" s="22"/>
      <c r="N4" s="38"/>
      <c r="O4" s="38"/>
      <c r="P4" s="38"/>
      <c r="Q4" s="237"/>
    </row>
    <row r="5" spans="1:21" s="6" customFormat="1" ht="9">
      <c r="A5" s="20" t="s">
        <v>406</v>
      </c>
      <c r="B5" s="18" t="s">
        <v>433</v>
      </c>
      <c r="C5" s="18"/>
      <c r="D5" s="39"/>
      <c r="E5" s="39"/>
      <c r="F5" s="39"/>
      <c r="G5" s="18"/>
      <c r="H5" s="18"/>
      <c r="I5" s="19"/>
      <c r="J5" s="19"/>
      <c r="K5" s="19"/>
      <c r="L5" s="19"/>
      <c r="M5" s="18"/>
      <c r="N5" s="39"/>
      <c r="O5" s="39"/>
      <c r="P5" s="39"/>
      <c r="Q5" s="29"/>
    </row>
    <row r="6" spans="1:21" s="6" customFormat="1" ht="9">
      <c r="A6" s="20" t="s">
        <v>407</v>
      </c>
      <c r="B6" s="18"/>
      <c r="C6" s="18"/>
      <c r="D6" s="39"/>
      <c r="E6" s="39"/>
      <c r="F6" s="39"/>
      <c r="G6" s="18"/>
      <c r="H6" s="18"/>
      <c r="I6" s="19"/>
      <c r="J6" s="19"/>
      <c r="K6" s="19"/>
      <c r="L6" s="19"/>
      <c r="M6" s="18"/>
      <c r="N6" s="39"/>
      <c r="O6" s="39"/>
      <c r="P6" s="19">
        <f>G6*I6</f>
        <v>0</v>
      </c>
      <c r="Q6" s="29"/>
    </row>
    <row r="7" spans="1:21" s="6" customFormat="1" ht="9">
      <c r="A7" s="143" t="s">
        <v>408</v>
      </c>
      <c r="B7" s="44">
        <v>40</v>
      </c>
      <c r="C7" s="44"/>
      <c r="D7" s="52">
        <v>0</v>
      </c>
      <c r="E7" s="52">
        <v>0</v>
      </c>
      <c r="F7" s="52">
        <v>0</v>
      </c>
      <c r="G7" s="44">
        <v>1</v>
      </c>
      <c r="H7" s="44">
        <f>B7*G7</f>
        <v>40</v>
      </c>
      <c r="I7" s="91">
        <v>0</v>
      </c>
      <c r="J7" s="92">
        <f>H7*I7</f>
        <v>0</v>
      </c>
      <c r="K7" s="92">
        <f>J7*0.1</f>
        <v>0</v>
      </c>
      <c r="L7" s="91">
        <f>J7*0.05</f>
        <v>0</v>
      </c>
      <c r="M7" s="44">
        <f>C7*G7*I7</f>
        <v>0</v>
      </c>
      <c r="N7" s="52">
        <f>(J7*'Base Data'!$C$5)+(K7*'Base Data'!$C$6)+(L7*'Base Data'!$C$7)</f>
        <v>0</v>
      </c>
      <c r="O7" s="52">
        <f>(D7+E7+F7)*G7*I7</f>
        <v>0</v>
      </c>
      <c r="P7" s="92">
        <f t="shared" ref="P7:P46" si="0">G7*I7</f>
        <v>0</v>
      </c>
      <c r="Q7" s="94" t="s">
        <v>387</v>
      </c>
      <c r="R7" s="147"/>
      <c r="S7" s="147"/>
    </row>
    <row r="8" spans="1:21" s="6" customFormat="1" ht="9">
      <c r="A8" s="142" t="s">
        <v>409</v>
      </c>
      <c r="B8" s="44"/>
      <c r="C8" s="44"/>
      <c r="D8" s="52"/>
      <c r="E8" s="52"/>
      <c r="F8" s="52"/>
      <c r="G8" s="44"/>
      <c r="H8" s="44"/>
      <c r="I8" s="92"/>
      <c r="J8" s="92"/>
      <c r="K8" s="92"/>
      <c r="L8" s="92"/>
      <c r="M8" s="44"/>
      <c r="N8" s="52"/>
      <c r="O8" s="52"/>
      <c r="P8" s="92"/>
      <c r="Q8" s="94"/>
      <c r="R8" s="147"/>
      <c r="S8" s="147"/>
      <c r="U8" s="30"/>
    </row>
    <row r="9" spans="1:21" s="6" customFormat="1" ht="9">
      <c r="A9" s="143" t="s">
        <v>486</v>
      </c>
      <c r="B9" s="44">
        <v>12</v>
      </c>
      <c r="C9" s="44"/>
      <c r="D9" s="52">
        <v>0</v>
      </c>
      <c r="E9" s="52">
        <f>'Testing Costs'!$B$13</f>
        <v>5000</v>
      </c>
      <c r="F9" s="52">
        <v>0</v>
      </c>
      <c r="G9" s="44">
        <v>1</v>
      </c>
      <c r="H9" s="44">
        <f t="shared" ref="H9:H21" si="1">B9*G9</f>
        <v>12</v>
      </c>
      <c r="I9" s="91">
        <v>0</v>
      </c>
      <c r="J9" s="92">
        <f t="shared" ref="J9:J21" si="2">H9*I9</f>
        <v>0</v>
      </c>
      <c r="K9" s="92">
        <f t="shared" ref="K9:K21" si="3">J9*0.1</f>
        <v>0</v>
      </c>
      <c r="L9" s="92">
        <f t="shared" ref="L9:L21" si="4">J9*0.05</f>
        <v>0</v>
      </c>
      <c r="M9" s="93"/>
      <c r="N9" s="52">
        <f>(J9*'Base Data'!$C$5)+(K9*'Base Data'!$C$6)+(L9*'Base Data'!$C$7)</f>
        <v>0</v>
      </c>
      <c r="O9" s="52">
        <f t="shared" ref="O9:O21" si="5">(D9+E9+F9)*G9*I9</f>
        <v>0</v>
      </c>
      <c r="P9" s="92">
        <f t="shared" si="0"/>
        <v>0</v>
      </c>
      <c r="Q9" s="94"/>
      <c r="R9" s="147"/>
      <c r="S9" s="147"/>
      <c r="U9" s="30"/>
    </row>
    <row r="10" spans="1:21" s="6" customFormat="1" ht="9">
      <c r="A10" s="143" t="s">
        <v>133</v>
      </c>
      <c r="B10" s="44">
        <v>12</v>
      </c>
      <c r="C10" s="44"/>
      <c r="D10" s="52">
        <v>0</v>
      </c>
      <c r="E10" s="52">
        <f>'Testing Costs'!$B$17</f>
        <v>8000</v>
      </c>
      <c r="F10" s="52">
        <v>0</v>
      </c>
      <c r="G10" s="44">
        <v>1</v>
      </c>
      <c r="H10" s="44">
        <f t="shared" si="1"/>
        <v>12</v>
      </c>
      <c r="I10" s="91">
        <v>0</v>
      </c>
      <c r="J10" s="92">
        <f t="shared" si="2"/>
        <v>0</v>
      </c>
      <c r="K10" s="92">
        <f t="shared" si="3"/>
        <v>0</v>
      </c>
      <c r="L10" s="92">
        <f t="shared" si="4"/>
        <v>0</v>
      </c>
      <c r="M10" s="93"/>
      <c r="N10" s="52">
        <f>(J10*'Base Data'!$C$5)+(K10*'Base Data'!$C$6)+(L10*'Base Data'!$C$7)</f>
        <v>0</v>
      </c>
      <c r="O10" s="52">
        <f t="shared" si="5"/>
        <v>0</v>
      </c>
      <c r="P10" s="92">
        <f t="shared" si="0"/>
        <v>0</v>
      </c>
      <c r="Q10" s="94"/>
      <c r="R10" s="147"/>
      <c r="S10" s="147"/>
      <c r="U10" s="30"/>
    </row>
    <row r="11" spans="1:21" s="6" customFormat="1" ht="9">
      <c r="A11" s="143" t="s">
        <v>134</v>
      </c>
      <c r="B11" s="44">
        <v>12</v>
      </c>
      <c r="C11" s="44"/>
      <c r="D11" s="52">
        <v>0</v>
      </c>
      <c r="E11" s="52">
        <f>'Testing Costs'!$B$15</f>
        <v>8000</v>
      </c>
      <c r="F11" s="52">
        <v>0</v>
      </c>
      <c r="G11" s="44">
        <v>1</v>
      </c>
      <c r="H11" s="44">
        <f t="shared" si="1"/>
        <v>12</v>
      </c>
      <c r="I11" s="91">
        <v>0</v>
      </c>
      <c r="J11" s="92">
        <f t="shared" si="2"/>
        <v>0</v>
      </c>
      <c r="K11" s="92">
        <f t="shared" si="3"/>
        <v>0</v>
      </c>
      <c r="L11" s="92">
        <f t="shared" si="4"/>
        <v>0</v>
      </c>
      <c r="M11" s="93"/>
      <c r="N11" s="52">
        <f>(J11*'Base Data'!$C$5)+(K11*'Base Data'!$C$6)+(L11*'Base Data'!$C$7)</f>
        <v>0</v>
      </c>
      <c r="O11" s="52">
        <f t="shared" si="5"/>
        <v>0</v>
      </c>
      <c r="P11" s="92">
        <f t="shared" si="0"/>
        <v>0</v>
      </c>
      <c r="Q11" s="94"/>
      <c r="R11" s="147"/>
      <c r="S11" s="147"/>
      <c r="U11" s="30"/>
    </row>
    <row r="12" spans="1:21" s="6" customFormat="1" ht="9">
      <c r="A12" s="143" t="s">
        <v>135</v>
      </c>
      <c r="B12" s="44">
        <v>12</v>
      </c>
      <c r="C12" s="44"/>
      <c r="D12" s="52">
        <v>0</v>
      </c>
      <c r="E12" s="52">
        <f>'Testing Costs'!$B$14</f>
        <v>7000</v>
      </c>
      <c r="F12" s="52">
        <v>0</v>
      </c>
      <c r="G12" s="44">
        <v>1</v>
      </c>
      <c r="H12" s="44">
        <f t="shared" si="1"/>
        <v>12</v>
      </c>
      <c r="I12" s="91">
        <v>0</v>
      </c>
      <c r="J12" s="92">
        <f t="shared" si="2"/>
        <v>0</v>
      </c>
      <c r="K12" s="92">
        <f t="shared" si="3"/>
        <v>0</v>
      </c>
      <c r="L12" s="92">
        <f t="shared" si="4"/>
        <v>0</v>
      </c>
      <c r="M12" s="93"/>
      <c r="N12" s="52">
        <f>(J12*'Base Data'!$C$5)+(K12*'Base Data'!$C$6)+(L12*'Base Data'!$C$7)</f>
        <v>0</v>
      </c>
      <c r="O12" s="52">
        <f t="shared" si="5"/>
        <v>0</v>
      </c>
      <c r="P12" s="92">
        <f t="shared" si="0"/>
        <v>0</v>
      </c>
      <c r="Q12" s="94"/>
      <c r="R12" s="147"/>
      <c r="S12" s="147"/>
      <c r="U12" s="30"/>
    </row>
    <row r="13" spans="1:21" s="6" customFormat="1" ht="9">
      <c r="A13" s="143" t="s">
        <v>136</v>
      </c>
      <c r="B13" s="44">
        <v>12</v>
      </c>
      <c r="C13" s="44"/>
      <c r="D13" s="52">
        <v>0</v>
      </c>
      <c r="E13" s="52">
        <f>'Testing Costs'!$B$16</f>
        <v>16000</v>
      </c>
      <c r="F13" s="52">
        <v>0</v>
      </c>
      <c r="G13" s="44">
        <v>1</v>
      </c>
      <c r="H13" s="44">
        <f t="shared" si="1"/>
        <v>12</v>
      </c>
      <c r="I13" s="91">
        <v>0</v>
      </c>
      <c r="J13" s="92">
        <f t="shared" si="2"/>
        <v>0</v>
      </c>
      <c r="K13" s="92">
        <f t="shared" si="3"/>
        <v>0</v>
      </c>
      <c r="L13" s="92">
        <f t="shared" si="4"/>
        <v>0</v>
      </c>
      <c r="M13" s="93"/>
      <c r="N13" s="52">
        <f>(J13*'Base Data'!$C$5)+(K13*'Base Data'!$C$6)+(L13*'Base Data'!$C$7)</f>
        <v>0</v>
      </c>
      <c r="O13" s="52">
        <f t="shared" si="5"/>
        <v>0</v>
      </c>
      <c r="P13" s="92">
        <f t="shared" si="0"/>
        <v>0</v>
      </c>
      <c r="Q13" s="94"/>
      <c r="R13" s="147"/>
      <c r="S13" s="147"/>
      <c r="U13" s="30"/>
    </row>
    <row r="14" spans="1:21" s="6" customFormat="1" ht="9" customHeight="1">
      <c r="A14" s="143" t="s">
        <v>148</v>
      </c>
      <c r="B14" s="44">
        <v>12</v>
      </c>
      <c r="C14" s="44"/>
      <c r="D14" s="52">
        <v>0</v>
      </c>
      <c r="E14" s="52">
        <f>'Testing Costs'!$B$13</f>
        <v>5000</v>
      </c>
      <c r="F14" s="52">
        <v>0</v>
      </c>
      <c r="G14" s="44">
        <v>1</v>
      </c>
      <c r="H14" s="44">
        <f t="shared" si="1"/>
        <v>12</v>
      </c>
      <c r="I14" s="91">
        <v>0</v>
      </c>
      <c r="J14" s="92">
        <f t="shared" si="2"/>
        <v>0</v>
      </c>
      <c r="K14" s="92">
        <f t="shared" si="3"/>
        <v>0</v>
      </c>
      <c r="L14" s="92">
        <f t="shared" si="4"/>
        <v>0</v>
      </c>
      <c r="M14" s="93"/>
      <c r="N14" s="52">
        <f>(J14*'Base Data'!$C$5)+(K14*'Base Data'!$C$6)+(L14*'Base Data'!$C$7)</f>
        <v>0</v>
      </c>
      <c r="O14" s="52">
        <f t="shared" si="5"/>
        <v>0</v>
      </c>
      <c r="P14" s="92">
        <f t="shared" si="0"/>
        <v>0</v>
      </c>
      <c r="Q14" s="94"/>
      <c r="R14" s="147"/>
      <c r="S14" s="147"/>
      <c r="U14" s="30"/>
    </row>
    <row r="15" spans="1:21" s="6" customFormat="1" ht="9">
      <c r="A15" s="143" t="s">
        <v>149</v>
      </c>
      <c r="B15" s="44">
        <v>12</v>
      </c>
      <c r="C15" s="44"/>
      <c r="D15" s="52">
        <v>0</v>
      </c>
      <c r="E15" s="52">
        <f>'Testing Costs'!$B$17</f>
        <v>8000</v>
      </c>
      <c r="F15" s="52">
        <v>0</v>
      </c>
      <c r="G15" s="44">
        <v>1</v>
      </c>
      <c r="H15" s="44">
        <f t="shared" si="1"/>
        <v>12</v>
      </c>
      <c r="I15" s="91">
        <v>0</v>
      </c>
      <c r="J15" s="92">
        <f t="shared" si="2"/>
        <v>0</v>
      </c>
      <c r="K15" s="92">
        <f t="shared" si="3"/>
        <v>0</v>
      </c>
      <c r="L15" s="92">
        <f t="shared" si="4"/>
        <v>0</v>
      </c>
      <c r="M15" s="93"/>
      <c r="N15" s="52">
        <f>(J15*'Base Data'!$C$5)+(K15*'Base Data'!$C$6)+(L15*'Base Data'!$C$7)</f>
        <v>0</v>
      </c>
      <c r="O15" s="52">
        <f t="shared" si="5"/>
        <v>0</v>
      </c>
      <c r="P15" s="92">
        <f t="shared" si="0"/>
        <v>0</v>
      </c>
      <c r="Q15" s="94"/>
      <c r="R15" s="147"/>
      <c r="S15" s="147"/>
      <c r="U15" s="30"/>
    </row>
    <row r="16" spans="1:21" s="6" customFormat="1" ht="9">
      <c r="A16" s="143" t="s">
        <v>150</v>
      </c>
      <c r="B16" s="44">
        <v>12</v>
      </c>
      <c r="C16" s="44"/>
      <c r="D16" s="52">
        <v>0</v>
      </c>
      <c r="E16" s="52">
        <f>'Testing Costs'!$B$15</f>
        <v>8000</v>
      </c>
      <c r="F16" s="52">
        <v>0</v>
      </c>
      <c r="G16" s="44">
        <v>1</v>
      </c>
      <c r="H16" s="44">
        <f t="shared" si="1"/>
        <v>12</v>
      </c>
      <c r="I16" s="91">
        <v>0</v>
      </c>
      <c r="J16" s="92">
        <f t="shared" si="2"/>
        <v>0</v>
      </c>
      <c r="K16" s="92">
        <f t="shared" si="3"/>
        <v>0</v>
      </c>
      <c r="L16" s="92">
        <f t="shared" si="4"/>
        <v>0</v>
      </c>
      <c r="M16" s="93"/>
      <c r="N16" s="52">
        <f>(J16*'Base Data'!$C$5)+(K16*'Base Data'!$C$6)+(L16*'Base Data'!$C$7)</f>
        <v>0</v>
      </c>
      <c r="O16" s="52">
        <f t="shared" si="5"/>
        <v>0</v>
      </c>
      <c r="P16" s="92">
        <f t="shared" si="0"/>
        <v>0</v>
      </c>
      <c r="Q16" s="94"/>
      <c r="R16" s="147"/>
      <c r="S16" s="147"/>
      <c r="U16" s="30"/>
    </row>
    <row r="17" spans="1:21" s="6" customFormat="1" ht="9">
      <c r="A17" s="143" t="s">
        <v>151</v>
      </c>
      <c r="B17" s="44">
        <v>12</v>
      </c>
      <c r="C17" s="44"/>
      <c r="D17" s="52">
        <v>0</v>
      </c>
      <c r="E17" s="52">
        <f>'Testing Costs'!$B$14</f>
        <v>7000</v>
      </c>
      <c r="F17" s="52">
        <v>0</v>
      </c>
      <c r="G17" s="44">
        <v>1</v>
      </c>
      <c r="H17" s="44">
        <f t="shared" si="1"/>
        <v>12</v>
      </c>
      <c r="I17" s="91">
        <v>0</v>
      </c>
      <c r="J17" s="92">
        <f t="shared" si="2"/>
        <v>0</v>
      </c>
      <c r="K17" s="92">
        <f t="shared" si="3"/>
        <v>0</v>
      </c>
      <c r="L17" s="92">
        <f t="shared" si="4"/>
        <v>0</v>
      </c>
      <c r="M17" s="93"/>
      <c r="N17" s="52">
        <f>(J17*'Base Data'!$C$5)+(K17*'Base Data'!$C$6)+(L17*'Base Data'!$C$7)</f>
        <v>0</v>
      </c>
      <c r="O17" s="52">
        <f t="shared" si="5"/>
        <v>0</v>
      </c>
      <c r="P17" s="92">
        <f t="shared" si="0"/>
        <v>0</v>
      </c>
      <c r="Q17" s="94"/>
      <c r="R17" s="147"/>
      <c r="S17" s="147"/>
      <c r="U17" s="30"/>
    </row>
    <row r="18" spans="1:21" s="6" customFormat="1" ht="9">
      <c r="A18" s="143" t="s">
        <v>152</v>
      </c>
      <c r="B18" s="44">
        <v>12</v>
      </c>
      <c r="C18" s="44"/>
      <c r="D18" s="52">
        <v>0</v>
      </c>
      <c r="E18" s="52">
        <f>'Testing Costs'!$B$16</f>
        <v>16000</v>
      </c>
      <c r="F18" s="52">
        <v>0</v>
      </c>
      <c r="G18" s="44">
        <v>1</v>
      </c>
      <c r="H18" s="44">
        <f t="shared" si="1"/>
        <v>12</v>
      </c>
      <c r="I18" s="91">
        <v>0</v>
      </c>
      <c r="J18" s="92">
        <f t="shared" si="2"/>
        <v>0</v>
      </c>
      <c r="K18" s="92">
        <f t="shared" si="3"/>
        <v>0</v>
      </c>
      <c r="L18" s="92">
        <f t="shared" si="4"/>
        <v>0</v>
      </c>
      <c r="M18" s="93"/>
      <c r="N18" s="52">
        <f>(J18*'Base Data'!$C$5)+(K18*'Base Data'!$C$6)+(L18*'Base Data'!$C$7)</f>
        <v>0</v>
      </c>
      <c r="O18" s="52">
        <f t="shared" si="5"/>
        <v>0</v>
      </c>
      <c r="P18" s="92">
        <f t="shared" si="0"/>
        <v>0</v>
      </c>
      <c r="Q18" s="94"/>
      <c r="R18" s="147"/>
      <c r="S18" s="147"/>
      <c r="U18" s="30"/>
    </row>
    <row r="19" spans="1:21" s="6" customFormat="1" ht="18.75" customHeight="1">
      <c r="A19" s="332" t="s">
        <v>482</v>
      </c>
      <c r="B19" s="44">
        <v>24</v>
      </c>
      <c r="C19" s="331"/>
      <c r="D19" s="52">
        <v>0</v>
      </c>
      <c r="E19" s="52">
        <f>$E$10+$E$11</f>
        <v>16000</v>
      </c>
      <c r="F19" s="39">
        <v>0</v>
      </c>
      <c r="G19" s="18">
        <v>1</v>
      </c>
      <c r="H19" s="18">
        <f t="shared" si="1"/>
        <v>24</v>
      </c>
      <c r="I19" s="91">
        <v>0</v>
      </c>
      <c r="J19" s="92">
        <f t="shared" si="2"/>
        <v>0</v>
      </c>
      <c r="K19" s="92">
        <f t="shared" si="3"/>
        <v>0</v>
      </c>
      <c r="L19" s="92">
        <f t="shared" si="4"/>
        <v>0</v>
      </c>
      <c r="M19" s="93"/>
      <c r="N19" s="52">
        <f>(J19*'Base Data'!$C$5)+(K19*'Base Data'!$C$6)+(L19*'Base Data'!$C$7)</f>
        <v>0</v>
      </c>
      <c r="O19" s="52">
        <f t="shared" si="5"/>
        <v>0</v>
      </c>
      <c r="P19" s="92">
        <v>0</v>
      </c>
      <c r="Q19" s="94"/>
    </row>
    <row r="20" spans="1:21" s="6" customFormat="1" ht="9" customHeight="1">
      <c r="A20" s="143" t="s">
        <v>268</v>
      </c>
      <c r="B20" s="44">
        <v>5</v>
      </c>
      <c r="C20" s="44"/>
      <c r="D20" s="52">
        <v>0</v>
      </c>
      <c r="E20" s="52">
        <v>400</v>
      </c>
      <c r="F20" s="52">
        <v>0</v>
      </c>
      <c r="G20" s="44">
        <v>1</v>
      </c>
      <c r="H20" s="44">
        <f t="shared" si="1"/>
        <v>5</v>
      </c>
      <c r="I20" s="91">
        <v>0</v>
      </c>
      <c r="J20" s="92">
        <f t="shared" si="2"/>
        <v>0</v>
      </c>
      <c r="K20" s="92">
        <f t="shared" si="3"/>
        <v>0</v>
      </c>
      <c r="L20" s="92">
        <f t="shared" si="4"/>
        <v>0</v>
      </c>
      <c r="M20" s="93"/>
      <c r="N20" s="52">
        <f>(J20*'Base Data'!$C$5)+(K20*'Base Data'!$C$6)+(L20*'Base Data'!$C$7)</f>
        <v>0</v>
      </c>
      <c r="O20" s="52">
        <f t="shared" si="5"/>
        <v>0</v>
      </c>
      <c r="P20" s="92">
        <f t="shared" si="0"/>
        <v>0</v>
      </c>
      <c r="Q20" s="94"/>
      <c r="R20" s="147"/>
      <c r="S20" s="147"/>
      <c r="U20" s="30"/>
    </row>
    <row r="21" spans="1:21" s="6" customFormat="1" ht="9" customHeight="1">
      <c r="A21" s="143" t="s">
        <v>269</v>
      </c>
      <c r="B21" s="44">
        <v>5</v>
      </c>
      <c r="C21" s="44"/>
      <c r="D21" s="52">
        <v>0</v>
      </c>
      <c r="E21" s="52">
        <v>400</v>
      </c>
      <c r="F21" s="52">
        <v>0</v>
      </c>
      <c r="G21" s="44">
        <v>12</v>
      </c>
      <c r="H21" s="44">
        <f t="shared" si="1"/>
        <v>60</v>
      </c>
      <c r="I21" s="91">
        <v>0</v>
      </c>
      <c r="J21" s="92">
        <f t="shared" si="2"/>
        <v>0</v>
      </c>
      <c r="K21" s="92">
        <f t="shared" si="3"/>
        <v>0</v>
      </c>
      <c r="L21" s="92">
        <f t="shared" si="4"/>
        <v>0</v>
      </c>
      <c r="M21" s="93"/>
      <c r="N21" s="52">
        <f>(J21*'Base Data'!$C$5)+(K21*'Base Data'!$C$6)+(L21*'Base Data'!$C$7)</f>
        <v>0</v>
      </c>
      <c r="O21" s="52">
        <f t="shared" si="5"/>
        <v>0</v>
      </c>
      <c r="P21" s="92">
        <f t="shared" si="0"/>
        <v>0</v>
      </c>
      <c r="Q21" s="94"/>
      <c r="R21" s="147"/>
      <c r="S21" s="147"/>
      <c r="U21" s="30"/>
    </row>
    <row r="22" spans="1:21" s="6" customFormat="1" ht="9">
      <c r="A22" s="143" t="s">
        <v>270</v>
      </c>
      <c r="B22" s="44"/>
      <c r="C22" s="44"/>
      <c r="D22" s="52"/>
      <c r="E22" s="52"/>
      <c r="F22" s="52"/>
      <c r="G22" s="44"/>
      <c r="H22" s="44"/>
      <c r="I22" s="92"/>
      <c r="J22" s="92"/>
      <c r="K22" s="92"/>
      <c r="L22" s="92"/>
      <c r="M22" s="93"/>
      <c r="N22" s="52"/>
      <c r="O22" s="52"/>
      <c r="P22" s="92"/>
      <c r="Q22" s="94"/>
      <c r="R22" s="147"/>
      <c r="S22" s="147"/>
      <c r="U22" s="30"/>
    </row>
    <row r="23" spans="1:21" s="6" customFormat="1" ht="9">
      <c r="A23" s="143" t="s">
        <v>432</v>
      </c>
      <c r="B23" s="44">
        <v>40</v>
      </c>
      <c r="C23" s="44"/>
      <c r="D23" s="52">
        <v>0</v>
      </c>
      <c r="E23" s="52"/>
      <c r="F23" s="52">
        <v>0</v>
      </c>
      <c r="G23" s="44">
        <v>1</v>
      </c>
      <c r="H23" s="44">
        <f>B23*G23</f>
        <v>40</v>
      </c>
      <c r="I23" s="91">
        <v>0</v>
      </c>
      <c r="J23" s="92">
        <f>H23*I23</f>
        <v>0</v>
      </c>
      <c r="K23" s="92">
        <f>J23*0.1</f>
        <v>0</v>
      </c>
      <c r="L23" s="92">
        <f>J23*0.05</f>
        <v>0</v>
      </c>
      <c r="M23" s="93"/>
      <c r="N23" s="52">
        <f>(J23*'Base Data'!$C$5)+(K23*'Base Data'!$C$6)+(L23*'Base Data'!$C$7)</f>
        <v>0</v>
      </c>
      <c r="O23" s="52">
        <f>(D23+E23+F23)*G23*I23</f>
        <v>0</v>
      </c>
      <c r="P23" s="92">
        <f t="shared" si="0"/>
        <v>0</v>
      </c>
      <c r="Q23" s="94"/>
      <c r="R23" s="147"/>
      <c r="S23" s="147"/>
      <c r="U23" s="30"/>
    </row>
    <row r="24" spans="1:21" s="6" customFormat="1" ht="9">
      <c r="A24" s="142" t="s">
        <v>410</v>
      </c>
      <c r="B24" s="44"/>
      <c r="C24" s="44"/>
      <c r="D24" s="52"/>
      <c r="E24" s="52"/>
      <c r="F24" s="52"/>
      <c r="G24" s="44"/>
      <c r="H24" s="44"/>
      <c r="I24" s="92"/>
      <c r="J24" s="92"/>
      <c r="K24" s="92"/>
      <c r="L24" s="92"/>
      <c r="M24" s="93"/>
      <c r="N24" s="52"/>
      <c r="O24" s="52"/>
      <c r="P24" s="92"/>
      <c r="Q24" s="94"/>
      <c r="R24" s="147"/>
      <c r="S24" s="147"/>
      <c r="U24" s="30"/>
    </row>
    <row r="25" spans="1:21" s="6" customFormat="1" ht="9">
      <c r="A25" s="142" t="s">
        <v>411</v>
      </c>
      <c r="B25" s="44">
        <v>10</v>
      </c>
      <c r="C25" s="44"/>
      <c r="D25" s="52">
        <v>0</v>
      </c>
      <c r="E25" s="52">
        <v>0</v>
      </c>
      <c r="F25" s="52">
        <v>43100</v>
      </c>
      <c r="G25" s="44">
        <v>1</v>
      </c>
      <c r="H25" s="44">
        <f>B25*G25</f>
        <v>10</v>
      </c>
      <c r="I25" s="91">
        <v>0</v>
      </c>
      <c r="J25" s="92">
        <f>H25*I25</f>
        <v>0</v>
      </c>
      <c r="K25" s="92">
        <f>J25*0.1</f>
        <v>0</v>
      </c>
      <c r="L25" s="92">
        <f>J25*0.05</f>
        <v>0</v>
      </c>
      <c r="M25" s="93"/>
      <c r="N25" s="52">
        <f>(J25*'Base Data'!$C$5)+(K25*'Base Data'!$C$6)+(L25*'Base Data'!$C$7)</f>
        <v>0</v>
      </c>
      <c r="O25" s="52">
        <f>(D25+E25+F25)*G25*I25</f>
        <v>0</v>
      </c>
      <c r="P25" s="92">
        <f t="shared" si="0"/>
        <v>0</v>
      </c>
      <c r="Q25" s="94"/>
      <c r="R25" s="147"/>
      <c r="S25" s="147"/>
      <c r="U25" s="30"/>
    </row>
    <row r="26" spans="1:21" s="6" customFormat="1" ht="9">
      <c r="A26" s="142" t="s">
        <v>414</v>
      </c>
      <c r="B26" s="44">
        <v>10</v>
      </c>
      <c r="C26" s="44"/>
      <c r="D26" s="52">
        <v>0</v>
      </c>
      <c r="E26" s="52">
        <v>0</v>
      </c>
      <c r="F26" s="52">
        <v>14700</v>
      </c>
      <c r="G26" s="44">
        <v>1</v>
      </c>
      <c r="H26" s="44">
        <f>B26*G26</f>
        <v>10</v>
      </c>
      <c r="I26" s="91">
        <v>0</v>
      </c>
      <c r="J26" s="92">
        <f>H26*I26</f>
        <v>0</v>
      </c>
      <c r="K26" s="92">
        <f>J26*0.1</f>
        <v>0</v>
      </c>
      <c r="L26" s="92">
        <f>J26*0.05</f>
        <v>0</v>
      </c>
      <c r="M26" s="93"/>
      <c r="N26" s="52">
        <f>(J26*'Base Data'!$C$5)+(K26*'Base Data'!$C$6)+(L26*'Base Data'!$C$7)</f>
        <v>0</v>
      </c>
      <c r="O26" s="52">
        <f>(D26+E26+F26)*G26*I26</f>
        <v>0</v>
      </c>
      <c r="P26" s="92">
        <f t="shared" si="0"/>
        <v>0</v>
      </c>
      <c r="Q26" s="94"/>
      <c r="R26" s="147"/>
      <c r="S26" s="147"/>
      <c r="U26" s="30"/>
    </row>
    <row r="27" spans="1:21" s="6" customFormat="1" ht="9">
      <c r="A27" s="142" t="s">
        <v>356</v>
      </c>
      <c r="B27" s="44"/>
      <c r="C27" s="44"/>
      <c r="D27" s="52"/>
      <c r="E27" s="52"/>
      <c r="F27" s="52"/>
      <c r="G27" s="44"/>
      <c r="H27" s="44"/>
      <c r="I27" s="92"/>
      <c r="J27" s="92"/>
      <c r="K27" s="92"/>
      <c r="L27" s="92"/>
      <c r="M27" s="93"/>
      <c r="N27" s="52"/>
      <c r="O27" s="52"/>
      <c r="P27" s="92"/>
      <c r="Q27" s="94"/>
      <c r="R27" s="147"/>
      <c r="S27" s="147"/>
      <c r="U27" s="30"/>
    </row>
    <row r="28" spans="1:21" s="6" customFormat="1" ht="9">
      <c r="A28" s="142" t="s">
        <v>411</v>
      </c>
      <c r="B28" s="44">
        <v>10</v>
      </c>
      <c r="C28" s="44"/>
      <c r="D28" s="52">
        <v>0</v>
      </c>
      <c r="E28" s="52">
        <v>0</v>
      </c>
      <c r="F28" s="52">
        <v>158000</v>
      </c>
      <c r="G28" s="44">
        <v>1</v>
      </c>
      <c r="H28" s="44">
        <f>B28*G28</f>
        <v>10</v>
      </c>
      <c r="I28" s="91">
        <v>0</v>
      </c>
      <c r="J28" s="92">
        <f>H28*I28</f>
        <v>0</v>
      </c>
      <c r="K28" s="92">
        <f>J28*0.1</f>
        <v>0</v>
      </c>
      <c r="L28" s="92">
        <f>J28*0.05</f>
        <v>0</v>
      </c>
      <c r="M28" s="93"/>
      <c r="N28" s="52">
        <f>(J28*'Base Data'!$C$5)+(K28*'Base Data'!$C$6)+(L28*'Base Data'!$C$7)</f>
        <v>0</v>
      </c>
      <c r="O28" s="52">
        <f>(D28+E28+F28)*G28*I28</f>
        <v>0</v>
      </c>
      <c r="P28" s="92">
        <f t="shared" si="0"/>
        <v>0</v>
      </c>
      <c r="Q28" s="94"/>
      <c r="R28" s="147"/>
      <c r="S28" s="147"/>
      <c r="U28" s="30"/>
    </row>
    <row r="29" spans="1:21" s="6" customFormat="1" ht="9">
      <c r="A29" s="142" t="s">
        <v>414</v>
      </c>
      <c r="B29" s="44">
        <v>10</v>
      </c>
      <c r="C29" s="44"/>
      <c r="D29" s="52">
        <v>0</v>
      </c>
      <c r="E29" s="52">
        <v>0</v>
      </c>
      <c r="F29" s="52">
        <v>56100</v>
      </c>
      <c r="G29" s="44">
        <v>1</v>
      </c>
      <c r="H29" s="44">
        <f>B29*G29</f>
        <v>10</v>
      </c>
      <c r="I29" s="91">
        <v>0</v>
      </c>
      <c r="J29" s="92">
        <f>H29*I29</f>
        <v>0</v>
      </c>
      <c r="K29" s="92">
        <f>J29*0.1</f>
        <v>0</v>
      </c>
      <c r="L29" s="92">
        <f>J29*0.05</f>
        <v>0</v>
      </c>
      <c r="M29" s="93"/>
      <c r="N29" s="52">
        <f>(J29*'Base Data'!$C$5)+(K29*'Base Data'!$C$6)+(L29*'Base Data'!$C$7)</f>
        <v>0</v>
      </c>
      <c r="O29" s="52">
        <f>(D29+E29+F29)*G29*I29</f>
        <v>0</v>
      </c>
      <c r="P29" s="92">
        <f t="shared" si="0"/>
        <v>0</v>
      </c>
      <c r="Q29" s="94"/>
      <c r="R29" s="147"/>
      <c r="S29" s="147"/>
      <c r="U29" s="30"/>
    </row>
    <row r="30" spans="1:21" s="6" customFormat="1" ht="9">
      <c r="A30" s="142" t="s">
        <v>522</v>
      </c>
      <c r="B30" s="44"/>
      <c r="C30" s="44"/>
      <c r="D30" s="52"/>
      <c r="E30" s="52"/>
      <c r="F30" s="52"/>
      <c r="G30" s="44"/>
      <c r="H30" s="44"/>
      <c r="I30" s="91"/>
      <c r="J30" s="19"/>
      <c r="K30" s="19"/>
      <c r="L30" s="19"/>
      <c r="M30" s="46"/>
      <c r="N30" s="39"/>
      <c r="O30" s="39"/>
      <c r="P30" s="19"/>
      <c r="Q30" s="29"/>
    </row>
    <row r="31" spans="1:21" s="6" customFormat="1" ht="9">
      <c r="A31" s="142" t="s">
        <v>411</v>
      </c>
      <c r="B31" s="44">
        <v>10</v>
      </c>
      <c r="C31" s="44"/>
      <c r="D31" s="52">
        <v>0</v>
      </c>
      <c r="E31" s="52">
        <v>0</v>
      </c>
      <c r="F31" s="52">
        <f>Monitors!$F$32</f>
        <v>8523</v>
      </c>
      <c r="G31" s="44">
        <v>1</v>
      </c>
      <c r="H31" s="44">
        <f t="shared" ref="H31:H32" si="6">B31*G31</f>
        <v>10</v>
      </c>
      <c r="I31" s="91">
        <v>0</v>
      </c>
      <c r="J31" s="19">
        <f t="shared" ref="J31:J32" si="7">H31*I31</f>
        <v>0</v>
      </c>
      <c r="K31" s="19">
        <f t="shared" ref="K31:K32" si="8">J31*0.1</f>
        <v>0</v>
      </c>
      <c r="L31" s="19">
        <f t="shared" ref="L31:L32" si="9">J31*0.05</f>
        <v>0</v>
      </c>
      <c r="M31" s="46"/>
      <c r="N31" s="39">
        <f>(J31*'Base Data'!$C$5)+(K31*'Base Data'!$C$6)+(L31*'Base Data'!$C$7)</f>
        <v>0</v>
      </c>
      <c r="O31" s="39">
        <f>(D31+E31+F31)*G31*I31</f>
        <v>0</v>
      </c>
      <c r="P31" s="19">
        <v>0</v>
      </c>
      <c r="Q31" s="29"/>
    </row>
    <row r="32" spans="1:21" s="6" customFormat="1" ht="9">
      <c r="A32" s="142" t="s">
        <v>414</v>
      </c>
      <c r="B32" s="44">
        <v>10</v>
      </c>
      <c r="C32" s="44"/>
      <c r="D32" s="52">
        <v>0</v>
      </c>
      <c r="E32" s="52">
        <v>0</v>
      </c>
      <c r="F32" s="52">
        <f>Monitors!$G$32</f>
        <v>1436</v>
      </c>
      <c r="G32" s="44">
        <v>1</v>
      </c>
      <c r="H32" s="44">
        <f t="shared" si="6"/>
        <v>10</v>
      </c>
      <c r="I32" s="91">
        <v>0</v>
      </c>
      <c r="J32" s="19">
        <f t="shared" si="7"/>
        <v>0</v>
      </c>
      <c r="K32" s="19">
        <f t="shared" si="8"/>
        <v>0</v>
      </c>
      <c r="L32" s="19">
        <f t="shared" si="9"/>
        <v>0</v>
      </c>
      <c r="M32" s="46"/>
      <c r="N32" s="39">
        <f>(J32*'Base Data'!$C$5)+(K32*'Base Data'!$C$6)+(L32*'Base Data'!$C$7)</f>
        <v>0</v>
      </c>
      <c r="O32" s="39">
        <f>(D32+E32+F32)*G32*I32</f>
        <v>0</v>
      </c>
      <c r="P32" s="19">
        <v>0</v>
      </c>
      <c r="Q32" s="29"/>
    </row>
    <row r="33" spans="1:21" s="6" customFormat="1" ht="18">
      <c r="A33" s="143" t="s">
        <v>173</v>
      </c>
      <c r="B33" s="44"/>
      <c r="C33" s="44"/>
      <c r="D33" s="52"/>
      <c r="E33" s="52"/>
      <c r="F33" s="95"/>
      <c r="G33" s="44"/>
      <c r="H33" s="44"/>
      <c r="I33" s="91"/>
      <c r="J33" s="92"/>
      <c r="K33" s="92"/>
      <c r="L33" s="92"/>
      <c r="M33" s="93"/>
      <c r="N33" s="52"/>
      <c r="O33" s="52"/>
      <c r="P33" s="92"/>
      <c r="Q33" s="94"/>
      <c r="R33" s="147"/>
      <c r="S33" s="147"/>
      <c r="U33" s="30"/>
    </row>
    <row r="34" spans="1:21" s="6" customFormat="1" ht="9">
      <c r="A34" s="142" t="s">
        <v>411</v>
      </c>
      <c r="B34" s="44">
        <v>10</v>
      </c>
      <c r="C34" s="44"/>
      <c r="D34" s="52">
        <v>0</v>
      </c>
      <c r="E34" s="52">
        <v>0</v>
      </c>
      <c r="F34" s="52">
        <v>24300</v>
      </c>
      <c r="G34" s="44">
        <v>1</v>
      </c>
      <c r="H34" s="44">
        <f>B34*G34</f>
        <v>10</v>
      </c>
      <c r="I34" s="91">
        <v>0</v>
      </c>
      <c r="J34" s="92">
        <f>H34*I34</f>
        <v>0</v>
      </c>
      <c r="K34" s="92">
        <f>J34*0.1</f>
        <v>0</v>
      </c>
      <c r="L34" s="92">
        <f>J34*0.05</f>
        <v>0</v>
      </c>
      <c r="M34" s="93"/>
      <c r="N34" s="52">
        <f>(J34*'Base Data'!$C$5)+(K34*'Base Data'!$C$6)+(L34*'Base Data'!$C$7)</f>
        <v>0</v>
      </c>
      <c r="O34" s="52">
        <f>(D34+E34+F34)*G34*I34</f>
        <v>0</v>
      </c>
      <c r="P34" s="92">
        <f t="shared" si="0"/>
        <v>0</v>
      </c>
      <c r="Q34" s="94"/>
      <c r="R34" s="147"/>
      <c r="S34" s="147"/>
      <c r="U34" s="30"/>
    </row>
    <row r="35" spans="1:21" s="6" customFormat="1" ht="9">
      <c r="A35" s="142" t="s">
        <v>414</v>
      </c>
      <c r="B35" s="44">
        <v>10</v>
      </c>
      <c r="C35" s="44"/>
      <c r="D35" s="52">
        <v>0</v>
      </c>
      <c r="E35" s="52">
        <v>0</v>
      </c>
      <c r="F35" s="52">
        <v>5600</v>
      </c>
      <c r="G35" s="44">
        <v>1</v>
      </c>
      <c r="H35" s="44">
        <f>B35*G35</f>
        <v>10</v>
      </c>
      <c r="I35" s="91">
        <v>0</v>
      </c>
      <c r="J35" s="92">
        <f>H35*I35</f>
        <v>0</v>
      </c>
      <c r="K35" s="92">
        <f>J35*0.1</f>
        <v>0</v>
      </c>
      <c r="L35" s="92">
        <f>J35*0.05</f>
        <v>0</v>
      </c>
      <c r="M35" s="93"/>
      <c r="N35" s="52">
        <f>(J35*'Base Data'!$C$5)+(K35*'Base Data'!$C$6)+(L35*'Base Data'!$C$7)</f>
        <v>0</v>
      </c>
      <c r="O35" s="52">
        <f>(D35+E35+F35)*G35*I35</f>
        <v>0</v>
      </c>
      <c r="P35" s="92">
        <f t="shared" si="0"/>
        <v>0</v>
      </c>
      <c r="Q35" s="94"/>
      <c r="R35" s="147"/>
      <c r="S35" s="147"/>
      <c r="U35" s="30"/>
    </row>
    <row r="36" spans="1:21" s="6" customFormat="1" ht="18">
      <c r="A36" s="143" t="s">
        <v>475</v>
      </c>
      <c r="B36" s="44"/>
      <c r="C36" s="44"/>
      <c r="D36" s="52"/>
      <c r="E36" s="52"/>
      <c r="F36" s="52"/>
      <c r="G36" s="44"/>
      <c r="H36" s="44"/>
      <c r="I36" s="91"/>
      <c r="J36" s="92"/>
      <c r="K36" s="92"/>
      <c r="L36" s="92"/>
      <c r="M36" s="93"/>
      <c r="N36" s="52"/>
      <c r="O36" s="238"/>
      <c r="P36" s="92"/>
      <c r="Q36" s="94"/>
      <c r="R36" s="147"/>
      <c r="S36" s="147"/>
      <c r="U36" s="30"/>
    </row>
    <row r="37" spans="1:21" s="6" customFormat="1" ht="9">
      <c r="A37" s="142" t="s">
        <v>411</v>
      </c>
      <c r="B37" s="44">
        <v>10</v>
      </c>
      <c r="C37" s="44"/>
      <c r="D37" s="52">
        <v>0</v>
      </c>
      <c r="E37" s="52">
        <v>0</v>
      </c>
      <c r="F37" s="52">
        <f>25500</f>
        <v>25500</v>
      </c>
      <c r="G37" s="44">
        <v>1</v>
      </c>
      <c r="H37" s="44">
        <f>B37*G37</f>
        <v>10</v>
      </c>
      <c r="I37" s="91">
        <v>0</v>
      </c>
      <c r="J37" s="92">
        <f>H37*I37</f>
        <v>0</v>
      </c>
      <c r="K37" s="92">
        <f>J37*0.1</f>
        <v>0</v>
      </c>
      <c r="L37" s="92">
        <f>J37*0.05</f>
        <v>0</v>
      </c>
      <c r="M37" s="93"/>
      <c r="N37" s="52">
        <f>(J37*'Base Data'!$C$5)+(K37*'Base Data'!$C$6)+(L37*'Base Data'!$C$7)</f>
        <v>0</v>
      </c>
      <c r="O37" s="52">
        <f>(D37+E37+F37)*G37*I37</f>
        <v>0</v>
      </c>
      <c r="P37" s="92">
        <f t="shared" si="0"/>
        <v>0</v>
      </c>
      <c r="Q37" s="94"/>
      <c r="R37" s="147"/>
      <c r="S37" s="147"/>
      <c r="U37" s="30"/>
    </row>
    <row r="38" spans="1:21" s="6" customFormat="1" ht="9">
      <c r="A38" s="142" t="s">
        <v>414</v>
      </c>
      <c r="B38" s="44">
        <v>10</v>
      </c>
      <c r="C38" s="44"/>
      <c r="D38" s="52">
        <v>0</v>
      </c>
      <c r="E38" s="52">
        <v>0</v>
      </c>
      <c r="F38" s="52">
        <v>9700</v>
      </c>
      <c r="G38" s="44">
        <v>1</v>
      </c>
      <c r="H38" s="44">
        <f>B38*G38</f>
        <v>10</v>
      </c>
      <c r="I38" s="91">
        <v>0</v>
      </c>
      <c r="J38" s="92">
        <f>H38*I38</f>
        <v>0</v>
      </c>
      <c r="K38" s="92">
        <f>J38*0.1</f>
        <v>0</v>
      </c>
      <c r="L38" s="92">
        <f>J38*0.05</f>
        <v>0</v>
      </c>
      <c r="M38" s="93"/>
      <c r="N38" s="52">
        <f>(J38*'Base Data'!$C$5)+(K38*'Base Data'!$C$6)+(L38*'Base Data'!$C$7)</f>
        <v>0</v>
      </c>
      <c r="O38" s="52">
        <f>(D38+E38+F38)*G38*I38</f>
        <v>0</v>
      </c>
      <c r="P38" s="92">
        <f t="shared" si="0"/>
        <v>0</v>
      </c>
      <c r="Q38" s="94"/>
      <c r="R38" s="147"/>
      <c r="S38" s="147"/>
      <c r="U38" s="30"/>
    </row>
    <row r="39" spans="1:21" s="6" customFormat="1" ht="18">
      <c r="A39" s="143" t="s">
        <v>174</v>
      </c>
      <c r="B39" s="44"/>
      <c r="C39" s="44"/>
      <c r="D39" s="52"/>
      <c r="E39" s="52"/>
      <c r="F39" s="52"/>
      <c r="G39" s="44"/>
      <c r="H39" s="44"/>
      <c r="I39" s="91"/>
      <c r="J39" s="92"/>
      <c r="K39" s="92"/>
      <c r="L39" s="92"/>
      <c r="M39" s="93"/>
      <c r="N39" s="52"/>
      <c r="O39" s="52"/>
      <c r="P39" s="92"/>
      <c r="Q39" s="94"/>
      <c r="R39" s="147"/>
      <c r="S39" s="147"/>
      <c r="U39" s="30"/>
    </row>
    <row r="40" spans="1:21" s="6" customFormat="1" ht="9">
      <c r="A40" s="142" t="s">
        <v>411</v>
      </c>
      <c r="B40" s="44">
        <v>10</v>
      </c>
      <c r="C40" s="44"/>
      <c r="D40" s="52">
        <v>0</v>
      </c>
      <c r="E40" s="52">
        <v>0</v>
      </c>
      <c r="F40" s="52">
        <v>115000</v>
      </c>
      <c r="G40" s="44">
        <v>1</v>
      </c>
      <c r="H40" s="44">
        <f>B40*G40</f>
        <v>10</v>
      </c>
      <c r="I40" s="91">
        <v>0</v>
      </c>
      <c r="J40" s="92">
        <f>H40*I40</f>
        <v>0</v>
      </c>
      <c r="K40" s="92">
        <f>J40*0.1</f>
        <v>0</v>
      </c>
      <c r="L40" s="92">
        <f>J40*0.05</f>
        <v>0</v>
      </c>
      <c r="M40" s="93"/>
      <c r="N40" s="52">
        <f>(J40*'Base Data'!$C$5)+(K40*'Base Data'!$C$6)+(L40*'Base Data'!$C$7)</f>
        <v>0</v>
      </c>
      <c r="O40" s="52">
        <f>(D40+E40+F40)*G40*I40</f>
        <v>0</v>
      </c>
      <c r="P40" s="92">
        <f t="shared" si="0"/>
        <v>0</v>
      </c>
      <c r="Q40" s="94"/>
      <c r="R40" s="147"/>
      <c r="S40" s="147"/>
      <c r="U40" s="30"/>
    </row>
    <row r="41" spans="1:21" s="6" customFormat="1" ht="9">
      <c r="A41" s="142" t="s">
        <v>414</v>
      </c>
      <c r="B41" s="44">
        <v>10</v>
      </c>
      <c r="C41" s="44"/>
      <c r="D41" s="52">
        <v>0</v>
      </c>
      <c r="E41" s="52">
        <v>0</v>
      </c>
      <c r="F41" s="52">
        <v>9700</v>
      </c>
      <c r="G41" s="44">
        <v>1</v>
      </c>
      <c r="H41" s="44">
        <f>B41*G41</f>
        <v>10</v>
      </c>
      <c r="I41" s="91">
        <v>0</v>
      </c>
      <c r="J41" s="92">
        <f>H41*I41</f>
        <v>0</v>
      </c>
      <c r="K41" s="92">
        <f>J41*0.1</f>
        <v>0</v>
      </c>
      <c r="L41" s="92">
        <f>J41*0.05</f>
        <v>0</v>
      </c>
      <c r="M41" s="93"/>
      <c r="N41" s="52">
        <f>(J41*'Base Data'!$C$5)+(K41*'Base Data'!$C$6)+(L41*'Base Data'!$C$7)</f>
        <v>0</v>
      </c>
      <c r="O41" s="52">
        <f>(D41+E41+F41)*G41*I41</f>
        <v>0</v>
      </c>
      <c r="P41" s="92">
        <f t="shared" si="0"/>
        <v>0</v>
      </c>
      <c r="Q41" s="94"/>
      <c r="R41" s="147"/>
      <c r="S41" s="147"/>
      <c r="U41" s="30"/>
    </row>
    <row r="42" spans="1:21" s="6" customFormat="1" ht="9">
      <c r="A42" s="142" t="s">
        <v>415</v>
      </c>
      <c r="B42" s="44" t="s">
        <v>433</v>
      </c>
      <c r="C42" s="44"/>
      <c r="D42" s="52"/>
      <c r="E42" s="52"/>
      <c r="F42" s="52"/>
      <c r="G42" s="44"/>
      <c r="H42" s="44"/>
      <c r="I42" s="92"/>
      <c r="J42" s="92"/>
      <c r="K42" s="92"/>
      <c r="L42" s="92"/>
      <c r="M42" s="44"/>
      <c r="N42" s="52"/>
      <c r="O42" s="52"/>
      <c r="P42" s="92"/>
      <c r="Q42" s="94"/>
      <c r="R42" s="147"/>
      <c r="S42" s="147"/>
      <c r="U42" s="30"/>
    </row>
    <row r="43" spans="1:21" s="6" customFormat="1" ht="9">
      <c r="A43" s="142" t="s">
        <v>416</v>
      </c>
      <c r="B43" s="44" t="s">
        <v>433</v>
      </c>
      <c r="C43" s="44"/>
      <c r="D43" s="52"/>
      <c r="E43" s="52"/>
      <c r="F43" s="52"/>
      <c r="G43" s="44"/>
      <c r="H43" s="44"/>
      <c r="I43" s="92"/>
      <c r="J43" s="92"/>
      <c r="K43" s="92"/>
      <c r="L43" s="92"/>
      <c r="M43" s="44"/>
      <c r="N43" s="52"/>
      <c r="O43" s="52"/>
      <c r="P43" s="92"/>
      <c r="Q43" s="94"/>
      <c r="R43" s="147"/>
      <c r="S43" s="147"/>
    </row>
    <row r="44" spans="1:21" s="6" customFormat="1" ht="9">
      <c r="A44" s="142" t="s">
        <v>417</v>
      </c>
      <c r="B44" s="44"/>
      <c r="C44" s="44"/>
      <c r="D44" s="52"/>
      <c r="E44" s="52"/>
      <c r="F44" s="52"/>
      <c r="G44" s="44"/>
      <c r="H44" s="44"/>
      <c r="I44" s="92"/>
      <c r="J44" s="92"/>
      <c r="K44" s="92"/>
      <c r="L44" s="92"/>
      <c r="M44" s="44"/>
      <c r="N44" s="52"/>
      <c r="O44" s="52"/>
      <c r="P44" s="92"/>
      <c r="Q44" s="94"/>
      <c r="R44" s="147"/>
      <c r="S44" s="147"/>
    </row>
    <row r="45" spans="1:21" s="6" customFormat="1" ht="9">
      <c r="A45" s="177" t="s">
        <v>435</v>
      </c>
      <c r="B45" s="44">
        <v>2</v>
      </c>
      <c r="C45" s="44"/>
      <c r="D45" s="52">
        <v>0</v>
      </c>
      <c r="E45" s="52">
        <v>0</v>
      </c>
      <c r="F45" s="52">
        <v>0</v>
      </c>
      <c r="G45" s="44">
        <v>1</v>
      </c>
      <c r="H45" s="44">
        <f>B45*G45</f>
        <v>2</v>
      </c>
      <c r="I45" s="91">
        <v>0</v>
      </c>
      <c r="J45" s="92">
        <f>H45*I45</f>
        <v>0</v>
      </c>
      <c r="K45" s="92">
        <f>J45*0.1</f>
        <v>0</v>
      </c>
      <c r="L45" s="92">
        <f>J45*0.05</f>
        <v>0</v>
      </c>
      <c r="M45" s="44">
        <f>C45*G45*I45</f>
        <v>0</v>
      </c>
      <c r="N45" s="52">
        <f>(J45*'Base Data'!$C$5)+(K45*'Base Data'!$C$6)+(L45*'Base Data'!$C$7)</f>
        <v>0</v>
      </c>
      <c r="O45" s="52">
        <f>(D45+E45+F45)*G45*I45</f>
        <v>0</v>
      </c>
      <c r="P45" s="92">
        <f t="shared" si="0"/>
        <v>0</v>
      </c>
      <c r="Q45" s="94"/>
      <c r="R45" s="147"/>
      <c r="S45" s="147"/>
    </row>
    <row r="46" spans="1:21" s="6" customFormat="1" ht="9" customHeight="1">
      <c r="A46" s="177" t="s">
        <v>377</v>
      </c>
      <c r="B46" s="44">
        <v>8</v>
      </c>
      <c r="C46" s="44"/>
      <c r="D46" s="52">
        <v>0</v>
      </c>
      <c r="E46" s="52">
        <v>0</v>
      </c>
      <c r="F46" s="52">
        <v>0</v>
      </c>
      <c r="G46" s="44">
        <v>1</v>
      </c>
      <c r="H46" s="44">
        <f>B46*G46</f>
        <v>8</v>
      </c>
      <c r="I46" s="91">
        <v>0</v>
      </c>
      <c r="J46" s="92">
        <f>H46*I46</f>
        <v>0</v>
      </c>
      <c r="K46" s="92">
        <f>J46*0.1</f>
        <v>0</v>
      </c>
      <c r="L46" s="92">
        <f>J46*0.05</f>
        <v>0</v>
      </c>
      <c r="M46" s="44">
        <f>C46*G46*I46</f>
        <v>0</v>
      </c>
      <c r="N46" s="52">
        <f>(J46*'Base Data'!$C$5)+(K46*'Base Data'!$C$6)+(L46*'Base Data'!$C$7)</f>
        <v>0</v>
      </c>
      <c r="O46" s="52">
        <f>(D46+E46+F46)*G46*I46</f>
        <v>0</v>
      </c>
      <c r="P46" s="92">
        <f t="shared" si="0"/>
        <v>0</v>
      </c>
      <c r="Q46" s="94"/>
      <c r="R46" s="147"/>
      <c r="S46" s="147"/>
    </row>
    <row r="47" spans="1:21" s="6" customFormat="1" ht="9">
      <c r="A47" s="144" t="s">
        <v>492</v>
      </c>
      <c r="B47" s="44">
        <v>20</v>
      </c>
      <c r="C47" s="44">
        <v>0</v>
      </c>
      <c r="D47" s="52">
        <v>0</v>
      </c>
      <c r="E47" s="52">
        <v>0</v>
      </c>
      <c r="F47" s="52">
        <v>0</v>
      </c>
      <c r="G47" s="44">
        <v>2</v>
      </c>
      <c r="H47" s="44">
        <f>B47*G47</f>
        <v>40</v>
      </c>
      <c r="I47" s="91">
        <v>0</v>
      </c>
      <c r="J47" s="92">
        <f>H47*I47</f>
        <v>0</v>
      </c>
      <c r="K47" s="92">
        <f>J47*0.1</f>
        <v>0</v>
      </c>
      <c r="L47" s="92">
        <f>J47*0.05</f>
        <v>0</v>
      </c>
      <c r="M47" s="92">
        <f>C47*G47*I47</f>
        <v>0</v>
      </c>
      <c r="N47" s="52">
        <f>(J47*'Base Data'!$C$5)+(K47*'Base Data'!$C$6)+(L47*'Base Data'!$C$7)</f>
        <v>0</v>
      </c>
      <c r="O47" s="52">
        <f>(D47+E47+F47)*G47*I47</f>
        <v>0</v>
      </c>
      <c r="P47" s="92">
        <f>SUM(P6:P46)</f>
        <v>0</v>
      </c>
      <c r="Q47" s="94"/>
      <c r="R47" s="184"/>
      <c r="S47" s="147"/>
    </row>
    <row r="48" spans="1:21" s="6" customFormat="1" ht="9">
      <c r="A48" s="145" t="s">
        <v>7</v>
      </c>
      <c r="B48" s="44"/>
      <c r="C48" s="44"/>
      <c r="D48" s="52"/>
      <c r="E48" s="52"/>
      <c r="F48" s="52"/>
      <c r="G48" s="44"/>
      <c r="H48" s="44"/>
      <c r="I48" s="91"/>
      <c r="J48" s="92">
        <f t="shared" ref="J48:O48" si="10">SUM(J7:J47)</f>
        <v>0</v>
      </c>
      <c r="K48" s="92">
        <f t="shared" si="10"/>
        <v>0</v>
      </c>
      <c r="L48" s="92">
        <f t="shared" si="10"/>
        <v>0</v>
      </c>
      <c r="M48" s="92">
        <f t="shared" si="10"/>
        <v>0</v>
      </c>
      <c r="N48" s="52">
        <f t="shared" si="10"/>
        <v>0</v>
      </c>
      <c r="O48" s="52">
        <f t="shared" si="10"/>
        <v>0</v>
      </c>
      <c r="P48" s="92">
        <v>0</v>
      </c>
      <c r="Q48" s="94"/>
      <c r="R48" s="150">
        <f>SUM(O7,O9:O21,O26,O29,O32,O35,O38,O41)</f>
        <v>0</v>
      </c>
      <c r="S48" s="149">
        <f>SUM(O25,O28,O31,O34,O37,O40)</f>
        <v>0</v>
      </c>
    </row>
    <row r="49" spans="1:19" s="6" customFormat="1" ht="9">
      <c r="A49" s="142" t="s">
        <v>431</v>
      </c>
      <c r="B49" s="44"/>
      <c r="C49" s="44"/>
      <c r="D49" s="52"/>
      <c r="E49" s="52"/>
      <c r="F49" s="52"/>
      <c r="G49" s="44"/>
      <c r="H49" s="44"/>
      <c r="I49" s="92"/>
      <c r="J49" s="92"/>
      <c r="K49" s="92"/>
      <c r="L49" s="92"/>
      <c r="M49" s="44"/>
      <c r="N49" s="52"/>
      <c r="O49" s="52"/>
      <c r="P49" s="92"/>
      <c r="Q49" s="94"/>
      <c r="R49" s="147"/>
      <c r="S49" s="147"/>
    </row>
    <row r="50" spans="1:19" s="6" customFormat="1" ht="9">
      <c r="A50" s="142" t="s">
        <v>418</v>
      </c>
      <c r="B50" s="44" t="s">
        <v>422</v>
      </c>
      <c r="C50" s="44"/>
      <c r="D50" s="52"/>
      <c r="E50" s="52"/>
      <c r="F50" s="52"/>
      <c r="G50" s="44"/>
      <c r="H50" s="44"/>
      <c r="I50" s="92"/>
      <c r="J50" s="92"/>
      <c r="K50" s="92"/>
      <c r="L50" s="92"/>
      <c r="M50" s="44"/>
      <c r="N50" s="52"/>
      <c r="O50" s="52"/>
      <c r="P50" s="92"/>
      <c r="Q50" s="94"/>
      <c r="R50" s="147"/>
      <c r="S50" s="147"/>
    </row>
    <row r="51" spans="1:19" s="6" customFormat="1" ht="9">
      <c r="A51" s="142" t="s">
        <v>419</v>
      </c>
      <c r="B51" s="44" t="s">
        <v>433</v>
      </c>
      <c r="C51" s="44"/>
      <c r="D51" s="52"/>
      <c r="E51" s="52"/>
      <c r="F51" s="52"/>
      <c r="G51" s="44"/>
      <c r="H51" s="44"/>
      <c r="I51" s="92"/>
      <c r="J51" s="92"/>
      <c r="K51" s="92"/>
      <c r="L51" s="92"/>
      <c r="M51" s="44"/>
      <c r="N51" s="52"/>
      <c r="O51" s="52"/>
      <c r="P51" s="92"/>
      <c r="Q51" s="94"/>
      <c r="R51" s="147"/>
      <c r="S51" s="147"/>
    </row>
    <row r="52" spans="1:19" s="6" customFormat="1" ht="9">
      <c r="A52" s="142" t="s">
        <v>420</v>
      </c>
      <c r="B52" s="44" t="s">
        <v>433</v>
      </c>
      <c r="C52" s="44"/>
      <c r="D52" s="52"/>
      <c r="E52" s="52"/>
      <c r="F52" s="52"/>
      <c r="G52" s="44"/>
      <c r="H52" s="44"/>
      <c r="I52" s="92"/>
      <c r="J52" s="92"/>
      <c r="K52" s="92"/>
      <c r="L52" s="92"/>
      <c r="M52" s="44"/>
      <c r="N52" s="52"/>
      <c r="O52" s="52"/>
      <c r="P52" s="92"/>
      <c r="Q52" s="94"/>
      <c r="R52" s="147"/>
      <c r="S52" s="147"/>
    </row>
    <row r="53" spans="1:19" s="6" customFormat="1" ht="9">
      <c r="A53" s="142" t="s">
        <v>421</v>
      </c>
      <c r="B53" s="44"/>
      <c r="C53" s="44"/>
      <c r="D53" s="52"/>
      <c r="E53" s="52"/>
      <c r="F53" s="52"/>
      <c r="G53" s="44"/>
      <c r="H53" s="44"/>
      <c r="I53" s="92"/>
      <c r="J53" s="92"/>
      <c r="K53" s="92"/>
      <c r="L53" s="92"/>
      <c r="M53" s="44"/>
      <c r="N53" s="52"/>
      <c r="O53" s="52"/>
      <c r="P53" s="92"/>
      <c r="Q53" s="94"/>
      <c r="R53" s="147"/>
      <c r="S53" s="147"/>
    </row>
    <row r="54" spans="1:19" s="6" customFormat="1" ht="9.75" customHeight="1">
      <c r="A54" s="142" t="s">
        <v>429</v>
      </c>
      <c r="B54" s="44">
        <v>20</v>
      </c>
      <c r="C54" s="44"/>
      <c r="D54" s="52">
        <v>0</v>
      </c>
      <c r="E54" s="52">
        <v>0</v>
      </c>
      <c r="F54" s="52">
        <v>0</v>
      </c>
      <c r="G54" s="44">
        <v>1</v>
      </c>
      <c r="H54" s="44">
        <f t="shared" ref="H54:H60" si="11">B54*G54</f>
        <v>20</v>
      </c>
      <c r="I54" s="91">
        <v>0</v>
      </c>
      <c r="J54" s="92">
        <f t="shared" ref="J54:J60" si="12">H54*I54</f>
        <v>0</v>
      </c>
      <c r="K54" s="92">
        <f t="shared" ref="K54:K60" si="13">J54*0.1</f>
        <v>0</v>
      </c>
      <c r="L54" s="92">
        <f t="shared" ref="L54:L60" si="14">J54*0.05</f>
        <v>0</v>
      </c>
      <c r="M54" s="44"/>
      <c r="N54" s="52">
        <f>(J54*'Base Data'!$C$5)+(K54*'Base Data'!$C$6)+(L54*'Base Data'!$C$7)</f>
        <v>0</v>
      </c>
      <c r="O54" s="52">
        <f t="shared" ref="O54:O60" si="15">(D54+E54+F54)*G54*I54</f>
        <v>0</v>
      </c>
      <c r="P54" s="92">
        <v>0</v>
      </c>
      <c r="Q54" s="94"/>
      <c r="R54" s="147"/>
      <c r="S54" s="147"/>
    </row>
    <row r="55" spans="1:19" s="6" customFormat="1" ht="9">
      <c r="A55" s="143" t="s">
        <v>425</v>
      </c>
      <c r="B55" s="44">
        <v>15</v>
      </c>
      <c r="C55" s="44">
        <v>0</v>
      </c>
      <c r="D55" s="52">
        <v>0</v>
      </c>
      <c r="E55" s="52">
        <v>0</v>
      </c>
      <c r="F55" s="52">
        <v>0</v>
      </c>
      <c r="G55" s="44">
        <v>1</v>
      </c>
      <c r="H55" s="44">
        <f t="shared" si="11"/>
        <v>15</v>
      </c>
      <c r="I55" s="91">
        <v>0</v>
      </c>
      <c r="J55" s="92">
        <f t="shared" si="12"/>
        <v>0</v>
      </c>
      <c r="K55" s="92">
        <f t="shared" si="13"/>
        <v>0</v>
      </c>
      <c r="L55" s="92">
        <f t="shared" si="14"/>
        <v>0</v>
      </c>
      <c r="M55" s="44">
        <f>C55*G55*I55</f>
        <v>0</v>
      </c>
      <c r="N55" s="52">
        <f>(J55*'Base Data'!$C$5)+(K55*'Base Data'!$C$6)+(L55*'Base Data'!$C$7)</f>
        <v>0</v>
      </c>
      <c r="O55" s="52">
        <f t="shared" si="15"/>
        <v>0</v>
      </c>
      <c r="P55" s="92">
        <v>0</v>
      </c>
      <c r="Q55" s="94"/>
      <c r="R55" s="147"/>
      <c r="S55" s="147"/>
    </row>
    <row r="56" spans="1:19" s="6" customFormat="1" ht="9.75" customHeight="1">
      <c r="A56" s="142" t="s">
        <v>426</v>
      </c>
      <c r="B56" s="44">
        <v>2</v>
      </c>
      <c r="C56" s="44"/>
      <c r="D56" s="52">
        <v>0</v>
      </c>
      <c r="E56" s="52">
        <v>0</v>
      </c>
      <c r="F56" s="52">
        <v>0</v>
      </c>
      <c r="G56" s="44">
        <v>1</v>
      </c>
      <c r="H56" s="44">
        <f t="shared" si="11"/>
        <v>2</v>
      </c>
      <c r="I56" s="91">
        <v>0</v>
      </c>
      <c r="J56" s="92">
        <f t="shared" si="12"/>
        <v>0</v>
      </c>
      <c r="K56" s="92">
        <f t="shared" si="13"/>
        <v>0</v>
      </c>
      <c r="L56" s="92">
        <f t="shared" si="14"/>
        <v>0</v>
      </c>
      <c r="M56" s="44"/>
      <c r="N56" s="52">
        <f>(J56*'Base Data'!$C$5)+(K56*'Base Data'!$C$6)+(L56*'Base Data'!$C$7)</f>
        <v>0</v>
      </c>
      <c r="O56" s="52">
        <f t="shared" si="15"/>
        <v>0</v>
      </c>
      <c r="P56" s="92">
        <v>0</v>
      </c>
      <c r="Q56" s="94"/>
      <c r="R56" s="147"/>
      <c r="S56" s="147"/>
    </row>
    <row r="57" spans="1:19" s="6" customFormat="1" ht="9">
      <c r="A57" s="143" t="s">
        <v>436</v>
      </c>
      <c r="B57" s="44">
        <v>2</v>
      </c>
      <c r="C57" s="44"/>
      <c r="D57" s="52">
        <v>0</v>
      </c>
      <c r="E57" s="52">
        <v>0</v>
      </c>
      <c r="F57" s="52">
        <v>0</v>
      </c>
      <c r="G57" s="44">
        <v>1</v>
      </c>
      <c r="H57" s="44">
        <f t="shared" si="11"/>
        <v>2</v>
      </c>
      <c r="I57" s="91">
        <v>0</v>
      </c>
      <c r="J57" s="92">
        <f t="shared" si="12"/>
        <v>0</v>
      </c>
      <c r="K57" s="92">
        <f t="shared" si="13"/>
        <v>0</v>
      </c>
      <c r="L57" s="92">
        <f t="shared" si="14"/>
        <v>0</v>
      </c>
      <c r="M57" s="44"/>
      <c r="N57" s="52">
        <f>(J57*'Base Data'!$C$5)+(K57*'Base Data'!$C$6)+(L57*'Base Data'!$C$7)</f>
        <v>0</v>
      </c>
      <c r="O57" s="52">
        <f t="shared" si="15"/>
        <v>0</v>
      </c>
      <c r="P57" s="92">
        <v>0</v>
      </c>
      <c r="Q57" s="94"/>
      <c r="R57" s="147"/>
      <c r="S57" s="147"/>
    </row>
    <row r="58" spans="1:19" s="6" customFormat="1" ht="9">
      <c r="A58" s="143" t="s">
        <v>437</v>
      </c>
      <c r="B58" s="44">
        <v>2</v>
      </c>
      <c r="C58" s="44">
        <v>0</v>
      </c>
      <c r="D58" s="52">
        <v>0</v>
      </c>
      <c r="E58" s="52">
        <v>0</v>
      </c>
      <c r="F58" s="52">
        <v>0</v>
      </c>
      <c r="G58" s="44">
        <v>2</v>
      </c>
      <c r="H58" s="44">
        <f t="shared" si="11"/>
        <v>4</v>
      </c>
      <c r="I58" s="91">
        <v>0</v>
      </c>
      <c r="J58" s="92">
        <f t="shared" si="12"/>
        <v>0</v>
      </c>
      <c r="K58" s="92">
        <f t="shared" si="13"/>
        <v>0</v>
      </c>
      <c r="L58" s="92">
        <f t="shared" si="14"/>
        <v>0</v>
      </c>
      <c r="M58" s="44">
        <f>C58*G58*I58</f>
        <v>0</v>
      </c>
      <c r="N58" s="52">
        <f>(J58*'Base Data'!$C$5)+(K58*'Base Data'!$C$6)+(L58*'Base Data'!$C$7)</f>
        <v>0</v>
      </c>
      <c r="O58" s="52">
        <f t="shared" si="15"/>
        <v>0</v>
      </c>
      <c r="P58" s="92">
        <v>0</v>
      </c>
      <c r="Q58" s="94"/>
      <c r="R58" s="147"/>
      <c r="S58" s="147"/>
    </row>
    <row r="59" spans="1:19" s="6" customFormat="1" ht="9">
      <c r="A59" s="143" t="s">
        <v>438</v>
      </c>
      <c r="B59" s="44">
        <v>0.5</v>
      </c>
      <c r="C59" s="44"/>
      <c r="D59" s="52">
        <v>0</v>
      </c>
      <c r="E59" s="52">
        <v>0</v>
      </c>
      <c r="F59" s="52">
        <v>0</v>
      </c>
      <c r="G59" s="44">
        <v>12</v>
      </c>
      <c r="H59" s="44">
        <f t="shared" si="11"/>
        <v>6</v>
      </c>
      <c r="I59" s="91">
        <v>0</v>
      </c>
      <c r="J59" s="92">
        <f t="shared" si="12"/>
        <v>0</v>
      </c>
      <c r="K59" s="92">
        <f t="shared" si="13"/>
        <v>0</v>
      </c>
      <c r="L59" s="92">
        <f t="shared" si="14"/>
        <v>0</v>
      </c>
      <c r="M59" s="44"/>
      <c r="N59" s="52">
        <f>(J59*'Base Data'!$C$5)+(K59*'Base Data'!$C$6)+(L59*'Base Data'!$C$7)</f>
        <v>0</v>
      </c>
      <c r="O59" s="52">
        <f t="shared" si="15"/>
        <v>0</v>
      </c>
      <c r="P59" s="92">
        <v>0</v>
      </c>
      <c r="Q59" s="94"/>
      <c r="R59" s="147"/>
      <c r="S59" s="147"/>
    </row>
    <row r="60" spans="1:19" s="6" customFormat="1" ht="9">
      <c r="A60" s="142" t="s">
        <v>427</v>
      </c>
      <c r="B60" s="44">
        <v>40</v>
      </c>
      <c r="C60" s="18"/>
      <c r="D60" s="39">
        <v>0</v>
      </c>
      <c r="E60" s="39">
        <v>0</v>
      </c>
      <c r="F60" s="39">
        <v>0</v>
      </c>
      <c r="G60" s="18">
        <v>1</v>
      </c>
      <c r="H60" s="18">
        <f t="shared" si="11"/>
        <v>40</v>
      </c>
      <c r="I60" s="91">
        <v>0</v>
      </c>
      <c r="J60" s="19">
        <f t="shared" si="12"/>
        <v>0</v>
      </c>
      <c r="K60" s="19">
        <f t="shared" si="13"/>
        <v>0</v>
      </c>
      <c r="L60" s="19">
        <f t="shared" si="14"/>
        <v>0</v>
      </c>
      <c r="M60" s="18"/>
      <c r="N60" s="39">
        <f>(J60*'Base Data'!$C$5)+(K60*'Base Data'!$C$6)+(L60*'Base Data'!$C$7)</f>
        <v>0</v>
      </c>
      <c r="O60" s="39">
        <f t="shared" si="15"/>
        <v>0</v>
      </c>
      <c r="P60" s="92">
        <v>0</v>
      </c>
      <c r="Q60" s="29"/>
    </row>
    <row r="61" spans="1:19" s="6" customFormat="1" ht="9">
      <c r="A61" s="142" t="s">
        <v>428</v>
      </c>
      <c r="B61" s="44" t="s">
        <v>433</v>
      </c>
      <c r="C61" s="44"/>
      <c r="D61" s="52"/>
      <c r="E61" s="52"/>
      <c r="F61" s="52"/>
      <c r="G61" s="44"/>
      <c r="H61" s="44"/>
      <c r="I61" s="92"/>
      <c r="J61" s="92"/>
      <c r="K61" s="92"/>
      <c r="L61" s="92"/>
      <c r="M61" s="44"/>
      <c r="N61" s="52"/>
      <c r="O61" s="52"/>
      <c r="P61" s="92"/>
      <c r="Q61" s="94"/>
      <c r="R61" s="147"/>
      <c r="S61" s="147"/>
    </row>
    <row r="62" spans="1:19" s="6" customFormat="1" ht="9">
      <c r="A62" s="254" t="s">
        <v>27</v>
      </c>
      <c r="B62" s="239"/>
      <c r="C62" s="239"/>
      <c r="D62" s="240"/>
      <c r="E62" s="240"/>
      <c r="F62" s="240"/>
      <c r="G62" s="239"/>
      <c r="H62" s="239"/>
      <c r="I62" s="241"/>
      <c r="J62" s="241">
        <f t="shared" ref="J62:P62" si="16">SUM(J50:J61)</f>
        <v>0</v>
      </c>
      <c r="K62" s="241">
        <f t="shared" si="16"/>
        <v>0</v>
      </c>
      <c r="L62" s="241">
        <f t="shared" si="16"/>
        <v>0</v>
      </c>
      <c r="M62" s="240">
        <f t="shared" si="16"/>
        <v>0</v>
      </c>
      <c r="N62" s="240">
        <f t="shared" si="16"/>
        <v>0</v>
      </c>
      <c r="O62" s="240">
        <f t="shared" si="16"/>
        <v>0</v>
      </c>
      <c r="P62" s="241">
        <f t="shared" si="16"/>
        <v>0</v>
      </c>
      <c r="Q62" s="242"/>
      <c r="R62" s="52">
        <f>SUM(R50:R61)</f>
        <v>0</v>
      </c>
      <c r="S62" s="147"/>
    </row>
    <row r="63" spans="1:19" s="2" customFormat="1">
      <c r="A63" s="186" t="s">
        <v>400</v>
      </c>
      <c r="B63" s="187"/>
      <c r="C63" s="187"/>
      <c r="D63" s="187"/>
      <c r="E63" s="187"/>
      <c r="F63" s="188"/>
      <c r="G63" s="187"/>
      <c r="H63" s="187"/>
      <c r="I63" s="189"/>
      <c r="J63" s="190">
        <f t="shared" ref="J63:P63" si="17">J48+J62</f>
        <v>0</v>
      </c>
      <c r="K63" s="190">
        <f t="shared" si="17"/>
        <v>0</v>
      </c>
      <c r="L63" s="190">
        <f t="shared" si="17"/>
        <v>0</v>
      </c>
      <c r="M63" s="191">
        <f t="shared" si="17"/>
        <v>0</v>
      </c>
      <c r="N63" s="191">
        <f t="shared" si="17"/>
        <v>0</v>
      </c>
      <c r="O63" s="191">
        <f t="shared" si="17"/>
        <v>0</v>
      </c>
      <c r="P63" s="190">
        <f t="shared" si="17"/>
        <v>0</v>
      </c>
      <c r="Q63" s="192"/>
      <c r="R63" s="185"/>
      <c r="S63" s="185"/>
    </row>
    <row r="64" spans="1:19" ht="6" customHeight="1">
      <c r="B64" s="54"/>
      <c r="C64" s="54"/>
      <c r="D64" s="54"/>
      <c r="E64" s="54"/>
      <c r="F64" s="54"/>
      <c r="G64" s="54"/>
      <c r="H64" s="54"/>
      <c r="I64" s="55"/>
    </row>
    <row r="65" spans="1:17" s="14" customFormat="1" ht="9">
      <c r="A65" s="412" t="s">
        <v>104</v>
      </c>
      <c r="B65" s="412"/>
      <c r="C65" s="412"/>
      <c r="D65" s="412"/>
      <c r="E65" s="412"/>
      <c r="F65" s="412"/>
      <c r="G65" s="412"/>
      <c r="H65" s="412"/>
      <c r="I65" s="412"/>
      <c r="J65" s="412"/>
      <c r="K65" s="412"/>
      <c r="L65" s="412"/>
      <c r="M65" s="412"/>
      <c r="N65" s="412"/>
      <c r="O65" s="17"/>
      <c r="P65" s="17"/>
      <c r="Q65" s="15"/>
    </row>
    <row r="66" spans="1:17" s="14" customFormat="1" ht="9">
      <c r="B66" s="15"/>
      <c r="C66" s="15"/>
      <c r="D66" s="15"/>
      <c r="E66" s="15"/>
      <c r="F66" s="15"/>
      <c r="G66" s="15"/>
      <c r="H66" s="15"/>
      <c r="I66" s="16"/>
      <c r="J66" s="15"/>
      <c r="K66" s="15"/>
      <c r="L66" s="15"/>
      <c r="M66" s="15"/>
      <c r="N66" s="15"/>
      <c r="O66" s="17"/>
      <c r="P66" s="17"/>
      <c r="Q66" s="15"/>
    </row>
    <row r="67" spans="1:17" s="14" customFormat="1" ht="9">
      <c r="B67" s="15"/>
      <c r="C67" s="15"/>
      <c r="D67" s="15"/>
      <c r="E67" s="15"/>
      <c r="F67" s="15"/>
      <c r="G67" s="15"/>
      <c r="H67" s="15"/>
      <c r="I67" s="16"/>
      <c r="J67" s="15"/>
      <c r="K67" s="15"/>
      <c r="L67" s="15"/>
      <c r="M67" s="15"/>
      <c r="N67" s="15"/>
      <c r="O67" s="17"/>
      <c r="P67" s="17"/>
      <c r="Q67" s="15"/>
    </row>
    <row r="68" spans="1:17" s="14" customFormat="1" ht="9">
      <c r="B68" s="15"/>
      <c r="C68" s="15"/>
      <c r="D68" s="15"/>
      <c r="E68" s="15"/>
      <c r="F68" s="15"/>
      <c r="G68" s="15"/>
      <c r="H68" s="15"/>
      <c r="I68" s="16"/>
      <c r="J68" s="15"/>
      <c r="K68" s="15"/>
      <c r="L68" s="15"/>
      <c r="M68" s="15"/>
      <c r="N68" s="15"/>
      <c r="O68" s="17"/>
      <c r="P68" s="17"/>
      <c r="Q68" s="15"/>
    </row>
    <row r="69" spans="1:17" s="14" customFormat="1" ht="9">
      <c r="B69" s="15"/>
      <c r="C69" s="15"/>
      <c r="D69" s="15"/>
      <c r="E69" s="15"/>
      <c r="F69" s="15"/>
      <c r="G69" s="15"/>
      <c r="H69" s="15"/>
      <c r="I69" s="16"/>
      <c r="J69" s="15"/>
      <c r="K69" s="15"/>
      <c r="L69" s="15"/>
      <c r="M69" s="15"/>
      <c r="N69" s="15"/>
      <c r="O69" s="17"/>
      <c r="P69" s="17"/>
      <c r="Q69" s="15"/>
    </row>
    <row r="70" spans="1:17" s="14" customFormat="1" ht="9">
      <c r="B70" s="15"/>
      <c r="C70" s="15"/>
      <c r="D70" s="15"/>
      <c r="E70" s="15"/>
      <c r="F70" s="15"/>
      <c r="G70" s="15"/>
      <c r="H70" s="15"/>
      <c r="I70" s="16"/>
      <c r="J70" s="15"/>
      <c r="K70" s="15"/>
      <c r="L70" s="15"/>
      <c r="M70" s="15"/>
      <c r="N70" s="15"/>
      <c r="O70" s="17"/>
      <c r="P70" s="17"/>
      <c r="Q70" s="15"/>
    </row>
    <row r="71" spans="1:17" s="14" customFormat="1" ht="9">
      <c r="B71" s="15"/>
      <c r="C71" s="15"/>
      <c r="D71" s="15"/>
      <c r="E71" s="15"/>
      <c r="F71" s="15"/>
      <c r="G71" s="15"/>
      <c r="H71" s="15"/>
      <c r="I71" s="16"/>
      <c r="J71" s="15"/>
      <c r="K71" s="15"/>
      <c r="L71" s="15"/>
      <c r="M71" s="15"/>
      <c r="N71" s="15"/>
      <c r="O71" s="17"/>
      <c r="P71" s="17"/>
      <c r="Q71" s="15"/>
    </row>
    <row r="72" spans="1:17" s="14" customFormat="1" ht="9">
      <c r="B72" s="15"/>
      <c r="C72" s="15"/>
      <c r="D72" s="15"/>
      <c r="E72" s="15"/>
      <c r="F72" s="15"/>
      <c r="G72" s="15"/>
      <c r="H72" s="15"/>
      <c r="I72" s="16"/>
      <c r="J72" s="15"/>
      <c r="K72" s="15"/>
      <c r="L72" s="15"/>
      <c r="M72" s="15"/>
      <c r="N72" s="15"/>
      <c r="O72" s="17"/>
      <c r="P72" s="17"/>
      <c r="Q72" s="15"/>
    </row>
    <row r="73" spans="1:17" s="14" customFormat="1" ht="9">
      <c r="B73" s="15"/>
      <c r="C73" s="15"/>
      <c r="D73" s="15"/>
      <c r="E73" s="15"/>
      <c r="F73" s="15"/>
      <c r="G73" s="15"/>
      <c r="H73" s="15"/>
      <c r="I73" s="16"/>
      <c r="J73" s="15"/>
      <c r="K73" s="15"/>
      <c r="L73" s="15"/>
      <c r="M73" s="15"/>
      <c r="N73" s="15"/>
      <c r="O73" s="17"/>
      <c r="P73" s="17"/>
      <c r="Q73" s="15"/>
    </row>
    <row r="74" spans="1:17" s="14" customFormat="1" ht="9">
      <c r="B74" s="15"/>
      <c r="C74" s="15"/>
      <c r="D74" s="15"/>
      <c r="E74" s="15"/>
      <c r="F74" s="15"/>
      <c r="G74" s="15"/>
      <c r="H74" s="15"/>
      <c r="I74" s="16"/>
      <c r="J74" s="15"/>
      <c r="K74" s="15"/>
      <c r="L74" s="15"/>
      <c r="M74" s="15"/>
      <c r="N74" s="15"/>
      <c r="O74" s="17"/>
      <c r="P74" s="17"/>
      <c r="Q74" s="15"/>
    </row>
    <row r="75" spans="1:17" s="14" customFormat="1" ht="9">
      <c r="B75" s="15"/>
      <c r="C75" s="15"/>
      <c r="D75" s="15"/>
      <c r="E75" s="15"/>
      <c r="F75" s="15"/>
      <c r="G75" s="15"/>
      <c r="H75" s="15"/>
      <c r="I75" s="16"/>
      <c r="J75" s="15"/>
      <c r="K75" s="15"/>
      <c r="L75" s="15"/>
      <c r="M75" s="15"/>
      <c r="N75" s="15"/>
      <c r="O75" s="17"/>
      <c r="P75" s="17"/>
      <c r="Q75" s="15"/>
    </row>
    <row r="76" spans="1:17" s="14" customFormat="1" ht="9">
      <c r="B76" s="15"/>
      <c r="C76" s="15"/>
      <c r="D76" s="15"/>
      <c r="E76" s="15"/>
      <c r="F76" s="15"/>
      <c r="G76" s="15"/>
      <c r="H76" s="15"/>
      <c r="I76" s="16"/>
      <c r="J76" s="15"/>
      <c r="K76" s="15"/>
      <c r="L76" s="15"/>
      <c r="M76" s="15"/>
      <c r="N76" s="15"/>
      <c r="O76" s="17"/>
      <c r="P76" s="17"/>
      <c r="Q76" s="15"/>
    </row>
    <row r="77" spans="1:17" s="14" customFormat="1" ht="9">
      <c r="B77" s="15"/>
      <c r="C77" s="15"/>
      <c r="D77" s="15"/>
      <c r="E77" s="15"/>
      <c r="F77" s="15"/>
      <c r="G77" s="15"/>
      <c r="H77" s="15"/>
      <c r="I77" s="16"/>
      <c r="J77" s="15"/>
      <c r="K77" s="15"/>
      <c r="L77" s="15"/>
      <c r="M77" s="15"/>
      <c r="N77" s="15"/>
      <c r="O77" s="17"/>
      <c r="P77" s="17"/>
      <c r="Q77" s="15"/>
    </row>
    <row r="78" spans="1:17" s="14" customFormat="1" ht="9">
      <c r="B78" s="15"/>
      <c r="C78" s="15"/>
      <c r="D78" s="15"/>
      <c r="E78" s="15"/>
      <c r="F78" s="15"/>
      <c r="G78" s="15"/>
      <c r="H78" s="15"/>
      <c r="I78" s="16"/>
      <c r="J78" s="15"/>
      <c r="K78" s="15"/>
      <c r="L78" s="15"/>
      <c r="M78" s="15"/>
      <c r="N78" s="15"/>
      <c r="O78" s="17"/>
      <c r="P78" s="17"/>
      <c r="Q78" s="15"/>
    </row>
    <row r="79" spans="1:17" s="14" customFormat="1" ht="9">
      <c r="B79" s="15"/>
      <c r="C79" s="15"/>
      <c r="D79" s="15"/>
      <c r="E79" s="15"/>
      <c r="F79" s="15"/>
      <c r="G79" s="15"/>
      <c r="H79" s="15"/>
      <c r="I79" s="16"/>
      <c r="J79" s="15"/>
      <c r="K79" s="15"/>
      <c r="L79" s="15"/>
      <c r="M79" s="15"/>
      <c r="N79" s="15"/>
      <c r="O79" s="17"/>
      <c r="P79" s="17"/>
      <c r="Q79" s="15"/>
    </row>
    <row r="80" spans="1:17" s="14" customFormat="1" ht="9">
      <c r="B80" s="15"/>
      <c r="C80" s="15"/>
      <c r="D80" s="15"/>
      <c r="E80" s="15"/>
      <c r="F80" s="15"/>
      <c r="G80" s="15"/>
      <c r="H80" s="15"/>
      <c r="I80" s="16"/>
      <c r="J80" s="15"/>
      <c r="K80" s="15"/>
      <c r="L80" s="15"/>
      <c r="M80" s="15"/>
      <c r="N80" s="15"/>
      <c r="O80" s="17"/>
      <c r="P80" s="17"/>
      <c r="Q80" s="15"/>
    </row>
    <row r="81" spans="2:17" s="14" customFormat="1" ht="9">
      <c r="B81" s="15"/>
      <c r="C81" s="15"/>
      <c r="D81" s="15"/>
      <c r="E81" s="15"/>
      <c r="F81" s="15"/>
      <c r="G81" s="15"/>
      <c r="H81" s="15"/>
      <c r="I81" s="16"/>
      <c r="J81" s="15"/>
      <c r="K81" s="15"/>
      <c r="L81" s="15"/>
      <c r="M81" s="15"/>
      <c r="N81" s="15"/>
      <c r="O81" s="17"/>
      <c r="P81" s="17"/>
      <c r="Q81" s="15"/>
    </row>
    <row r="82" spans="2:17" s="14" customFormat="1" ht="9">
      <c r="B82" s="15"/>
      <c r="C82" s="15"/>
      <c r="D82" s="15"/>
      <c r="E82" s="15"/>
      <c r="F82" s="15"/>
      <c r="G82" s="15"/>
      <c r="H82" s="15"/>
      <c r="I82" s="16"/>
      <c r="J82" s="15"/>
      <c r="K82" s="15"/>
      <c r="L82" s="15"/>
      <c r="M82" s="15"/>
      <c r="N82" s="15"/>
      <c r="O82" s="17"/>
      <c r="P82" s="17"/>
      <c r="Q82" s="15"/>
    </row>
    <row r="83" spans="2:17" s="14" customFormat="1" ht="9">
      <c r="B83" s="15"/>
      <c r="C83" s="15"/>
      <c r="D83" s="15"/>
      <c r="E83" s="15"/>
      <c r="F83" s="15"/>
      <c r="G83" s="15"/>
      <c r="H83" s="15"/>
      <c r="I83" s="16"/>
      <c r="J83" s="15"/>
      <c r="K83" s="15"/>
      <c r="L83" s="15"/>
      <c r="M83" s="15"/>
      <c r="N83" s="15"/>
      <c r="O83" s="17"/>
      <c r="P83" s="17"/>
      <c r="Q83" s="15"/>
    </row>
    <row r="84" spans="2:17" s="14" customFormat="1" ht="9">
      <c r="B84" s="15"/>
      <c r="C84" s="15"/>
      <c r="D84" s="15"/>
      <c r="E84" s="15"/>
      <c r="F84" s="15"/>
      <c r="G84" s="15"/>
      <c r="H84" s="15"/>
      <c r="I84" s="16"/>
      <c r="J84" s="15"/>
      <c r="K84" s="15"/>
      <c r="L84" s="15"/>
      <c r="M84" s="15"/>
      <c r="N84" s="15"/>
      <c r="O84" s="17"/>
      <c r="P84" s="17"/>
      <c r="Q84" s="15"/>
    </row>
    <row r="85" spans="2:17" s="14" customFormat="1" ht="9">
      <c r="B85" s="15"/>
      <c r="C85" s="15"/>
      <c r="D85" s="15"/>
      <c r="E85" s="15"/>
      <c r="F85" s="15"/>
      <c r="G85" s="15"/>
      <c r="H85" s="15"/>
      <c r="I85" s="16"/>
      <c r="J85" s="15"/>
      <c r="K85" s="15"/>
      <c r="L85" s="15"/>
      <c r="M85" s="15"/>
      <c r="N85" s="15"/>
      <c r="O85" s="17"/>
      <c r="P85" s="17"/>
      <c r="Q85" s="15"/>
    </row>
    <row r="86" spans="2:17" s="14" customFormat="1" ht="9">
      <c r="B86" s="15"/>
      <c r="C86" s="15"/>
      <c r="D86" s="15"/>
      <c r="E86" s="15"/>
      <c r="F86" s="15"/>
      <c r="G86" s="15"/>
      <c r="H86" s="15"/>
      <c r="I86" s="16"/>
      <c r="J86" s="15"/>
      <c r="K86" s="15"/>
      <c r="L86" s="15"/>
      <c r="M86" s="15"/>
      <c r="N86" s="15"/>
      <c r="O86" s="17"/>
      <c r="P86" s="17"/>
      <c r="Q86" s="15"/>
    </row>
    <row r="87" spans="2:17" s="14" customFormat="1" ht="9">
      <c r="B87" s="15"/>
      <c r="C87" s="15"/>
      <c r="D87" s="15"/>
      <c r="E87" s="15"/>
      <c r="F87" s="15"/>
      <c r="G87" s="15"/>
      <c r="H87" s="15"/>
      <c r="I87" s="16"/>
      <c r="J87" s="15"/>
      <c r="K87" s="15"/>
      <c r="L87" s="15"/>
      <c r="M87" s="15"/>
      <c r="N87" s="15"/>
      <c r="O87" s="17"/>
      <c r="P87" s="17"/>
      <c r="Q87" s="15"/>
    </row>
    <row r="88" spans="2:17" s="14" customFormat="1" ht="9">
      <c r="B88" s="15"/>
      <c r="C88" s="15"/>
      <c r="D88" s="15"/>
      <c r="E88" s="15"/>
      <c r="F88" s="15"/>
      <c r="G88" s="15"/>
      <c r="H88" s="15"/>
      <c r="I88" s="16"/>
      <c r="J88" s="15"/>
      <c r="K88" s="15"/>
      <c r="L88" s="15"/>
      <c r="M88" s="15"/>
      <c r="N88" s="15"/>
      <c r="O88" s="17"/>
      <c r="P88" s="17"/>
      <c r="Q88" s="15"/>
    </row>
    <row r="89" spans="2:17" s="14" customFormat="1" ht="9">
      <c r="B89" s="15"/>
      <c r="C89" s="15"/>
      <c r="D89" s="15"/>
      <c r="E89" s="15"/>
      <c r="F89" s="15"/>
      <c r="G89" s="15"/>
      <c r="H89" s="15"/>
      <c r="I89" s="16"/>
      <c r="J89" s="15"/>
      <c r="K89" s="15"/>
      <c r="L89" s="15"/>
      <c r="M89" s="15"/>
      <c r="N89" s="15"/>
      <c r="O89" s="17"/>
      <c r="P89" s="17"/>
      <c r="Q89" s="15"/>
    </row>
    <row r="90" spans="2:17" s="14" customFormat="1" ht="9">
      <c r="B90" s="15"/>
      <c r="C90" s="15"/>
      <c r="D90" s="15"/>
      <c r="E90" s="15"/>
      <c r="F90" s="15"/>
      <c r="G90" s="15"/>
      <c r="H90" s="15"/>
      <c r="I90" s="16"/>
      <c r="J90" s="15"/>
      <c r="K90" s="15"/>
      <c r="L90" s="15"/>
      <c r="M90" s="15"/>
      <c r="N90" s="15"/>
      <c r="O90" s="17"/>
      <c r="P90" s="17"/>
      <c r="Q90" s="15"/>
    </row>
    <row r="91" spans="2:17" s="14" customFormat="1" ht="9">
      <c r="B91" s="15"/>
      <c r="C91" s="15"/>
      <c r="D91" s="15"/>
      <c r="E91" s="15"/>
      <c r="F91" s="15"/>
      <c r="G91" s="15"/>
      <c r="H91" s="15"/>
      <c r="I91" s="16"/>
      <c r="J91" s="15"/>
      <c r="K91" s="15"/>
      <c r="L91" s="15"/>
      <c r="M91" s="15"/>
      <c r="N91" s="15"/>
      <c r="O91" s="17"/>
      <c r="P91" s="17"/>
      <c r="Q91" s="15"/>
    </row>
    <row r="92" spans="2:17" s="14" customFormat="1" ht="9">
      <c r="B92" s="15"/>
      <c r="C92" s="15"/>
      <c r="D92" s="15"/>
      <c r="E92" s="15"/>
      <c r="F92" s="15"/>
      <c r="G92" s="15"/>
      <c r="H92" s="15"/>
      <c r="I92" s="16"/>
      <c r="J92" s="15"/>
      <c r="K92" s="15"/>
      <c r="L92" s="15"/>
      <c r="M92" s="15"/>
      <c r="N92" s="15"/>
      <c r="O92" s="17"/>
      <c r="P92" s="17"/>
      <c r="Q92" s="15"/>
    </row>
    <row r="93" spans="2:17" s="14" customFormat="1" ht="9">
      <c r="B93" s="15"/>
      <c r="C93" s="15"/>
      <c r="D93" s="15"/>
      <c r="E93" s="15"/>
      <c r="F93" s="15"/>
      <c r="G93" s="15"/>
      <c r="H93" s="15"/>
      <c r="I93" s="16"/>
      <c r="J93" s="15"/>
      <c r="K93" s="15"/>
      <c r="L93" s="15"/>
      <c r="M93" s="15"/>
      <c r="N93" s="15"/>
      <c r="O93" s="17"/>
      <c r="P93" s="17"/>
      <c r="Q93" s="15"/>
    </row>
    <row r="94" spans="2:17" s="14" customFormat="1" ht="9">
      <c r="B94" s="15"/>
      <c r="C94" s="15"/>
      <c r="D94" s="15"/>
      <c r="E94" s="15"/>
      <c r="F94" s="15"/>
      <c r="G94" s="15"/>
      <c r="H94" s="15"/>
      <c r="I94" s="16"/>
      <c r="J94" s="15"/>
      <c r="K94" s="15"/>
      <c r="L94" s="15"/>
      <c r="M94" s="15"/>
      <c r="N94" s="15"/>
      <c r="O94" s="17"/>
      <c r="P94" s="17"/>
      <c r="Q94" s="15"/>
    </row>
    <row r="95" spans="2:17" s="14" customFormat="1" ht="9">
      <c r="B95" s="15"/>
      <c r="C95" s="15"/>
      <c r="D95" s="15"/>
      <c r="E95" s="15"/>
      <c r="F95" s="15"/>
      <c r="G95" s="15"/>
      <c r="H95" s="15"/>
      <c r="I95" s="16"/>
      <c r="J95" s="15"/>
      <c r="K95" s="15"/>
      <c r="L95" s="15"/>
      <c r="M95" s="15"/>
      <c r="N95" s="15"/>
      <c r="O95" s="17"/>
      <c r="P95" s="17"/>
      <c r="Q95" s="15"/>
    </row>
    <row r="96" spans="2:17" s="14" customFormat="1" ht="9">
      <c r="B96" s="15"/>
      <c r="C96" s="15"/>
      <c r="D96" s="15"/>
      <c r="E96" s="15"/>
      <c r="F96" s="15"/>
      <c r="G96" s="15"/>
      <c r="H96" s="15"/>
      <c r="I96" s="16"/>
      <c r="J96" s="15"/>
      <c r="K96" s="15"/>
      <c r="L96" s="15"/>
      <c r="M96" s="15"/>
      <c r="N96" s="15"/>
      <c r="O96" s="17"/>
      <c r="P96" s="17"/>
      <c r="Q96" s="15"/>
    </row>
    <row r="97" spans="2:17" s="14" customFormat="1" ht="9">
      <c r="B97" s="15"/>
      <c r="C97" s="15"/>
      <c r="D97" s="15"/>
      <c r="E97" s="15"/>
      <c r="F97" s="15"/>
      <c r="G97" s="15"/>
      <c r="H97" s="15"/>
      <c r="I97" s="16"/>
      <c r="J97" s="15"/>
      <c r="K97" s="15"/>
      <c r="L97" s="15"/>
      <c r="M97" s="15"/>
      <c r="N97" s="15"/>
      <c r="O97" s="17"/>
      <c r="P97" s="17"/>
      <c r="Q97" s="15"/>
    </row>
    <row r="98" spans="2:17" s="14" customFormat="1" ht="9">
      <c r="B98" s="15"/>
      <c r="C98" s="15"/>
      <c r="D98" s="15"/>
      <c r="E98" s="15"/>
      <c r="F98" s="15"/>
      <c r="G98" s="15"/>
      <c r="H98" s="15"/>
      <c r="I98" s="16"/>
      <c r="J98" s="15"/>
      <c r="K98" s="15"/>
      <c r="L98" s="15"/>
      <c r="M98" s="15"/>
      <c r="N98" s="15"/>
      <c r="O98" s="17"/>
      <c r="P98" s="17"/>
      <c r="Q98" s="15"/>
    </row>
    <row r="99" spans="2:17" s="14" customFormat="1" ht="9">
      <c r="B99" s="15"/>
      <c r="C99" s="15"/>
      <c r="D99" s="15"/>
      <c r="E99" s="15"/>
      <c r="F99" s="15"/>
      <c r="G99" s="15"/>
      <c r="H99" s="15"/>
      <c r="I99" s="16"/>
      <c r="J99" s="15"/>
      <c r="K99" s="15"/>
      <c r="L99" s="15"/>
      <c r="M99" s="15"/>
      <c r="N99" s="15"/>
      <c r="O99" s="17"/>
      <c r="P99" s="17"/>
      <c r="Q99" s="15"/>
    </row>
    <row r="100" spans="2:17" s="14" customFormat="1" ht="9">
      <c r="B100" s="15"/>
      <c r="C100" s="15"/>
      <c r="D100" s="15"/>
      <c r="E100" s="15"/>
      <c r="F100" s="15"/>
      <c r="G100" s="15"/>
      <c r="H100" s="15"/>
      <c r="I100" s="16"/>
      <c r="J100" s="15"/>
      <c r="K100" s="15"/>
      <c r="L100" s="15"/>
      <c r="M100" s="15"/>
      <c r="N100" s="15"/>
      <c r="O100" s="17"/>
      <c r="P100" s="17"/>
      <c r="Q100" s="15"/>
    </row>
    <row r="101" spans="2:17" s="14" customFormat="1" ht="9">
      <c r="B101" s="15"/>
      <c r="C101" s="15"/>
      <c r="D101" s="15"/>
      <c r="E101" s="15"/>
      <c r="F101" s="15"/>
      <c r="G101" s="15"/>
      <c r="H101" s="15"/>
      <c r="I101" s="16"/>
      <c r="J101" s="15"/>
      <c r="K101" s="15"/>
      <c r="L101" s="15"/>
      <c r="M101" s="15"/>
      <c r="N101" s="15"/>
      <c r="O101" s="17"/>
      <c r="P101" s="17"/>
      <c r="Q101" s="15"/>
    </row>
    <row r="102" spans="2:17" s="14" customFormat="1" ht="9">
      <c r="B102" s="15"/>
      <c r="C102" s="15"/>
      <c r="D102" s="15"/>
      <c r="E102" s="15"/>
      <c r="F102" s="15"/>
      <c r="G102" s="15"/>
      <c r="H102" s="15"/>
      <c r="I102" s="16"/>
      <c r="J102" s="15"/>
      <c r="K102" s="15"/>
      <c r="L102" s="15"/>
      <c r="M102" s="15"/>
      <c r="N102" s="15"/>
      <c r="O102" s="17"/>
      <c r="P102" s="17"/>
      <c r="Q102" s="15"/>
    </row>
    <row r="103" spans="2:17" s="14" customFormat="1" ht="9">
      <c r="B103" s="15"/>
      <c r="C103" s="15"/>
      <c r="D103" s="15"/>
      <c r="E103" s="15"/>
      <c r="F103" s="15"/>
      <c r="G103" s="15"/>
      <c r="H103" s="15"/>
      <c r="I103" s="16"/>
      <c r="J103" s="15"/>
      <c r="K103" s="15"/>
      <c r="L103" s="15"/>
      <c r="M103" s="15"/>
      <c r="N103" s="15"/>
      <c r="O103" s="17"/>
      <c r="P103" s="17"/>
      <c r="Q103" s="15"/>
    </row>
    <row r="104" spans="2:17" s="14" customFormat="1" ht="9">
      <c r="B104" s="15"/>
      <c r="C104" s="15"/>
      <c r="D104" s="15"/>
      <c r="E104" s="15"/>
      <c r="F104" s="15"/>
      <c r="G104" s="15"/>
      <c r="H104" s="15"/>
      <c r="I104" s="16"/>
      <c r="J104" s="15"/>
      <c r="K104" s="15"/>
      <c r="L104" s="15"/>
      <c r="M104" s="15"/>
      <c r="N104" s="15"/>
      <c r="O104" s="17"/>
      <c r="P104" s="17"/>
      <c r="Q104" s="15"/>
    </row>
    <row r="105" spans="2:17">
      <c r="P105" s="17"/>
    </row>
    <row r="106" spans="2:17">
      <c r="P106" s="17"/>
    </row>
  </sheetData>
  <mergeCells count="3">
    <mergeCell ref="A1:Q1"/>
    <mergeCell ref="A2:Q2"/>
    <mergeCell ref="A65:N65"/>
  </mergeCells>
  <phoneticPr fontId="7" type="noConversion"/>
  <pageMargins left="0.25" right="0.25" top="0.5" bottom="0.75" header="0.5" footer="0.5"/>
  <pageSetup scale="64" orientation="landscape" r:id="rId1"/>
  <headerFooter alignWithMargins="0"/>
</worksheet>
</file>

<file path=xl/worksheets/sheet21.xml><?xml version="1.0" encoding="utf-8"?>
<worksheet xmlns="http://schemas.openxmlformats.org/spreadsheetml/2006/main" xmlns:r="http://schemas.openxmlformats.org/officeDocument/2006/relationships">
  <sheetPr>
    <pageSetUpPr fitToPage="1"/>
  </sheetPr>
  <dimension ref="A1:U115"/>
  <sheetViews>
    <sheetView zoomScale="110" zoomScaleNormal="110" workbookViewId="0">
      <pane xSplit="1" ySplit="3" topLeftCell="B37" activePane="bottomRight" state="frozen"/>
      <selection activeCell="P31" sqref="P31"/>
      <selection pane="topRight" activeCell="P31" sqref="P31"/>
      <selection pane="bottomLeft" activeCell="P31" sqref="P31"/>
      <selection pane="bottomRight" activeCell="Q19" sqref="Q19"/>
    </sheetView>
  </sheetViews>
  <sheetFormatPr defaultRowHeight="11.25"/>
  <cols>
    <col min="1" max="1" width="36.5703125" style="1" customWidth="1"/>
    <col min="2" max="2" width="8.85546875" style="7" bestFit="1" customWidth="1"/>
    <col min="3" max="3" width="8" style="7" hidden="1" customWidth="1"/>
    <col min="4" max="4" width="8.42578125" style="7" bestFit="1" customWidth="1"/>
    <col min="5" max="5" width="8.85546875" style="7" bestFit="1" customWidth="1"/>
    <col min="6" max="6" width="7.42578125" style="7" customWidth="1"/>
    <col min="7" max="7" width="9.28515625" style="7" bestFit="1" customWidth="1"/>
    <col min="8" max="8" width="7.85546875" style="7" bestFit="1" customWidth="1"/>
    <col min="9" max="9" width="9.42578125" style="11" bestFit="1" customWidth="1"/>
    <col min="10" max="11" width="6.85546875" style="7" bestFit="1" customWidth="1"/>
    <col min="12" max="12" width="8.5703125" style="7" customWidth="1"/>
    <col min="13" max="13" width="7.85546875" style="7" hidden="1" customWidth="1"/>
    <col min="14" max="14" width="9.140625" style="7" customWidth="1"/>
    <col min="15" max="15" width="10.140625" style="8" bestFit="1" customWidth="1"/>
    <col min="16" max="16" width="10" style="8" bestFit="1" customWidth="1"/>
    <col min="17" max="17" width="3.7109375" style="7" customWidth="1"/>
    <col min="18" max="19" width="9.140625" style="1" hidden="1" customWidth="1"/>
    <col min="20" max="20" width="11.140625" style="1" customWidth="1"/>
    <col min="21" max="21" width="8.5703125" style="1" customWidth="1"/>
    <col min="22" max="16384" width="9.140625" style="1"/>
  </cols>
  <sheetData>
    <row r="1" spans="1:21">
      <c r="A1" s="410" t="s">
        <v>194</v>
      </c>
      <c r="B1" s="410"/>
      <c r="C1" s="410"/>
      <c r="D1" s="410"/>
      <c r="E1" s="410"/>
      <c r="F1" s="410"/>
      <c r="G1" s="410"/>
      <c r="H1" s="410"/>
      <c r="I1" s="410"/>
      <c r="J1" s="410"/>
      <c r="K1" s="410"/>
      <c r="L1" s="410"/>
      <c r="M1" s="410"/>
      <c r="N1" s="410"/>
      <c r="O1" s="410"/>
      <c r="P1" s="410"/>
      <c r="Q1" s="410"/>
    </row>
    <row r="2" spans="1:21">
      <c r="A2" s="411" t="s">
        <v>195</v>
      </c>
      <c r="B2" s="411"/>
      <c r="C2" s="411"/>
      <c r="D2" s="411"/>
      <c r="E2" s="411"/>
      <c r="F2" s="411"/>
      <c r="G2" s="411"/>
      <c r="H2" s="411"/>
      <c r="I2" s="411"/>
      <c r="J2" s="411"/>
      <c r="K2" s="411"/>
      <c r="L2" s="411"/>
      <c r="M2" s="411"/>
      <c r="N2" s="411"/>
      <c r="O2" s="411"/>
      <c r="P2" s="411"/>
      <c r="Q2" s="411"/>
    </row>
    <row r="3" spans="1:21" s="3" customFormat="1" ht="63">
      <c r="A3" s="45" t="s">
        <v>392</v>
      </c>
      <c r="B3" s="45" t="s">
        <v>393</v>
      </c>
      <c r="C3" s="45" t="s">
        <v>430</v>
      </c>
      <c r="D3" s="45" t="s">
        <v>4</v>
      </c>
      <c r="E3" s="45" t="s">
        <v>6</v>
      </c>
      <c r="F3" s="45" t="s">
        <v>5</v>
      </c>
      <c r="G3" s="45" t="s">
        <v>176</v>
      </c>
      <c r="H3" s="45" t="s">
        <v>459</v>
      </c>
      <c r="I3" s="60" t="s">
        <v>460</v>
      </c>
      <c r="J3" s="100" t="s">
        <v>462</v>
      </c>
      <c r="K3" s="100" t="s">
        <v>463</v>
      </c>
      <c r="L3" s="100" t="s">
        <v>461</v>
      </c>
      <c r="M3" s="45" t="s">
        <v>391</v>
      </c>
      <c r="N3" s="45" t="s">
        <v>8</v>
      </c>
      <c r="O3" s="100" t="s">
        <v>9</v>
      </c>
      <c r="P3" s="100" t="s">
        <v>175</v>
      </c>
      <c r="Q3" s="182" t="s">
        <v>394</v>
      </c>
      <c r="R3" s="3" t="s">
        <v>307</v>
      </c>
      <c r="S3" s="3" t="s">
        <v>308</v>
      </c>
    </row>
    <row r="4" spans="1:21" s="6" customFormat="1" ht="9">
      <c r="A4" s="178" t="s">
        <v>405</v>
      </c>
      <c r="B4" s="179" t="s">
        <v>433</v>
      </c>
      <c r="C4" s="179"/>
      <c r="D4" s="181"/>
      <c r="E4" s="181"/>
      <c r="F4" s="181"/>
      <c r="G4" s="179"/>
      <c r="H4" s="179"/>
      <c r="I4" s="183"/>
      <c r="J4" s="183"/>
      <c r="K4" s="183"/>
      <c r="L4" s="183"/>
      <c r="M4" s="179"/>
      <c r="N4" s="181"/>
      <c r="O4" s="181"/>
      <c r="P4" s="181"/>
      <c r="Q4" s="249"/>
    </row>
    <row r="5" spans="1:21" s="6" customFormat="1" ht="9">
      <c r="A5" s="142" t="s">
        <v>406</v>
      </c>
      <c r="B5" s="44" t="s">
        <v>433</v>
      </c>
      <c r="C5" s="44"/>
      <c r="D5" s="52"/>
      <c r="E5" s="52"/>
      <c r="F5" s="52"/>
      <c r="G5" s="44"/>
      <c r="H5" s="44"/>
      <c r="I5" s="92"/>
      <c r="J5" s="92"/>
      <c r="K5" s="92"/>
      <c r="L5" s="92"/>
      <c r="M5" s="44"/>
      <c r="N5" s="52"/>
      <c r="O5" s="52"/>
      <c r="P5" s="52"/>
      <c r="Q5" s="94"/>
    </row>
    <row r="6" spans="1:21" s="6" customFormat="1" ht="9">
      <c r="A6" s="142" t="s">
        <v>407</v>
      </c>
      <c r="B6" s="44"/>
      <c r="C6" s="44"/>
      <c r="D6" s="52"/>
      <c r="E6" s="52"/>
      <c r="F6" s="52"/>
      <c r="G6" s="44"/>
      <c r="H6" s="44"/>
      <c r="I6" s="92"/>
      <c r="J6" s="92"/>
      <c r="K6" s="92"/>
      <c r="L6" s="92"/>
      <c r="M6" s="44"/>
      <c r="N6" s="52"/>
      <c r="O6" s="52"/>
      <c r="P6" s="52"/>
      <c r="Q6" s="94"/>
      <c r="R6" s="147"/>
      <c r="S6" s="147"/>
      <c r="T6" s="147"/>
    </row>
    <row r="7" spans="1:21" s="6" customFormat="1" ht="9">
      <c r="A7" s="143" t="s">
        <v>408</v>
      </c>
      <c r="B7" s="44">
        <v>40</v>
      </c>
      <c r="C7" s="44"/>
      <c r="D7" s="52">
        <v>0</v>
      </c>
      <c r="E7" s="52">
        <v>0</v>
      </c>
      <c r="F7" s="52">
        <v>0</v>
      </c>
      <c r="G7" s="44">
        <v>1</v>
      </c>
      <c r="H7" s="44">
        <f>B7*G7</f>
        <v>40</v>
      </c>
      <c r="I7" s="91">
        <f>ROUNDUP(SUM('Base Data'!$H$79:$H$81)/3,0)</f>
        <v>2</v>
      </c>
      <c r="J7" s="92">
        <f>H7*I7</f>
        <v>80</v>
      </c>
      <c r="K7" s="92">
        <f>J7*0.1</f>
        <v>8</v>
      </c>
      <c r="L7" s="91">
        <f>J7*0.05</f>
        <v>4</v>
      </c>
      <c r="M7" s="44">
        <f>C7*G7*I7</f>
        <v>0</v>
      </c>
      <c r="N7" s="52">
        <f>(J7*'Base Data'!$C$5)+(K7*'Base Data'!$C$6)+(L7*'Base Data'!$C$7)</f>
        <v>8702.1999999999989</v>
      </c>
      <c r="O7" s="52">
        <f>(D7+E7+F7)*G7*I7</f>
        <v>0</v>
      </c>
      <c r="P7" s="92">
        <v>0</v>
      </c>
      <c r="Q7" s="94" t="s">
        <v>387</v>
      </c>
      <c r="R7" s="147"/>
      <c r="S7" s="147"/>
      <c r="T7" s="147"/>
    </row>
    <row r="8" spans="1:21" s="6" customFormat="1" ht="9">
      <c r="A8" s="142" t="s">
        <v>409</v>
      </c>
      <c r="B8" s="44"/>
      <c r="C8" s="44"/>
      <c r="D8" s="52"/>
      <c r="E8" s="52"/>
      <c r="F8" s="52"/>
      <c r="G8" s="44"/>
      <c r="H8" s="44"/>
      <c r="I8" s="92"/>
      <c r="J8" s="92"/>
      <c r="K8" s="92"/>
      <c r="L8" s="92"/>
      <c r="M8" s="44"/>
      <c r="N8" s="52"/>
      <c r="O8" s="52"/>
      <c r="P8" s="92"/>
      <c r="Q8" s="94"/>
      <c r="R8" s="147"/>
      <c r="S8" s="147"/>
      <c r="T8" s="147"/>
      <c r="U8" s="30"/>
    </row>
    <row r="9" spans="1:21" s="6" customFormat="1" ht="9">
      <c r="A9" s="143" t="s">
        <v>486</v>
      </c>
      <c r="B9" s="44">
        <v>12</v>
      </c>
      <c r="C9" s="44"/>
      <c r="D9" s="52">
        <v>0</v>
      </c>
      <c r="E9" s="52">
        <f>'Testing Costs'!$B$13</f>
        <v>5000</v>
      </c>
      <c r="F9" s="52">
        <v>0</v>
      </c>
      <c r="G9" s="44">
        <v>1</v>
      </c>
      <c r="H9" s="44">
        <f t="shared" ref="H9:H21" si="0">B9*G9</f>
        <v>12</v>
      </c>
      <c r="I9" s="91">
        <f>ROUNDUP(SUM('Base Data'!$D$79:$D$80)/3,0)</f>
        <v>3</v>
      </c>
      <c r="J9" s="92">
        <f t="shared" ref="J9:J21" si="1">H9*I9</f>
        <v>36</v>
      </c>
      <c r="K9" s="92">
        <f t="shared" ref="K9:K21" si="2">J9*0.1</f>
        <v>3.6</v>
      </c>
      <c r="L9" s="92">
        <f t="shared" ref="L9:L21" si="3">J9*0.05</f>
        <v>1.8</v>
      </c>
      <c r="M9" s="93"/>
      <c r="N9" s="52">
        <f>(J9*'Base Data'!$C$5)+(K9*'Base Data'!$C$6)+(L9*'Base Data'!$C$7)</f>
        <v>3915.9900000000002</v>
      </c>
      <c r="O9" s="52">
        <f t="shared" ref="O9:O21" si="4">(D9+E9+F9)*G9*I9</f>
        <v>15000</v>
      </c>
      <c r="P9" s="92">
        <v>0</v>
      </c>
      <c r="Q9" s="94" t="s">
        <v>259</v>
      </c>
      <c r="R9" s="147"/>
      <c r="S9" s="147"/>
      <c r="T9" s="147"/>
      <c r="U9" s="30"/>
    </row>
    <row r="10" spans="1:21" s="6" customFormat="1" ht="9">
      <c r="A10" s="143" t="s">
        <v>133</v>
      </c>
      <c r="B10" s="44">
        <v>12</v>
      </c>
      <c r="C10" s="44"/>
      <c r="D10" s="52">
        <v>0</v>
      </c>
      <c r="E10" s="52">
        <f>'Testing Costs'!$B$17</f>
        <v>8000</v>
      </c>
      <c r="F10" s="52">
        <v>0</v>
      </c>
      <c r="G10" s="44">
        <v>1</v>
      </c>
      <c r="H10" s="44">
        <f t="shared" si="0"/>
        <v>12</v>
      </c>
      <c r="I10" s="91">
        <v>0</v>
      </c>
      <c r="J10" s="92">
        <f t="shared" si="1"/>
        <v>0</v>
      </c>
      <c r="K10" s="92">
        <f t="shared" si="2"/>
        <v>0</v>
      </c>
      <c r="L10" s="92">
        <f t="shared" si="3"/>
        <v>0</v>
      </c>
      <c r="M10" s="93"/>
      <c r="N10" s="52">
        <f>(J10*'Base Data'!$C$5)+(K10*'Base Data'!$C$6)+(L10*'Base Data'!$C$7)</f>
        <v>0</v>
      </c>
      <c r="O10" s="52">
        <f t="shared" si="4"/>
        <v>0</v>
      </c>
      <c r="P10" s="92">
        <v>0</v>
      </c>
      <c r="Q10" s="94" t="s">
        <v>387</v>
      </c>
      <c r="R10" s="147"/>
      <c r="S10" s="147"/>
      <c r="T10" s="147"/>
      <c r="U10" s="30"/>
    </row>
    <row r="11" spans="1:21" s="6" customFormat="1" ht="9">
      <c r="A11" s="143" t="s">
        <v>134</v>
      </c>
      <c r="B11" s="44">
        <v>12</v>
      </c>
      <c r="C11" s="44"/>
      <c r="D11" s="52">
        <v>0</v>
      </c>
      <c r="E11" s="52">
        <f>'Testing Costs'!$B$15</f>
        <v>8000</v>
      </c>
      <c r="F11" s="52">
        <v>0</v>
      </c>
      <c r="G11" s="44">
        <v>1</v>
      </c>
      <c r="H11" s="44">
        <f t="shared" si="0"/>
        <v>12</v>
      </c>
      <c r="I11" s="91">
        <v>0</v>
      </c>
      <c r="J11" s="92">
        <f t="shared" si="1"/>
        <v>0</v>
      </c>
      <c r="K11" s="92">
        <f t="shared" si="2"/>
        <v>0</v>
      </c>
      <c r="L11" s="92">
        <f t="shared" si="3"/>
        <v>0</v>
      </c>
      <c r="M11" s="93"/>
      <c r="N11" s="52">
        <f>(J11*'Base Data'!$C$5)+(K11*'Base Data'!$C$6)+(L11*'Base Data'!$C$7)</f>
        <v>0</v>
      </c>
      <c r="O11" s="52">
        <f t="shared" si="4"/>
        <v>0</v>
      </c>
      <c r="P11" s="92">
        <v>0</v>
      </c>
      <c r="Q11" s="94" t="s">
        <v>387</v>
      </c>
      <c r="R11" s="147"/>
      <c r="S11" s="147"/>
      <c r="T11" s="147"/>
      <c r="U11" s="30"/>
    </row>
    <row r="12" spans="1:21" s="6" customFormat="1" ht="9">
      <c r="A12" s="143" t="s">
        <v>135</v>
      </c>
      <c r="B12" s="44">
        <v>12</v>
      </c>
      <c r="C12" s="44"/>
      <c r="D12" s="52">
        <v>0</v>
      </c>
      <c r="E12" s="52">
        <f>'Testing Costs'!$B$14</f>
        <v>7000</v>
      </c>
      <c r="F12" s="52">
        <v>0</v>
      </c>
      <c r="G12" s="44">
        <v>1</v>
      </c>
      <c r="H12" s="44">
        <f t="shared" si="0"/>
        <v>12</v>
      </c>
      <c r="I12" s="91">
        <f>ROUNDUP(SUM('Base Data'!$D$79:$D$81)/3,0)</f>
        <v>4</v>
      </c>
      <c r="J12" s="92">
        <f t="shared" si="1"/>
        <v>48</v>
      </c>
      <c r="K12" s="92">
        <f t="shared" si="2"/>
        <v>4.8000000000000007</v>
      </c>
      <c r="L12" s="92">
        <f t="shared" si="3"/>
        <v>2.4000000000000004</v>
      </c>
      <c r="M12" s="93"/>
      <c r="N12" s="52">
        <f>(J12*'Base Data'!$C$5)+(K12*'Base Data'!$C$6)+(L12*'Base Data'!$C$7)</f>
        <v>5221.3200000000006</v>
      </c>
      <c r="O12" s="52">
        <f t="shared" si="4"/>
        <v>28000</v>
      </c>
      <c r="P12" s="92">
        <v>0</v>
      </c>
      <c r="Q12" s="94" t="s">
        <v>387</v>
      </c>
      <c r="R12" s="147"/>
      <c r="S12" s="147"/>
      <c r="T12" s="147"/>
      <c r="U12" s="30"/>
    </row>
    <row r="13" spans="1:21" s="6" customFormat="1" ht="9">
      <c r="A13" s="143" t="s">
        <v>136</v>
      </c>
      <c r="B13" s="44">
        <v>12</v>
      </c>
      <c r="C13" s="44"/>
      <c r="D13" s="52">
        <v>0</v>
      </c>
      <c r="E13" s="52">
        <f>'Testing Costs'!$B$16</f>
        <v>16000</v>
      </c>
      <c r="F13" s="52">
        <v>0</v>
      </c>
      <c r="G13" s="44">
        <v>1</v>
      </c>
      <c r="H13" s="44">
        <f t="shared" si="0"/>
        <v>12</v>
      </c>
      <c r="I13" s="91">
        <f>ROUNDUP(SUM('Base Data'!$D$79:$D$81)/3,0)</f>
        <v>4</v>
      </c>
      <c r="J13" s="92">
        <f t="shared" si="1"/>
        <v>48</v>
      </c>
      <c r="K13" s="92">
        <f t="shared" si="2"/>
        <v>4.8000000000000007</v>
      </c>
      <c r="L13" s="92">
        <f t="shared" si="3"/>
        <v>2.4000000000000004</v>
      </c>
      <c r="M13" s="93"/>
      <c r="N13" s="52">
        <f>(J13*'Base Data'!$C$5)+(K13*'Base Data'!$C$6)+(L13*'Base Data'!$C$7)</f>
        <v>5221.3200000000006</v>
      </c>
      <c r="O13" s="52">
        <f t="shared" si="4"/>
        <v>64000</v>
      </c>
      <c r="P13" s="92">
        <v>0</v>
      </c>
      <c r="Q13" s="94" t="s">
        <v>387</v>
      </c>
      <c r="R13" s="147"/>
      <c r="S13" s="147"/>
      <c r="T13" s="147"/>
      <c r="U13" s="30"/>
    </row>
    <row r="14" spans="1:21" s="6" customFormat="1" ht="9" customHeight="1">
      <c r="A14" s="143" t="s">
        <v>148</v>
      </c>
      <c r="B14" s="44">
        <v>12</v>
      </c>
      <c r="C14" s="44"/>
      <c r="D14" s="52">
        <v>0</v>
      </c>
      <c r="E14" s="52">
        <f>'Testing Costs'!$B$13</f>
        <v>5000</v>
      </c>
      <c r="F14" s="52">
        <v>0</v>
      </c>
      <c r="G14" s="44">
        <v>1</v>
      </c>
      <c r="H14" s="44">
        <f t="shared" si="0"/>
        <v>12</v>
      </c>
      <c r="I14" s="91">
        <v>0</v>
      </c>
      <c r="J14" s="92">
        <f t="shared" si="1"/>
        <v>0</v>
      </c>
      <c r="K14" s="92">
        <f t="shared" si="2"/>
        <v>0</v>
      </c>
      <c r="L14" s="92">
        <f t="shared" si="3"/>
        <v>0</v>
      </c>
      <c r="M14" s="93"/>
      <c r="N14" s="52">
        <f>(J14*'Base Data'!$C$5)+(K14*'Base Data'!$C$6)+(L14*'Base Data'!$C$7)</f>
        <v>0</v>
      </c>
      <c r="O14" s="52">
        <f t="shared" si="4"/>
        <v>0</v>
      </c>
      <c r="P14" s="92">
        <v>0</v>
      </c>
      <c r="Q14" s="94" t="s">
        <v>260</v>
      </c>
      <c r="R14" s="147"/>
      <c r="S14" s="147"/>
      <c r="T14" s="147"/>
      <c r="U14" s="30"/>
    </row>
    <row r="15" spans="1:21" s="6" customFormat="1" ht="9">
      <c r="A15" s="143" t="s">
        <v>149</v>
      </c>
      <c r="B15" s="44">
        <v>12</v>
      </c>
      <c r="C15" s="44"/>
      <c r="D15" s="52">
        <v>0</v>
      </c>
      <c r="E15" s="52">
        <f>'Testing Costs'!$B$17</f>
        <v>8000</v>
      </c>
      <c r="F15" s="52">
        <v>0</v>
      </c>
      <c r="G15" s="44">
        <v>1</v>
      </c>
      <c r="H15" s="44">
        <f t="shared" si="0"/>
        <v>12</v>
      </c>
      <c r="I15" s="91">
        <v>0</v>
      </c>
      <c r="J15" s="92">
        <f t="shared" si="1"/>
        <v>0</v>
      </c>
      <c r="K15" s="92">
        <f t="shared" si="2"/>
        <v>0</v>
      </c>
      <c r="L15" s="92">
        <f t="shared" si="3"/>
        <v>0</v>
      </c>
      <c r="M15" s="93"/>
      <c r="N15" s="52">
        <f>(J15*'Base Data'!$C$5)+(K15*'Base Data'!$C$6)+(L15*'Base Data'!$C$7)</f>
        <v>0</v>
      </c>
      <c r="O15" s="52">
        <f t="shared" si="4"/>
        <v>0</v>
      </c>
      <c r="P15" s="92">
        <v>0</v>
      </c>
      <c r="Q15" s="94" t="s">
        <v>260</v>
      </c>
      <c r="R15" s="147"/>
      <c r="S15" s="147"/>
      <c r="T15" s="147"/>
      <c r="U15" s="30"/>
    </row>
    <row r="16" spans="1:21" s="6" customFormat="1" ht="9">
      <c r="A16" s="143" t="s">
        <v>150</v>
      </c>
      <c r="B16" s="44">
        <v>12</v>
      </c>
      <c r="C16" s="44"/>
      <c r="D16" s="52">
        <v>0</v>
      </c>
      <c r="E16" s="52">
        <f>'Testing Costs'!$B$15</f>
        <v>8000</v>
      </c>
      <c r="F16" s="52">
        <v>0</v>
      </c>
      <c r="G16" s="44">
        <v>1</v>
      </c>
      <c r="H16" s="44">
        <f t="shared" si="0"/>
        <v>12</v>
      </c>
      <c r="I16" s="91">
        <v>0</v>
      </c>
      <c r="J16" s="92">
        <f t="shared" si="1"/>
        <v>0</v>
      </c>
      <c r="K16" s="92">
        <f t="shared" si="2"/>
        <v>0</v>
      </c>
      <c r="L16" s="92">
        <f t="shared" si="3"/>
        <v>0</v>
      </c>
      <c r="M16" s="93"/>
      <c r="N16" s="52">
        <f>(J16*'Base Data'!$C$5)+(K16*'Base Data'!$C$6)+(L16*'Base Data'!$C$7)</f>
        <v>0</v>
      </c>
      <c r="O16" s="52">
        <f t="shared" si="4"/>
        <v>0</v>
      </c>
      <c r="P16" s="92">
        <v>0</v>
      </c>
      <c r="Q16" s="94" t="s">
        <v>260</v>
      </c>
      <c r="R16" s="147"/>
      <c r="S16" s="147"/>
      <c r="T16" s="147"/>
      <c r="U16" s="30"/>
    </row>
    <row r="17" spans="1:21" s="6" customFormat="1" ht="9">
      <c r="A17" s="143" t="s">
        <v>151</v>
      </c>
      <c r="B17" s="44">
        <v>12</v>
      </c>
      <c r="C17" s="44"/>
      <c r="D17" s="52">
        <v>0</v>
      </c>
      <c r="E17" s="52">
        <f>'Testing Costs'!$B$14</f>
        <v>7000</v>
      </c>
      <c r="F17" s="52">
        <v>0</v>
      </c>
      <c r="G17" s="44">
        <v>1</v>
      </c>
      <c r="H17" s="44">
        <f t="shared" si="0"/>
        <v>12</v>
      </c>
      <c r="I17" s="91">
        <v>0</v>
      </c>
      <c r="J17" s="92">
        <f t="shared" si="1"/>
        <v>0</v>
      </c>
      <c r="K17" s="92">
        <f t="shared" si="2"/>
        <v>0</v>
      </c>
      <c r="L17" s="92">
        <f t="shared" si="3"/>
        <v>0</v>
      </c>
      <c r="M17" s="93"/>
      <c r="N17" s="52">
        <f>(J17*'Base Data'!$C$5)+(K17*'Base Data'!$C$6)+(L17*'Base Data'!$C$7)</f>
        <v>0</v>
      </c>
      <c r="O17" s="52">
        <f t="shared" si="4"/>
        <v>0</v>
      </c>
      <c r="P17" s="92">
        <v>0</v>
      </c>
      <c r="Q17" s="94" t="s">
        <v>260</v>
      </c>
      <c r="R17" s="147"/>
      <c r="S17" s="147"/>
      <c r="T17" s="147"/>
      <c r="U17" s="30"/>
    </row>
    <row r="18" spans="1:21" s="6" customFormat="1" ht="9">
      <c r="A18" s="143" t="s">
        <v>152</v>
      </c>
      <c r="B18" s="44">
        <v>12</v>
      </c>
      <c r="C18" s="44"/>
      <c r="D18" s="52">
        <v>0</v>
      </c>
      <c r="E18" s="52">
        <f>'Testing Costs'!$B$16</f>
        <v>16000</v>
      </c>
      <c r="F18" s="52">
        <v>0</v>
      </c>
      <c r="G18" s="44">
        <v>1</v>
      </c>
      <c r="H18" s="44">
        <f t="shared" si="0"/>
        <v>12</v>
      </c>
      <c r="I18" s="91">
        <v>0</v>
      </c>
      <c r="J18" s="92">
        <f t="shared" si="1"/>
        <v>0</v>
      </c>
      <c r="K18" s="92">
        <f t="shared" si="2"/>
        <v>0</v>
      </c>
      <c r="L18" s="92">
        <f t="shared" si="3"/>
        <v>0</v>
      </c>
      <c r="M18" s="93"/>
      <c r="N18" s="52">
        <f>(J18*'Base Data'!$C$5)+(K18*'Base Data'!$C$6)+(L18*'Base Data'!$C$7)</f>
        <v>0</v>
      </c>
      <c r="O18" s="52">
        <f t="shared" si="4"/>
        <v>0</v>
      </c>
      <c r="P18" s="92">
        <v>0</v>
      </c>
      <c r="Q18" s="94" t="s">
        <v>260</v>
      </c>
      <c r="R18" s="147"/>
      <c r="S18" s="147"/>
      <c r="T18" s="147"/>
      <c r="U18" s="30"/>
    </row>
    <row r="19" spans="1:21" s="6" customFormat="1" ht="18">
      <c r="A19" s="332" t="s">
        <v>482</v>
      </c>
      <c r="B19" s="44">
        <v>24</v>
      </c>
      <c r="C19" s="331"/>
      <c r="D19" s="52">
        <v>0</v>
      </c>
      <c r="E19" s="52">
        <f>$E$10+$E$11</f>
        <v>16000</v>
      </c>
      <c r="F19" s="52">
        <v>0</v>
      </c>
      <c r="G19" s="44">
        <v>1</v>
      </c>
      <c r="H19" s="44">
        <f t="shared" si="0"/>
        <v>24</v>
      </c>
      <c r="I19" s="91">
        <v>0</v>
      </c>
      <c r="J19" s="92">
        <f t="shared" si="1"/>
        <v>0</v>
      </c>
      <c r="K19" s="92">
        <f t="shared" si="2"/>
        <v>0</v>
      </c>
      <c r="L19" s="92">
        <f t="shared" si="3"/>
        <v>0</v>
      </c>
      <c r="M19" s="93"/>
      <c r="N19" s="52">
        <f>(J19*'Base Data'!$C$5)+(K19*'Base Data'!$C$6)+(L19*'Base Data'!$C$7)</f>
        <v>0</v>
      </c>
      <c r="O19" s="52">
        <f t="shared" si="4"/>
        <v>0</v>
      </c>
      <c r="P19" s="92">
        <v>0</v>
      </c>
      <c r="Q19" s="94" t="s">
        <v>182</v>
      </c>
    </row>
    <row r="20" spans="1:21" s="6" customFormat="1" ht="9" customHeight="1">
      <c r="A20" s="143" t="s">
        <v>268</v>
      </c>
      <c r="B20" s="44">
        <v>5</v>
      </c>
      <c r="C20" s="44"/>
      <c r="D20" s="52">
        <v>0</v>
      </c>
      <c r="E20" s="52">
        <v>400</v>
      </c>
      <c r="F20" s="52">
        <v>0</v>
      </c>
      <c r="G20" s="44">
        <v>1</v>
      </c>
      <c r="H20" s="44">
        <f t="shared" si="0"/>
        <v>5</v>
      </c>
      <c r="I20" s="91">
        <f>ROUNDUP(SUM('Base Data'!$D$79:$D$81)/3,0)</f>
        <v>4</v>
      </c>
      <c r="J20" s="92">
        <f t="shared" si="1"/>
        <v>20</v>
      </c>
      <c r="K20" s="92">
        <f t="shared" si="2"/>
        <v>2</v>
      </c>
      <c r="L20" s="92">
        <f t="shared" si="3"/>
        <v>1</v>
      </c>
      <c r="M20" s="93"/>
      <c r="N20" s="52">
        <f>(J20*'Base Data'!$C$5)+(K20*'Base Data'!$C$6)+(L20*'Base Data'!$C$7)</f>
        <v>2175.5499999999997</v>
      </c>
      <c r="O20" s="52">
        <f t="shared" si="4"/>
        <v>1600</v>
      </c>
      <c r="P20" s="92">
        <v>0</v>
      </c>
      <c r="Q20" s="94" t="s">
        <v>261</v>
      </c>
      <c r="R20" s="147"/>
      <c r="S20" s="147"/>
      <c r="T20" s="147"/>
      <c r="U20" s="30"/>
    </row>
    <row r="21" spans="1:21" s="6" customFormat="1" ht="9" customHeight="1">
      <c r="A21" s="143" t="s">
        <v>269</v>
      </c>
      <c r="B21" s="44">
        <v>5</v>
      </c>
      <c r="C21" s="44"/>
      <c r="D21" s="52">
        <v>0</v>
      </c>
      <c r="E21" s="52">
        <v>400</v>
      </c>
      <c r="F21" s="52">
        <v>0</v>
      </c>
      <c r="G21" s="44">
        <v>12</v>
      </c>
      <c r="H21" s="44">
        <f t="shared" si="0"/>
        <v>60</v>
      </c>
      <c r="I21" s="91">
        <v>0</v>
      </c>
      <c r="J21" s="92">
        <f t="shared" si="1"/>
        <v>0</v>
      </c>
      <c r="K21" s="92">
        <f t="shared" si="2"/>
        <v>0</v>
      </c>
      <c r="L21" s="92">
        <f t="shared" si="3"/>
        <v>0</v>
      </c>
      <c r="M21" s="93"/>
      <c r="N21" s="52">
        <f>(J21*'Base Data'!$C$5)+(K21*'Base Data'!$C$6)+(L21*'Base Data'!$C$7)</f>
        <v>0</v>
      </c>
      <c r="O21" s="52">
        <f t="shared" si="4"/>
        <v>0</v>
      </c>
      <c r="P21" s="92">
        <v>0</v>
      </c>
      <c r="Q21" s="94" t="s">
        <v>261</v>
      </c>
      <c r="R21" s="147"/>
      <c r="S21" s="147"/>
      <c r="T21" s="147"/>
      <c r="U21" s="30"/>
    </row>
    <row r="22" spans="1:21" s="6" customFormat="1" ht="9">
      <c r="A22" s="143" t="s">
        <v>270</v>
      </c>
      <c r="B22" s="44"/>
      <c r="C22" s="44"/>
      <c r="D22" s="52"/>
      <c r="E22" s="52"/>
      <c r="F22" s="52"/>
      <c r="G22" s="44"/>
      <c r="H22" s="44"/>
      <c r="I22" s="92"/>
      <c r="J22" s="92"/>
      <c r="K22" s="92"/>
      <c r="L22" s="92"/>
      <c r="M22" s="93"/>
      <c r="N22" s="52"/>
      <c r="O22" s="52"/>
      <c r="P22" s="92"/>
      <c r="Q22" s="94"/>
      <c r="R22" s="147"/>
      <c r="S22" s="147"/>
      <c r="T22" s="147"/>
      <c r="U22" s="30"/>
    </row>
    <row r="23" spans="1:21" s="6" customFormat="1" ht="9">
      <c r="A23" s="143" t="s">
        <v>432</v>
      </c>
      <c r="B23" s="44">
        <v>40</v>
      </c>
      <c r="C23" s="44"/>
      <c r="D23" s="52">
        <v>0</v>
      </c>
      <c r="E23" s="52"/>
      <c r="F23" s="52">
        <v>0</v>
      </c>
      <c r="G23" s="44">
        <v>1</v>
      </c>
      <c r="H23" s="44">
        <f>B23*G23</f>
        <v>40</v>
      </c>
      <c r="I23" s="91">
        <f>ROUNDUP(SUM('Base Data'!$H$79:$H$81)/3,0)</f>
        <v>2</v>
      </c>
      <c r="J23" s="92">
        <f>H23*I23</f>
        <v>80</v>
      </c>
      <c r="K23" s="92">
        <f>J23*0.1</f>
        <v>8</v>
      </c>
      <c r="L23" s="92">
        <f>J23*0.05</f>
        <v>4</v>
      </c>
      <c r="M23" s="93"/>
      <c r="N23" s="52">
        <f>(J23*'Base Data'!$C$5)+(K23*'Base Data'!$C$6)+(L23*'Base Data'!$C$7)</f>
        <v>8702.1999999999989</v>
      </c>
      <c r="O23" s="52">
        <f>(D23+E23+F23)*G23*I23</f>
        <v>0</v>
      </c>
      <c r="P23" s="92">
        <v>0</v>
      </c>
      <c r="Q23" s="94" t="s">
        <v>387</v>
      </c>
      <c r="R23" s="147"/>
      <c r="S23" s="147"/>
      <c r="T23" s="147"/>
      <c r="U23" s="30"/>
    </row>
    <row r="24" spans="1:21" s="6" customFormat="1" ht="9">
      <c r="A24" s="142" t="s">
        <v>410</v>
      </c>
      <c r="B24" s="44"/>
      <c r="C24" s="44"/>
      <c r="D24" s="52"/>
      <c r="E24" s="52"/>
      <c r="F24" s="52"/>
      <c r="G24" s="44"/>
      <c r="H24" s="44"/>
      <c r="I24" s="92"/>
      <c r="J24" s="92"/>
      <c r="K24" s="92"/>
      <c r="L24" s="92"/>
      <c r="M24" s="93"/>
      <c r="N24" s="52"/>
      <c r="O24" s="52"/>
      <c r="P24" s="92">
        <v>0</v>
      </c>
      <c r="Q24" s="94"/>
      <c r="R24" s="147"/>
      <c r="S24" s="147"/>
      <c r="T24" s="147"/>
      <c r="U24" s="30"/>
    </row>
    <row r="25" spans="1:21" s="6" customFormat="1" ht="9">
      <c r="A25" s="142" t="s">
        <v>411</v>
      </c>
      <c r="B25" s="44">
        <v>10</v>
      </c>
      <c r="C25" s="44"/>
      <c r="D25" s="52">
        <v>0</v>
      </c>
      <c r="E25" s="52">
        <v>0</v>
      </c>
      <c r="F25" s="52">
        <v>43100</v>
      </c>
      <c r="G25" s="44">
        <v>1</v>
      </c>
      <c r="H25" s="44">
        <f>B25*G25</f>
        <v>10</v>
      </c>
      <c r="I25" s="91">
        <f>SUM(Monitors!$C$23/3,0)</f>
        <v>0</v>
      </c>
      <c r="J25" s="92">
        <f>H25*I25</f>
        <v>0</v>
      </c>
      <c r="K25" s="92">
        <f>J25*0.1</f>
        <v>0</v>
      </c>
      <c r="L25" s="92">
        <f>J25*0.05</f>
        <v>0</v>
      </c>
      <c r="M25" s="93"/>
      <c r="N25" s="52">
        <f>(J25*'Base Data'!$C$5)+(K25*'Base Data'!$C$6)+(L25*'Base Data'!$C$7)</f>
        <v>0</v>
      </c>
      <c r="O25" s="52">
        <f>(D25+E25+F25)*G25*I25</f>
        <v>0</v>
      </c>
      <c r="P25" s="92">
        <v>0</v>
      </c>
      <c r="Q25" s="94" t="s">
        <v>387</v>
      </c>
      <c r="R25" s="147"/>
      <c r="S25" s="147"/>
      <c r="T25" s="147"/>
      <c r="U25" s="30"/>
    </row>
    <row r="26" spans="1:21" s="6" customFormat="1" ht="9">
      <c r="A26" s="142" t="s">
        <v>414</v>
      </c>
      <c r="B26" s="44">
        <v>10</v>
      </c>
      <c r="C26" s="44"/>
      <c r="D26" s="52">
        <v>0</v>
      </c>
      <c r="E26" s="52">
        <v>0</v>
      </c>
      <c r="F26" s="52">
        <v>14700</v>
      </c>
      <c r="G26" s="44">
        <v>1</v>
      </c>
      <c r="H26" s="44">
        <f>B26*G26</f>
        <v>10</v>
      </c>
      <c r="I26" s="91">
        <f>SUM(Monitors!$C$23/3,0)</f>
        <v>0</v>
      </c>
      <c r="J26" s="92">
        <f>H26*I26</f>
        <v>0</v>
      </c>
      <c r="K26" s="92">
        <f>J26*0.1</f>
        <v>0</v>
      </c>
      <c r="L26" s="92">
        <f>J26*0.05</f>
        <v>0</v>
      </c>
      <c r="M26" s="93"/>
      <c r="N26" s="52">
        <f>(J26*'Base Data'!$C$5)+(K26*'Base Data'!$C$6)+(L26*'Base Data'!$C$7)</f>
        <v>0</v>
      </c>
      <c r="O26" s="52">
        <f>(D26+E26+F26)*G26*I26</f>
        <v>0</v>
      </c>
      <c r="P26" s="92">
        <v>0</v>
      </c>
      <c r="Q26" s="94" t="s">
        <v>387</v>
      </c>
      <c r="R26" s="147"/>
      <c r="S26" s="147"/>
      <c r="T26" s="147"/>
      <c r="U26" s="30"/>
    </row>
    <row r="27" spans="1:21" s="6" customFormat="1" ht="9">
      <c r="A27" s="142" t="s">
        <v>356</v>
      </c>
      <c r="B27" s="44"/>
      <c r="C27" s="44"/>
      <c r="D27" s="52"/>
      <c r="E27" s="52"/>
      <c r="F27" s="52"/>
      <c r="G27" s="44"/>
      <c r="H27" s="44"/>
      <c r="I27" s="92"/>
      <c r="J27" s="92"/>
      <c r="K27" s="92"/>
      <c r="L27" s="92"/>
      <c r="M27" s="93"/>
      <c r="N27" s="52"/>
      <c r="O27" s="52"/>
      <c r="P27" s="92"/>
      <c r="Q27" s="94"/>
      <c r="R27" s="147"/>
      <c r="S27" s="147"/>
      <c r="T27" s="147"/>
      <c r="U27" s="30"/>
    </row>
    <row r="28" spans="1:21" s="6" customFormat="1" ht="9">
      <c r="A28" s="142" t="s">
        <v>411</v>
      </c>
      <c r="B28" s="44">
        <v>10</v>
      </c>
      <c r="C28" s="44"/>
      <c r="D28" s="52">
        <v>0</v>
      </c>
      <c r="E28" s="52">
        <v>0</v>
      </c>
      <c r="F28" s="52">
        <v>158000</v>
      </c>
      <c r="G28" s="44">
        <v>1</v>
      </c>
      <c r="H28" s="44">
        <f>B28*G28</f>
        <v>10</v>
      </c>
      <c r="I28" s="91">
        <v>1</v>
      </c>
      <c r="J28" s="92">
        <f>H28*I28</f>
        <v>10</v>
      </c>
      <c r="K28" s="92">
        <f>J28*0.1</f>
        <v>1</v>
      </c>
      <c r="L28" s="92">
        <f>J28*0.05</f>
        <v>0.5</v>
      </c>
      <c r="M28" s="93"/>
      <c r="N28" s="52">
        <f>(J28*'Base Data'!$C$5)+(K28*'Base Data'!$C$6)+(L28*'Base Data'!$C$7)</f>
        <v>1087.7749999999999</v>
      </c>
      <c r="O28" s="52">
        <f>(D28+E28+F28)*G28*I28</f>
        <v>158000</v>
      </c>
      <c r="P28" s="92">
        <v>0</v>
      </c>
      <c r="Q28" s="94" t="s">
        <v>263</v>
      </c>
      <c r="R28" s="147"/>
      <c r="S28" s="147"/>
      <c r="T28" s="147"/>
      <c r="U28" s="30"/>
    </row>
    <row r="29" spans="1:21" s="6" customFormat="1" ht="9">
      <c r="A29" s="142" t="s">
        <v>414</v>
      </c>
      <c r="B29" s="44">
        <v>10</v>
      </c>
      <c r="C29" s="44"/>
      <c r="D29" s="52">
        <v>0</v>
      </c>
      <c r="E29" s="52">
        <v>0</v>
      </c>
      <c r="F29" s="52">
        <v>56100</v>
      </c>
      <c r="G29" s="44">
        <v>1</v>
      </c>
      <c r="H29" s="44">
        <f>B29*G29</f>
        <v>10</v>
      </c>
      <c r="I29" s="91">
        <v>1</v>
      </c>
      <c r="J29" s="92">
        <f>H29*I29</f>
        <v>10</v>
      </c>
      <c r="K29" s="92">
        <f>J29*0.1</f>
        <v>1</v>
      </c>
      <c r="L29" s="92">
        <f>J29*0.05</f>
        <v>0.5</v>
      </c>
      <c r="M29" s="93"/>
      <c r="N29" s="52">
        <f>(J29*'Base Data'!$C$5)+(K29*'Base Data'!$C$6)+(L29*'Base Data'!$C$7)</f>
        <v>1087.7749999999999</v>
      </c>
      <c r="O29" s="52">
        <f>(D29+E29+F29)*G29*I29</f>
        <v>56100</v>
      </c>
      <c r="P29" s="92">
        <v>0</v>
      </c>
      <c r="Q29" s="94" t="s">
        <v>263</v>
      </c>
      <c r="R29" s="147"/>
      <c r="S29" s="147"/>
      <c r="T29" s="147"/>
      <c r="U29" s="30"/>
    </row>
    <row r="30" spans="1:21" s="6" customFormat="1" ht="9">
      <c r="A30" s="142" t="s">
        <v>522</v>
      </c>
      <c r="B30" s="44"/>
      <c r="C30" s="44"/>
      <c r="D30" s="52"/>
      <c r="E30" s="52"/>
      <c r="F30" s="52"/>
      <c r="G30" s="44"/>
      <c r="H30" s="44"/>
      <c r="I30" s="91"/>
      <c r="J30" s="92"/>
      <c r="K30" s="92"/>
      <c r="L30" s="92"/>
      <c r="M30" s="93"/>
      <c r="N30" s="52"/>
      <c r="O30" s="52"/>
      <c r="P30" s="92"/>
      <c r="Q30" s="94"/>
    </row>
    <row r="31" spans="1:21" s="6" customFormat="1" ht="9">
      <c r="A31" s="142" t="s">
        <v>411</v>
      </c>
      <c r="B31" s="44">
        <v>10</v>
      </c>
      <c r="C31" s="44"/>
      <c r="D31" s="52">
        <v>0</v>
      </c>
      <c r="E31" s="52">
        <v>0</v>
      </c>
      <c r="F31" s="52">
        <f>Monitors!$F$32</f>
        <v>8523</v>
      </c>
      <c r="G31" s="44">
        <v>1</v>
      </c>
      <c r="H31" s="44">
        <f t="shared" ref="H31:H32" si="5">B31*G31</f>
        <v>10</v>
      </c>
      <c r="I31" s="91">
        <f>ROUNDUP(Monitors!$F$23/3,0)</f>
        <v>4</v>
      </c>
      <c r="J31" s="92">
        <f t="shared" ref="J31:J32" si="6">H31*I31</f>
        <v>40</v>
      </c>
      <c r="K31" s="92">
        <f t="shared" ref="K31:K32" si="7">J31*0.1</f>
        <v>4</v>
      </c>
      <c r="L31" s="92">
        <f t="shared" ref="L31:L32" si="8">J31*0.05</f>
        <v>2</v>
      </c>
      <c r="M31" s="93"/>
      <c r="N31" s="52">
        <f>(J31*'Base Data'!$C$5)+(K31*'Base Data'!$C$6)+(L31*'Base Data'!$C$7)</f>
        <v>4351.0999999999995</v>
      </c>
      <c r="O31" s="52">
        <f>(D31+E31+F31)*G31*I31</f>
        <v>34092</v>
      </c>
      <c r="P31" s="92">
        <v>0</v>
      </c>
      <c r="Q31" s="94" t="s">
        <v>387</v>
      </c>
    </row>
    <row r="32" spans="1:21" s="6" customFormat="1" ht="9">
      <c r="A32" s="142" t="s">
        <v>414</v>
      </c>
      <c r="B32" s="44">
        <v>10</v>
      </c>
      <c r="C32" s="44"/>
      <c r="D32" s="52">
        <v>0</v>
      </c>
      <c r="E32" s="52">
        <v>0</v>
      </c>
      <c r="F32" s="52">
        <f>Monitors!$G$32</f>
        <v>1436</v>
      </c>
      <c r="G32" s="44">
        <v>1</v>
      </c>
      <c r="H32" s="44">
        <f t="shared" si="5"/>
        <v>10</v>
      </c>
      <c r="I32" s="91">
        <f>ROUNDUP(Monitors!$F$23/3,0)</f>
        <v>4</v>
      </c>
      <c r="J32" s="92">
        <f t="shared" si="6"/>
        <v>40</v>
      </c>
      <c r="K32" s="92">
        <f t="shared" si="7"/>
        <v>4</v>
      </c>
      <c r="L32" s="92">
        <f t="shared" si="8"/>
        <v>2</v>
      </c>
      <c r="M32" s="93"/>
      <c r="N32" s="52">
        <f>(J32*'Base Data'!$C$5)+(K32*'Base Data'!$C$6)+(L32*'Base Data'!$C$7)</f>
        <v>4351.0999999999995</v>
      </c>
      <c r="O32" s="52">
        <f>(D32+E32+F32)*G32*I32</f>
        <v>5744</v>
      </c>
      <c r="P32" s="92">
        <v>0</v>
      </c>
      <c r="Q32" s="94" t="s">
        <v>387</v>
      </c>
    </row>
    <row r="33" spans="1:21" s="6" customFormat="1" ht="18">
      <c r="A33" s="143" t="s">
        <v>173</v>
      </c>
      <c r="B33" s="44"/>
      <c r="C33" s="44"/>
      <c r="D33" s="52"/>
      <c r="E33" s="52"/>
      <c r="F33" s="95"/>
      <c r="G33" s="44"/>
      <c r="H33" s="44"/>
      <c r="I33" s="96"/>
      <c r="J33" s="92"/>
      <c r="K33" s="92"/>
      <c r="L33" s="92"/>
      <c r="M33" s="93"/>
      <c r="N33" s="52"/>
      <c r="O33" s="52"/>
      <c r="P33" s="92"/>
      <c r="Q33" s="94"/>
      <c r="R33" s="147"/>
      <c r="S33" s="147"/>
      <c r="T33" s="147"/>
      <c r="U33" s="30"/>
    </row>
    <row r="34" spans="1:21" s="6" customFormat="1" ht="9">
      <c r="A34" s="142" t="s">
        <v>411</v>
      </c>
      <c r="B34" s="44">
        <v>10</v>
      </c>
      <c r="C34" s="44"/>
      <c r="D34" s="52">
        <v>0</v>
      </c>
      <c r="E34" s="52">
        <v>0</v>
      </c>
      <c r="F34" s="52">
        <v>24300</v>
      </c>
      <c r="G34" s="44">
        <v>1</v>
      </c>
      <c r="H34" s="44">
        <f>B34*G34</f>
        <v>10</v>
      </c>
      <c r="I34" s="91">
        <f>ROUNDUP(Monitors!$D$23/3,0)</f>
        <v>4</v>
      </c>
      <c r="J34" s="92">
        <f>H34*I34</f>
        <v>40</v>
      </c>
      <c r="K34" s="92">
        <f>J34*0.1</f>
        <v>4</v>
      </c>
      <c r="L34" s="92">
        <f>J34*0.05</f>
        <v>2</v>
      </c>
      <c r="M34" s="93"/>
      <c r="N34" s="52">
        <f>(J34*'Base Data'!$C$5)+(K34*'Base Data'!$C$6)+(L34*'Base Data'!$C$7)</f>
        <v>4351.0999999999995</v>
      </c>
      <c r="O34" s="52">
        <f>(D34+E34+F34)*G34*I34</f>
        <v>97200</v>
      </c>
      <c r="P34" s="92">
        <v>0</v>
      </c>
      <c r="Q34" s="94" t="s">
        <v>387</v>
      </c>
      <c r="R34" s="147"/>
      <c r="S34" s="147"/>
      <c r="T34" s="147"/>
      <c r="U34" s="30"/>
    </row>
    <row r="35" spans="1:21" s="6" customFormat="1" ht="9">
      <c r="A35" s="142" t="s">
        <v>414</v>
      </c>
      <c r="B35" s="44">
        <v>10</v>
      </c>
      <c r="C35" s="44"/>
      <c r="D35" s="52">
        <v>0</v>
      </c>
      <c r="E35" s="52">
        <v>0</v>
      </c>
      <c r="F35" s="52">
        <v>5600</v>
      </c>
      <c r="G35" s="44">
        <v>1</v>
      </c>
      <c r="H35" s="44">
        <f>B35*G35</f>
        <v>10</v>
      </c>
      <c r="I35" s="91">
        <f>ROUNDUP(Monitors!$D$23/3,0)</f>
        <v>4</v>
      </c>
      <c r="J35" s="92">
        <f>H35*I35</f>
        <v>40</v>
      </c>
      <c r="K35" s="92">
        <f>J35*0.1</f>
        <v>4</v>
      </c>
      <c r="L35" s="92">
        <f>J35*0.05</f>
        <v>2</v>
      </c>
      <c r="M35" s="93"/>
      <c r="N35" s="52">
        <f>(J35*'Base Data'!$C$5)+(K35*'Base Data'!$C$6)+(L35*'Base Data'!$C$7)</f>
        <v>4351.0999999999995</v>
      </c>
      <c r="O35" s="52">
        <f>(D35+E35+F35)*G35*I35</f>
        <v>22400</v>
      </c>
      <c r="P35" s="92">
        <v>0</v>
      </c>
      <c r="Q35" s="94" t="s">
        <v>387</v>
      </c>
      <c r="R35" s="147"/>
      <c r="S35" s="147"/>
      <c r="T35" s="147"/>
      <c r="U35" s="30"/>
    </row>
    <row r="36" spans="1:21" s="6" customFormat="1" ht="18">
      <c r="A36" s="143" t="s">
        <v>475</v>
      </c>
      <c r="B36" s="44"/>
      <c r="C36" s="44"/>
      <c r="D36" s="52"/>
      <c r="E36" s="52"/>
      <c r="F36" s="52"/>
      <c r="G36" s="44"/>
      <c r="H36" s="44"/>
      <c r="I36" s="96"/>
      <c r="J36" s="92"/>
      <c r="K36" s="92"/>
      <c r="L36" s="92"/>
      <c r="M36" s="93"/>
      <c r="N36" s="52"/>
      <c r="O36" s="238"/>
      <c r="P36" s="92"/>
      <c r="Q36" s="94"/>
      <c r="R36" s="147"/>
      <c r="S36" s="147"/>
      <c r="T36" s="147"/>
      <c r="U36" s="30"/>
    </row>
    <row r="37" spans="1:21" s="6" customFormat="1" ht="9">
      <c r="A37" s="142" t="s">
        <v>411</v>
      </c>
      <c r="B37" s="44">
        <v>10</v>
      </c>
      <c r="C37" s="44"/>
      <c r="D37" s="52">
        <v>0</v>
      </c>
      <c r="E37" s="52">
        <v>0</v>
      </c>
      <c r="F37" s="52">
        <f>25500</f>
        <v>25500</v>
      </c>
      <c r="G37" s="44">
        <v>1</v>
      </c>
      <c r="H37" s="44">
        <f>B37*G37</f>
        <v>10</v>
      </c>
      <c r="I37" s="91">
        <f>ROUNDUP(Monitors!$B$23/3,0)</f>
        <v>2</v>
      </c>
      <c r="J37" s="92">
        <f>H37*I37</f>
        <v>20</v>
      </c>
      <c r="K37" s="92">
        <f>J37*0.1</f>
        <v>2</v>
      </c>
      <c r="L37" s="92">
        <f>J37*0.05</f>
        <v>1</v>
      </c>
      <c r="M37" s="93"/>
      <c r="N37" s="52">
        <f>(J37*'Base Data'!$C$5)+(K37*'Base Data'!$C$6)+(L37*'Base Data'!$C$7)</f>
        <v>2175.5499999999997</v>
      </c>
      <c r="O37" s="52">
        <f>(D37+E37+F37)*G37*I37</f>
        <v>51000</v>
      </c>
      <c r="P37" s="92">
        <v>0</v>
      </c>
      <c r="Q37" s="94" t="s">
        <v>387</v>
      </c>
      <c r="R37" s="147"/>
      <c r="S37" s="147"/>
      <c r="T37" s="147"/>
      <c r="U37" s="30"/>
    </row>
    <row r="38" spans="1:21" s="6" customFormat="1" ht="9">
      <c r="A38" s="142" t="s">
        <v>414</v>
      </c>
      <c r="B38" s="44">
        <v>10</v>
      </c>
      <c r="C38" s="44"/>
      <c r="D38" s="52">
        <v>0</v>
      </c>
      <c r="E38" s="52">
        <v>0</v>
      </c>
      <c r="F38" s="52">
        <v>9700</v>
      </c>
      <c r="G38" s="44">
        <v>1</v>
      </c>
      <c r="H38" s="44">
        <f>B38*G38</f>
        <v>10</v>
      </c>
      <c r="I38" s="91">
        <f>ROUNDUP(Monitors!$B$23/3,0)</f>
        <v>2</v>
      </c>
      <c r="J38" s="92">
        <f>H38*I38</f>
        <v>20</v>
      </c>
      <c r="K38" s="92">
        <f>J38*0.1</f>
        <v>2</v>
      </c>
      <c r="L38" s="92">
        <f>J38*0.05</f>
        <v>1</v>
      </c>
      <c r="M38" s="93"/>
      <c r="N38" s="52">
        <f>(J38*'Base Data'!$C$5)+(K38*'Base Data'!$C$6)+(L38*'Base Data'!$C$7)</f>
        <v>2175.5499999999997</v>
      </c>
      <c r="O38" s="52">
        <f>(D38+E38+F38)*G38*I38</f>
        <v>19400</v>
      </c>
      <c r="P38" s="92">
        <v>0</v>
      </c>
      <c r="Q38" s="94" t="s">
        <v>387</v>
      </c>
      <c r="R38" s="147"/>
      <c r="S38" s="147"/>
      <c r="T38" s="147"/>
      <c r="U38" s="30"/>
    </row>
    <row r="39" spans="1:21" s="6" customFormat="1" ht="18">
      <c r="A39" s="143" t="s">
        <v>174</v>
      </c>
      <c r="B39" s="44"/>
      <c r="C39" s="44"/>
      <c r="D39" s="52"/>
      <c r="E39" s="52"/>
      <c r="F39" s="52"/>
      <c r="G39" s="44"/>
      <c r="H39" s="44"/>
      <c r="I39" s="96"/>
      <c r="J39" s="92"/>
      <c r="K39" s="92"/>
      <c r="L39" s="92"/>
      <c r="M39" s="93"/>
      <c r="N39" s="52"/>
      <c r="O39" s="52"/>
      <c r="P39" s="92"/>
      <c r="Q39" s="94"/>
      <c r="R39" s="147"/>
      <c r="S39" s="147"/>
      <c r="T39" s="147"/>
      <c r="U39" s="30"/>
    </row>
    <row r="40" spans="1:21" s="6" customFormat="1" ht="9">
      <c r="A40" s="142" t="s">
        <v>411</v>
      </c>
      <c r="B40" s="44">
        <v>10</v>
      </c>
      <c r="C40" s="44"/>
      <c r="D40" s="52">
        <v>0</v>
      </c>
      <c r="E40" s="52">
        <v>0</v>
      </c>
      <c r="F40" s="52">
        <v>115000</v>
      </c>
      <c r="G40" s="44">
        <v>1</v>
      </c>
      <c r="H40" s="44">
        <f>B40*G40</f>
        <v>10</v>
      </c>
      <c r="I40" s="91">
        <f>ROUND(Monitors!$E$23/3,0)</f>
        <v>3</v>
      </c>
      <c r="J40" s="92">
        <f>H40*I40</f>
        <v>30</v>
      </c>
      <c r="K40" s="92">
        <f>J40*0.1</f>
        <v>3</v>
      </c>
      <c r="L40" s="92">
        <f>J40*0.05</f>
        <v>1.5</v>
      </c>
      <c r="M40" s="93"/>
      <c r="N40" s="52">
        <f>(J40*'Base Data'!$C$5)+(K40*'Base Data'!$C$6)+(L40*'Base Data'!$C$7)</f>
        <v>3263.3250000000003</v>
      </c>
      <c r="O40" s="52">
        <f>(D40+E40+F40)*G40*I40</f>
        <v>345000</v>
      </c>
      <c r="P40" s="92">
        <v>0</v>
      </c>
      <c r="Q40" s="94" t="s">
        <v>387</v>
      </c>
      <c r="R40" s="147"/>
      <c r="S40" s="147"/>
      <c r="T40" s="147"/>
      <c r="U40" s="30"/>
    </row>
    <row r="41" spans="1:21" s="6" customFormat="1" ht="9">
      <c r="A41" s="142" t="s">
        <v>414</v>
      </c>
      <c r="B41" s="44">
        <v>10</v>
      </c>
      <c r="C41" s="44"/>
      <c r="D41" s="52">
        <v>0</v>
      </c>
      <c r="E41" s="52">
        <v>0</v>
      </c>
      <c r="F41" s="52">
        <v>9700</v>
      </c>
      <c r="G41" s="44">
        <v>1</v>
      </c>
      <c r="H41" s="44">
        <f>B41*G41</f>
        <v>10</v>
      </c>
      <c r="I41" s="91">
        <f>ROUND(Monitors!$E$23/3,0)</f>
        <v>3</v>
      </c>
      <c r="J41" s="92">
        <f>H41*I41</f>
        <v>30</v>
      </c>
      <c r="K41" s="92">
        <f>J41*0.1</f>
        <v>3</v>
      </c>
      <c r="L41" s="92">
        <f>J41*0.05</f>
        <v>1.5</v>
      </c>
      <c r="M41" s="93"/>
      <c r="N41" s="52">
        <f>(J41*'Base Data'!$C$5)+(K41*'Base Data'!$C$6)+(L41*'Base Data'!$C$7)</f>
        <v>3263.3250000000003</v>
      </c>
      <c r="O41" s="52">
        <f>(D41+E41+F41)*G41*I41</f>
        <v>29100</v>
      </c>
      <c r="P41" s="92">
        <v>0</v>
      </c>
      <c r="Q41" s="94" t="s">
        <v>387</v>
      </c>
      <c r="R41" s="147"/>
      <c r="S41" s="147"/>
      <c r="T41" s="147"/>
      <c r="U41" s="30"/>
    </row>
    <row r="42" spans="1:21" s="6" customFormat="1" ht="9">
      <c r="A42" s="142" t="s">
        <v>415</v>
      </c>
      <c r="B42" s="44" t="s">
        <v>433</v>
      </c>
      <c r="C42" s="44"/>
      <c r="D42" s="52"/>
      <c r="E42" s="52"/>
      <c r="F42" s="52"/>
      <c r="G42" s="44"/>
      <c r="H42" s="44"/>
      <c r="I42" s="92"/>
      <c r="J42" s="92"/>
      <c r="K42" s="92"/>
      <c r="L42" s="92"/>
      <c r="M42" s="44"/>
      <c r="N42" s="52"/>
      <c r="O42" s="52"/>
      <c r="P42" s="92"/>
      <c r="Q42" s="94"/>
      <c r="R42" s="147"/>
      <c r="S42" s="147"/>
      <c r="T42" s="147"/>
      <c r="U42" s="30"/>
    </row>
    <row r="43" spans="1:21" s="6" customFormat="1" ht="9">
      <c r="A43" s="142" t="s">
        <v>416</v>
      </c>
      <c r="B43" s="44" t="s">
        <v>433</v>
      </c>
      <c r="C43" s="44"/>
      <c r="D43" s="52"/>
      <c r="E43" s="52"/>
      <c r="F43" s="52"/>
      <c r="G43" s="44"/>
      <c r="H43" s="44"/>
      <c r="I43" s="92"/>
      <c r="J43" s="92"/>
      <c r="K43" s="92"/>
      <c r="L43" s="92"/>
      <c r="M43" s="44"/>
      <c r="N43" s="52"/>
      <c r="O43" s="52"/>
      <c r="P43" s="92"/>
      <c r="Q43" s="94"/>
      <c r="R43" s="147"/>
      <c r="S43" s="147"/>
      <c r="T43" s="147"/>
    </row>
    <row r="44" spans="1:21" s="6" customFormat="1" ht="9">
      <c r="A44" s="142" t="s">
        <v>417</v>
      </c>
      <c r="B44" s="44"/>
      <c r="C44" s="44"/>
      <c r="D44" s="52"/>
      <c r="E44" s="52"/>
      <c r="F44" s="52"/>
      <c r="G44" s="44"/>
      <c r="H44" s="44"/>
      <c r="I44" s="92"/>
      <c r="J44" s="92"/>
      <c r="K44" s="92"/>
      <c r="L44" s="92"/>
      <c r="M44" s="44"/>
      <c r="N44" s="52"/>
      <c r="O44" s="52"/>
      <c r="P44" s="92"/>
      <c r="Q44" s="94"/>
      <c r="R44" s="147"/>
      <c r="S44" s="147"/>
      <c r="T44" s="147"/>
    </row>
    <row r="45" spans="1:21" s="6" customFormat="1" ht="9">
      <c r="A45" s="177" t="s">
        <v>435</v>
      </c>
      <c r="B45" s="44">
        <v>2</v>
      </c>
      <c r="C45" s="44"/>
      <c r="D45" s="52">
        <v>0</v>
      </c>
      <c r="E45" s="52">
        <v>0</v>
      </c>
      <c r="F45" s="52">
        <v>0</v>
      </c>
      <c r="G45" s="44">
        <v>1</v>
      </c>
      <c r="H45" s="44">
        <f>B45*G45</f>
        <v>2</v>
      </c>
      <c r="I45" s="91">
        <f>$I$7</f>
        <v>2</v>
      </c>
      <c r="J45" s="92">
        <f>H45*I45</f>
        <v>4</v>
      </c>
      <c r="K45" s="92">
        <f>J45*0.1</f>
        <v>0.4</v>
      </c>
      <c r="L45" s="92">
        <f>J45*0.05</f>
        <v>0.2</v>
      </c>
      <c r="M45" s="44">
        <f>C45*G45*I45</f>
        <v>0</v>
      </c>
      <c r="N45" s="52">
        <f>(J45*'Base Data'!$C$5)+(K45*'Base Data'!$C$6)+(L45*'Base Data'!$C$7)</f>
        <v>435.11</v>
      </c>
      <c r="O45" s="52">
        <f>(D45+E45+F45)*G45*I45</f>
        <v>0</v>
      </c>
      <c r="P45" s="92">
        <f>G45*I45</f>
        <v>2</v>
      </c>
      <c r="Q45" s="94" t="s">
        <v>387</v>
      </c>
      <c r="R45" s="147"/>
      <c r="S45" s="147"/>
      <c r="T45" s="147"/>
    </row>
    <row r="46" spans="1:21" s="6" customFormat="1" ht="9" customHeight="1">
      <c r="A46" s="177" t="s">
        <v>377</v>
      </c>
      <c r="B46" s="44">
        <v>8</v>
      </c>
      <c r="C46" s="44"/>
      <c r="D46" s="52">
        <v>0</v>
      </c>
      <c r="E46" s="52">
        <v>0</v>
      </c>
      <c r="F46" s="52">
        <v>0</v>
      </c>
      <c r="G46" s="44">
        <v>1</v>
      </c>
      <c r="H46" s="44">
        <f>B46*G46</f>
        <v>8</v>
      </c>
      <c r="I46" s="91">
        <f>$I$7</f>
        <v>2</v>
      </c>
      <c r="J46" s="92">
        <f>H46*I46</f>
        <v>16</v>
      </c>
      <c r="K46" s="92">
        <f>J46*0.1</f>
        <v>1.6</v>
      </c>
      <c r="L46" s="92">
        <f>J46*0.05</f>
        <v>0.8</v>
      </c>
      <c r="M46" s="44">
        <f>C46*G46*I46</f>
        <v>0</v>
      </c>
      <c r="N46" s="52">
        <f>(J46*'Base Data'!$C$5)+(K46*'Base Data'!$C$6)+(L46*'Base Data'!$C$7)</f>
        <v>1740.44</v>
      </c>
      <c r="O46" s="52">
        <f>(D46+E46+F46)*G46*I46</f>
        <v>0</v>
      </c>
      <c r="P46" s="92">
        <f>G46*I46</f>
        <v>2</v>
      </c>
      <c r="Q46" s="94" t="s">
        <v>387</v>
      </c>
      <c r="R46" s="147"/>
      <c r="S46" s="147"/>
      <c r="T46" s="147"/>
    </row>
    <row r="47" spans="1:21" s="6" customFormat="1" ht="9">
      <c r="A47" s="144" t="s">
        <v>492</v>
      </c>
      <c r="B47" s="44">
        <v>20</v>
      </c>
      <c r="C47" s="44">
        <v>0</v>
      </c>
      <c r="D47" s="52">
        <v>0</v>
      </c>
      <c r="E47" s="52">
        <v>0</v>
      </c>
      <c r="F47" s="52">
        <v>0</v>
      </c>
      <c r="G47" s="44">
        <v>2</v>
      </c>
      <c r="H47" s="44">
        <f>B47*G47</f>
        <v>40</v>
      </c>
      <c r="I47" s="91">
        <f>$I$7</f>
        <v>2</v>
      </c>
      <c r="J47" s="92">
        <f>H47*I47</f>
        <v>80</v>
      </c>
      <c r="K47" s="92">
        <f>J47*0.1</f>
        <v>8</v>
      </c>
      <c r="L47" s="92">
        <f>J47*0.05</f>
        <v>4</v>
      </c>
      <c r="M47" s="92">
        <f>C47*G47*I47</f>
        <v>0</v>
      </c>
      <c r="N47" s="52">
        <f>(J47*'Base Data'!$C$5)+(K47*'Base Data'!$C$6)+(L47*'Base Data'!$C$7)</f>
        <v>8702.1999999999989</v>
      </c>
      <c r="O47" s="52">
        <f>(D47+E47+F47)*G47*I47</f>
        <v>0</v>
      </c>
      <c r="P47" s="92">
        <f>G47*I47</f>
        <v>4</v>
      </c>
      <c r="Q47" s="94" t="s">
        <v>387</v>
      </c>
      <c r="R47" s="184"/>
      <c r="S47" s="147"/>
      <c r="T47" s="147"/>
    </row>
    <row r="48" spans="1:21" s="6" customFormat="1" ht="9">
      <c r="A48" s="145" t="s">
        <v>7</v>
      </c>
      <c r="B48" s="44"/>
      <c r="C48" s="44"/>
      <c r="D48" s="52"/>
      <c r="E48" s="52"/>
      <c r="F48" s="52"/>
      <c r="G48" s="44"/>
      <c r="H48" s="44"/>
      <c r="I48" s="91"/>
      <c r="J48" s="92">
        <f t="shared" ref="J48:O48" si="9">SUM(J4:J47)</f>
        <v>692</v>
      </c>
      <c r="K48" s="92">
        <f t="shared" si="9"/>
        <v>69.2</v>
      </c>
      <c r="L48" s="92">
        <f t="shared" si="9"/>
        <v>34.6</v>
      </c>
      <c r="M48" s="92">
        <f t="shared" si="9"/>
        <v>0</v>
      </c>
      <c r="N48" s="52">
        <f t="shared" si="9"/>
        <v>75274.029999999984</v>
      </c>
      <c r="O48" s="52">
        <f t="shared" si="9"/>
        <v>926636</v>
      </c>
      <c r="P48" s="92">
        <f>SUM(P45:P47)</f>
        <v>8</v>
      </c>
      <c r="Q48" s="94"/>
      <c r="R48" s="335">
        <f>SUM(O7,O9:O21,O26,O29,O32,O35,O38,O41)</f>
        <v>241344</v>
      </c>
      <c r="S48" s="336">
        <f>SUM(O25,O28,O31,O34,O37,O40)</f>
        <v>685292</v>
      </c>
      <c r="T48" s="147"/>
    </row>
    <row r="49" spans="1:20" s="6" customFormat="1" ht="9">
      <c r="A49" s="142" t="s">
        <v>431</v>
      </c>
      <c r="B49" s="44"/>
      <c r="C49" s="44"/>
      <c r="D49" s="52"/>
      <c r="E49" s="52"/>
      <c r="F49" s="52"/>
      <c r="G49" s="44"/>
      <c r="H49" s="44"/>
      <c r="I49" s="92"/>
      <c r="J49" s="92"/>
      <c r="K49" s="92"/>
      <c r="L49" s="92"/>
      <c r="M49" s="44"/>
      <c r="N49" s="52"/>
      <c r="O49" s="52"/>
      <c r="P49" s="92"/>
      <c r="Q49" s="94"/>
      <c r="R49" s="147"/>
      <c r="S49" s="147"/>
      <c r="T49" s="147"/>
    </row>
    <row r="50" spans="1:20" s="6" customFormat="1" ht="9">
      <c r="A50" s="142" t="s">
        <v>418</v>
      </c>
      <c r="B50" s="44" t="s">
        <v>422</v>
      </c>
      <c r="C50" s="44"/>
      <c r="D50" s="52"/>
      <c r="E50" s="52"/>
      <c r="F50" s="52"/>
      <c r="G50" s="44"/>
      <c r="H50" s="44"/>
      <c r="I50" s="92"/>
      <c r="J50" s="92"/>
      <c r="K50" s="92"/>
      <c r="L50" s="92"/>
      <c r="M50" s="44"/>
      <c r="N50" s="52"/>
      <c r="O50" s="52"/>
      <c r="P50" s="92"/>
      <c r="Q50" s="94"/>
      <c r="R50" s="147"/>
      <c r="S50" s="147"/>
      <c r="T50" s="147"/>
    </row>
    <row r="51" spans="1:20" s="6" customFormat="1" ht="9">
      <c r="A51" s="142" t="s">
        <v>419</v>
      </c>
      <c r="B51" s="44" t="s">
        <v>433</v>
      </c>
      <c r="C51" s="44"/>
      <c r="D51" s="52"/>
      <c r="E51" s="52"/>
      <c r="F51" s="52"/>
      <c r="G51" s="44"/>
      <c r="H51" s="44"/>
      <c r="I51" s="92"/>
      <c r="J51" s="92"/>
      <c r="K51" s="92"/>
      <c r="L51" s="92"/>
      <c r="M51" s="44"/>
      <c r="N51" s="52"/>
      <c r="O51" s="52"/>
      <c r="P51" s="92"/>
      <c r="Q51" s="94"/>
      <c r="R51" s="147"/>
      <c r="S51" s="147"/>
      <c r="T51" s="147"/>
    </row>
    <row r="52" spans="1:20" s="6" customFormat="1" ht="9">
      <c r="A52" s="142" t="s">
        <v>420</v>
      </c>
      <c r="B52" s="44" t="s">
        <v>433</v>
      </c>
      <c r="C52" s="44"/>
      <c r="D52" s="52"/>
      <c r="E52" s="52"/>
      <c r="F52" s="52"/>
      <c r="G52" s="44"/>
      <c r="H52" s="44"/>
      <c r="I52" s="92"/>
      <c r="J52" s="92"/>
      <c r="K52" s="92"/>
      <c r="L52" s="92"/>
      <c r="M52" s="44"/>
      <c r="N52" s="52"/>
      <c r="O52" s="52"/>
      <c r="P52" s="92"/>
      <c r="Q52" s="94" t="s">
        <v>389</v>
      </c>
      <c r="R52" s="147"/>
      <c r="S52" s="147"/>
      <c r="T52" s="147"/>
    </row>
    <row r="53" spans="1:20" s="6" customFormat="1" ht="9">
      <c r="A53" s="142" t="s">
        <v>421</v>
      </c>
      <c r="B53" s="44"/>
      <c r="C53" s="44"/>
      <c r="D53" s="52"/>
      <c r="E53" s="52"/>
      <c r="F53" s="52"/>
      <c r="G53" s="44"/>
      <c r="H53" s="44"/>
      <c r="I53" s="92"/>
      <c r="J53" s="92"/>
      <c r="K53" s="92"/>
      <c r="L53" s="92"/>
      <c r="M53" s="44"/>
      <c r="N53" s="52"/>
      <c r="O53" s="52"/>
      <c r="P53" s="92"/>
      <c r="Q53" s="94"/>
      <c r="R53" s="147"/>
      <c r="S53" s="147"/>
      <c r="T53" s="147"/>
    </row>
    <row r="54" spans="1:20" s="6" customFormat="1" ht="9.75" customHeight="1">
      <c r="A54" s="142" t="s">
        <v>429</v>
      </c>
      <c r="B54" s="44">
        <v>20</v>
      </c>
      <c r="C54" s="44"/>
      <c r="D54" s="52">
        <v>0</v>
      </c>
      <c r="E54" s="52">
        <v>0</v>
      </c>
      <c r="F54" s="52">
        <v>0</v>
      </c>
      <c r="G54" s="44">
        <v>1</v>
      </c>
      <c r="H54" s="44">
        <f t="shared" ref="H54:H60" si="10">B54*G54</f>
        <v>20</v>
      </c>
      <c r="I54" s="91">
        <f t="shared" ref="I54:I59" si="11">$I$13</f>
        <v>4</v>
      </c>
      <c r="J54" s="92">
        <f t="shared" ref="J54:J60" si="12">H54*I54</f>
        <v>80</v>
      </c>
      <c r="K54" s="92">
        <f t="shared" ref="K54:K60" si="13">J54*0.1</f>
        <v>8</v>
      </c>
      <c r="L54" s="92">
        <f t="shared" ref="L54:L60" si="14">J54*0.05</f>
        <v>4</v>
      </c>
      <c r="M54" s="44"/>
      <c r="N54" s="52">
        <f>(J54*'Base Data'!$C$5)+(K54*'Base Data'!$C$6)+(L54*'Base Data'!$C$7)</f>
        <v>8702.1999999999989</v>
      </c>
      <c r="O54" s="52">
        <f t="shared" ref="O54:O60" si="15">(D54+E54+F54)*G54*I54</f>
        <v>0</v>
      </c>
      <c r="P54" s="92">
        <v>0</v>
      </c>
      <c r="Q54" s="94" t="s">
        <v>387</v>
      </c>
      <c r="R54" s="147"/>
      <c r="S54" s="147"/>
      <c r="T54" s="147"/>
    </row>
    <row r="55" spans="1:20" s="6" customFormat="1" ht="9">
      <c r="A55" s="143" t="s">
        <v>425</v>
      </c>
      <c r="B55" s="44">
        <v>15</v>
      </c>
      <c r="C55" s="44">
        <v>0</v>
      </c>
      <c r="D55" s="52">
        <v>0</v>
      </c>
      <c r="E55" s="52">
        <v>0</v>
      </c>
      <c r="F55" s="52">
        <v>0</v>
      </c>
      <c r="G55" s="44">
        <v>1</v>
      </c>
      <c r="H55" s="44">
        <f t="shared" si="10"/>
        <v>15</v>
      </c>
      <c r="I55" s="91">
        <f t="shared" si="11"/>
        <v>4</v>
      </c>
      <c r="J55" s="92">
        <f t="shared" si="12"/>
        <v>60</v>
      </c>
      <c r="K55" s="92">
        <f t="shared" si="13"/>
        <v>6</v>
      </c>
      <c r="L55" s="92">
        <f t="shared" si="14"/>
        <v>3</v>
      </c>
      <c r="M55" s="44">
        <f>C55*G55*I55</f>
        <v>0</v>
      </c>
      <c r="N55" s="52">
        <f>(J55*'Base Data'!$C$5)+(K55*'Base Data'!$C$6)+(L55*'Base Data'!$C$7)</f>
        <v>6526.6500000000005</v>
      </c>
      <c r="O55" s="52">
        <f t="shared" si="15"/>
        <v>0</v>
      </c>
      <c r="P55" s="92">
        <v>0</v>
      </c>
      <c r="Q55" s="94" t="s">
        <v>387</v>
      </c>
      <c r="R55" s="147"/>
      <c r="S55" s="147"/>
      <c r="T55" s="147"/>
    </row>
    <row r="56" spans="1:20" s="6" customFormat="1" ht="9.75" customHeight="1">
      <c r="A56" s="142" t="s">
        <v>426</v>
      </c>
      <c r="B56" s="44">
        <v>2</v>
      </c>
      <c r="C56" s="44"/>
      <c r="D56" s="52">
        <v>0</v>
      </c>
      <c r="E56" s="52">
        <v>0</v>
      </c>
      <c r="F56" s="52">
        <v>0</v>
      </c>
      <c r="G56" s="44">
        <v>1</v>
      </c>
      <c r="H56" s="44">
        <f t="shared" si="10"/>
        <v>2</v>
      </c>
      <c r="I56" s="91">
        <f t="shared" si="11"/>
        <v>4</v>
      </c>
      <c r="J56" s="92">
        <f t="shared" si="12"/>
        <v>8</v>
      </c>
      <c r="K56" s="92">
        <f t="shared" si="13"/>
        <v>0.8</v>
      </c>
      <c r="L56" s="92">
        <f t="shared" si="14"/>
        <v>0.4</v>
      </c>
      <c r="M56" s="44"/>
      <c r="N56" s="52">
        <f>(J56*'Base Data'!$C$5)+(K56*'Base Data'!$C$6)+(L56*'Base Data'!$C$7)</f>
        <v>870.22</v>
      </c>
      <c r="O56" s="52">
        <f t="shared" si="15"/>
        <v>0</v>
      </c>
      <c r="P56" s="92">
        <v>0</v>
      </c>
      <c r="Q56" s="94" t="s">
        <v>387</v>
      </c>
      <c r="R56" s="147"/>
      <c r="S56" s="147"/>
      <c r="T56" s="147"/>
    </row>
    <row r="57" spans="1:20" s="6" customFormat="1" ht="9">
      <c r="A57" s="143" t="s">
        <v>436</v>
      </c>
      <c r="B57" s="44">
        <v>2</v>
      </c>
      <c r="C57" s="44"/>
      <c r="D57" s="52">
        <v>0</v>
      </c>
      <c r="E57" s="52">
        <v>0</v>
      </c>
      <c r="F57" s="52">
        <v>0</v>
      </c>
      <c r="G57" s="44">
        <v>1</v>
      </c>
      <c r="H57" s="44">
        <f t="shared" si="10"/>
        <v>2</v>
      </c>
      <c r="I57" s="91">
        <f t="shared" si="11"/>
        <v>4</v>
      </c>
      <c r="J57" s="92">
        <f t="shared" si="12"/>
        <v>8</v>
      </c>
      <c r="K57" s="92">
        <f t="shared" si="13"/>
        <v>0.8</v>
      </c>
      <c r="L57" s="92">
        <f t="shared" si="14"/>
        <v>0.4</v>
      </c>
      <c r="M57" s="44"/>
      <c r="N57" s="52">
        <f>(J57*'Base Data'!$C$5)+(K57*'Base Data'!$C$6)+(L57*'Base Data'!$C$7)</f>
        <v>870.22</v>
      </c>
      <c r="O57" s="52">
        <f t="shared" si="15"/>
        <v>0</v>
      </c>
      <c r="P57" s="92">
        <v>0</v>
      </c>
      <c r="Q57" s="94" t="s">
        <v>387</v>
      </c>
      <c r="R57" s="147"/>
      <c r="S57" s="147"/>
      <c r="T57" s="147"/>
    </row>
    <row r="58" spans="1:20" s="6" customFormat="1" ht="9">
      <c r="A58" s="143" t="s">
        <v>437</v>
      </c>
      <c r="B58" s="44">
        <v>2</v>
      </c>
      <c r="C58" s="44">
        <v>0</v>
      </c>
      <c r="D58" s="52">
        <v>0</v>
      </c>
      <c r="E58" s="52">
        <v>0</v>
      </c>
      <c r="F58" s="52">
        <v>0</v>
      </c>
      <c r="G58" s="44">
        <v>2</v>
      </c>
      <c r="H58" s="44">
        <f t="shared" si="10"/>
        <v>4</v>
      </c>
      <c r="I58" s="91">
        <f t="shared" si="11"/>
        <v>4</v>
      </c>
      <c r="J58" s="92">
        <f t="shared" si="12"/>
        <v>16</v>
      </c>
      <c r="K58" s="92">
        <f t="shared" si="13"/>
        <v>1.6</v>
      </c>
      <c r="L58" s="92">
        <f t="shared" si="14"/>
        <v>0.8</v>
      </c>
      <c r="M58" s="44">
        <f>C58*G58*I58</f>
        <v>0</v>
      </c>
      <c r="N58" s="52">
        <f>(J58*'Base Data'!$C$5)+(K58*'Base Data'!$C$6)+(L58*'Base Data'!$C$7)</f>
        <v>1740.44</v>
      </c>
      <c r="O58" s="52">
        <f t="shared" si="15"/>
        <v>0</v>
      </c>
      <c r="P58" s="92">
        <v>0</v>
      </c>
      <c r="Q58" s="94" t="s">
        <v>387</v>
      </c>
      <c r="R58" s="147"/>
      <c r="S58" s="147"/>
      <c r="T58" s="147"/>
    </row>
    <row r="59" spans="1:20" s="6" customFormat="1" ht="9">
      <c r="A59" s="143" t="s">
        <v>438</v>
      </c>
      <c r="B59" s="44">
        <v>0.5</v>
      </c>
      <c r="C59" s="44"/>
      <c r="D59" s="52">
        <v>0</v>
      </c>
      <c r="E59" s="52">
        <v>0</v>
      </c>
      <c r="F59" s="52">
        <v>0</v>
      </c>
      <c r="G59" s="44">
        <v>12</v>
      </c>
      <c r="H59" s="44">
        <f t="shared" si="10"/>
        <v>6</v>
      </c>
      <c r="I59" s="91">
        <f t="shared" si="11"/>
        <v>4</v>
      </c>
      <c r="J59" s="92">
        <f t="shared" si="12"/>
        <v>24</v>
      </c>
      <c r="K59" s="92">
        <f t="shared" si="13"/>
        <v>2.4000000000000004</v>
      </c>
      <c r="L59" s="92">
        <f t="shared" si="14"/>
        <v>1.2000000000000002</v>
      </c>
      <c r="M59" s="44"/>
      <c r="N59" s="52">
        <f>(J59*'Base Data'!$C$5)+(K59*'Base Data'!$C$6)+(L59*'Base Data'!$C$7)</f>
        <v>2610.6600000000003</v>
      </c>
      <c r="O59" s="52">
        <f t="shared" si="15"/>
        <v>0</v>
      </c>
      <c r="P59" s="92">
        <v>0</v>
      </c>
      <c r="Q59" s="94" t="s">
        <v>261</v>
      </c>
      <c r="R59" s="147"/>
      <c r="S59" s="147"/>
      <c r="T59" s="147"/>
    </row>
    <row r="60" spans="1:20" s="6" customFormat="1" ht="9">
      <c r="A60" s="142" t="s">
        <v>427</v>
      </c>
      <c r="B60" s="44">
        <v>40</v>
      </c>
      <c r="C60" s="44"/>
      <c r="D60" s="52">
        <v>0</v>
      </c>
      <c r="E60" s="52">
        <v>0</v>
      </c>
      <c r="F60" s="52">
        <v>0</v>
      </c>
      <c r="G60" s="44">
        <v>1</v>
      </c>
      <c r="H60" s="44">
        <f t="shared" si="10"/>
        <v>40</v>
      </c>
      <c r="I60" s="91">
        <f>$I$7</f>
        <v>2</v>
      </c>
      <c r="J60" s="92">
        <f t="shared" si="12"/>
        <v>80</v>
      </c>
      <c r="K60" s="92">
        <f t="shared" si="13"/>
        <v>8</v>
      </c>
      <c r="L60" s="92">
        <f t="shared" si="14"/>
        <v>4</v>
      </c>
      <c r="M60" s="44"/>
      <c r="N60" s="52">
        <f>(J60*'Base Data'!$C$5)+(K60*'Base Data'!$C$6)+(L60*'Base Data'!$C$7)</f>
        <v>8702.1999999999989</v>
      </c>
      <c r="O60" s="52">
        <f t="shared" si="15"/>
        <v>0</v>
      </c>
      <c r="P60" s="92">
        <v>0</v>
      </c>
      <c r="Q60" s="94" t="s">
        <v>84</v>
      </c>
    </row>
    <row r="61" spans="1:20" s="6" customFormat="1" ht="9">
      <c r="A61" s="142" t="s">
        <v>428</v>
      </c>
      <c r="B61" s="44" t="s">
        <v>433</v>
      </c>
      <c r="C61" s="44"/>
      <c r="D61" s="52"/>
      <c r="E61" s="52"/>
      <c r="F61" s="52"/>
      <c r="G61" s="44"/>
      <c r="H61" s="44"/>
      <c r="I61" s="92"/>
      <c r="J61" s="92"/>
      <c r="K61" s="92"/>
      <c r="L61" s="92"/>
      <c r="M61" s="44"/>
      <c r="N61" s="52"/>
      <c r="O61" s="52"/>
      <c r="P61" s="92"/>
      <c r="Q61" s="94"/>
      <c r="R61" s="147"/>
      <c r="S61" s="147"/>
      <c r="T61" s="147"/>
    </row>
    <row r="62" spans="1:20" s="6" customFormat="1" ht="9">
      <c r="A62" s="254" t="s">
        <v>27</v>
      </c>
      <c r="B62" s="239"/>
      <c r="C62" s="239"/>
      <c r="D62" s="240"/>
      <c r="E62" s="240"/>
      <c r="F62" s="240"/>
      <c r="G62" s="239"/>
      <c r="H62" s="239"/>
      <c r="I62" s="241"/>
      <c r="J62" s="241">
        <f t="shared" ref="J62:O62" si="16">SUM(J50:J61)</f>
        <v>276</v>
      </c>
      <c r="K62" s="241">
        <f t="shared" si="16"/>
        <v>27.6</v>
      </c>
      <c r="L62" s="241">
        <f t="shared" si="16"/>
        <v>13.8</v>
      </c>
      <c r="M62" s="240">
        <f t="shared" si="16"/>
        <v>0</v>
      </c>
      <c r="N62" s="240">
        <f t="shared" si="16"/>
        <v>30022.589999999997</v>
      </c>
      <c r="O62" s="240">
        <f t="shared" si="16"/>
        <v>0</v>
      </c>
      <c r="P62" s="241"/>
      <c r="Q62" s="242"/>
      <c r="R62" s="52">
        <f>SUM(R50:R61)</f>
        <v>0</v>
      </c>
      <c r="S62" s="147"/>
      <c r="T62" s="147"/>
    </row>
    <row r="63" spans="1:20" s="2" customFormat="1">
      <c r="A63" s="186" t="s">
        <v>400</v>
      </c>
      <c r="B63" s="187"/>
      <c r="C63" s="187"/>
      <c r="D63" s="187"/>
      <c r="E63" s="187"/>
      <c r="F63" s="188"/>
      <c r="G63" s="187"/>
      <c r="H63" s="187"/>
      <c r="I63" s="189"/>
      <c r="J63" s="190">
        <f t="shared" ref="J63:P63" si="17">J48+J62</f>
        <v>968</v>
      </c>
      <c r="K63" s="190">
        <f t="shared" si="17"/>
        <v>96.800000000000011</v>
      </c>
      <c r="L63" s="190">
        <f t="shared" si="17"/>
        <v>48.400000000000006</v>
      </c>
      <c r="M63" s="191">
        <f t="shared" si="17"/>
        <v>0</v>
      </c>
      <c r="N63" s="191">
        <f t="shared" si="17"/>
        <v>105296.61999999998</v>
      </c>
      <c r="O63" s="191">
        <f t="shared" si="17"/>
        <v>926636</v>
      </c>
      <c r="P63" s="190">
        <f t="shared" si="17"/>
        <v>8</v>
      </c>
      <c r="Q63" s="192"/>
      <c r="R63" s="185"/>
      <c r="S63" s="185"/>
      <c r="T63" s="185"/>
    </row>
    <row r="64" spans="1:20" ht="6" customHeight="1">
      <c r="A64" s="114"/>
      <c r="B64" s="54"/>
      <c r="C64" s="54"/>
      <c r="D64" s="54"/>
      <c r="E64" s="54"/>
      <c r="F64" s="54"/>
      <c r="G64" s="54"/>
      <c r="H64" s="54"/>
      <c r="I64" s="55"/>
      <c r="J64" s="54"/>
      <c r="K64" s="54"/>
      <c r="L64" s="54"/>
      <c r="M64" s="54"/>
      <c r="N64" s="54"/>
      <c r="O64" s="196"/>
      <c r="P64" s="196"/>
      <c r="Q64" s="54"/>
    </row>
    <row r="65" spans="1:17" s="14" customFormat="1" ht="19.5" customHeight="1">
      <c r="A65" s="412" t="s">
        <v>540</v>
      </c>
      <c r="B65" s="412"/>
      <c r="C65" s="412"/>
      <c r="D65" s="412"/>
      <c r="E65" s="412"/>
      <c r="F65" s="412"/>
      <c r="G65" s="412"/>
      <c r="H65" s="412"/>
      <c r="I65" s="412"/>
      <c r="J65" s="412"/>
      <c r="K65" s="412"/>
      <c r="L65" s="412"/>
      <c r="M65" s="412"/>
      <c r="N65" s="412"/>
      <c r="O65" s="412"/>
      <c r="P65" s="352"/>
      <c r="Q65" s="56"/>
    </row>
    <row r="66" spans="1:17" s="14" customFormat="1" ht="9" customHeight="1">
      <c r="A66" s="408" t="s">
        <v>383</v>
      </c>
      <c r="B66" s="408"/>
      <c r="C66" s="408"/>
      <c r="D66" s="408"/>
      <c r="E66" s="408"/>
      <c r="F66" s="408"/>
      <c r="G66" s="408"/>
      <c r="H66" s="408"/>
      <c r="I66" s="408"/>
      <c r="J66" s="408"/>
      <c r="K66" s="408"/>
      <c r="L66" s="408"/>
      <c r="M66" s="408"/>
      <c r="N66" s="408"/>
      <c r="O66" s="408"/>
      <c r="P66" s="62"/>
      <c r="Q66" s="15"/>
    </row>
    <row r="67" spans="1:17" s="14" customFormat="1" ht="9" customHeight="1">
      <c r="A67" s="408" t="s">
        <v>262</v>
      </c>
      <c r="B67" s="408"/>
      <c r="C67" s="408"/>
      <c r="D67" s="408"/>
      <c r="E67" s="408"/>
      <c r="F67" s="408"/>
      <c r="G67" s="408"/>
      <c r="H67" s="408"/>
      <c r="I67" s="408"/>
      <c r="J67" s="408"/>
      <c r="K67" s="408"/>
      <c r="L67" s="408"/>
      <c r="M67" s="408"/>
      <c r="N67" s="408"/>
      <c r="O67" s="408"/>
      <c r="P67" s="62"/>
      <c r="Q67" s="15"/>
    </row>
    <row r="68" spans="1:17" s="14" customFormat="1" ht="21.75" customHeight="1">
      <c r="A68" s="409" t="s">
        <v>283</v>
      </c>
      <c r="B68" s="409"/>
      <c r="C68" s="409"/>
      <c r="D68" s="409"/>
      <c r="E68" s="409"/>
      <c r="F68" s="409"/>
      <c r="G68" s="409"/>
      <c r="H68" s="409"/>
      <c r="I68" s="409"/>
      <c r="J68" s="409"/>
      <c r="K68" s="409"/>
      <c r="L68" s="409"/>
      <c r="M68" s="409"/>
      <c r="N68" s="409"/>
      <c r="O68" s="409"/>
      <c r="P68" s="409"/>
      <c r="Q68" s="409"/>
    </row>
    <row r="69" spans="1:17" s="14" customFormat="1" ht="9" customHeight="1">
      <c r="A69" s="14" t="s">
        <v>441</v>
      </c>
      <c r="B69" s="15"/>
      <c r="C69" s="15"/>
      <c r="D69" s="15"/>
      <c r="E69" s="15"/>
      <c r="F69" s="15"/>
      <c r="G69" s="15"/>
      <c r="H69" s="15"/>
      <c r="I69" s="16"/>
      <c r="J69" s="15"/>
      <c r="K69" s="15"/>
      <c r="L69" s="15"/>
      <c r="M69" s="15"/>
      <c r="N69" s="15"/>
      <c r="O69" s="17"/>
      <c r="P69" s="17"/>
      <c r="Q69" s="15"/>
    </row>
    <row r="70" spans="1:17" s="14" customFormat="1" ht="9">
      <c r="A70" s="14" t="s">
        <v>106</v>
      </c>
      <c r="B70" s="15"/>
      <c r="C70" s="15"/>
      <c r="D70" s="15"/>
      <c r="E70" s="15"/>
      <c r="F70" s="15"/>
      <c r="G70" s="15"/>
      <c r="H70" s="15"/>
      <c r="I70" s="16"/>
      <c r="J70" s="15"/>
      <c r="K70" s="15"/>
      <c r="L70" s="15"/>
      <c r="M70" s="15"/>
      <c r="N70" s="15"/>
      <c r="O70" s="17"/>
      <c r="P70" s="17"/>
      <c r="Q70" s="15"/>
    </row>
    <row r="71" spans="1:17" s="14" customFormat="1" ht="9">
      <c r="A71" s="14" t="s">
        <v>367</v>
      </c>
      <c r="B71" s="15"/>
      <c r="C71" s="15"/>
      <c r="D71" s="15"/>
      <c r="E71" s="15"/>
      <c r="F71" s="15"/>
      <c r="G71" s="15"/>
      <c r="H71" s="15"/>
      <c r="I71" s="16"/>
      <c r="J71" s="15"/>
      <c r="K71" s="15"/>
      <c r="L71" s="15"/>
      <c r="M71" s="15"/>
      <c r="N71" s="15"/>
      <c r="O71" s="17"/>
      <c r="P71" s="17"/>
      <c r="Q71" s="15"/>
    </row>
    <row r="72" spans="1:17" s="14" customFormat="1" ht="9">
      <c r="A72" s="14" t="s">
        <v>563</v>
      </c>
      <c r="O72" s="17"/>
      <c r="P72" s="17"/>
      <c r="Q72" s="15"/>
    </row>
    <row r="73" spans="1:17" s="14" customFormat="1" ht="9">
      <c r="A73" s="406" t="s">
        <v>371</v>
      </c>
      <c r="B73" s="406"/>
      <c r="C73" s="406"/>
      <c r="D73" s="406"/>
      <c r="E73" s="406"/>
      <c r="F73" s="406"/>
      <c r="G73" s="406"/>
      <c r="H73" s="406"/>
      <c r="I73" s="406"/>
      <c r="J73" s="406"/>
      <c r="K73" s="406"/>
      <c r="L73" s="406"/>
      <c r="M73" s="406"/>
      <c r="N73" s="406"/>
      <c r="O73" s="17"/>
      <c r="P73" s="17"/>
      <c r="Q73" s="15"/>
    </row>
    <row r="74" spans="1:17" s="14" customFormat="1" ht="9">
      <c r="A74" s="408" t="s">
        <v>564</v>
      </c>
      <c r="B74" s="408"/>
      <c r="C74" s="408"/>
      <c r="D74" s="408"/>
      <c r="E74" s="408"/>
      <c r="F74" s="408"/>
      <c r="G74" s="408"/>
      <c r="H74" s="408"/>
      <c r="I74" s="408"/>
      <c r="J74" s="408"/>
      <c r="K74" s="408"/>
      <c r="L74" s="408"/>
      <c r="M74" s="408"/>
      <c r="N74" s="15"/>
      <c r="O74" s="17"/>
      <c r="P74" s="17"/>
      <c r="Q74" s="15"/>
    </row>
    <row r="75" spans="1:17" s="14" customFormat="1" ht="9">
      <c r="B75" s="15"/>
      <c r="C75" s="15"/>
      <c r="D75" s="15"/>
      <c r="E75" s="15"/>
      <c r="F75" s="15"/>
      <c r="G75" s="15"/>
      <c r="H75" s="15"/>
      <c r="I75" s="16"/>
      <c r="J75" s="15"/>
      <c r="K75" s="15"/>
      <c r="L75" s="15"/>
      <c r="M75" s="15"/>
      <c r="N75" s="15"/>
      <c r="O75" s="17"/>
      <c r="P75" s="17"/>
      <c r="Q75" s="15"/>
    </row>
    <row r="76" spans="1:17" s="14" customFormat="1" ht="9">
      <c r="B76" s="15"/>
      <c r="C76" s="15"/>
      <c r="D76" s="15"/>
      <c r="E76" s="15"/>
      <c r="F76" s="15"/>
      <c r="G76" s="15"/>
      <c r="H76" s="15"/>
      <c r="I76" s="16"/>
      <c r="J76" s="15"/>
      <c r="K76" s="15"/>
      <c r="L76" s="15"/>
      <c r="M76" s="15"/>
      <c r="N76" s="15"/>
      <c r="O76" s="17"/>
      <c r="P76" s="17"/>
      <c r="Q76" s="15"/>
    </row>
    <row r="77" spans="1:17" s="14" customFormat="1" ht="9">
      <c r="B77" s="15"/>
      <c r="C77" s="15"/>
      <c r="D77" s="15"/>
      <c r="E77" s="15"/>
      <c r="F77" s="15"/>
      <c r="G77" s="15"/>
      <c r="H77" s="15"/>
      <c r="I77" s="16"/>
      <c r="J77" s="15"/>
      <c r="K77" s="15"/>
      <c r="L77" s="15"/>
      <c r="M77" s="15"/>
      <c r="N77" s="15"/>
      <c r="O77" s="17"/>
      <c r="P77" s="17"/>
      <c r="Q77" s="15"/>
    </row>
    <row r="78" spans="1:17" s="14" customFormat="1" ht="9">
      <c r="B78" s="15"/>
      <c r="C78" s="15"/>
      <c r="D78" s="15"/>
      <c r="E78" s="15"/>
      <c r="F78" s="15"/>
      <c r="G78" s="15"/>
      <c r="H78" s="15"/>
      <c r="I78" s="16"/>
      <c r="J78" s="15"/>
      <c r="K78" s="15"/>
      <c r="L78" s="15"/>
      <c r="M78" s="15"/>
      <c r="N78" s="15"/>
      <c r="O78" s="17"/>
      <c r="P78" s="17"/>
      <c r="Q78" s="15"/>
    </row>
    <row r="79" spans="1:17" s="14" customFormat="1" ht="9">
      <c r="B79" s="15"/>
      <c r="C79" s="15"/>
      <c r="D79" s="15"/>
      <c r="E79" s="15"/>
      <c r="F79" s="15"/>
      <c r="G79" s="15"/>
      <c r="H79" s="15"/>
      <c r="I79" s="16"/>
      <c r="J79" s="15"/>
      <c r="K79" s="15"/>
      <c r="L79" s="15"/>
      <c r="M79" s="15"/>
      <c r="N79" s="15"/>
      <c r="O79" s="17"/>
      <c r="P79" s="17"/>
      <c r="Q79" s="15"/>
    </row>
    <row r="80" spans="1:17" s="14" customFormat="1" ht="9">
      <c r="B80" s="15"/>
      <c r="C80" s="15"/>
      <c r="D80" s="15"/>
      <c r="E80" s="15"/>
      <c r="F80" s="15"/>
      <c r="G80" s="15"/>
      <c r="H80" s="15"/>
      <c r="I80" s="16"/>
      <c r="J80" s="15"/>
      <c r="K80" s="15"/>
      <c r="L80" s="15"/>
      <c r="M80" s="15"/>
      <c r="N80" s="15"/>
      <c r="O80" s="17"/>
      <c r="P80" s="17"/>
      <c r="Q80" s="15"/>
    </row>
    <row r="81" spans="2:17" s="14" customFormat="1" ht="9">
      <c r="B81" s="15"/>
      <c r="C81" s="15"/>
      <c r="D81" s="15"/>
      <c r="E81" s="15"/>
      <c r="F81" s="15"/>
      <c r="G81" s="15"/>
      <c r="H81" s="15"/>
      <c r="I81" s="16"/>
      <c r="J81" s="15"/>
      <c r="K81" s="15"/>
      <c r="L81" s="15"/>
      <c r="M81" s="15"/>
      <c r="N81" s="15"/>
      <c r="O81" s="17"/>
      <c r="P81" s="17"/>
      <c r="Q81" s="15"/>
    </row>
    <row r="82" spans="2:17" s="14" customFormat="1" ht="9">
      <c r="B82" s="15"/>
      <c r="C82" s="15"/>
      <c r="D82" s="15"/>
      <c r="E82" s="15"/>
      <c r="F82" s="15"/>
      <c r="G82" s="15"/>
      <c r="H82" s="15"/>
      <c r="I82" s="16"/>
      <c r="J82" s="15"/>
      <c r="K82" s="15"/>
      <c r="L82" s="15"/>
      <c r="M82" s="15"/>
      <c r="N82" s="15"/>
      <c r="O82" s="17"/>
      <c r="P82" s="17"/>
      <c r="Q82" s="15"/>
    </row>
    <row r="83" spans="2:17" s="14" customFormat="1" ht="9">
      <c r="B83" s="15"/>
      <c r="C83" s="15"/>
      <c r="D83" s="15"/>
      <c r="E83" s="15"/>
      <c r="F83" s="15"/>
      <c r="G83" s="15"/>
      <c r="H83" s="15"/>
      <c r="I83" s="16"/>
      <c r="J83" s="15"/>
      <c r="K83" s="15"/>
      <c r="L83" s="15"/>
      <c r="M83" s="15"/>
      <c r="N83" s="15"/>
      <c r="O83" s="17"/>
      <c r="P83" s="17"/>
      <c r="Q83" s="15"/>
    </row>
    <row r="84" spans="2:17" s="14" customFormat="1" ht="9">
      <c r="B84" s="15"/>
      <c r="C84" s="15"/>
      <c r="D84" s="15"/>
      <c r="E84" s="15"/>
      <c r="F84" s="15"/>
      <c r="G84" s="15"/>
      <c r="H84" s="15"/>
      <c r="I84" s="16"/>
      <c r="J84" s="15"/>
      <c r="K84" s="15"/>
      <c r="L84" s="15"/>
      <c r="M84" s="15"/>
      <c r="N84" s="15"/>
      <c r="O84" s="17"/>
      <c r="P84" s="17"/>
      <c r="Q84" s="15"/>
    </row>
    <row r="85" spans="2:17" s="14" customFormat="1" ht="9">
      <c r="B85" s="15"/>
      <c r="C85" s="15"/>
      <c r="D85" s="15"/>
      <c r="E85" s="15"/>
      <c r="F85" s="15"/>
      <c r="G85" s="15"/>
      <c r="H85" s="15"/>
      <c r="I85" s="16"/>
      <c r="J85" s="15"/>
      <c r="K85" s="15"/>
      <c r="L85" s="15"/>
      <c r="M85" s="15"/>
      <c r="N85" s="15"/>
      <c r="O85" s="17"/>
      <c r="P85" s="17"/>
      <c r="Q85" s="15"/>
    </row>
    <row r="86" spans="2:17" s="14" customFormat="1" ht="9">
      <c r="B86" s="15"/>
      <c r="C86" s="15"/>
      <c r="D86" s="15"/>
      <c r="E86" s="15"/>
      <c r="F86" s="15"/>
      <c r="G86" s="15"/>
      <c r="H86" s="15"/>
      <c r="I86" s="16"/>
      <c r="J86" s="15"/>
      <c r="K86" s="15"/>
      <c r="L86" s="15"/>
      <c r="M86" s="15"/>
      <c r="N86" s="15"/>
      <c r="O86" s="17"/>
      <c r="P86" s="17"/>
      <c r="Q86" s="15"/>
    </row>
    <row r="87" spans="2:17" s="14" customFormat="1" ht="9">
      <c r="B87" s="15"/>
      <c r="C87" s="15"/>
      <c r="D87" s="15"/>
      <c r="E87" s="15"/>
      <c r="F87" s="15"/>
      <c r="G87" s="15"/>
      <c r="H87" s="15"/>
      <c r="I87" s="16"/>
      <c r="J87" s="15"/>
      <c r="K87" s="15"/>
      <c r="L87" s="15"/>
      <c r="M87" s="15"/>
      <c r="N87" s="15"/>
      <c r="O87" s="17"/>
      <c r="P87" s="17"/>
      <c r="Q87" s="15"/>
    </row>
    <row r="88" spans="2:17" s="14" customFormat="1" ht="9">
      <c r="B88" s="15"/>
      <c r="C88" s="15"/>
      <c r="D88" s="15"/>
      <c r="E88" s="15"/>
      <c r="F88" s="15"/>
      <c r="G88" s="15"/>
      <c r="H88" s="15"/>
      <c r="I88" s="16"/>
      <c r="J88" s="15"/>
      <c r="K88" s="15"/>
      <c r="L88" s="15"/>
      <c r="M88" s="15"/>
      <c r="N88" s="15"/>
      <c r="O88" s="17"/>
      <c r="P88" s="17"/>
      <c r="Q88" s="15"/>
    </row>
    <row r="89" spans="2:17" s="14" customFormat="1" ht="9">
      <c r="B89" s="15"/>
      <c r="C89" s="15"/>
      <c r="D89" s="15"/>
      <c r="E89" s="15"/>
      <c r="F89" s="15"/>
      <c r="G89" s="15"/>
      <c r="H89" s="15"/>
      <c r="I89" s="16"/>
      <c r="J89" s="15"/>
      <c r="K89" s="15"/>
      <c r="L89" s="15"/>
      <c r="M89" s="15"/>
      <c r="N89" s="15"/>
      <c r="O89" s="17"/>
      <c r="P89" s="17"/>
      <c r="Q89" s="15"/>
    </row>
    <row r="90" spans="2:17" s="14" customFormat="1" ht="9">
      <c r="B90" s="15"/>
      <c r="C90" s="15"/>
      <c r="D90" s="15"/>
      <c r="E90" s="15"/>
      <c r="F90" s="15"/>
      <c r="G90" s="15"/>
      <c r="H90" s="15"/>
      <c r="I90" s="16"/>
      <c r="J90" s="15"/>
      <c r="K90" s="15"/>
      <c r="L90" s="15"/>
      <c r="M90" s="15"/>
      <c r="N90" s="15"/>
      <c r="O90" s="17"/>
      <c r="P90" s="17"/>
      <c r="Q90" s="15"/>
    </row>
    <row r="91" spans="2:17" s="14" customFormat="1" ht="9">
      <c r="B91" s="15"/>
      <c r="C91" s="15"/>
      <c r="D91" s="15"/>
      <c r="E91" s="15"/>
      <c r="F91" s="15"/>
      <c r="G91" s="15"/>
      <c r="H91" s="15"/>
      <c r="I91" s="16"/>
      <c r="J91" s="15"/>
      <c r="K91" s="15"/>
      <c r="L91" s="15"/>
      <c r="M91" s="15"/>
      <c r="N91" s="15"/>
      <c r="O91" s="17"/>
      <c r="P91" s="17"/>
      <c r="Q91" s="15"/>
    </row>
    <row r="92" spans="2:17" s="14" customFormat="1" ht="9">
      <c r="B92" s="15"/>
      <c r="C92" s="15"/>
      <c r="D92" s="15"/>
      <c r="E92" s="15"/>
      <c r="F92" s="15"/>
      <c r="G92" s="15"/>
      <c r="H92" s="15"/>
      <c r="I92" s="16"/>
      <c r="J92" s="15"/>
      <c r="K92" s="15"/>
      <c r="L92" s="15"/>
      <c r="M92" s="15"/>
      <c r="N92" s="15"/>
      <c r="O92" s="17"/>
      <c r="P92" s="17"/>
      <c r="Q92" s="15"/>
    </row>
    <row r="93" spans="2:17" s="14" customFormat="1" ht="9">
      <c r="B93" s="15"/>
      <c r="C93" s="15"/>
      <c r="D93" s="15"/>
      <c r="E93" s="15"/>
      <c r="F93" s="15"/>
      <c r="G93" s="15"/>
      <c r="H93" s="15"/>
      <c r="I93" s="16"/>
      <c r="J93" s="15"/>
      <c r="K93" s="15"/>
      <c r="L93" s="15"/>
      <c r="M93" s="15"/>
      <c r="N93" s="15"/>
      <c r="O93" s="17"/>
      <c r="P93" s="17"/>
      <c r="Q93" s="15"/>
    </row>
    <row r="94" spans="2:17" s="14" customFormat="1" ht="9">
      <c r="B94" s="15"/>
      <c r="C94" s="15"/>
      <c r="D94" s="15"/>
      <c r="E94" s="15"/>
      <c r="F94" s="15"/>
      <c r="G94" s="15"/>
      <c r="H94" s="15"/>
      <c r="I94" s="16"/>
      <c r="J94" s="15"/>
      <c r="K94" s="15"/>
      <c r="L94" s="15"/>
      <c r="M94" s="15"/>
      <c r="N94" s="15"/>
      <c r="O94" s="17"/>
      <c r="P94" s="17"/>
      <c r="Q94" s="15"/>
    </row>
    <row r="95" spans="2:17" s="14" customFormat="1" ht="9">
      <c r="B95" s="15"/>
      <c r="C95" s="15"/>
      <c r="D95" s="15"/>
      <c r="E95" s="15"/>
      <c r="F95" s="15"/>
      <c r="G95" s="15"/>
      <c r="H95" s="15"/>
      <c r="I95" s="16"/>
      <c r="J95" s="15"/>
      <c r="K95" s="15"/>
      <c r="L95" s="15"/>
      <c r="M95" s="15"/>
      <c r="N95" s="15"/>
      <c r="O95" s="17"/>
      <c r="P95" s="17"/>
      <c r="Q95" s="15"/>
    </row>
    <row r="96" spans="2:17" s="14" customFormat="1" ht="9">
      <c r="B96" s="15"/>
      <c r="C96" s="15"/>
      <c r="D96" s="15"/>
      <c r="E96" s="15"/>
      <c r="F96" s="15"/>
      <c r="G96" s="15"/>
      <c r="H96" s="15"/>
      <c r="I96" s="16"/>
      <c r="J96" s="15"/>
      <c r="K96" s="15"/>
      <c r="L96" s="15"/>
      <c r="M96" s="15"/>
      <c r="N96" s="15"/>
      <c r="O96" s="17"/>
      <c r="P96" s="17"/>
      <c r="Q96" s="15"/>
    </row>
    <row r="97" spans="2:17" s="14" customFormat="1" ht="9">
      <c r="B97" s="15"/>
      <c r="C97" s="15"/>
      <c r="D97" s="15"/>
      <c r="E97" s="15"/>
      <c r="F97" s="15"/>
      <c r="G97" s="15"/>
      <c r="H97" s="15"/>
      <c r="I97" s="16"/>
      <c r="J97" s="15"/>
      <c r="K97" s="15"/>
      <c r="L97" s="15"/>
      <c r="M97" s="15"/>
      <c r="N97" s="15"/>
      <c r="O97" s="17"/>
      <c r="P97" s="17"/>
      <c r="Q97" s="15"/>
    </row>
    <row r="98" spans="2:17" s="14" customFormat="1" ht="9">
      <c r="B98" s="15"/>
      <c r="C98" s="15"/>
      <c r="D98" s="15"/>
      <c r="E98" s="15"/>
      <c r="F98" s="15"/>
      <c r="G98" s="15"/>
      <c r="H98" s="15"/>
      <c r="I98" s="16"/>
      <c r="J98" s="15"/>
      <c r="K98" s="15"/>
      <c r="L98" s="15"/>
      <c r="M98" s="15"/>
      <c r="N98" s="15"/>
      <c r="O98" s="17"/>
      <c r="P98" s="17"/>
      <c r="Q98" s="15"/>
    </row>
    <row r="99" spans="2:17" s="14" customFormat="1" ht="9">
      <c r="B99" s="15"/>
      <c r="C99" s="15"/>
      <c r="D99" s="15"/>
      <c r="E99" s="15"/>
      <c r="F99" s="15"/>
      <c r="G99" s="15"/>
      <c r="H99" s="15"/>
      <c r="I99" s="16"/>
      <c r="J99" s="15"/>
      <c r="K99" s="15"/>
      <c r="L99" s="15"/>
      <c r="M99" s="15"/>
      <c r="N99" s="15"/>
      <c r="O99" s="17"/>
      <c r="P99" s="17"/>
      <c r="Q99" s="15"/>
    </row>
    <row r="100" spans="2:17" s="14" customFormat="1" ht="9">
      <c r="B100" s="15"/>
      <c r="C100" s="15"/>
      <c r="D100" s="15"/>
      <c r="E100" s="15"/>
      <c r="F100" s="15"/>
      <c r="G100" s="15"/>
      <c r="H100" s="15"/>
      <c r="I100" s="16"/>
      <c r="J100" s="15"/>
      <c r="K100" s="15"/>
      <c r="L100" s="15"/>
      <c r="M100" s="15"/>
      <c r="N100" s="15"/>
      <c r="O100" s="17"/>
      <c r="P100" s="17"/>
      <c r="Q100" s="15"/>
    </row>
    <row r="101" spans="2:17" s="14" customFormat="1" ht="9">
      <c r="B101" s="15"/>
      <c r="C101" s="15"/>
      <c r="D101" s="15"/>
      <c r="E101" s="15"/>
      <c r="F101" s="15"/>
      <c r="G101" s="15"/>
      <c r="H101" s="15"/>
      <c r="I101" s="16"/>
      <c r="J101" s="15"/>
      <c r="K101" s="15"/>
      <c r="L101" s="15"/>
      <c r="M101" s="15"/>
      <c r="N101" s="15"/>
      <c r="O101" s="17"/>
      <c r="P101" s="17"/>
      <c r="Q101" s="15"/>
    </row>
    <row r="102" spans="2:17" s="14" customFormat="1" ht="9">
      <c r="B102" s="15"/>
      <c r="C102" s="15"/>
      <c r="D102" s="15"/>
      <c r="E102" s="15"/>
      <c r="F102" s="15"/>
      <c r="G102" s="15"/>
      <c r="H102" s="15"/>
      <c r="I102" s="16"/>
      <c r="J102" s="15"/>
      <c r="K102" s="15"/>
      <c r="L102" s="15"/>
      <c r="M102" s="15"/>
      <c r="N102" s="15"/>
      <c r="O102" s="17"/>
      <c r="P102" s="17"/>
      <c r="Q102" s="15"/>
    </row>
    <row r="103" spans="2:17" s="14" customFormat="1" ht="9">
      <c r="B103" s="15"/>
      <c r="C103" s="15"/>
      <c r="D103" s="15"/>
      <c r="E103" s="15"/>
      <c r="F103" s="15"/>
      <c r="G103" s="15"/>
      <c r="H103" s="15"/>
      <c r="I103" s="16"/>
      <c r="J103" s="15"/>
      <c r="K103" s="15"/>
      <c r="L103" s="15"/>
      <c r="M103" s="15"/>
      <c r="N103" s="15"/>
      <c r="O103" s="17"/>
      <c r="P103" s="17"/>
      <c r="Q103" s="15"/>
    </row>
    <row r="104" spans="2:17" s="14" customFormat="1" ht="9">
      <c r="B104" s="15"/>
      <c r="C104" s="15"/>
      <c r="D104" s="15"/>
      <c r="E104" s="15"/>
      <c r="F104" s="15"/>
      <c r="G104" s="15"/>
      <c r="H104" s="15"/>
      <c r="I104" s="16"/>
      <c r="J104" s="15"/>
      <c r="K104" s="15"/>
      <c r="L104" s="15"/>
      <c r="M104" s="15"/>
      <c r="N104" s="15"/>
      <c r="O104" s="17"/>
      <c r="P104" s="17"/>
      <c r="Q104" s="15"/>
    </row>
    <row r="105" spans="2:17" s="14" customFormat="1" ht="9">
      <c r="B105" s="15"/>
      <c r="C105" s="15"/>
      <c r="D105" s="15"/>
      <c r="E105" s="15"/>
      <c r="F105" s="15"/>
      <c r="G105" s="15"/>
      <c r="H105" s="15"/>
      <c r="I105" s="16"/>
      <c r="J105" s="15"/>
      <c r="K105" s="15"/>
      <c r="L105" s="15"/>
      <c r="M105" s="15"/>
      <c r="N105" s="15"/>
      <c r="O105" s="17"/>
      <c r="P105" s="17"/>
      <c r="Q105" s="15"/>
    </row>
    <row r="106" spans="2:17" s="14" customFormat="1" ht="9">
      <c r="B106" s="15"/>
      <c r="C106" s="15"/>
      <c r="D106" s="15"/>
      <c r="E106" s="15"/>
      <c r="F106" s="15"/>
      <c r="G106" s="15"/>
      <c r="H106" s="15"/>
      <c r="I106" s="16"/>
      <c r="J106" s="15"/>
      <c r="K106" s="15"/>
      <c r="L106" s="15"/>
      <c r="M106" s="15"/>
      <c r="N106" s="15"/>
      <c r="O106" s="17"/>
      <c r="P106" s="17"/>
      <c r="Q106" s="15"/>
    </row>
    <row r="107" spans="2:17" s="14" customFormat="1" ht="9">
      <c r="B107" s="15"/>
      <c r="C107" s="15"/>
      <c r="D107" s="15"/>
      <c r="E107" s="15"/>
      <c r="F107" s="15"/>
      <c r="G107" s="15"/>
      <c r="H107" s="15"/>
      <c r="I107" s="16"/>
      <c r="J107" s="15"/>
      <c r="K107" s="15"/>
      <c r="L107" s="15"/>
      <c r="M107" s="15"/>
      <c r="N107" s="15"/>
      <c r="O107" s="17"/>
      <c r="P107" s="17"/>
      <c r="Q107" s="15"/>
    </row>
    <row r="108" spans="2:17" s="14" customFormat="1" ht="9">
      <c r="B108" s="15"/>
      <c r="C108" s="15"/>
      <c r="D108" s="15"/>
      <c r="E108" s="15"/>
      <c r="F108" s="15"/>
      <c r="G108" s="15"/>
      <c r="H108" s="15"/>
      <c r="I108" s="16"/>
      <c r="J108" s="15"/>
      <c r="K108" s="15"/>
      <c r="L108" s="15"/>
      <c r="M108" s="15"/>
      <c r="N108" s="15"/>
      <c r="O108" s="17"/>
      <c r="P108" s="17"/>
      <c r="Q108" s="15"/>
    </row>
    <row r="109" spans="2:17" s="14" customFormat="1" ht="9">
      <c r="B109" s="15"/>
      <c r="C109" s="15"/>
      <c r="D109" s="15"/>
      <c r="E109" s="15"/>
      <c r="F109" s="15"/>
      <c r="G109" s="15"/>
      <c r="H109" s="15"/>
      <c r="I109" s="16"/>
      <c r="J109" s="15"/>
      <c r="K109" s="15"/>
      <c r="L109" s="15"/>
      <c r="M109" s="15"/>
      <c r="N109" s="15"/>
      <c r="O109" s="17"/>
      <c r="P109" s="17"/>
      <c r="Q109" s="15"/>
    </row>
    <row r="110" spans="2:17" s="14" customFormat="1" ht="9">
      <c r="B110" s="15"/>
      <c r="C110" s="15"/>
      <c r="D110" s="15"/>
      <c r="E110" s="15"/>
      <c r="F110" s="15"/>
      <c r="G110" s="15"/>
      <c r="H110" s="15"/>
      <c r="I110" s="16"/>
      <c r="J110" s="15"/>
      <c r="K110" s="15"/>
      <c r="L110" s="15"/>
      <c r="M110" s="15"/>
      <c r="N110" s="15"/>
      <c r="O110" s="17"/>
      <c r="P110" s="17"/>
      <c r="Q110" s="15"/>
    </row>
    <row r="111" spans="2:17" s="14" customFormat="1" ht="9">
      <c r="B111" s="15"/>
      <c r="C111" s="15"/>
      <c r="D111" s="15"/>
      <c r="E111" s="15"/>
      <c r="F111" s="15"/>
      <c r="G111" s="15"/>
      <c r="H111" s="15"/>
      <c r="I111" s="16"/>
      <c r="J111" s="15"/>
      <c r="K111" s="15"/>
      <c r="L111" s="15"/>
      <c r="M111" s="15"/>
      <c r="N111" s="15"/>
      <c r="O111" s="17"/>
      <c r="P111" s="17"/>
      <c r="Q111" s="15"/>
    </row>
    <row r="112" spans="2:17" s="14" customFormat="1" ht="9">
      <c r="B112" s="15"/>
      <c r="C112" s="15"/>
      <c r="D112" s="15"/>
      <c r="E112" s="15"/>
      <c r="F112" s="15"/>
      <c r="G112" s="15"/>
      <c r="H112" s="15"/>
      <c r="I112" s="16"/>
      <c r="J112" s="15"/>
      <c r="K112" s="15"/>
      <c r="L112" s="15"/>
      <c r="M112" s="15"/>
      <c r="N112" s="15"/>
      <c r="O112" s="17"/>
      <c r="P112" s="17"/>
      <c r="Q112" s="15"/>
    </row>
    <row r="113" spans="2:18" s="14" customFormat="1" ht="9">
      <c r="B113" s="15"/>
      <c r="C113" s="15"/>
      <c r="D113" s="15"/>
      <c r="E113" s="15"/>
      <c r="F113" s="15"/>
      <c r="G113" s="15"/>
      <c r="H113" s="15"/>
      <c r="I113" s="16"/>
      <c r="J113" s="15"/>
      <c r="K113" s="15"/>
      <c r="L113" s="15"/>
      <c r="M113" s="15"/>
      <c r="N113" s="15"/>
      <c r="O113" s="17"/>
      <c r="P113" s="17"/>
      <c r="Q113" s="15"/>
    </row>
    <row r="114" spans="2:18" s="14" customFormat="1" ht="9">
      <c r="B114" s="15"/>
      <c r="C114" s="15"/>
      <c r="D114" s="15"/>
      <c r="E114" s="15"/>
      <c r="F114" s="15"/>
      <c r="G114" s="15"/>
      <c r="H114" s="15"/>
      <c r="I114" s="16"/>
      <c r="J114" s="15"/>
      <c r="K114" s="15"/>
      <c r="L114" s="15"/>
      <c r="M114" s="15"/>
      <c r="N114" s="15"/>
      <c r="O114" s="17"/>
      <c r="P114" s="17"/>
      <c r="Q114" s="15"/>
    </row>
    <row r="115" spans="2:18" s="14" customFormat="1">
      <c r="B115" s="15"/>
      <c r="C115" s="15"/>
      <c r="D115" s="15"/>
      <c r="E115" s="15"/>
      <c r="F115" s="15"/>
      <c r="G115" s="15"/>
      <c r="H115" s="15"/>
      <c r="I115" s="16"/>
      <c r="J115" s="15"/>
      <c r="K115" s="15"/>
      <c r="L115" s="15"/>
      <c r="M115" s="15"/>
      <c r="N115" s="15"/>
      <c r="O115" s="17"/>
      <c r="P115" s="17"/>
      <c r="Q115" s="15"/>
      <c r="R115" s="1"/>
    </row>
  </sheetData>
  <mergeCells count="8">
    <mergeCell ref="A74:M74"/>
    <mergeCell ref="A73:N73"/>
    <mergeCell ref="A1:Q1"/>
    <mergeCell ref="A2:Q2"/>
    <mergeCell ref="A68:Q68"/>
    <mergeCell ref="A66:O66"/>
    <mergeCell ref="A67:O67"/>
    <mergeCell ref="A65:O65"/>
  </mergeCells>
  <phoneticPr fontId="7" type="noConversion"/>
  <pageMargins left="0.25" right="0.25" top="0.5" bottom="0.75" header="0.5" footer="0.5"/>
  <pageSetup scale="56" orientation="landscape" r:id="rId1"/>
  <headerFooter alignWithMargins="0"/>
</worksheet>
</file>

<file path=xl/worksheets/sheet22.xml><?xml version="1.0" encoding="utf-8"?>
<worksheet xmlns="http://schemas.openxmlformats.org/spreadsheetml/2006/main" xmlns:r="http://schemas.openxmlformats.org/officeDocument/2006/relationships">
  <sheetPr>
    <pageSetUpPr fitToPage="1"/>
  </sheetPr>
  <dimension ref="A1:U113"/>
  <sheetViews>
    <sheetView zoomScale="110" zoomScaleNormal="110" workbookViewId="0">
      <pane xSplit="1" ySplit="3" topLeftCell="B4" activePane="bottomRight" state="frozen"/>
      <selection activeCell="P31" sqref="P31"/>
      <selection pane="topRight" activeCell="P31" sqref="P31"/>
      <selection pane="bottomLeft" activeCell="P31" sqref="P31"/>
      <selection pane="bottomRight" activeCell="Q19" sqref="Q19"/>
    </sheetView>
  </sheetViews>
  <sheetFormatPr defaultRowHeight="11.25"/>
  <cols>
    <col min="1" max="1" width="36.5703125" style="1" customWidth="1"/>
    <col min="2" max="2" width="8.85546875" style="7" bestFit="1" customWidth="1"/>
    <col min="3" max="3" width="8" style="7" hidden="1" customWidth="1"/>
    <col min="4" max="4" width="8.42578125" style="7" bestFit="1" customWidth="1"/>
    <col min="5" max="5" width="8.85546875" style="7" bestFit="1" customWidth="1"/>
    <col min="6" max="6" width="7.42578125" style="7" customWidth="1"/>
    <col min="7" max="7" width="9.28515625" style="7" bestFit="1" customWidth="1"/>
    <col min="8" max="8" width="8.5703125" style="7" customWidth="1"/>
    <col min="9" max="9" width="9.42578125" style="11" bestFit="1" customWidth="1"/>
    <col min="10" max="11" width="6.85546875" style="7" bestFit="1" customWidth="1"/>
    <col min="12" max="12" width="8.5703125" style="7" customWidth="1"/>
    <col min="13" max="13" width="7.85546875" style="7" hidden="1" customWidth="1"/>
    <col min="14" max="14" width="9.28515625" style="7" customWidth="1"/>
    <col min="15" max="15" width="10.140625" style="8" bestFit="1" customWidth="1"/>
    <col min="16" max="16" width="10" style="8" bestFit="1" customWidth="1"/>
    <col min="17" max="17" width="3.7109375" style="7" customWidth="1"/>
    <col min="18" max="19" width="9.140625" style="1" hidden="1" customWidth="1"/>
    <col min="20" max="20" width="11.140625" style="1" customWidth="1"/>
    <col min="21" max="21" width="8.5703125" style="1" customWidth="1"/>
    <col min="22" max="16384" width="9.140625" style="1"/>
  </cols>
  <sheetData>
    <row r="1" spans="1:21">
      <c r="A1" s="410" t="s">
        <v>205</v>
      </c>
      <c r="B1" s="410"/>
      <c r="C1" s="410"/>
      <c r="D1" s="410"/>
      <c r="E1" s="410"/>
      <c r="F1" s="410"/>
      <c r="G1" s="410"/>
      <c r="H1" s="410"/>
      <c r="I1" s="410"/>
      <c r="J1" s="410"/>
      <c r="K1" s="410"/>
      <c r="L1" s="410"/>
      <c r="M1" s="410"/>
      <c r="N1" s="410"/>
      <c r="O1" s="410"/>
      <c r="P1" s="410"/>
      <c r="Q1" s="410"/>
    </row>
    <row r="2" spans="1:21">
      <c r="A2" s="411" t="s">
        <v>204</v>
      </c>
      <c r="B2" s="411"/>
      <c r="C2" s="411"/>
      <c r="D2" s="411"/>
      <c r="E2" s="411"/>
      <c r="F2" s="411"/>
      <c r="G2" s="411"/>
      <c r="H2" s="411"/>
      <c r="I2" s="411"/>
      <c r="J2" s="411"/>
      <c r="K2" s="411"/>
      <c r="L2" s="411"/>
      <c r="M2" s="411"/>
      <c r="N2" s="411"/>
      <c r="O2" s="411"/>
      <c r="P2" s="411"/>
      <c r="Q2" s="411"/>
    </row>
    <row r="3" spans="1:21" s="3" customFormat="1" ht="63">
      <c r="A3" s="45" t="s">
        <v>392</v>
      </c>
      <c r="B3" s="45" t="s">
        <v>393</v>
      </c>
      <c r="C3" s="45" t="s">
        <v>430</v>
      </c>
      <c r="D3" s="45" t="s">
        <v>4</v>
      </c>
      <c r="E3" s="45" t="s">
        <v>6</v>
      </c>
      <c r="F3" s="45" t="s">
        <v>5</v>
      </c>
      <c r="G3" s="45" t="s">
        <v>176</v>
      </c>
      <c r="H3" s="45" t="s">
        <v>459</v>
      </c>
      <c r="I3" s="60" t="s">
        <v>460</v>
      </c>
      <c r="J3" s="100" t="s">
        <v>462</v>
      </c>
      <c r="K3" s="100" t="s">
        <v>463</v>
      </c>
      <c r="L3" s="100" t="s">
        <v>461</v>
      </c>
      <c r="M3" s="45" t="s">
        <v>391</v>
      </c>
      <c r="N3" s="45" t="s">
        <v>8</v>
      </c>
      <c r="O3" s="100" t="s">
        <v>9</v>
      </c>
      <c r="P3" s="100" t="s">
        <v>175</v>
      </c>
      <c r="Q3" s="182" t="s">
        <v>394</v>
      </c>
      <c r="R3" s="3" t="s">
        <v>307</v>
      </c>
      <c r="S3" s="3" t="s">
        <v>308</v>
      </c>
    </row>
    <row r="4" spans="1:21" s="6" customFormat="1" ht="9">
      <c r="A4" s="178" t="s">
        <v>405</v>
      </c>
      <c r="B4" s="179" t="s">
        <v>433</v>
      </c>
      <c r="C4" s="179"/>
      <c r="D4" s="181"/>
      <c r="E4" s="181"/>
      <c r="F4" s="181"/>
      <c r="G4" s="179"/>
      <c r="H4" s="179"/>
      <c r="I4" s="183"/>
      <c r="J4" s="183"/>
      <c r="K4" s="183"/>
      <c r="L4" s="183"/>
      <c r="M4" s="179"/>
      <c r="N4" s="181"/>
      <c r="O4" s="181"/>
      <c r="P4" s="181"/>
      <c r="Q4" s="249"/>
    </row>
    <row r="5" spans="1:21" s="6" customFormat="1" ht="9">
      <c r="A5" s="142" t="s">
        <v>406</v>
      </c>
      <c r="B5" s="44" t="s">
        <v>433</v>
      </c>
      <c r="C5" s="44"/>
      <c r="D5" s="52"/>
      <c r="E5" s="52"/>
      <c r="F5" s="52"/>
      <c r="G5" s="44"/>
      <c r="H5" s="44"/>
      <c r="I5" s="92"/>
      <c r="J5" s="92"/>
      <c r="K5" s="92"/>
      <c r="L5" s="92"/>
      <c r="M5" s="44"/>
      <c r="N5" s="52"/>
      <c r="O5" s="52"/>
      <c r="P5" s="52"/>
      <c r="Q5" s="94"/>
    </row>
    <row r="6" spans="1:21" s="6" customFormat="1" ht="9">
      <c r="A6" s="142" t="s">
        <v>407</v>
      </c>
      <c r="B6" s="44"/>
      <c r="C6" s="44"/>
      <c r="D6" s="52"/>
      <c r="E6" s="52"/>
      <c r="F6" s="52"/>
      <c r="G6" s="44"/>
      <c r="H6" s="44"/>
      <c r="I6" s="92"/>
      <c r="J6" s="92"/>
      <c r="K6" s="92"/>
      <c r="L6" s="92"/>
      <c r="M6" s="44"/>
      <c r="N6" s="52"/>
      <c r="O6" s="52"/>
      <c r="P6" s="52"/>
      <c r="Q6" s="94"/>
      <c r="R6" s="147"/>
      <c r="S6" s="147"/>
    </row>
    <row r="7" spans="1:21" s="6" customFormat="1" ht="9">
      <c r="A7" s="143" t="s">
        <v>408</v>
      </c>
      <c r="B7" s="44">
        <v>40</v>
      </c>
      <c r="C7" s="44"/>
      <c r="D7" s="52">
        <v>0</v>
      </c>
      <c r="E7" s="52">
        <v>0</v>
      </c>
      <c r="F7" s="52">
        <v>0</v>
      </c>
      <c r="G7" s="44">
        <v>1</v>
      </c>
      <c r="H7" s="44">
        <f>B7*G7</f>
        <v>40</v>
      </c>
      <c r="I7" s="91">
        <f>ROUND(SUM('Base Data'!$H$79:$H$81)/3,0)</f>
        <v>1</v>
      </c>
      <c r="J7" s="92">
        <f>H7*I7</f>
        <v>40</v>
      </c>
      <c r="K7" s="92">
        <f>J7*0.1</f>
        <v>4</v>
      </c>
      <c r="L7" s="91">
        <f>J7*0.05</f>
        <v>2</v>
      </c>
      <c r="M7" s="44">
        <f>C7*G7*I7</f>
        <v>0</v>
      </c>
      <c r="N7" s="52">
        <f>(J7*'Base Data'!$C$5)+(K7*'Base Data'!$C$6)+(L7*'Base Data'!$C$7)</f>
        <v>4351.0999999999995</v>
      </c>
      <c r="O7" s="52">
        <f>(D7+E7+F7)*G7*I7</f>
        <v>0</v>
      </c>
      <c r="P7" s="92">
        <v>0</v>
      </c>
      <c r="Q7" s="94" t="s">
        <v>387</v>
      </c>
      <c r="R7" s="147"/>
      <c r="S7" s="147"/>
    </row>
    <row r="8" spans="1:21" s="6" customFormat="1" ht="9">
      <c r="A8" s="142" t="s">
        <v>409</v>
      </c>
      <c r="B8" s="44"/>
      <c r="C8" s="44"/>
      <c r="D8" s="52"/>
      <c r="E8" s="52"/>
      <c r="F8" s="52"/>
      <c r="G8" s="44"/>
      <c r="H8" s="44"/>
      <c r="I8" s="92"/>
      <c r="J8" s="92"/>
      <c r="K8" s="92"/>
      <c r="L8" s="92"/>
      <c r="M8" s="44"/>
      <c r="N8" s="52"/>
      <c r="O8" s="52"/>
      <c r="P8" s="92"/>
      <c r="Q8" s="94"/>
      <c r="R8" s="147"/>
      <c r="S8" s="147"/>
      <c r="U8" s="30"/>
    </row>
    <row r="9" spans="1:21" s="6" customFormat="1" ht="9">
      <c r="A9" s="143" t="s">
        <v>486</v>
      </c>
      <c r="B9" s="44">
        <v>12</v>
      </c>
      <c r="C9" s="44"/>
      <c r="D9" s="52">
        <v>0</v>
      </c>
      <c r="E9" s="52">
        <f>'Testing Costs'!$B$13</f>
        <v>5000</v>
      </c>
      <c r="F9" s="52">
        <v>0</v>
      </c>
      <c r="G9" s="44">
        <v>1</v>
      </c>
      <c r="H9" s="44">
        <f t="shared" ref="H9:H21" si="0">B9*G9</f>
        <v>12</v>
      </c>
      <c r="I9" s="91">
        <f>ROUND(SUM('Base Data'!$D$79:$D$80)/3,0)</f>
        <v>3</v>
      </c>
      <c r="J9" s="92">
        <f t="shared" ref="J9:J21" si="1">H9*I9</f>
        <v>36</v>
      </c>
      <c r="K9" s="92">
        <f t="shared" ref="K9:K21" si="2">J9*0.1</f>
        <v>3.6</v>
      </c>
      <c r="L9" s="92">
        <f t="shared" ref="L9:L21" si="3">J9*0.05</f>
        <v>1.8</v>
      </c>
      <c r="M9" s="93"/>
      <c r="N9" s="52">
        <f>(J9*'Base Data'!$C$5)+(K9*'Base Data'!$C$6)+(L9*'Base Data'!$C$7)</f>
        <v>3915.9900000000002</v>
      </c>
      <c r="O9" s="52">
        <f t="shared" ref="O9:O21" si="4">(D9+E9+F9)*G9*I9</f>
        <v>15000</v>
      </c>
      <c r="P9" s="92">
        <v>0</v>
      </c>
      <c r="Q9" s="94" t="s">
        <v>259</v>
      </c>
      <c r="R9" s="147"/>
      <c r="S9" s="147"/>
      <c r="U9" s="30"/>
    </row>
    <row r="10" spans="1:21" s="6" customFormat="1" ht="9">
      <c r="A10" s="143" t="s">
        <v>133</v>
      </c>
      <c r="B10" s="44">
        <v>12</v>
      </c>
      <c r="C10" s="44"/>
      <c r="D10" s="52">
        <v>0</v>
      </c>
      <c r="E10" s="52">
        <f>'Testing Costs'!$B$17</f>
        <v>8000</v>
      </c>
      <c r="F10" s="52">
        <v>0</v>
      </c>
      <c r="G10" s="44">
        <v>1</v>
      </c>
      <c r="H10" s="44">
        <f t="shared" si="0"/>
        <v>12</v>
      </c>
      <c r="I10" s="91">
        <v>0</v>
      </c>
      <c r="J10" s="92">
        <f t="shared" si="1"/>
        <v>0</v>
      </c>
      <c r="K10" s="92">
        <f t="shared" si="2"/>
        <v>0</v>
      </c>
      <c r="L10" s="92">
        <f t="shared" si="3"/>
        <v>0</v>
      </c>
      <c r="M10" s="93"/>
      <c r="N10" s="52">
        <f>(J10*'Base Data'!$C$5)+(K10*'Base Data'!$C$6)+(L10*'Base Data'!$C$7)</f>
        <v>0</v>
      </c>
      <c r="O10" s="52">
        <f t="shared" si="4"/>
        <v>0</v>
      </c>
      <c r="P10" s="92">
        <v>0</v>
      </c>
      <c r="Q10" s="94" t="s">
        <v>387</v>
      </c>
      <c r="R10" s="147"/>
      <c r="S10" s="147"/>
      <c r="U10" s="30"/>
    </row>
    <row r="11" spans="1:21" s="6" customFormat="1" ht="9">
      <c r="A11" s="143" t="s">
        <v>134</v>
      </c>
      <c r="B11" s="44">
        <v>12</v>
      </c>
      <c r="C11" s="44"/>
      <c r="D11" s="52">
        <v>0</v>
      </c>
      <c r="E11" s="52">
        <f>'Testing Costs'!$B$15</f>
        <v>8000</v>
      </c>
      <c r="F11" s="52">
        <v>0</v>
      </c>
      <c r="G11" s="44">
        <v>1</v>
      </c>
      <c r="H11" s="44">
        <f t="shared" si="0"/>
        <v>12</v>
      </c>
      <c r="I11" s="91">
        <v>0</v>
      </c>
      <c r="J11" s="92">
        <f t="shared" si="1"/>
        <v>0</v>
      </c>
      <c r="K11" s="92">
        <f t="shared" si="2"/>
        <v>0</v>
      </c>
      <c r="L11" s="92">
        <f t="shared" si="3"/>
        <v>0</v>
      </c>
      <c r="M11" s="93"/>
      <c r="N11" s="52">
        <f>(J11*'Base Data'!$C$5)+(K11*'Base Data'!$C$6)+(L11*'Base Data'!$C$7)</f>
        <v>0</v>
      </c>
      <c r="O11" s="52">
        <f t="shared" si="4"/>
        <v>0</v>
      </c>
      <c r="P11" s="92">
        <v>0</v>
      </c>
      <c r="Q11" s="94" t="s">
        <v>387</v>
      </c>
      <c r="R11" s="147"/>
      <c r="S11" s="147"/>
      <c r="U11" s="30"/>
    </row>
    <row r="12" spans="1:21" s="6" customFormat="1" ht="9">
      <c r="A12" s="143" t="s">
        <v>135</v>
      </c>
      <c r="B12" s="44">
        <v>12</v>
      </c>
      <c r="C12" s="44"/>
      <c r="D12" s="52">
        <v>0</v>
      </c>
      <c r="E12" s="52">
        <f>'Testing Costs'!$B$14</f>
        <v>7000</v>
      </c>
      <c r="F12" s="52">
        <v>0</v>
      </c>
      <c r="G12" s="44">
        <v>1</v>
      </c>
      <c r="H12" s="44">
        <f t="shared" si="0"/>
        <v>12</v>
      </c>
      <c r="I12" s="91">
        <f>ROUND(SUM('Base Data'!$D$79:$D$81)/3,0)</f>
        <v>3</v>
      </c>
      <c r="J12" s="92">
        <f t="shared" si="1"/>
        <v>36</v>
      </c>
      <c r="K12" s="92">
        <f t="shared" si="2"/>
        <v>3.6</v>
      </c>
      <c r="L12" s="92">
        <f t="shared" si="3"/>
        <v>1.8</v>
      </c>
      <c r="M12" s="93"/>
      <c r="N12" s="52">
        <f>(J12*'Base Data'!$C$5)+(K12*'Base Data'!$C$6)+(L12*'Base Data'!$C$7)</f>
        <v>3915.9900000000002</v>
      </c>
      <c r="O12" s="52">
        <f t="shared" si="4"/>
        <v>21000</v>
      </c>
      <c r="P12" s="92">
        <v>0</v>
      </c>
      <c r="Q12" s="94" t="s">
        <v>387</v>
      </c>
      <c r="R12" s="147"/>
      <c r="S12" s="147"/>
      <c r="U12" s="30"/>
    </row>
    <row r="13" spans="1:21" s="6" customFormat="1" ht="9">
      <c r="A13" s="143" t="s">
        <v>136</v>
      </c>
      <c r="B13" s="44">
        <v>12</v>
      </c>
      <c r="C13" s="44"/>
      <c r="D13" s="52">
        <v>0</v>
      </c>
      <c r="E13" s="52">
        <f>'Testing Costs'!$B$16</f>
        <v>16000</v>
      </c>
      <c r="F13" s="52">
        <v>0</v>
      </c>
      <c r="G13" s="44">
        <v>1</v>
      </c>
      <c r="H13" s="44">
        <f t="shared" si="0"/>
        <v>12</v>
      </c>
      <c r="I13" s="91">
        <f>ROUND(SUM('Base Data'!$D$79:$D$81)/3,0)</f>
        <v>3</v>
      </c>
      <c r="J13" s="92">
        <f t="shared" si="1"/>
        <v>36</v>
      </c>
      <c r="K13" s="92">
        <f t="shared" si="2"/>
        <v>3.6</v>
      </c>
      <c r="L13" s="92">
        <f t="shared" si="3"/>
        <v>1.8</v>
      </c>
      <c r="M13" s="93"/>
      <c r="N13" s="52">
        <f>(J13*'Base Data'!$C$5)+(K13*'Base Data'!$C$6)+(L13*'Base Data'!$C$7)</f>
        <v>3915.9900000000002</v>
      </c>
      <c r="O13" s="52">
        <f t="shared" si="4"/>
        <v>48000</v>
      </c>
      <c r="P13" s="92">
        <v>0</v>
      </c>
      <c r="Q13" s="94" t="s">
        <v>387</v>
      </c>
      <c r="R13" s="147"/>
      <c r="S13" s="147"/>
      <c r="U13" s="30"/>
    </row>
    <row r="14" spans="1:21" s="6" customFormat="1" ht="9" customHeight="1">
      <c r="A14" s="143" t="s">
        <v>148</v>
      </c>
      <c r="B14" s="44">
        <v>12</v>
      </c>
      <c r="C14" s="44"/>
      <c r="D14" s="52">
        <v>0</v>
      </c>
      <c r="E14" s="52">
        <f>'Testing Costs'!$B$13</f>
        <v>5000</v>
      </c>
      <c r="F14" s="52">
        <v>0</v>
      </c>
      <c r="G14" s="44">
        <v>1</v>
      </c>
      <c r="H14" s="44">
        <f t="shared" si="0"/>
        <v>12</v>
      </c>
      <c r="I14" s="91">
        <f>'Fac-NewLrgLiquid-Yr1'!I9</f>
        <v>3</v>
      </c>
      <c r="J14" s="92">
        <f t="shared" si="1"/>
        <v>36</v>
      </c>
      <c r="K14" s="92">
        <f t="shared" si="2"/>
        <v>3.6</v>
      </c>
      <c r="L14" s="92">
        <f t="shared" si="3"/>
        <v>1.8</v>
      </c>
      <c r="M14" s="93"/>
      <c r="N14" s="52">
        <f>(J14*'Base Data'!$C$5)+(K14*'Base Data'!$C$6)+(L14*'Base Data'!$C$7)</f>
        <v>3915.9900000000002</v>
      </c>
      <c r="O14" s="52">
        <f t="shared" si="4"/>
        <v>15000</v>
      </c>
      <c r="P14" s="92">
        <v>0</v>
      </c>
      <c r="Q14" s="94" t="s">
        <v>260</v>
      </c>
      <c r="R14" s="147"/>
      <c r="S14" s="147"/>
      <c r="U14" s="30"/>
    </row>
    <row r="15" spans="1:21" s="6" customFormat="1" ht="9">
      <c r="A15" s="143" t="s">
        <v>149</v>
      </c>
      <c r="B15" s="44">
        <v>12</v>
      </c>
      <c r="C15" s="44"/>
      <c r="D15" s="52">
        <v>0</v>
      </c>
      <c r="E15" s="52">
        <f>'Testing Costs'!$B$17</f>
        <v>8000</v>
      </c>
      <c r="F15" s="52">
        <v>0</v>
      </c>
      <c r="G15" s="44">
        <v>1</v>
      </c>
      <c r="H15" s="44">
        <f t="shared" si="0"/>
        <v>12</v>
      </c>
      <c r="I15" s="91">
        <f>'Fac-NewLrgLiquid-Yr1'!I10</f>
        <v>0</v>
      </c>
      <c r="J15" s="92">
        <f t="shared" si="1"/>
        <v>0</v>
      </c>
      <c r="K15" s="92">
        <f t="shared" si="2"/>
        <v>0</v>
      </c>
      <c r="L15" s="92">
        <f t="shared" si="3"/>
        <v>0</v>
      </c>
      <c r="M15" s="93"/>
      <c r="N15" s="52">
        <f>(J15*'Base Data'!$C$5)+(K15*'Base Data'!$C$6)+(L15*'Base Data'!$C$7)</f>
        <v>0</v>
      </c>
      <c r="O15" s="52">
        <f t="shared" si="4"/>
        <v>0</v>
      </c>
      <c r="P15" s="92">
        <v>0</v>
      </c>
      <c r="Q15" s="94" t="s">
        <v>260</v>
      </c>
      <c r="R15" s="147"/>
      <c r="S15" s="147"/>
      <c r="U15" s="30"/>
    </row>
    <row r="16" spans="1:21" s="6" customFormat="1" ht="9">
      <c r="A16" s="143" t="s">
        <v>150</v>
      </c>
      <c r="B16" s="44">
        <v>12</v>
      </c>
      <c r="C16" s="44"/>
      <c r="D16" s="52">
        <v>0</v>
      </c>
      <c r="E16" s="52">
        <f>'Testing Costs'!$B$15</f>
        <v>8000</v>
      </c>
      <c r="F16" s="52">
        <v>0</v>
      </c>
      <c r="G16" s="44">
        <v>1</v>
      </c>
      <c r="H16" s="44">
        <f t="shared" si="0"/>
        <v>12</v>
      </c>
      <c r="I16" s="91">
        <f>'Fac-NewLrgLiquid-Yr1'!I11</f>
        <v>0</v>
      </c>
      <c r="J16" s="92">
        <f t="shared" si="1"/>
        <v>0</v>
      </c>
      <c r="K16" s="92">
        <f t="shared" si="2"/>
        <v>0</v>
      </c>
      <c r="L16" s="92">
        <f t="shared" si="3"/>
        <v>0</v>
      </c>
      <c r="M16" s="93"/>
      <c r="N16" s="52">
        <f>(J16*'Base Data'!$C$5)+(K16*'Base Data'!$C$6)+(L16*'Base Data'!$C$7)</f>
        <v>0</v>
      </c>
      <c r="O16" s="52">
        <f t="shared" si="4"/>
        <v>0</v>
      </c>
      <c r="P16" s="92">
        <v>0</v>
      </c>
      <c r="Q16" s="94" t="s">
        <v>260</v>
      </c>
      <c r="R16" s="147"/>
      <c r="S16" s="147"/>
      <c r="U16" s="30"/>
    </row>
    <row r="17" spans="1:21" s="6" customFormat="1" ht="9">
      <c r="A17" s="143" t="s">
        <v>151</v>
      </c>
      <c r="B17" s="44">
        <v>12</v>
      </c>
      <c r="C17" s="44"/>
      <c r="D17" s="52">
        <v>0</v>
      </c>
      <c r="E17" s="52">
        <f>'Testing Costs'!$B$14</f>
        <v>7000</v>
      </c>
      <c r="F17" s="52">
        <v>0</v>
      </c>
      <c r="G17" s="44">
        <v>1</v>
      </c>
      <c r="H17" s="44">
        <f t="shared" si="0"/>
        <v>12</v>
      </c>
      <c r="I17" s="91">
        <f>'Fac-NewLrgLiquid-Yr1'!I12</f>
        <v>4</v>
      </c>
      <c r="J17" s="92">
        <f t="shared" si="1"/>
        <v>48</v>
      </c>
      <c r="K17" s="92">
        <f t="shared" si="2"/>
        <v>4.8000000000000007</v>
      </c>
      <c r="L17" s="92">
        <f t="shared" si="3"/>
        <v>2.4000000000000004</v>
      </c>
      <c r="M17" s="93"/>
      <c r="N17" s="52">
        <f>(J17*'Base Data'!$C$5)+(K17*'Base Data'!$C$6)+(L17*'Base Data'!$C$7)</f>
        <v>5221.3200000000006</v>
      </c>
      <c r="O17" s="52">
        <f t="shared" si="4"/>
        <v>28000</v>
      </c>
      <c r="P17" s="92">
        <v>0</v>
      </c>
      <c r="Q17" s="94" t="s">
        <v>260</v>
      </c>
      <c r="R17" s="147"/>
      <c r="S17" s="147"/>
      <c r="U17" s="30"/>
    </row>
    <row r="18" spans="1:21" s="6" customFormat="1" ht="9">
      <c r="A18" s="143" t="s">
        <v>152</v>
      </c>
      <c r="B18" s="44">
        <v>12</v>
      </c>
      <c r="C18" s="44"/>
      <c r="D18" s="52">
        <v>0</v>
      </c>
      <c r="E18" s="52">
        <f>'Testing Costs'!$B$16</f>
        <v>16000</v>
      </c>
      <c r="F18" s="52">
        <v>0</v>
      </c>
      <c r="G18" s="44">
        <v>1</v>
      </c>
      <c r="H18" s="44">
        <f t="shared" si="0"/>
        <v>12</v>
      </c>
      <c r="I18" s="91">
        <f>'Fac-NewLrgLiquid-Yr1'!I13</f>
        <v>4</v>
      </c>
      <c r="J18" s="92">
        <f t="shared" si="1"/>
        <v>48</v>
      </c>
      <c r="K18" s="92">
        <f t="shared" si="2"/>
        <v>4.8000000000000007</v>
      </c>
      <c r="L18" s="92">
        <f t="shared" si="3"/>
        <v>2.4000000000000004</v>
      </c>
      <c r="M18" s="93"/>
      <c r="N18" s="52">
        <f>(J18*'Base Data'!$C$5)+(K18*'Base Data'!$C$6)+(L18*'Base Data'!$C$7)</f>
        <v>5221.3200000000006</v>
      </c>
      <c r="O18" s="52">
        <f t="shared" si="4"/>
        <v>64000</v>
      </c>
      <c r="P18" s="92">
        <v>0</v>
      </c>
      <c r="Q18" s="94" t="s">
        <v>260</v>
      </c>
      <c r="R18" s="147"/>
      <c r="S18" s="147"/>
      <c r="U18" s="30"/>
    </row>
    <row r="19" spans="1:21" s="6" customFormat="1" ht="18">
      <c r="A19" s="332" t="s">
        <v>482</v>
      </c>
      <c r="B19" s="44">
        <v>24</v>
      </c>
      <c r="C19" s="331"/>
      <c r="D19" s="52">
        <v>0</v>
      </c>
      <c r="E19" s="52">
        <f>$E$10+$E$11</f>
        <v>16000</v>
      </c>
      <c r="F19" s="52">
        <v>0</v>
      </c>
      <c r="G19" s="44">
        <v>1</v>
      </c>
      <c r="H19" s="44">
        <f t="shared" si="0"/>
        <v>24</v>
      </c>
      <c r="I19" s="91">
        <v>0</v>
      </c>
      <c r="J19" s="92">
        <f t="shared" si="1"/>
        <v>0</v>
      </c>
      <c r="K19" s="92">
        <f t="shared" si="2"/>
        <v>0</v>
      </c>
      <c r="L19" s="92">
        <f t="shared" si="3"/>
        <v>0</v>
      </c>
      <c r="M19" s="93"/>
      <c r="N19" s="52">
        <f>(J19*'Base Data'!$C$5)+(K19*'Base Data'!$C$6)+(L19*'Base Data'!$C$7)</f>
        <v>0</v>
      </c>
      <c r="O19" s="52">
        <f t="shared" si="4"/>
        <v>0</v>
      </c>
      <c r="P19" s="92">
        <v>0</v>
      </c>
      <c r="Q19" s="94" t="s">
        <v>182</v>
      </c>
    </row>
    <row r="20" spans="1:21" s="6" customFormat="1" ht="9" customHeight="1">
      <c r="A20" s="143" t="s">
        <v>268</v>
      </c>
      <c r="B20" s="44">
        <v>5</v>
      </c>
      <c r="C20" s="44"/>
      <c r="D20" s="52">
        <v>0</v>
      </c>
      <c r="E20" s="52">
        <v>400</v>
      </c>
      <c r="F20" s="52">
        <v>0</v>
      </c>
      <c r="G20" s="44">
        <v>1</v>
      </c>
      <c r="H20" s="44">
        <f t="shared" si="0"/>
        <v>5</v>
      </c>
      <c r="I20" s="91">
        <f>ROUND(SUM('Base Data'!$D$79:$D$81)/3,0)</f>
        <v>3</v>
      </c>
      <c r="J20" s="92">
        <f t="shared" si="1"/>
        <v>15</v>
      </c>
      <c r="K20" s="92">
        <f t="shared" si="2"/>
        <v>1.5</v>
      </c>
      <c r="L20" s="92">
        <f t="shared" si="3"/>
        <v>0.75</v>
      </c>
      <c r="M20" s="93"/>
      <c r="N20" s="52">
        <f>(J20*'Base Data'!$C$5)+(K20*'Base Data'!$C$6)+(L20*'Base Data'!$C$7)</f>
        <v>1631.6625000000001</v>
      </c>
      <c r="O20" s="52">
        <f t="shared" si="4"/>
        <v>1200</v>
      </c>
      <c r="P20" s="92">
        <v>0</v>
      </c>
      <c r="Q20" s="94" t="s">
        <v>261</v>
      </c>
      <c r="R20" s="147"/>
      <c r="S20" s="147"/>
      <c r="U20" s="30"/>
    </row>
    <row r="21" spans="1:21" s="6" customFormat="1" ht="9" customHeight="1">
      <c r="A21" s="143" t="s">
        <v>269</v>
      </c>
      <c r="B21" s="44">
        <v>5</v>
      </c>
      <c r="C21" s="44"/>
      <c r="D21" s="52">
        <v>0</v>
      </c>
      <c r="E21" s="52">
        <v>400</v>
      </c>
      <c r="F21" s="52">
        <v>0</v>
      </c>
      <c r="G21" s="44">
        <v>12</v>
      </c>
      <c r="H21" s="44">
        <f t="shared" si="0"/>
        <v>60</v>
      </c>
      <c r="I21" s="91">
        <f>'Fac-NewLrgLiquid-Yr1'!I20</f>
        <v>4</v>
      </c>
      <c r="J21" s="92">
        <f t="shared" si="1"/>
        <v>240</v>
      </c>
      <c r="K21" s="92">
        <f t="shared" si="2"/>
        <v>24</v>
      </c>
      <c r="L21" s="92">
        <f t="shared" si="3"/>
        <v>12</v>
      </c>
      <c r="M21" s="93"/>
      <c r="N21" s="52">
        <f>(J21*'Base Data'!$C$5)+(K21*'Base Data'!$C$6)+(L21*'Base Data'!$C$7)</f>
        <v>26106.600000000002</v>
      </c>
      <c r="O21" s="52">
        <f t="shared" si="4"/>
        <v>19200</v>
      </c>
      <c r="P21" s="92">
        <v>0</v>
      </c>
      <c r="Q21" s="94" t="s">
        <v>261</v>
      </c>
      <c r="R21" s="147"/>
      <c r="S21" s="147"/>
      <c r="U21" s="30"/>
    </row>
    <row r="22" spans="1:21" s="6" customFormat="1" ht="9">
      <c r="A22" s="143" t="s">
        <v>270</v>
      </c>
      <c r="B22" s="44"/>
      <c r="C22" s="44"/>
      <c r="D22" s="52"/>
      <c r="E22" s="52"/>
      <c r="F22" s="52"/>
      <c r="G22" s="44"/>
      <c r="H22" s="44"/>
      <c r="I22" s="92"/>
      <c r="J22" s="92"/>
      <c r="K22" s="92"/>
      <c r="L22" s="92"/>
      <c r="M22" s="93"/>
      <c r="N22" s="52"/>
      <c r="O22" s="52"/>
      <c r="P22" s="92"/>
      <c r="Q22" s="94"/>
      <c r="R22" s="147"/>
      <c r="S22" s="147"/>
      <c r="U22" s="30"/>
    </row>
    <row r="23" spans="1:21" s="6" customFormat="1" ht="9">
      <c r="A23" s="143" t="s">
        <v>432</v>
      </c>
      <c r="B23" s="44">
        <v>40</v>
      </c>
      <c r="C23" s="44"/>
      <c r="D23" s="52">
        <v>0</v>
      </c>
      <c r="E23" s="52"/>
      <c r="F23" s="52">
        <v>0</v>
      </c>
      <c r="G23" s="44">
        <v>1</v>
      </c>
      <c r="H23" s="44">
        <f>B23*G23</f>
        <v>40</v>
      </c>
      <c r="I23" s="91">
        <f>ROUND(SUM('Base Data'!$H$79:$H$81)/3,0)</f>
        <v>1</v>
      </c>
      <c r="J23" s="92">
        <f>H23*I23</f>
        <v>40</v>
      </c>
      <c r="K23" s="92">
        <f>J23*0.1</f>
        <v>4</v>
      </c>
      <c r="L23" s="92">
        <f>J23*0.05</f>
        <v>2</v>
      </c>
      <c r="M23" s="93"/>
      <c r="N23" s="52">
        <f>(J23*'Base Data'!$C$5)+(K23*'Base Data'!$C$6)+(L23*'Base Data'!$C$7)</f>
        <v>4351.0999999999995</v>
      </c>
      <c r="O23" s="52">
        <f>(D23+E23+F23)*G23*I23</f>
        <v>0</v>
      </c>
      <c r="P23" s="92">
        <v>0</v>
      </c>
      <c r="Q23" s="94" t="s">
        <v>387</v>
      </c>
      <c r="R23" s="147"/>
      <c r="S23" s="147"/>
      <c r="U23" s="30"/>
    </row>
    <row r="24" spans="1:21" s="6" customFormat="1" ht="9">
      <c r="A24" s="142" t="s">
        <v>410</v>
      </c>
      <c r="B24" s="44"/>
      <c r="C24" s="44"/>
      <c r="D24" s="52"/>
      <c r="E24" s="52"/>
      <c r="F24" s="52"/>
      <c r="G24" s="44"/>
      <c r="H24" s="44"/>
      <c r="I24" s="92"/>
      <c r="J24" s="92"/>
      <c r="K24" s="92"/>
      <c r="L24" s="92"/>
      <c r="M24" s="93"/>
      <c r="N24" s="52"/>
      <c r="O24" s="52"/>
      <c r="P24" s="92">
        <v>0</v>
      </c>
      <c r="Q24" s="94"/>
      <c r="R24" s="147"/>
      <c r="S24" s="147"/>
      <c r="U24" s="30"/>
    </row>
    <row r="25" spans="1:21" s="6" customFormat="1" ht="9">
      <c r="A25" s="142" t="s">
        <v>411</v>
      </c>
      <c r="B25" s="44">
        <v>10</v>
      </c>
      <c r="C25" s="44"/>
      <c r="D25" s="52">
        <v>0</v>
      </c>
      <c r="E25" s="52">
        <v>0</v>
      </c>
      <c r="F25" s="52">
        <v>43100</v>
      </c>
      <c r="G25" s="44">
        <v>1</v>
      </c>
      <c r="H25" s="44">
        <f>B25*G25</f>
        <v>10</v>
      </c>
      <c r="I25" s="91">
        <f>SUM(Monitors!$C$23/3,0)</f>
        <v>0</v>
      </c>
      <c r="J25" s="92">
        <f>H25*I25</f>
        <v>0</v>
      </c>
      <c r="K25" s="92">
        <f>J25*0.1</f>
        <v>0</v>
      </c>
      <c r="L25" s="92">
        <f>J25*0.05</f>
        <v>0</v>
      </c>
      <c r="M25" s="93"/>
      <c r="N25" s="52">
        <f>(J25*'Base Data'!$C$5)+(K25*'Base Data'!$C$6)+(L25*'Base Data'!$C$7)</f>
        <v>0</v>
      </c>
      <c r="O25" s="52">
        <f>(D25+E25+F25)*G25*I25</f>
        <v>0</v>
      </c>
      <c r="P25" s="92">
        <v>0</v>
      </c>
      <c r="Q25" s="94" t="s">
        <v>387</v>
      </c>
      <c r="R25" s="147"/>
      <c r="S25" s="147"/>
      <c r="U25" s="30"/>
    </row>
    <row r="26" spans="1:21" s="6" customFormat="1" ht="9">
      <c r="A26" s="142" t="s">
        <v>414</v>
      </c>
      <c r="B26" s="44">
        <v>10</v>
      </c>
      <c r="C26" s="44"/>
      <c r="D26" s="52">
        <v>0</v>
      </c>
      <c r="E26" s="52">
        <v>0</v>
      </c>
      <c r="F26" s="52">
        <v>14700</v>
      </c>
      <c r="G26" s="44">
        <v>1</v>
      </c>
      <c r="H26" s="44">
        <f>B26*G26</f>
        <v>10</v>
      </c>
      <c r="I26" s="91">
        <f>SUM(Monitors!$C$23/3,0)+'Fac-NewLrgLiquid-Yr1'!I26</f>
        <v>0</v>
      </c>
      <c r="J26" s="92">
        <f>H26*I26</f>
        <v>0</v>
      </c>
      <c r="K26" s="92">
        <f>J26*0.1</f>
        <v>0</v>
      </c>
      <c r="L26" s="92">
        <f>J26*0.05</f>
        <v>0</v>
      </c>
      <c r="M26" s="93"/>
      <c r="N26" s="52">
        <f>(J26*'Base Data'!$C$5)+(K26*'Base Data'!$C$6)+(L26*'Base Data'!$C$7)</f>
        <v>0</v>
      </c>
      <c r="O26" s="52">
        <f>(D26+E26+F26)*G26*I26</f>
        <v>0</v>
      </c>
      <c r="P26" s="92">
        <v>0</v>
      </c>
      <c r="Q26" s="94" t="s">
        <v>387</v>
      </c>
      <c r="R26" s="147"/>
      <c r="S26" s="147"/>
      <c r="U26" s="30"/>
    </row>
    <row r="27" spans="1:21" s="6" customFormat="1" ht="9">
      <c r="A27" s="142" t="s">
        <v>356</v>
      </c>
      <c r="B27" s="44"/>
      <c r="C27" s="44"/>
      <c r="D27" s="52"/>
      <c r="E27" s="52"/>
      <c r="F27" s="52"/>
      <c r="G27" s="44"/>
      <c r="H27" s="44"/>
      <c r="I27" s="92"/>
      <c r="J27" s="92"/>
      <c r="K27" s="92"/>
      <c r="L27" s="92"/>
      <c r="M27" s="93"/>
      <c r="N27" s="52"/>
      <c r="O27" s="52"/>
      <c r="P27" s="92"/>
      <c r="Q27" s="94"/>
      <c r="R27" s="147"/>
      <c r="S27" s="147"/>
      <c r="U27" s="30"/>
    </row>
    <row r="28" spans="1:21" s="6" customFormat="1" ht="9">
      <c r="A28" s="142" t="s">
        <v>411</v>
      </c>
      <c r="B28" s="44">
        <v>10</v>
      </c>
      <c r="C28" s="44"/>
      <c r="D28" s="52">
        <v>0</v>
      </c>
      <c r="E28" s="52">
        <v>0</v>
      </c>
      <c r="F28" s="52">
        <v>158000</v>
      </c>
      <c r="G28" s="44">
        <v>1</v>
      </c>
      <c r="H28" s="44">
        <f>B28*G28</f>
        <v>10</v>
      </c>
      <c r="I28" s="91">
        <v>0</v>
      </c>
      <c r="J28" s="92">
        <f>H28*I28</f>
        <v>0</v>
      </c>
      <c r="K28" s="92">
        <f>J28*0.1</f>
        <v>0</v>
      </c>
      <c r="L28" s="92">
        <f>J28*0.05</f>
        <v>0</v>
      </c>
      <c r="M28" s="93"/>
      <c r="N28" s="52">
        <f>(J28*'Base Data'!$C$5)+(K28*'Base Data'!$C$6)+(L28*'Base Data'!$C$7)</f>
        <v>0</v>
      </c>
      <c r="O28" s="52">
        <f>(D28+E28+F28)*G28*I28</f>
        <v>0</v>
      </c>
      <c r="P28" s="92">
        <v>0</v>
      </c>
      <c r="Q28" s="94" t="s">
        <v>263</v>
      </c>
      <c r="R28" s="147"/>
      <c r="S28" s="147"/>
      <c r="U28" s="30"/>
    </row>
    <row r="29" spans="1:21" s="6" customFormat="1" ht="9">
      <c r="A29" s="142" t="s">
        <v>414</v>
      </c>
      <c r="B29" s="44">
        <v>10</v>
      </c>
      <c r="C29" s="44"/>
      <c r="D29" s="52">
        <v>0</v>
      </c>
      <c r="E29" s="52">
        <v>0</v>
      </c>
      <c r="F29" s="52">
        <v>56100</v>
      </c>
      <c r="G29" s="44">
        <v>1</v>
      </c>
      <c r="H29" s="44">
        <f>B29*G29</f>
        <v>10</v>
      </c>
      <c r="I29" s="91">
        <f>'Fac-NewLrgLiquid-Yr1'!I28</f>
        <v>1</v>
      </c>
      <c r="J29" s="92">
        <f>H29*I29</f>
        <v>10</v>
      </c>
      <c r="K29" s="92">
        <f>J29*0.1</f>
        <v>1</v>
      </c>
      <c r="L29" s="92">
        <f>J29*0.05</f>
        <v>0.5</v>
      </c>
      <c r="M29" s="93"/>
      <c r="N29" s="52">
        <f>(J29*'Base Data'!$C$5)+(K29*'Base Data'!$C$6)+(L29*'Base Data'!$C$7)</f>
        <v>1087.7749999999999</v>
      </c>
      <c r="O29" s="52">
        <f>(D29+E29+F29)*G29*I29</f>
        <v>56100</v>
      </c>
      <c r="P29" s="92">
        <v>0</v>
      </c>
      <c r="Q29" s="94" t="s">
        <v>263</v>
      </c>
      <c r="R29" s="147"/>
      <c r="S29" s="147"/>
      <c r="U29" s="30"/>
    </row>
    <row r="30" spans="1:21" s="6" customFormat="1" ht="9">
      <c r="A30" s="142" t="s">
        <v>522</v>
      </c>
      <c r="B30" s="44"/>
      <c r="C30" s="44"/>
      <c r="D30" s="52"/>
      <c r="E30" s="52"/>
      <c r="F30" s="52"/>
      <c r="G30" s="44"/>
      <c r="H30" s="44"/>
      <c r="I30" s="91"/>
      <c r="J30" s="92"/>
      <c r="K30" s="92"/>
      <c r="L30" s="92"/>
      <c r="M30" s="93"/>
      <c r="N30" s="52"/>
      <c r="O30" s="52"/>
      <c r="P30" s="92"/>
      <c r="Q30" s="94"/>
    </row>
    <row r="31" spans="1:21" s="6" customFormat="1" ht="9">
      <c r="A31" s="142" t="s">
        <v>411</v>
      </c>
      <c r="B31" s="44">
        <v>10</v>
      </c>
      <c r="C31" s="44"/>
      <c r="D31" s="52">
        <v>0</v>
      </c>
      <c r="E31" s="52">
        <v>0</v>
      </c>
      <c r="F31" s="52">
        <f>Monitors!$F$32</f>
        <v>8523</v>
      </c>
      <c r="G31" s="44">
        <v>1</v>
      </c>
      <c r="H31" s="44">
        <f t="shared" ref="H31:H32" si="5">B31*G31</f>
        <v>10</v>
      </c>
      <c r="I31" s="91">
        <f>ROUND(Monitors!$F$23/3,0)</f>
        <v>3</v>
      </c>
      <c r="J31" s="92">
        <f t="shared" ref="J31:J32" si="6">H31*I31</f>
        <v>30</v>
      </c>
      <c r="K31" s="92">
        <f t="shared" ref="K31:K32" si="7">J31*0.1</f>
        <v>3</v>
      </c>
      <c r="L31" s="92">
        <f t="shared" ref="L31:L32" si="8">J31*0.05</f>
        <v>1.5</v>
      </c>
      <c r="M31" s="93"/>
      <c r="N31" s="52">
        <f>(J31*'Base Data'!$C$5)+(K31*'Base Data'!$C$6)+(L31*'Base Data'!$C$7)</f>
        <v>3263.3250000000003</v>
      </c>
      <c r="O31" s="52">
        <f>(D31+E31+F31)*G31*I31</f>
        <v>25569</v>
      </c>
      <c r="P31" s="92">
        <v>0</v>
      </c>
      <c r="Q31" s="94" t="s">
        <v>387</v>
      </c>
    </row>
    <row r="32" spans="1:21" s="6" customFormat="1" ht="9">
      <c r="A32" s="142" t="s">
        <v>414</v>
      </c>
      <c r="B32" s="44">
        <v>10</v>
      </c>
      <c r="C32" s="44"/>
      <c r="D32" s="52">
        <v>0</v>
      </c>
      <c r="E32" s="52">
        <v>0</v>
      </c>
      <c r="F32" s="52">
        <f>Monitors!$G$32</f>
        <v>1436</v>
      </c>
      <c r="G32" s="44">
        <v>1</v>
      </c>
      <c r="H32" s="44">
        <f t="shared" si="5"/>
        <v>10</v>
      </c>
      <c r="I32" s="91">
        <f>ROUND(Monitors!$F$23/3,0)+'Fac-NewLrgLiquid-Yr1'!I32</f>
        <v>7</v>
      </c>
      <c r="J32" s="92">
        <f t="shared" si="6"/>
        <v>70</v>
      </c>
      <c r="K32" s="92">
        <f t="shared" si="7"/>
        <v>7</v>
      </c>
      <c r="L32" s="92">
        <f t="shared" si="8"/>
        <v>3.5</v>
      </c>
      <c r="M32" s="93"/>
      <c r="N32" s="52">
        <f>(J32*'Base Data'!$C$5)+(K32*'Base Data'!$C$6)+(L32*'Base Data'!$C$7)</f>
        <v>7614.4250000000002</v>
      </c>
      <c r="O32" s="52">
        <f>(D32+E32+F32)*G32*I32</f>
        <v>10052</v>
      </c>
      <c r="P32" s="92">
        <v>0</v>
      </c>
      <c r="Q32" s="94" t="s">
        <v>387</v>
      </c>
    </row>
    <row r="33" spans="1:21" s="6" customFormat="1" ht="18">
      <c r="A33" s="143" t="s">
        <v>173</v>
      </c>
      <c r="B33" s="44"/>
      <c r="C33" s="44"/>
      <c r="D33" s="52"/>
      <c r="E33" s="52"/>
      <c r="F33" s="95"/>
      <c r="G33" s="44"/>
      <c r="H33" s="44"/>
      <c r="I33" s="96"/>
      <c r="J33" s="92"/>
      <c r="K33" s="92"/>
      <c r="L33" s="92"/>
      <c r="M33" s="93"/>
      <c r="N33" s="52"/>
      <c r="O33" s="52"/>
      <c r="P33" s="92"/>
      <c r="Q33" s="94"/>
      <c r="R33" s="147"/>
      <c r="S33" s="147"/>
      <c r="U33" s="30"/>
    </row>
    <row r="34" spans="1:21" s="6" customFormat="1" ht="9">
      <c r="A34" s="142" t="s">
        <v>411</v>
      </c>
      <c r="B34" s="44">
        <v>10</v>
      </c>
      <c r="C34" s="44"/>
      <c r="D34" s="52">
        <v>0</v>
      </c>
      <c r="E34" s="52">
        <v>0</v>
      </c>
      <c r="F34" s="52">
        <v>24300</v>
      </c>
      <c r="G34" s="44">
        <v>1</v>
      </c>
      <c r="H34" s="44">
        <f>B34*G34</f>
        <v>10</v>
      </c>
      <c r="I34" s="91">
        <f>ROUND(Monitors!$D$23/3,0)</f>
        <v>3</v>
      </c>
      <c r="J34" s="92">
        <f>H34*I34</f>
        <v>30</v>
      </c>
      <c r="K34" s="92">
        <f>J34*0.1</f>
        <v>3</v>
      </c>
      <c r="L34" s="92">
        <f>J34*0.05</f>
        <v>1.5</v>
      </c>
      <c r="M34" s="93"/>
      <c r="N34" s="52">
        <f>(J34*'Base Data'!$C$5)+(K34*'Base Data'!$C$6)+(L34*'Base Data'!$C$7)</f>
        <v>3263.3250000000003</v>
      </c>
      <c r="O34" s="52">
        <f>(D34+E34+F34)*G34*I34</f>
        <v>72900</v>
      </c>
      <c r="P34" s="92">
        <v>0</v>
      </c>
      <c r="Q34" s="94" t="s">
        <v>387</v>
      </c>
      <c r="R34" s="147"/>
      <c r="S34" s="147"/>
      <c r="U34" s="30"/>
    </row>
    <row r="35" spans="1:21" s="6" customFormat="1" ht="9">
      <c r="A35" s="142" t="s">
        <v>414</v>
      </c>
      <c r="B35" s="44">
        <v>10</v>
      </c>
      <c r="C35" s="44"/>
      <c r="D35" s="52">
        <v>0</v>
      </c>
      <c r="E35" s="52">
        <v>0</v>
      </c>
      <c r="F35" s="52">
        <v>5600</v>
      </c>
      <c r="G35" s="44">
        <v>1</v>
      </c>
      <c r="H35" s="44">
        <f>B35*G35</f>
        <v>10</v>
      </c>
      <c r="I35" s="91">
        <f>ROUND(Monitors!$D$23/3,0)+'Fac-NewLrgLiquid-Yr1'!I35</f>
        <v>7</v>
      </c>
      <c r="J35" s="92">
        <f>H35*I35</f>
        <v>70</v>
      </c>
      <c r="K35" s="92">
        <f>J35*0.1</f>
        <v>7</v>
      </c>
      <c r="L35" s="92">
        <f>J35*0.05</f>
        <v>3.5</v>
      </c>
      <c r="M35" s="93"/>
      <c r="N35" s="52">
        <f>(J35*'Base Data'!$C$5)+(K35*'Base Data'!$C$6)+(L35*'Base Data'!$C$7)</f>
        <v>7614.4250000000002</v>
      </c>
      <c r="O35" s="52">
        <f>(D35+E35+F35)*G35*I35</f>
        <v>39200</v>
      </c>
      <c r="P35" s="92">
        <v>0</v>
      </c>
      <c r="Q35" s="94" t="s">
        <v>387</v>
      </c>
      <c r="R35" s="147"/>
      <c r="S35" s="147"/>
      <c r="U35" s="30"/>
    </row>
    <row r="36" spans="1:21" s="6" customFormat="1" ht="18">
      <c r="A36" s="143" t="s">
        <v>475</v>
      </c>
      <c r="B36" s="44"/>
      <c r="C36" s="44"/>
      <c r="D36" s="52"/>
      <c r="E36" s="52"/>
      <c r="F36" s="52"/>
      <c r="G36" s="44"/>
      <c r="H36" s="44"/>
      <c r="I36" s="96"/>
      <c r="J36" s="92"/>
      <c r="K36" s="92"/>
      <c r="L36" s="92"/>
      <c r="M36" s="93"/>
      <c r="N36" s="52"/>
      <c r="O36" s="238"/>
      <c r="P36" s="92"/>
      <c r="Q36" s="94"/>
      <c r="R36" s="147"/>
      <c r="S36" s="147"/>
      <c r="U36" s="30"/>
    </row>
    <row r="37" spans="1:21" s="6" customFormat="1" ht="9">
      <c r="A37" s="142" t="s">
        <v>411</v>
      </c>
      <c r="B37" s="44">
        <v>10</v>
      </c>
      <c r="C37" s="44"/>
      <c r="D37" s="52">
        <v>0</v>
      </c>
      <c r="E37" s="52">
        <v>0</v>
      </c>
      <c r="F37" s="52">
        <f>25500</f>
        <v>25500</v>
      </c>
      <c r="G37" s="44">
        <v>1</v>
      </c>
      <c r="H37" s="44">
        <f>B37*G37</f>
        <v>10</v>
      </c>
      <c r="I37" s="91">
        <f>ROUND(Monitors!$B$23/3,0)</f>
        <v>1</v>
      </c>
      <c r="J37" s="92">
        <f>H37*I37</f>
        <v>10</v>
      </c>
      <c r="K37" s="92">
        <f>J37*0.1</f>
        <v>1</v>
      </c>
      <c r="L37" s="92">
        <f>J37*0.05</f>
        <v>0.5</v>
      </c>
      <c r="M37" s="93"/>
      <c r="N37" s="52">
        <f>(J37*'Base Data'!$C$5)+(K37*'Base Data'!$C$6)+(L37*'Base Data'!$C$7)</f>
        <v>1087.7749999999999</v>
      </c>
      <c r="O37" s="52">
        <f>(D37+E37+F37)*G37*I37</f>
        <v>25500</v>
      </c>
      <c r="P37" s="92">
        <v>0</v>
      </c>
      <c r="Q37" s="94" t="s">
        <v>387</v>
      </c>
      <c r="R37" s="147"/>
      <c r="S37" s="147"/>
      <c r="U37" s="30"/>
    </row>
    <row r="38" spans="1:21" s="6" customFormat="1" ht="9">
      <c r="A38" s="142" t="s">
        <v>414</v>
      </c>
      <c r="B38" s="44">
        <v>10</v>
      </c>
      <c r="C38" s="44"/>
      <c r="D38" s="52">
        <v>0</v>
      </c>
      <c r="E38" s="52">
        <v>0</v>
      </c>
      <c r="F38" s="52">
        <v>9700</v>
      </c>
      <c r="G38" s="44">
        <v>1</v>
      </c>
      <c r="H38" s="44">
        <f>B38*G38</f>
        <v>10</v>
      </c>
      <c r="I38" s="91">
        <f>ROUND(Monitors!$B$23/3,0)+'Fac-NewLrgLiquid-Yr1'!I38</f>
        <v>3</v>
      </c>
      <c r="J38" s="92">
        <f>H38*I38</f>
        <v>30</v>
      </c>
      <c r="K38" s="92">
        <f>J38*0.1</f>
        <v>3</v>
      </c>
      <c r="L38" s="92">
        <f>J38*0.05</f>
        <v>1.5</v>
      </c>
      <c r="M38" s="93"/>
      <c r="N38" s="52">
        <f>(J38*'Base Data'!$C$5)+(K38*'Base Data'!$C$6)+(L38*'Base Data'!$C$7)</f>
        <v>3263.3250000000003</v>
      </c>
      <c r="O38" s="52">
        <f>(D38+E38+F38)*G38*I38</f>
        <v>29100</v>
      </c>
      <c r="P38" s="92">
        <v>0</v>
      </c>
      <c r="Q38" s="94" t="s">
        <v>387</v>
      </c>
      <c r="R38" s="147"/>
      <c r="S38" s="147"/>
      <c r="U38" s="30"/>
    </row>
    <row r="39" spans="1:21" s="6" customFormat="1" ht="18">
      <c r="A39" s="143" t="s">
        <v>174</v>
      </c>
      <c r="B39" s="44"/>
      <c r="C39" s="44"/>
      <c r="D39" s="52"/>
      <c r="E39" s="52"/>
      <c r="F39" s="52"/>
      <c r="G39" s="44"/>
      <c r="H39" s="44"/>
      <c r="I39" s="96"/>
      <c r="J39" s="92"/>
      <c r="K39" s="92"/>
      <c r="L39" s="92"/>
      <c r="M39" s="93"/>
      <c r="N39" s="52"/>
      <c r="O39" s="52"/>
      <c r="P39" s="92"/>
      <c r="Q39" s="94"/>
      <c r="R39" s="147"/>
      <c r="S39" s="147"/>
      <c r="U39" s="30"/>
    </row>
    <row r="40" spans="1:21" s="6" customFormat="1" ht="9">
      <c r="A40" s="142" t="s">
        <v>411</v>
      </c>
      <c r="B40" s="44">
        <v>10</v>
      </c>
      <c r="C40" s="44"/>
      <c r="D40" s="52">
        <v>0</v>
      </c>
      <c r="E40" s="52">
        <v>0</v>
      </c>
      <c r="F40" s="52">
        <v>115000</v>
      </c>
      <c r="G40" s="44">
        <v>1</v>
      </c>
      <c r="H40" s="44">
        <f>B40*G40</f>
        <v>10</v>
      </c>
      <c r="I40" s="91">
        <f>ROUND(Monitors!$E$23/3,0)</f>
        <v>3</v>
      </c>
      <c r="J40" s="92">
        <f>H40*I40</f>
        <v>30</v>
      </c>
      <c r="K40" s="92">
        <f>J40*0.1</f>
        <v>3</v>
      </c>
      <c r="L40" s="92">
        <f>J40*0.05</f>
        <v>1.5</v>
      </c>
      <c r="M40" s="93"/>
      <c r="N40" s="52">
        <f>(J40*'Base Data'!$C$5)+(K40*'Base Data'!$C$6)+(L40*'Base Data'!$C$7)</f>
        <v>3263.3250000000003</v>
      </c>
      <c r="O40" s="52">
        <f>(D40+E40+F40)*G40*I40</f>
        <v>345000</v>
      </c>
      <c r="P40" s="92">
        <v>0</v>
      </c>
      <c r="Q40" s="94" t="s">
        <v>387</v>
      </c>
      <c r="R40" s="147"/>
      <c r="S40" s="147"/>
      <c r="U40" s="30"/>
    </row>
    <row r="41" spans="1:21" s="6" customFormat="1" ht="9">
      <c r="A41" s="142" t="s">
        <v>414</v>
      </c>
      <c r="B41" s="44">
        <v>10</v>
      </c>
      <c r="C41" s="44"/>
      <c r="D41" s="52">
        <v>0</v>
      </c>
      <c r="E41" s="52">
        <v>0</v>
      </c>
      <c r="F41" s="52">
        <v>9700</v>
      </c>
      <c r="G41" s="44">
        <v>1</v>
      </c>
      <c r="H41" s="44">
        <f>B41*G41</f>
        <v>10</v>
      </c>
      <c r="I41" s="91">
        <f>ROUND(Monitors!$E$23/3,0)+'Fac-NewLrgLiquid-Yr1'!I41</f>
        <v>6</v>
      </c>
      <c r="J41" s="92">
        <f>H41*I41</f>
        <v>60</v>
      </c>
      <c r="K41" s="92">
        <f>J41*0.1</f>
        <v>6</v>
      </c>
      <c r="L41" s="92">
        <f>J41*0.05</f>
        <v>3</v>
      </c>
      <c r="M41" s="93"/>
      <c r="N41" s="52">
        <f>(J41*'Base Data'!$C$5)+(K41*'Base Data'!$C$6)+(L41*'Base Data'!$C$7)</f>
        <v>6526.6500000000005</v>
      </c>
      <c r="O41" s="52">
        <f>(D41+E41+F41)*G41*I41</f>
        <v>58200</v>
      </c>
      <c r="P41" s="92">
        <v>0</v>
      </c>
      <c r="Q41" s="94" t="s">
        <v>387</v>
      </c>
      <c r="R41" s="147"/>
      <c r="S41" s="147"/>
      <c r="U41" s="30"/>
    </row>
    <row r="42" spans="1:21" s="6" customFormat="1" ht="9">
      <c r="A42" s="142" t="s">
        <v>415</v>
      </c>
      <c r="B42" s="44" t="s">
        <v>433</v>
      </c>
      <c r="C42" s="44"/>
      <c r="D42" s="52"/>
      <c r="E42" s="52"/>
      <c r="F42" s="52"/>
      <c r="G42" s="44"/>
      <c r="H42" s="44"/>
      <c r="I42" s="92"/>
      <c r="J42" s="92"/>
      <c r="K42" s="92"/>
      <c r="L42" s="92"/>
      <c r="M42" s="44"/>
      <c r="N42" s="52"/>
      <c r="O42" s="52"/>
      <c r="P42" s="92"/>
      <c r="Q42" s="94"/>
      <c r="R42" s="147"/>
      <c r="S42" s="147"/>
      <c r="U42" s="30"/>
    </row>
    <row r="43" spans="1:21" s="6" customFormat="1" ht="9">
      <c r="A43" s="142" t="s">
        <v>416</v>
      </c>
      <c r="B43" s="44" t="s">
        <v>433</v>
      </c>
      <c r="C43" s="44"/>
      <c r="D43" s="52"/>
      <c r="E43" s="52"/>
      <c r="F43" s="52"/>
      <c r="G43" s="44"/>
      <c r="H43" s="44"/>
      <c r="I43" s="92"/>
      <c r="J43" s="92"/>
      <c r="K43" s="92"/>
      <c r="L43" s="92"/>
      <c r="M43" s="44"/>
      <c r="N43" s="52"/>
      <c r="O43" s="52"/>
      <c r="P43" s="92"/>
      <c r="Q43" s="94"/>
      <c r="R43" s="147"/>
      <c r="S43" s="147"/>
    </row>
    <row r="44" spans="1:21" s="6" customFormat="1" ht="9">
      <c r="A44" s="142" t="s">
        <v>417</v>
      </c>
      <c r="B44" s="44"/>
      <c r="C44" s="44"/>
      <c r="D44" s="52"/>
      <c r="E44" s="52"/>
      <c r="F44" s="52"/>
      <c r="G44" s="44"/>
      <c r="H44" s="44"/>
      <c r="I44" s="92"/>
      <c r="J44" s="92"/>
      <c r="K44" s="92"/>
      <c r="L44" s="92"/>
      <c r="M44" s="44"/>
      <c r="N44" s="52"/>
      <c r="O44" s="52"/>
      <c r="P44" s="92"/>
      <c r="Q44" s="94"/>
      <c r="R44" s="147"/>
      <c r="S44" s="147"/>
    </row>
    <row r="45" spans="1:21" s="6" customFormat="1" ht="9">
      <c r="A45" s="177" t="s">
        <v>435</v>
      </c>
      <c r="B45" s="44">
        <v>2</v>
      </c>
      <c r="C45" s="44"/>
      <c r="D45" s="52">
        <v>0</v>
      </c>
      <c r="E45" s="52">
        <v>0</v>
      </c>
      <c r="F45" s="52">
        <v>0</v>
      </c>
      <c r="G45" s="44">
        <v>1</v>
      </c>
      <c r="H45" s="44">
        <f>B45*G45</f>
        <v>2</v>
      </c>
      <c r="I45" s="91">
        <f>$I$7</f>
        <v>1</v>
      </c>
      <c r="J45" s="92">
        <f>H45*I45</f>
        <v>2</v>
      </c>
      <c r="K45" s="92">
        <f>J45*0.1</f>
        <v>0.2</v>
      </c>
      <c r="L45" s="92">
        <f>J45*0.05</f>
        <v>0.1</v>
      </c>
      <c r="M45" s="44">
        <f>C45*G45*I45</f>
        <v>0</v>
      </c>
      <c r="N45" s="52">
        <f>(J45*'Base Data'!$C$5)+(K45*'Base Data'!$C$6)+(L45*'Base Data'!$C$7)</f>
        <v>217.55500000000001</v>
      </c>
      <c r="O45" s="52">
        <f>(D45+E45+F45)*G45*I45</f>
        <v>0</v>
      </c>
      <c r="P45" s="92">
        <f>G45*I45</f>
        <v>1</v>
      </c>
      <c r="Q45" s="94" t="s">
        <v>387</v>
      </c>
      <c r="R45" s="147"/>
      <c r="S45" s="147"/>
    </row>
    <row r="46" spans="1:21" s="6" customFormat="1" ht="9" customHeight="1">
      <c r="A46" s="177" t="s">
        <v>377</v>
      </c>
      <c r="B46" s="44">
        <v>8</v>
      </c>
      <c r="C46" s="44"/>
      <c r="D46" s="52">
        <v>0</v>
      </c>
      <c r="E46" s="52">
        <v>0</v>
      </c>
      <c r="F46" s="52">
        <v>0</v>
      </c>
      <c r="G46" s="44">
        <v>1</v>
      </c>
      <c r="H46" s="44">
        <f>B46*G46</f>
        <v>8</v>
      </c>
      <c r="I46" s="91">
        <f>$I$7</f>
        <v>1</v>
      </c>
      <c r="J46" s="92">
        <f>H46*I46</f>
        <v>8</v>
      </c>
      <c r="K46" s="92">
        <f>J46*0.1</f>
        <v>0.8</v>
      </c>
      <c r="L46" s="92">
        <f>J46*0.05</f>
        <v>0.4</v>
      </c>
      <c r="M46" s="44">
        <f>C46*G46*I46</f>
        <v>0</v>
      </c>
      <c r="N46" s="52">
        <f>(J46*'Base Data'!$C$5)+(K46*'Base Data'!$C$6)+(L46*'Base Data'!$C$7)</f>
        <v>870.22</v>
      </c>
      <c r="O46" s="52">
        <f>(D46+E46+F46)*G46*I46</f>
        <v>0</v>
      </c>
      <c r="P46" s="92">
        <f>G46*I46</f>
        <v>1</v>
      </c>
      <c r="Q46" s="94" t="s">
        <v>387</v>
      </c>
      <c r="R46" s="147"/>
      <c r="S46" s="147"/>
    </row>
    <row r="47" spans="1:21" s="6" customFormat="1" ht="9">
      <c r="A47" s="144" t="s">
        <v>492</v>
      </c>
      <c r="B47" s="44">
        <v>20</v>
      </c>
      <c r="C47" s="44">
        <v>0</v>
      </c>
      <c r="D47" s="52">
        <v>0</v>
      </c>
      <c r="E47" s="52">
        <v>0</v>
      </c>
      <c r="F47" s="52">
        <v>0</v>
      </c>
      <c r="G47" s="44">
        <v>2</v>
      </c>
      <c r="H47" s="44">
        <f>B47*G47</f>
        <v>40</v>
      </c>
      <c r="I47" s="91">
        <f>$I$7+'Fac-NewLrgLiquid-Yr1'!I47</f>
        <v>3</v>
      </c>
      <c r="J47" s="92">
        <f>H47*I47</f>
        <v>120</v>
      </c>
      <c r="K47" s="92">
        <f>J47*0.1</f>
        <v>12</v>
      </c>
      <c r="L47" s="92">
        <f>J47*0.05</f>
        <v>6</v>
      </c>
      <c r="M47" s="92">
        <f>C47*G47*I47</f>
        <v>0</v>
      </c>
      <c r="N47" s="52">
        <f>(J47*'Base Data'!$C$5)+(K47*'Base Data'!$C$6)+(L47*'Base Data'!$C$7)</f>
        <v>13053.300000000001</v>
      </c>
      <c r="O47" s="52">
        <f>(D47+E47+F47)*G47*I47</f>
        <v>0</v>
      </c>
      <c r="P47" s="92">
        <f>G47*I47</f>
        <v>6</v>
      </c>
      <c r="Q47" s="94" t="s">
        <v>387</v>
      </c>
      <c r="R47" s="184"/>
      <c r="S47" s="147"/>
    </row>
    <row r="48" spans="1:21" s="6" customFormat="1" ht="9">
      <c r="A48" s="145" t="s">
        <v>7</v>
      </c>
      <c r="B48" s="44"/>
      <c r="C48" s="44"/>
      <c r="D48" s="52"/>
      <c r="E48" s="52"/>
      <c r="F48" s="52"/>
      <c r="G48" s="44"/>
      <c r="H48" s="44"/>
      <c r="I48" s="91"/>
      <c r="J48" s="92">
        <f t="shared" ref="J48:O48" si="9">SUM(J4:J47)</f>
        <v>1045</v>
      </c>
      <c r="K48" s="92">
        <f t="shared" si="9"/>
        <v>104.5</v>
      </c>
      <c r="L48" s="92">
        <f t="shared" si="9"/>
        <v>52.25</v>
      </c>
      <c r="M48" s="92">
        <f t="shared" si="9"/>
        <v>0</v>
      </c>
      <c r="N48" s="52">
        <f t="shared" si="9"/>
        <v>113672.48749999999</v>
      </c>
      <c r="O48" s="52">
        <f t="shared" si="9"/>
        <v>873021</v>
      </c>
      <c r="P48" s="92">
        <f>SUM(P45:P47)</f>
        <v>8</v>
      </c>
      <c r="Q48" s="94"/>
      <c r="R48" s="335">
        <f>SUM(O7,O9:O21,O26,O29,O32,O35,O38,O41)</f>
        <v>404052</v>
      </c>
      <c r="S48" s="336">
        <f>SUM(O25,O28,O31,O34,O37,O40)</f>
        <v>468969</v>
      </c>
    </row>
    <row r="49" spans="1:19" s="6" customFormat="1" ht="9">
      <c r="A49" s="142" t="s">
        <v>431</v>
      </c>
      <c r="B49" s="44"/>
      <c r="C49" s="44"/>
      <c r="D49" s="52"/>
      <c r="E49" s="52"/>
      <c r="F49" s="52"/>
      <c r="G49" s="44"/>
      <c r="H49" s="44"/>
      <c r="I49" s="92"/>
      <c r="J49" s="92"/>
      <c r="K49" s="92"/>
      <c r="L49" s="92"/>
      <c r="M49" s="44"/>
      <c r="N49" s="52"/>
      <c r="O49" s="52"/>
      <c r="P49" s="92"/>
      <c r="Q49" s="94"/>
      <c r="R49" s="147"/>
      <c r="S49" s="147"/>
    </row>
    <row r="50" spans="1:19" s="6" customFormat="1" ht="9">
      <c r="A50" s="142" t="s">
        <v>418</v>
      </c>
      <c r="B50" s="44" t="s">
        <v>422</v>
      </c>
      <c r="C50" s="44"/>
      <c r="D50" s="52"/>
      <c r="E50" s="52"/>
      <c r="F50" s="52"/>
      <c r="G50" s="44"/>
      <c r="H50" s="44"/>
      <c r="I50" s="92"/>
      <c r="J50" s="92"/>
      <c r="K50" s="92"/>
      <c r="L50" s="92"/>
      <c r="M50" s="44"/>
      <c r="N50" s="52"/>
      <c r="O50" s="52"/>
      <c r="P50" s="92"/>
      <c r="Q50" s="94"/>
      <c r="R50" s="147"/>
      <c r="S50" s="147"/>
    </row>
    <row r="51" spans="1:19" s="6" customFormat="1" ht="9">
      <c r="A51" s="142" t="s">
        <v>419</v>
      </c>
      <c r="B51" s="44" t="s">
        <v>433</v>
      </c>
      <c r="C51" s="44"/>
      <c r="D51" s="52"/>
      <c r="E51" s="52"/>
      <c r="F51" s="52"/>
      <c r="G51" s="44"/>
      <c r="H51" s="44"/>
      <c r="I51" s="92"/>
      <c r="J51" s="92"/>
      <c r="K51" s="92"/>
      <c r="L51" s="92"/>
      <c r="M51" s="44"/>
      <c r="N51" s="52"/>
      <c r="O51" s="52"/>
      <c r="P51" s="92"/>
      <c r="Q51" s="94"/>
      <c r="R51" s="147"/>
      <c r="S51" s="147"/>
    </row>
    <row r="52" spans="1:19" s="6" customFormat="1" ht="9">
      <c r="A52" s="142" t="s">
        <v>420</v>
      </c>
      <c r="B52" s="44" t="s">
        <v>433</v>
      </c>
      <c r="C52" s="44"/>
      <c r="D52" s="52"/>
      <c r="E52" s="52"/>
      <c r="F52" s="52"/>
      <c r="G52" s="44"/>
      <c r="H52" s="44"/>
      <c r="I52" s="92"/>
      <c r="J52" s="92"/>
      <c r="K52" s="92"/>
      <c r="L52" s="92"/>
      <c r="M52" s="44"/>
      <c r="N52" s="52"/>
      <c r="O52" s="52"/>
      <c r="P52" s="92"/>
      <c r="Q52" s="94" t="s">
        <v>389</v>
      </c>
      <c r="R52" s="147"/>
      <c r="S52" s="147"/>
    </row>
    <row r="53" spans="1:19" s="6" customFormat="1" ht="9">
      <c r="A53" s="142" t="s">
        <v>421</v>
      </c>
      <c r="B53" s="44"/>
      <c r="C53" s="44"/>
      <c r="D53" s="52"/>
      <c r="E53" s="52"/>
      <c r="F53" s="52"/>
      <c r="G53" s="44"/>
      <c r="H53" s="44"/>
      <c r="I53" s="92"/>
      <c r="J53" s="92"/>
      <c r="K53" s="92"/>
      <c r="L53" s="92"/>
      <c r="M53" s="44"/>
      <c r="N53" s="52"/>
      <c r="O53" s="52"/>
      <c r="P53" s="92"/>
      <c r="Q53" s="94"/>
      <c r="R53" s="147"/>
      <c r="S53" s="147"/>
    </row>
    <row r="54" spans="1:19" s="6" customFormat="1" ht="9.75" customHeight="1">
      <c r="A54" s="142" t="s">
        <v>429</v>
      </c>
      <c r="B54" s="44">
        <v>20</v>
      </c>
      <c r="C54" s="44"/>
      <c r="D54" s="52">
        <v>0</v>
      </c>
      <c r="E54" s="52">
        <v>0</v>
      </c>
      <c r="F54" s="52">
        <v>0</v>
      </c>
      <c r="G54" s="44">
        <v>1</v>
      </c>
      <c r="H54" s="44">
        <f t="shared" ref="H54:H60" si="10">B54*G54</f>
        <v>20</v>
      </c>
      <c r="I54" s="91">
        <f>$I$13+'Fac-NewLrgLiquid-Yr1'!I54</f>
        <v>7</v>
      </c>
      <c r="J54" s="92">
        <f t="shared" ref="J54:J60" si="11">H54*I54</f>
        <v>140</v>
      </c>
      <c r="K54" s="92">
        <f t="shared" ref="K54:K60" si="12">J54*0.1</f>
        <v>14</v>
      </c>
      <c r="L54" s="92">
        <f t="shared" ref="L54:L60" si="13">J54*0.05</f>
        <v>7</v>
      </c>
      <c r="M54" s="44"/>
      <c r="N54" s="52">
        <f>(J54*'Base Data'!$C$5)+(K54*'Base Data'!$C$6)+(L54*'Base Data'!$C$7)</f>
        <v>15228.85</v>
      </c>
      <c r="O54" s="52">
        <f t="shared" ref="O54:O60" si="14">(D54+E54+F54)*G54*I54</f>
        <v>0</v>
      </c>
      <c r="P54" s="92">
        <v>0</v>
      </c>
      <c r="Q54" s="94" t="s">
        <v>387</v>
      </c>
      <c r="R54" s="147"/>
      <c r="S54" s="147"/>
    </row>
    <row r="55" spans="1:19" s="6" customFormat="1" ht="9">
      <c r="A55" s="143" t="s">
        <v>425</v>
      </c>
      <c r="B55" s="44">
        <v>15</v>
      </c>
      <c r="C55" s="44">
        <v>0</v>
      </c>
      <c r="D55" s="52">
        <v>0</v>
      </c>
      <c r="E55" s="52">
        <v>0</v>
      </c>
      <c r="F55" s="52">
        <v>0</v>
      </c>
      <c r="G55" s="44">
        <v>1</v>
      </c>
      <c r="H55" s="44">
        <f t="shared" si="10"/>
        <v>15</v>
      </c>
      <c r="I55" s="91">
        <f>$I$13+'Fac-NewLrgLiquid-Yr1'!I55</f>
        <v>7</v>
      </c>
      <c r="J55" s="92">
        <f t="shared" si="11"/>
        <v>105</v>
      </c>
      <c r="K55" s="92">
        <f t="shared" si="12"/>
        <v>10.5</v>
      </c>
      <c r="L55" s="92">
        <f t="shared" si="13"/>
        <v>5.25</v>
      </c>
      <c r="M55" s="44">
        <f>C55*G55*I55</f>
        <v>0</v>
      </c>
      <c r="N55" s="52">
        <f>(J55*'Base Data'!$C$5)+(K55*'Base Data'!$C$6)+(L55*'Base Data'!$C$7)</f>
        <v>11421.637500000001</v>
      </c>
      <c r="O55" s="52">
        <f t="shared" si="14"/>
        <v>0</v>
      </c>
      <c r="P55" s="92">
        <v>0</v>
      </c>
      <c r="Q55" s="94" t="s">
        <v>387</v>
      </c>
      <c r="R55" s="147"/>
      <c r="S55" s="147"/>
    </row>
    <row r="56" spans="1:19" s="6" customFormat="1" ht="9.75" customHeight="1">
      <c r="A56" s="142" t="s">
        <v>426</v>
      </c>
      <c r="B56" s="44">
        <v>2</v>
      </c>
      <c r="C56" s="44"/>
      <c r="D56" s="52">
        <v>0</v>
      </c>
      <c r="E56" s="52">
        <v>0</v>
      </c>
      <c r="F56" s="52">
        <v>0</v>
      </c>
      <c r="G56" s="44">
        <v>1</v>
      </c>
      <c r="H56" s="44">
        <f t="shared" si="10"/>
        <v>2</v>
      </c>
      <c r="I56" s="91">
        <f>$I$13+'Fac-NewLrgLiquid-Yr1'!I56</f>
        <v>7</v>
      </c>
      <c r="J56" s="92">
        <f t="shared" si="11"/>
        <v>14</v>
      </c>
      <c r="K56" s="92">
        <f t="shared" si="12"/>
        <v>1.4000000000000001</v>
      </c>
      <c r="L56" s="92">
        <f t="shared" si="13"/>
        <v>0.70000000000000007</v>
      </c>
      <c r="M56" s="44"/>
      <c r="N56" s="52">
        <f>(J56*'Base Data'!$C$5)+(K56*'Base Data'!$C$6)+(L56*'Base Data'!$C$7)</f>
        <v>1522.885</v>
      </c>
      <c r="O56" s="52">
        <f t="shared" si="14"/>
        <v>0</v>
      </c>
      <c r="P56" s="92">
        <v>0</v>
      </c>
      <c r="Q56" s="94" t="s">
        <v>387</v>
      </c>
      <c r="R56" s="147"/>
      <c r="S56" s="147"/>
    </row>
    <row r="57" spans="1:19" s="6" customFormat="1" ht="9">
      <c r="A57" s="143" t="s">
        <v>436</v>
      </c>
      <c r="B57" s="44">
        <v>2</v>
      </c>
      <c r="C57" s="44"/>
      <c r="D57" s="52">
        <v>0</v>
      </c>
      <c r="E57" s="52">
        <v>0</v>
      </c>
      <c r="F57" s="52">
        <v>0</v>
      </c>
      <c r="G57" s="44">
        <v>1</v>
      </c>
      <c r="H57" s="44">
        <f t="shared" si="10"/>
        <v>2</v>
      </c>
      <c r="I57" s="91">
        <f>$I$13+'Fac-NewLrgLiquid-Yr1'!I57</f>
        <v>7</v>
      </c>
      <c r="J57" s="92">
        <f t="shared" si="11"/>
        <v>14</v>
      </c>
      <c r="K57" s="92">
        <f t="shared" si="12"/>
        <v>1.4000000000000001</v>
      </c>
      <c r="L57" s="92">
        <f t="shared" si="13"/>
        <v>0.70000000000000007</v>
      </c>
      <c r="M57" s="44"/>
      <c r="N57" s="52">
        <f>(J57*'Base Data'!$C$5)+(K57*'Base Data'!$C$6)+(L57*'Base Data'!$C$7)</f>
        <v>1522.885</v>
      </c>
      <c r="O57" s="52">
        <f t="shared" si="14"/>
        <v>0</v>
      </c>
      <c r="P57" s="92">
        <v>0</v>
      </c>
      <c r="Q57" s="94" t="s">
        <v>387</v>
      </c>
      <c r="R57" s="147"/>
      <c r="S57" s="147"/>
    </row>
    <row r="58" spans="1:19" s="6" customFormat="1" ht="9">
      <c r="A58" s="143" t="s">
        <v>437</v>
      </c>
      <c r="B58" s="44">
        <v>2</v>
      </c>
      <c r="C58" s="44">
        <v>0</v>
      </c>
      <c r="D58" s="52">
        <v>0</v>
      </c>
      <c r="E58" s="52">
        <v>0</v>
      </c>
      <c r="F58" s="52">
        <v>0</v>
      </c>
      <c r="G58" s="44">
        <v>2</v>
      </c>
      <c r="H58" s="44">
        <f t="shared" si="10"/>
        <v>4</v>
      </c>
      <c r="I58" s="91">
        <f>$I$13+'Fac-NewLrgLiquid-Yr1'!I58</f>
        <v>7</v>
      </c>
      <c r="J58" s="92">
        <f t="shared" si="11"/>
        <v>28</v>
      </c>
      <c r="K58" s="92">
        <f t="shared" si="12"/>
        <v>2.8000000000000003</v>
      </c>
      <c r="L58" s="92">
        <f t="shared" si="13"/>
        <v>1.4000000000000001</v>
      </c>
      <c r="M58" s="44">
        <f>C58*G58*I58</f>
        <v>0</v>
      </c>
      <c r="N58" s="52">
        <f>(J58*'Base Data'!$C$5)+(K58*'Base Data'!$C$6)+(L58*'Base Data'!$C$7)</f>
        <v>3045.77</v>
      </c>
      <c r="O58" s="52">
        <f t="shared" si="14"/>
        <v>0</v>
      </c>
      <c r="P58" s="92">
        <v>0</v>
      </c>
      <c r="Q58" s="94" t="s">
        <v>387</v>
      </c>
      <c r="R58" s="147"/>
      <c r="S58" s="147"/>
    </row>
    <row r="59" spans="1:19" s="6" customFormat="1" ht="9">
      <c r="A59" s="143" t="s">
        <v>438</v>
      </c>
      <c r="B59" s="44">
        <v>0.5</v>
      </c>
      <c r="C59" s="44"/>
      <c r="D59" s="52">
        <v>0</v>
      </c>
      <c r="E59" s="52">
        <v>0</v>
      </c>
      <c r="F59" s="52">
        <v>0</v>
      </c>
      <c r="G59" s="44">
        <v>12</v>
      </c>
      <c r="H59" s="44">
        <f t="shared" si="10"/>
        <v>6</v>
      </c>
      <c r="I59" s="91">
        <f>$I$13+'Fac-NewLrgLiquid-Yr1'!I59</f>
        <v>7</v>
      </c>
      <c r="J59" s="92">
        <f t="shared" si="11"/>
        <v>42</v>
      </c>
      <c r="K59" s="92">
        <f t="shared" si="12"/>
        <v>4.2</v>
      </c>
      <c r="L59" s="92">
        <f t="shared" si="13"/>
        <v>2.1</v>
      </c>
      <c r="M59" s="44"/>
      <c r="N59" s="52">
        <f>(J59*'Base Data'!$C$5)+(K59*'Base Data'!$C$6)+(L59*'Base Data'!$C$7)</f>
        <v>4568.6550000000007</v>
      </c>
      <c r="O59" s="52">
        <f t="shared" si="14"/>
        <v>0</v>
      </c>
      <c r="P59" s="92">
        <v>0</v>
      </c>
      <c r="Q59" s="94" t="s">
        <v>261</v>
      </c>
      <c r="R59" s="147"/>
      <c r="S59" s="147"/>
    </row>
    <row r="60" spans="1:19" s="6" customFormat="1" ht="9">
      <c r="A60" s="142" t="s">
        <v>427</v>
      </c>
      <c r="B60" s="44">
        <v>40</v>
      </c>
      <c r="C60" s="44"/>
      <c r="D60" s="52">
        <v>0</v>
      </c>
      <c r="E60" s="52">
        <v>0</v>
      </c>
      <c r="F60" s="52">
        <v>0</v>
      </c>
      <c r="G60" s="44">
        <v>1</v>
      </c>
      <c r="H60" s="44">
        <f t="shared" si="10"/>
        <v>40</v>
      </c>
      <c r="I60" s="91">
        <f>$I$7</f>
        <v>1</v>
      </c>
      <c r="J60" s="92">
        <f t="shared" si="11"/>
        <v>40</v>
      </c>
      <c r="K60" s="92">
        <f t="shared" si="12"/>
        <v>4</v>
      </c>
      <c r="L60" s="92">
        <f t="shared" si="13"/>
        <v>2</v>
      </c>
      <c r="M60" s="44"/>
      <c r="N60" s="52">
        <f>(J60*'Base Data'!$C$5)+(K60*'Base Data'!$C$6)+(L60*'Base Data'!$C$7)</f>
        <v>4351.0999999999995</v>
      </c>
      <c r="O60" s="52">
        <f t="shared" si="14"/>
        <v>0</v>
      </c>
      <c r="P60" s="92">
        <v>0</v>
      </c>
      <c r="Q60" s="94" t="s">
        <v>84</v>
      </c>
    </row>
    <row r="61" spans="1:19" s="6" customFormat="1" ht="9">
      <c r="A61" s="142" t="s">
        <v>428</v>
      </c>
      <c r="B61" s="44" t="s">
        <v>433</v>
      </c>
      <c r="C61" s="44"/>
      <c r="D61" s="52"/>
      <c r="E61" s="52"/>
      <c r="F61" s="52"/>
      <c r="G61" s="44"/>
      <c r="H61" s="44"/>
      <c r="I61" s="92"/>
      <c r="J61" s="92"/>
      <c r="K61" s="92"/>
      <c r="L61" s="92"/>
      <c r="M61" s="44"/>
      <c r="N61" s="52"/>
      <c r="O61" s="52"/>
      <c r="P61" s="92"/>
      <c r="Q61" s="94"/>
      <c r="R61" s="147"/>
      <c r="S61" s="147"/>
    </row>
    <row r="62" spans="1:19" s="6" customFormat="1" ht="9">
      <c r="A62" s="254" t="s">
        <v>27</v>
      </c>
      <c r="B62" s="239"/>
      <c r="C62" s="239"/>
      <c r="D62" s="240"/>
      <c r="E62" s="240"/>
      <c r="F62" s="240"/>
      <c r="G62" s="239"/>
      <c r="H62" s="239"/>
      <c r="I62" s="241"/>
      <c r="J62" s="241">
        <f t="shared" ref="J62:P62" si="15">SUM(J50:J61)</f>
        <v>383</v>
      </c>
      <c r="K62" s="241">
        <f t="shared" si="15"/>
        <v>38.299999999999997</v>
      </c>
      <c r="L62" s="241">
        <f t="shared" si="15"/>
        <v>19.149999999999999</v>
      </c>
      <c r="M62" s="240">
        <f t="shared" si="15"/>
        <v>0</v>
      </c>
      <c r="N62" s="240">
        <f t="shared" si="15"/>
        <v>41661.782500000001</v>
      </c>
      <c r="O62" s="240">
        <f t="shared" si="15"/>
        <v>0</v>
      </c>
      <c r="P62" s="92">
        <f t="shared" si="15"/>
        <v>0</v>
      </c>
      <c r="Q62" s="242"/>
      <c r="R62" s="39">
        <f>SUM(R50:R61)</f>
        <v>0</v>
      </c>
    </row>
    <row r="63" spans="1:19" s="2" customFormat="1">
      <c r="A63" s="186" t="s">
        <v>400</v>
      </c>
      <c r="B63" s="187"/>
      <c r="C63" s="187"/>
      <c r="D63" s="187"/>
      <c r="E63" s="187"/>
      <c r="F63" s="188"/>
      <c r="G63" s="187"/>
      <c r="H63" s="187"/>
      <c r="I63" s="189"/>
      <c r="J63" s="190">
        <f t="shared" ref="J63:P63" si="16">J48+J62</f>
        <v>1428</v>
      </c>
      <c r="K63" s="190">
        <f t="shared" si="16"/>
        <v>142.80000000000001</v>
      </c>
      <c r="L63" s="190">
        <f t="shared" si="16"/>
        <v>71.400000000000006</v>
      </c>
      <c r="M63" s="191">
        <f t="shared" si="16"/>
        <v>0</v>
      </c>
      <c r="N63" s="191">
        <f t="shared" si="16"/>
        <v>155334.26999999999</v>
      </c>
      <c r="O63" s="191">
        <f t="shared" si="16"/>
        <v>873021</v>
      </c>
      <c r="P63" s="190">
        <f t="shared" si="16"/>
        <v>8</v>
      </c>
      <c r="Q63" s="192"/>
    </row>
    <row r="64" spans="1:19" ht="6" customHeight="1">
      <c r="A64" s="114"/>
      <c r="B64" s="54"/>
      <c r="C64" s="54"/>
      <c r="D64" s="54"/>
      <c r="E64" s="54"/>
      <c r="F64" s="54"/>
      <c r="G64" s="54"/>
      <c r="H64" s="54"/>
      <c r="I64" s="55"/>
      <c r="J64" s="54"/>
      <c r="K64" s="54"/>
      <c r="L64" s="54"/>
      <c r="M64" s="54"/>
      <c r="N64" s="54"/>
      <c r="O64" s="196"/>
      <c r="P64" s="196"/>
      <c r="Q64" s="54"/>
    </row>
    <row r="65" spans="1:18" s="14" customFormat="1" ht="19.5" customHeight="1">
      <c r="A65" s="412" t="s">
        <v>540</v>
      </c>
      <c r="B65" s="412"/>
      <c r="C65" s="412"/>
      <c r="D65" s="412"/>
      <c r="E65" s="412"/>
      <c r="F65" s="412"/>
      <c r="G65" s="412"/>
      <c r="H65" s="412"/>
      <c r="I65" s="412"/>
      <c r="J65" s="412"/>
      <c r="K65" s="412"/>
      <c r="L65" s="412"/>
      <c r="M65" s="412"/>
      <c r="N65" s="412"/>
      <c r="O65" s="412"/>
      <c r="P65" s="352"/>
      <c r="Q65" s="56"/>
    </row>
    <row r="66" spans="1:18" s="14" customFormat="1" ht="9" customHeight="1">
      <c r="A66" s="408" t="s">
        <v>153</v>
      </c>
      <c r="B66" s="408"/>
      <c r="C66" s="408"/>
      <c r="D66" s="408"/>
      <c r="E66" s="408"/>
      <c r="F66" s="408"/>
      <c r="G66" s="408"/>
      <c r="H66" s="408"/>
      <c r="I66" s="408"/>
      <c r="J66" s="408"/>
      <c r="K66" s="408"/>
      <c r="L66" s="408"/>
      <c r="M66" s="408"/>
      <c r="N66" s="408"/>
      <c r="O66" s="408"/>
      <c r="P66" s="15"/>
    </row>
    <row r="67" spans="1:18" s="14" customFormat="1" ht="9" customHeight="1">
      <c r="A67" s="408" t="s">
        <v>262</v>
      </c>
      <c r="B67" s="408"/>
      <c r="C67" s="408"/>
      <c r="D67" s="408"/>
      <c r="E67" s="408"/>
      <c r="F67" s="408"/>
      <c r="G67" s="408"/>
      <c r="H67" s="408"/>
      <c r="I67" s="408"/>
      <c r="J67" s="408"/>
      <c r="K67" s="408"/>
      <c r="L67" s="408"/>
      <c r="M67" s="408"/>
      <c r="N67" s="408"/>
      <c r="O67" s="408"/>
      <c r="P67" s="15"/>
    </row>
    <row r="68" spans="1:18" ht="20.25" customHeight="1">
      <c r="A68" s="408" t="s">
        <v>107</v>
      </c>
      <c r="B68" s="408"/>
      <c r="C68" s="408"/>
      <c r="D68" s="408"/>
      <c r="E68" s="408"/>
      <c r="F68" s="408"/>
      <c r="G68" s="408"/>
      <c r="H68" s="408"/>
      <c r="I68" s="408"/>
      <c r="J68" s="408"/>
      <c r="K68" s="408"/>
      <c r="L68" s="408"/>
      <c r="M68" s="408"/>
      <c r="N68" s="408"/>
      <c r="O68" s="408"/>
      <c r="P68" s="1"/>
      <c r="Q68" s="1"/>
      <c r="R68" s="14"/>
    </row>
    <row r="69" spans="1:18" s="14" customFormat="1" ht="9" customHeight="1">
      <c r="A69" s="14" t="s">
        <v>441</v>
      </c>
      <c r="B69" s="15"/>
      <c r="C69" s="15"/>
      <c r="D69" s="15"/>
      <c r="E69" s="15"/>
      <c r="F69" s="15"/>
      <c r="G69" s="15"/>
      <c r="H69" s="15"/>
      <c r="I69" s="16"/>
      <c r="J69" s="15"/>
      <c r="K69" s="15"/>
      <c r="L69" s="15"/>
      <c r="M69" s="15"/>
      <c r="N69" s="15"/>
      <c r="O69" s="17"/>
      <c r="P69" s="15"/>
    </row>
    <row r="70" spans="1:18" s="14" customFormat="1" ht="9">
      <c r="A70" s="14" t="s">
        <v>106</v>
      </c>
      <c r="B70" s="15"/>
      <c r="C70" s="15"/>
      <c r="D70" s="15"/>
      <c r="E70" s="15"/>
      <c r="F70" s="15"/>
      <c r="G70" s="15"/>
      <c r="H70" s="15"/>
      <c r="I70" s="16"/>
      <c r="J70" s="15"/>
      <c r="K70" s="15"/>
      <c r="L70" s="15"/>
      <c r="M70" s="15"/>
      <c r="N70" s="15"/>
      <c r="O70" s="17"/>
      <c r="P70" s="15"/>
    </row>
    <row r="71" spans="1:18" s="14" customFormat="1" ht="9">
      <c r="A71" s="14" t="s">
        <v>367</v>
      </c>
      <c r="B71" s="15"/>
      <c r="C71" s="15"/>
      <c r="D71" s="15"/>
      <c r="E71" s="15"/>
      <c r="F71" s="15"/>
      <c r="G71" s="15"/>
      <c r="H71" s="15"/>
      <c r="I71" s="16"/>
      <c r="J71" s="15"/>
      <c r="K71" s="15"/>
      <c r="L71" s="15"/>
      <c r="M71" s="15"/>
      <c r="N71" s="15"/>
      <c r="O71" s="17"/>
      <c r="P71" s="15"/>
    </row>
    <row r="72" spans="1:18" s="14" customFormat="1" ht="9">
      <c r="A72" s="14" t="s">
        <v>563</v>
      </c>
      <c r="O72" s="17"/>
      <c r="P72" s="15"/>
    </row>
    <row r="73" spans="1:18" s="14" customFormat="1" ht="9">
      <c r="A73" s="406" t="s">
        <v>371</v>
      </c>
      <c r="B73" s="406"/>
      <c r="C73" s="406"/>
      <c r="D73" s="406"/>
      <c r="E73" s="406"/>
      <c r="F73" s="406"/>
      <c r="G73" s="406"/>
      <c r="H73" s="406"/>
      <c r="I73" s="406"/>
      <c r="J73" s="406"/>
      <c r="K73" s="406"/>
      <c r="L73" s="406"/>
      <c r="M73" s="406"/>
      <c r="N73" s="406"/>
      <c r="O73" s="17"/>
      <c r="P73" s="17"/>
      <c r="Q73" s="15"/>
    </row>
    <row r="74" spans="1:18" s="14" customFormat="1" ht="9">
      <c r="A74" s="408" t="s">
        <v>564</v>
      </c>
      <c r="B74" s="408"/>
      <c r="C74" s="408"/>
      <c r="D74" s="408"/>
      <c r="E74" s="408"/>
      <c r="F74" s="408"/>
      <c r="G74" s="408"/>
      <c r="H74" s="408"/>
      <c r="I74" s="408"/>
      <c r="J74" s="408"/>
      <c r="K74" s="408"/>
      <c r="L74" s="408"/>
      <c r="M74" s="408"/>
      <c r="N74" s="15"/>
      <c r="O74" s="17"/>
      <c r="P74" s="17"/>
      <c r="Q74" s="15"/>
    </row>
    <row r="75" spans="1:18" s="14" customFormat="1" ht="9">
      <c r="B75" s="15"/>
      <c r="C75" s="15"/>
      <c r="D75" s="15"/>
      <c r="E75" s="15"/>
      <c r="F75" s="15"/>
      <c r="G75" s="15"/>
      <c r="H75" s="15"/>
      <c r="I75" s="16"/>
      <c r="J75" s="15"/>
      <c r="K75" s="15"/>
      <c r="L75" s="15"/>
      <c r="M75" s="15"/>
      <c r="N75" s="15"/>
      <c r="O75" s="17"/>
      <c r="P75" s="17"/>
      <c r="Q75" s="15"/>
    </row>
    <row r="76" spans="1:18" s="14" customFormat="1" ht="9">
      <c r="B76" s="15"/>
      <c r="C76" s="15"/>
      <c r="D76" s="15"/>
      <c r="E76" s="15"/>
      <c r="F76" s="15"/>
      <c r="G76" s="15"/>
      <c r="H76" s="15"/>
      <c r="I76" s="16"/>
      <c r="J76" s="15"/>
      <c r="K76" s="15"/>
      <c r="L76" s="15"/>
      <c r="M76" s="15"/>
      <c r="N76" s="15"/>
      <c r="O76" s="17"/>
      <c r="P76" s="17"/>
      <c r="Q76" s="15"/>
    </row>
    <row r="77" spans="1:18" s="14" customFormat="1" ht="9">
      <c r="B77" s="15"/>
      <c r="C77" s="15"/>
      <c r="D77" s="15"/>
      <c r="E77" s="15"/>
      <c r="F77" s="15"/>
      <c r="G77" s="15"/>
      <c r="H77" s="15"/>
      <c r="I77" s="16"/>
      <c r="J77" s="15"/>
      <c r="K77" s="15"/>
      <c r="L77" s="15"/>
      <c r="M77" s="15"/>
      <c r="N77" s="15"/>
      <c r="O77" s="17"/>
      <c r="P77" s="17"/>
      <c r="Q77" s="15"/>
    </row>
    <row r="78" spans="1:18" s="14" customFormat="1" ht="9">
      <c r="B78" s="15"/>
      <c r="C78" s="15"/>
      <c r="D78" s="15"/>
      <c r="E78" s="15"/>
      <c r="F78" s="15"/>
      <c r="G78" s="15"/>
      <c r="H78" s="15"/>
      <c r="I78" s="16"/>
      <c r="J78" s="15"/>
      <c r="K78" s="15"/>
      <c r="L78" s="15"/>
      <c r="M78" s="15"/>
      <c r="N78" s="15"/>
      <c r="O78" s="17"/>
      <c r="P78" s="17"/>
      <c r="Q78" s="15"/>
    </row>
    <row r="79" spans="1:18" s="14" customFormat="1" ht="9">
      <c r="B79" s="15"/>
      <c r="C79" s="15"/>
      <c r="D79" s="15"/>
      <c r="E79" s="15"/>
      <c r="F79" s="15"/>
      <c r="G79" s="15"/>
      <c r="H79" s="15"/>
      <c r="I79" s="16"/>
      <c r="J79" s="15"/>
      <c r="K79" s="15"/>
      <c r="L79" s="15"/>
      <c r="M79" s="15"/>
      <c r="N79" s="15"/>
      <c r="O79" s="17"/>
      <c r="P79" s="17"/>
      <c r="Q79" s="15"/>
    </row>
    <row r="80" spans="1:18" s="14" customFormat="1" ht="9">
      <c r="B80" s="15"/>
      <c r="C80" s="15"/>
      <c r="D80" s="15"/>
      <c r="E80" s="15"/>
      <c r="F80" s="15"/>
      <c r="G80" s="15"/>
      <c r="H80" s="15"/>
      <c r="I80" s="16"/>
      <c r="J80" s="15"/>
      <c r="K80" s="15"/>
      <c r="L80" s="15"/>
      <c r="M80" s="15"/>
      <c r="N80" s="15"/>
      <c r="O80" s="17"/>
      <c r="P80" s="17"/>
      <c r="Q80" s="15"/>
    </row>
    <row r="81" spans="2:17" s="14" customFormat="1" ht="9">
      <c r="B81" s="15"/>
      <c r="C81" s="15"/>
      <c r="D81" s="15"/>
      <c r="E81" s="15"/>
      <c r="F81" s="15"/>
      <c r="G81" s="15"/>
      <c r="H81" s="15"/>
      <c r="I81" s="16"/>
      <c r="J81" s="15"/>
      <c r="K81" s="15"/>
      <c r="L81" s="15"/>
      <c r="M81" s="15"/>
      <c r="N81" s="15"/>
      <c r="O81" s="17"/>
      <c r="P81" s="17"/>
      <c r="Q81" s="15"/>
    </row>
    <row r="82" spans="2:17" s="14" customFormat="1" ht="9">
      <c r="B82" s="15"/>
      <c r="C82" s="15"/>
      <c r="D82" s="15"/>
      <c r="E82" s="15"/>
      <c r="F82" s="15"/>
      <c r="G82" s="15"/>
      <c r="H82" s="15"/>
      <c r="I82" s="16"/>
      <c r="J82" s="15"/>
      <c r="K82" s="15"/>
      <c r="L82" s="15"/>
      <c r="M82" s="15"/>
      <c r="N82" s="15"/>
      <c r="O82" s="17"/>
      <c r="P82" s="17"/>
      <c r="Q82" s="15"/>
    </row>
    <row r="83" spans="2:17" s="14" customFormat="1" ht="9">
      <c r="B83" s="15"/>
      <c r="C83" s="15"/>
      <c r="D83" s="15"/>
      <c r="E83" s="15"/>
      <c r="F83" s="15"/>
      <c r="G83" s="15"/>
      <c r="H83" s="15"/>
      <c r="I83" s="16"/>
      <c r="J83" s="15"/>
      <c r="K83" s="15"/>
      <c r="L83" s="15"/>
      <c r="M83" s="15"/>
      <c r="N83" s="15"/>
      <c r="O83" s="17"/>
      <c r="P83" s="17"/>
      <c r="Q83" s="15"/>
    </row>
    <row r="84" spans="2:17" s="14" customFormat="1" ht="9">
      <c r="B84" s="15"/>
      <c r="C84" s="15"/>
      <c r="D84" s="15"/>
      <c r="E84" s="15"/>
      <c r="F84" s="15"/>
      <c r="G84" s="15"/>
      <c r="H84" s="15"/>
      <c r="I84" s="16"/>
      <c r="J84" s="15"/>
      <c r="K84" s="15"/>
      <c r="L84" s="15"/>
      <c r="M84" s="15"/>
      <c r="N84" s="15"/>
      <c r="O84" s="17"/>
      <c r="P84" s="17"/>
      <c r="Q84" s="15"/>
    </row>
    <row r="85" spans="2:17" s="14" customFormat="1" ht="9">
      <c r="B85" s="15"/>
      <c r="C85" s="15"/>
      <c r="D85" s="15"/>
      <c r="E85" s="15"/>
      <c r="F85" s="15"/>
      <c r="G85" s="15"/>
      <c r="H85" s="15"/>
      <c r="I85" s="16"/>
      <c r="J85" s="15"/>
      <c r="K85" s="15"/>
      <c r="L85" s="15"/>
      <c r="M85" s="15"/>
      <c r="N85" s="15"/>
      <c r="O85" s="17"/>
      <c r="P85" s="17"/>
      <c r="Q85" s="15"/>
    </row>
    <row r="86" spans="2:17" s="14" customFormat="1" ht="9">
      <c r="B86" s="15"/>
      <c r="C86" s="15"/>
      <c r="D86" s="15"/>
      <c r="E86" s="15"/>
      <c r="F86" s="15"/>
      <c r="G86" s="15"/>
      <c r="H86" s="15"/>
      <c r="I86" s="16"/>
      <c r="J86" s="15"/>
      <c r="K86" s="15"/>
      <c r="L86" s="15"/>
      <c r="M86" s="15"/>
      <c r="N86" s="15"/>
      <c r="O86" s="17"/>
      <c r="P86" s="17"/>
      <c r="Q86" s="15"/>
    </row>
    <row r="87" spans="2:17" s="14" customFormat="1" ht="9">
      <c r="B87" s="15"/>
      <c r="C87" s="15"/>
      <c r="D87" s="15"/>
      <c r="E87" s="15"/>
      <c r="F87" s="15"/>
      <c r="G87" s="15"/>
      <c r="H87" s="15"/>
      <c r="I87" s="16"/>
      <c r="J87" s="15"/>
      <c r="K87" s="15"/>
      <c r="L87" s="15"/>
      <c r="M87" s="15"/>
      <c r="N87" s="15"/>
      <c r="O87" s="17"/>
      <c r="P87" s="17"/>
      <c r="Q87" s="15"/>
    </row>
    <row r="88" spans="2:17" s="14" customFormat="1" ht="9">
      <c r="B88" s="15"/>
      <c r="C88" s="15"/>
      <c r="D88" s="15"/>
      <c r="E88" s="15"/>
      <c r="F88" s="15"/>
      <c r="G88" s="15"/>
      <c r="H88" s="15"/>
      <c r="I88" s="16"/>
      <c r="J88" s="15"/>
      <c r="K88" s="15"/>
      <c r="L88" s="15"/>
      <c r="M88" s="15"/>
      <c r="N88" s="15"/>
      <c r="O88" s="17"/>
      <c r="P88" s="17"/>
      <c r="Q88" s="15"/>
    </row>
    <row r="89" spans="2:17" s="14" customFormat="1" ht="9">
      <c r="B89" s="15"/>
      <c r="C89" s="15"/>
      <c r="D89" s="15"/>
      <c r="E89" s="15"/>
      <c r="F89" s="15"/>
      <c r="G89" s="15"/>
      <c r="H89" s="15"/>
      <c r="I89" s="16"/>
      <c r="J89" s="15"/>
      <c r="K89" s="15"/>
      <c r="L89" s="15"/>
      <c r="M89" s="15"/>
      <c r="N89" s="15"/>
      <c r="O89" s="17"/>
      <c r="P89" s="17"/>
      <c r="Q89" s="15"/>
    </row>
    <row r="90" spans="2:17" s="14" customFormat="1" ht="9">
      <c r="B90" s="15"/>
      <c r="C90" s="15"/>
      <c r="D90" s="15"/>
      <c r="E90" s="15"/>
      <c r="F90" s="15"/>
      <c r="G90" s="15"/>
      <c r="H90" s="15"/>
      <c r="I90" s="16"/>
      <c r="J90" s="15"/>
      <c r="K90" s="15"/>
      <c r="L90" s="15"/>
      <c r="M90" s="15"/>
      <c r="N90" s="15"/>
      <c r="O90" s="17"/>
      <c r="P90" s="17"/>
      <c r="Q90" s="15"/>
    </row>
    <row r="91" spans="2:17" s="14" customFormat="1" ht="9">
      <c r="B91" s="15"/>
      <c r="C91" s="15"/>
      <c r="D91" s="15"/>
      <c r="E91" s="15"/>
      <c r="F91" s="15"/>
      <c r="G91" s="15"/>
      <c r="H91" s="15"/>
      <c r="I91" s="16"/>
      <c r="J91" s="15"/>
      <c r="K91" s="15"/>
      <c r="L91" s="15"/>
      <c r="M91" s="15"/>
      <c r="N91" s="15"/>
      <c r="O91" s="17"/>
      <c r="P91" s="17"/>
      <c r="Q91" s="15"/>
    </row>
    <row r="92" spans="2:17" s="14" customFormat="1" ht="9">
      <c r="B92" s="15"/>
      <c r="C92" s="15"/>
      <c r="D92" s="15"/>
      <c r="E92" s="15"/>
      <c r="F92" s="15"/>
      <c r="G92" s="15"/>
      <c r="H92" s="15"/>
      <c r="I92" s="16"/>
      <c r="J92" s="15"/>
      <c r="K92" s="15"/>
      <c r="L92" s="15"/>
      <c r="M92" s="15"/>
      <c r="N92" s="15"/>
      <c r="O92" s="17"/>
      <c r="P92" s="17"/>
      <c r="Q92" s="15"/>
    </row>
    <row r="93" spans="2:17" s="14" customFormat="1" ht="9">
      <c r="B93" s="15"/>
      <c r="C93" s="15"/>
      <c r="D93" s="15"/>
      <c r="E93" s="15"/>
      <c r="F93" s="15"/>
      <c r="G93" s="15"/>
      <c r="H93" s="15"/>
      <c r="I93" s="16"/>
      <c r="J93" s="15"/>
      <c r="K93" s="15"/>
      <c r="L93" s="15"/>
      <c r="M93" s="15"/>
      <c r="N93" s="15"/>
      <c r="O93" s="17"/>
      <c r="P93" s="17"/>
      <c r="Q93" s="15"/>
    </row>
    <row r="94" spans="2:17" s="14" customFormat="1" ht="9">
      <c r="B94" s="15"/>
      <c r="C94" s="15"/>
      <c r="D94" s="15"/>
      <c r="E94" s="15"/>
      <c r="F94" s="15"/>
      <c r="G94" s="15"/>
      <c r="H94" s="15"/>
      <c r="I94" s="16"/>
      <c r="J94" s="15"/>
      <c r="K94" s="15"/>
      <c r="L94" s="15"/>
      <c r="M94" s="15"/>
      <c r="N94" s="15"/>
      <c r="O94" s="17"/>
      <c r="P94" s="17"/>
      <c r="Q94" s="15"/>
    </row>
    <row r="95" spans="2:17" s="14" customFormat="1" ht="9">
      <c r="B95" s="15"/>
      <c r="C95" s="15"/>
      <c r="D95" s="15"/>
      <c r="E95" s="15"/>
      <c r="F95" s="15"/>
      <c r="G95" s="15"/>
      <c r="H95" s="15"/>
      <c r="I95" s="16"/>
      <c r="J95" s="15"/>
      <c r="K95" s="15"/>
      <c r="L95" s="15"/>
      <c r="M95" s="15"/>
      <c r="N95" s="15"/>
      <c r="O95" s="17"/>
      <c r="P95" s="17"/>
      <c r="Q95" s="15"/>
    </row>
    <row r="96" spans="2:17" s="14" customFormat="1" ht="9">
      <c r="B96" s="15"/>
      <c r="C96" s="15"/>
      <c r="D96" s="15"/>
      <c r="E96" s="15"/>
      <c r="F96" s="15"/>
      <c r="G96" s="15"/>
      <c r="H96" s="15"/>
      <c r="I96" s="16"/>
      <c r="J96" s="15"/>
      <c r="K96" s="15"/>
      <c r="L96" s="15"/>
      <c r="M96" s="15"/>
      <c r="N96" s="15"/>
      <c r="O96" s="17"/>
      <c r="P96" s="17"/>
      <c r="Q96" s="15"/>
    </row>
    <row r="97" spans="2:17" s="14" customFormat="1" ht="9">
      <c r="B97" s="15"/>
      <c r="C97" s="15"/>
      <c r="D97" s="15"/>
      <c r="E97" s="15"/>
      <c r="F97" s="15"/>
      <c r="G97" s="15"/>
      <c r="H97" s="15"/>
      <c r="I97" s="16"/>
      <c r="J97" s="15"/>
      <c r="K97" s="15"/>
      <c r="L97" s="15"/>
      <c r="M97" s="15"/>
      <c r="N97" s="15"/>
      <c r="O97" s="17"/>
      <c r="P97" s="17"/>
      <c r="Q97" s="15"/>
    </row>
    <row r="98" spans="2:17" s="14" customFormat="1" ht="9">
      <c r="B98" s="15"/>
      <c r="C98" s="15"/>
      <c r="D98" s="15"/>
      <c r="E98" s="15"/>
      <c r="F98" s="15"/>
      <c r="G98" s="15"/>
      <c r="H98" s="15"/>
      <c r="I98" s="16"/>
      <c r="J98" s="15"/>
      <c r="K98" s="15"/>
      <c r="L98" s="15"/>
      <c r="M98" s="15"/>
      <c r="N98" s="15"/>
      <c r="O98" s="17"/>
      <c r="P98" s="17"/>
      <c r="Q98" s="15"/>
    </row>
    <row r="99" spans="2:17" s="14" customFormat="1" ht="9">
      <c r="B99" s="15"/>
      <c r="C99" s="15"/>
      <c r="D99" s="15"/>
      <c r="E99" s="15"/>
      <c r="F99" s="15"/>
      <c r="G99" s="15"/>
      <c r="H99" s="15"/>
      <c r="I99" s="16"/>
      <c r="J99" s="15"/>
      <c r="K99" s="15"/>
      <c r="L99" s="15"/>
      <c r="M99" s="15"/>
      <c r="N99" s="15"/>
      <c r="O99" s="17"/>
      <c r="P99" s="17"/>
      <c r="Q99" s="15"/>
    </row>
    <row r="100" spans="2:17" s="14" customFormat="1" ht="9">
      <c r="B100" s="15"/>
      <c r="C100" s="15"/>
      <c r="D100" s="15"/>
      <c r="E100" s="15"/>
      <c r="F100" s="15"/>
      <c r="G100" s="15"/>
      <c r="H100" s="15"/>
      <c r="I100" s="16"/>
      <c r="J100" s="15"/>
      <c r="K100" s="15"/>
      <c r="L100" s="15"/>
      <c r="M100" s="15"/>
      <c r="N100" s="15"/>
      <c r="O100" s="17"/>
      <c r="P100" s="17"/>
      <c r="Q100" s="15"/>
    </row>
    <row r="101" spans="2:17" s="14" customFormat="1" ht="9">
      <c r="B101" s="15"/>
      <c r="C101" s="15"/>
      <c r="D101" s="15"/>
      <c r="E101" s="15"/>
      <c r="F101" s="15"/>
      <c r="G101" s="15"/>
      <c r="H101" s="15"/>
      <c r="I101" s="16"/>
      <c r="J101" s="15"/>
      <c r="K101" s="15"/>
      <c r="L101" s="15"/>
      <c r="M101" s="15"/>
      <c r="N101" s="15"/>
      <c r="O101" s="17"/>
      <c r="P101" s="17"/>
      <c r="Q101" s="15"/>
    </row>
    <row r="102" spans="2:17" s="14" customFormat="1" ht="9">
      <c r="B102" s="15"/>
      <c r="C102" s="15"/>
      <c r="D102" s="15"/>
      <c r="E102" s="15"/>
      <c r="F102" s="15"/>
      <c r="G102" s="15"/>
      <c r="H102" s="15"/>
      <c r="I102" s="16"/>
      <c r="J102" s="15"/>
      <c r="K102" s="15"/>
      <c r="L102" s="15"/>
      <c r="M102" s="15"/>
      <c r="N102" s="15"/>
      <c r="O102" s="17"/>
      <c r="P102" s="17"/>
      <c r="Q102" s="15"/>
    </row>
    <row r="103" spans="2:17" s="14" customFormat="1" ht="9">
      <c r="B103" s="15"/>
      <c r="C103" s="15"/>
      <c r="D103" s="15"/>
      <c r="E103" s="15"/>
      <c r="F103" s="15"/>
      <c r="G103" s="15"/>
      <c r="H103" s="15"/>
      <c r="I103" s="16"/>
      <c r="J103" s="15"/>
      <c r="K103" s="15"/>
      <c r="L103" s="15"/>
      <c r="M103" s="15"/>
      <c r="N103" s="15"/>
      <c r="O103" s="17"/>
      <c r="P103" s="17"/>
      <c r="Q103" s="15"/>
    </row>
    <row r="104" spans="2:17" s="14" customFormat="1" ht="9">
      <c r="B104" s="15"/>
      <c r="C104" s="15"/>
      <c r="D104" s="15"/>
      <c r="E104" s="15"/>
      <c r="F104" s="15"/>
      <c r="G104" s="15"/>
      <c r="H104" s="15"/>
      <c r="I104" s="16"/>
      <c r="J104" s="15"/>
      <c r="K104" s="15"/>
      <c r="L104" s="15"/>
      <c r="M104" s="15"/>
      <c r="N104" s="15"/>
      <c r="O104" s="17"/>
      <c r="P104" s="17"/>
      <c r="Q104" s="15"/>
    </row>
    <row r="105" spans="2:17" s="14" customFormat="1" ht="9">
      <c r="B105" s="15"/>
      <c r="C105" s="15"/>
      <c r="D105" s="15"/>
      <c r="E105" s="15"/>
      <c r="F105" s="15"/>
      <c r="G105" s="15"/>
      <c r="H105" s="15"/>
      <c r="I105" s="16"/>
      <c r="J105" s="15"/>
      <c r="K105" s="15"/>
      <c r="L105" s="15"/>
      <c r="M105" s="15"/>
      <c r="N105" s="15"/>
      <c r="O105" s="17"/>
      <c r="P105" s="17"/>
      <c r="Q105" s="15"/>
    </row>
    <row r="106" spans="2:17" s="14" customFormat="1" ht="9">
      <c r="B106" s="15"/>
      <c r="C106" s="15"/>
      <c r="D106" s="15"/>
      <c r="E106" s="15"/>
      <c r="F106" s="15"/>
      <c r="G106" s="15"/>
      <c r="H106" s="15"/>
      <c r="I106" s="16"/>
      <c r="J106" s="15"/>
      <c r="K106" s="15"/>
      <c r="L106" s="15"/>
      <c r="M106" s="15"/>
      <c r="N106" s="15"/>
      <c r="O106" s="17"/>
      <c r="P106" s="17"/>
      <c r="Q106" s="15"/>
    </row>
    <row r="107" spans="2:17" s="14" customFormat="1" ht="9">
      <c r="B107" s="15"/>
      <c r="C107" s="15"/>
      <c r="D107" s="15"/>
      <c r="E107" s="15"/>
      <c r="F107" s="15"/>
      <c r="G107" s="15"/>
      <c r="H107" s="15"/>
      <c r="I107" s="16"/>
      <c r="J107" s="15"/>
      <c r="K107" s="15"/>
      <c r="L107" s="15"/>
      <c r="M107" s="15"/>
      <c r="N107" s="15"/>
      <c r="O107" s="17"/>
      <c r="P107" s="17"/>
      <c r="Q107" s="15"/>
    </row>
    <row r="108" spans="2:17" s="14" customFormat="1" ht="9">
      <c r="B108" s="15"/>
      <c r="C108" s="15"/>
      <c r="D108" s="15"/>
      <c r="E108" s="15"/>
      <c r="F108" s="15"/>
      <c r="G108" s="15"/>
      <c r="H108" s="15"/>
      <c r="I108" s="16"/>
      <c r="J108" s="15"/>
      <c r="K108" s="15"/>
      <c r="L108" s="15"/>
      <c r="M108" s="15"/>
      <c r="N108" s="15"/>
      <c r="O108" s="17"/>
      <c r="P108" s="17"/>
      <c r="Q108" s="15"/>
    </row>
    <row r="109" spans="2:17" s="14" customFormat="1" ht="9">
      <c r="B109" s="15"/>
      <c r="C109" s="15"/>
      <c r="D109" s="15"/>
      <c r="E109" s="15"/>
      <c r="F109" s="15"/>
      <c r="G109" s="15"/>
      <c r="H109" s="15"/>
      <c r="I109" s="16"/>
      <c r="J109" s="15"/>
      <c r="K109" s="15"/>
      <c r="L109" s="15"/>
      <c r="M109" s="15"/>
      <c r="N109" s="15"/>
      <c r="O109" s="17"/>
      <c r="P109" s="17"/>
      <c r="Q109" s="15"/>
    </row>
    <row r="110" spans="2:17" s="14" customFormat="1" ht="9">
      <c r="B110" s="15"/>
      <c r="C110" s="15"/>
      <c r="D110" s="15"/>
      <c r="E110" s="15"/>
      <c r="F110" s="15"/>
      <c r="G110" s="15"/>
      <c r="H110" s="15"/>
      <c r="I110" s="16"/>
      <c r="J110" s="15"/>
      <c r="K110" s="15"/>
      <c r="L110" s="15"/>
      <c r="M110" s="15"/>
      <c r="N110" s="15"/>
      <c r="O110" s="17"/>
      <c r="P110" s="17"/>
      <c r="Q110" s="15"/>
    </row>
    <row r="111" spans="2:17" s="14" customFormat="1" ht="9">
      <c r="B111" s="15"/>
      <c r="C111" s="15"/>
      <c r="D111" s="15"/>
      <c r="E111" s="15"/>
      <c r="F111" s="15"/>
      <c r="G111" s="15"/>
      <c r="H111" s="15"/>
      <c r="I111" s="16"/>
      <c r="J111" s="15"/>
      <c r="K111" s="15"/>
      <c r="L111" s="15"/>
      <c r="M111" s="15"/>
      <c r="N111" s="15"/>
      <c r="O111" s="17"/>
      <c r="P111" s="17"/>
      <c r="Q111" s="15"/>
    </row>
    <row r="112" spans="2:17" s="14" customFormat="1" ht="9">
      <c r="B112" s="15"/>
      <c r="C112" s="15"/>
      <c r="D112" s="15"/>
      <c r="E112" s="15"/>
      <c r="F112" s="15"/>
      <c r="G112" s="15"/>
      <c r="H112" s="15"/>
      <c r="I112" s="16"/>
      <c r="J112" s="15"/>
      <c r="K112" s="15"/>
      <c r="L112" s="15"/>
      <c r="M112" s="15"/>
      <c r="N112" s="15"/>
      <c r="O112" s="17"/>
      <c r="P112" s="17"/>
      <c r="Q112" s="15"/>
    </row>
    <row r="113" spans="2:18" s="14" customFormat="1">
      <c r="B113" s="15"/>
      <c r="C113" s="15"/>
      <c r="D113" s="15"/>
      <c r="E113" s="15"/>
      <c r="F113" s="15"/>
      <c r="G113" s="15"/>
      <c r="H113" s="15"/>
      <c r="I113" s="16"/>
      <c r="J113" s="15"/>
      <c r="K113" s="15"/>
      <c r="L113" s="15"/>
      <c r="M113" s="15"/>
      <c r="N113" s="15"/>
      <c r="O113" s="17"/>
      <c r="P113" s="17"/>
      <c r="Q113" s="15"/>
      <c r="R113" s="1"/>
    </row>
  </sheetData>
  <mergeCells count="8">
    <mergeCell ref="A74:M74"/>
    <mergeCell ref="A73:N73"/>
    <mergeCell ref="A1:Q1"/>
    <mergeCell ref="A2:Q2"/>
    <mergeCell ref="A66:O66"/>
    <mergeCell ref="A67:O67"/>
    <mergeCell ref="A65:O65"/>
    <mergeCell ref="A68:O68"/>
  </mergeCells>
  <phoneticPr fontId="7" type="noConversion"/>
  <pageMargins left="0.25" right="0.25" top="0.5" bottom="0.75" header="0.5" footer="0.5"/>
  <pageSetup scale="58" orientation="landscape" r:id="rId1"/>
  <headerFooter alignWithMargins="0"/>
</worksheet>
</file>

<file path=xl/worksheets/sheet23.xml><?xml version="1.0" encoding="utf-8"?>
<worksheet xmlns="http://schemas.openxmlformats.org/spreadsheetml/2006/main" xmlns:r="http://schemas.openxmlformats.org/officeDocument/2006/relationships">
  <sheetPr>
    <pageSetUpPr fitToPage="1"/>
  </sheetPr>
  <dimension ref="A1:U115"/>
  <sheetViews>
    <sheetView zoomScale="110" zoomScaleNormal="110" workbookViewId="0">
      <pane xSplit="1" ySplit="3" topLeftCell="B43" activePane="bottomRight" state="frozen"/>
      <selection activeCell="P31" sqref="P31"/>
      <selection pane="topRight" activeCell="P31" sqref="P31"/>
      <selection pane="bottomLeft" activeCell="P31" sqref="P31"/>
      <selection pane="bottomRight" activeCell="A72" sqref="A72"/>
    </sheetView>
  </sheetViews>
  <sheetFormatPr defaultRowHeight="11.25"/>
  <cols>
    <col min="1" max="1" width="36.5703125" style="1" customWidth="1"/>
    <col min="2" max="2" width="8.85546875" style="7" bestFit="1" customWidth="1"/>
    <col min="3" max="3" width="8" style="7" hidden="1" customWidth="1"/>
    <col min="4" max="4" width="8.42578125" style="7" bestFit="1" customWidth="1"/>
    <col min="5" max="5" width="8.85546875" style="7" bestFit="1" customWidth="1"/>
    <col min="6" max="6" width="7.42578125" style="7" customWidth="1"/>
    <col min="7" max="7" width="9.28515625" style="7" bestFit="1" customWidth="1"/>
    <col min="8" max="8" width="7.85546875" style="7" bestFit="1" customWidth="1"/>
    <col min="9" max="9" width="9.42578125" style="11" bestFit="1" customWidth="1"/>
    <col min="10" max="11" width="6.85546875" style="7" bestFit="1" customWidth="1"/>
    <col min="12" max="12" width="8.5703125" style="7" customWidth="1"/>
    <col min="13" max="13" width="7.85546875" style="7" hidden="1" customWidth="1"/>
    <col min="14" max="14" width="10.140625" style="7" customWidth="1"/>
    <col min="15" max="15" width="10.140625" style="8" bestFit="1" customWidth="1"/>
    <col min="16" max="16" width="10" style="8" bestFit="1" customWidth="1"/>
    <col min="17" max="17" width="3.7109375" style="7" customWidth="1"/>
    <col min="18" max="19" width="9.140625" style="1" hidden="1" customWidth="1"/>
    <col min="20" max="20" width="11.140625" style="1" customWidth="1"/>
    <col min="21" max="21" width="8.5703125" style="1" customWidth="1"/>
    <col min="22" max="16384" width="9.140625" style="1"/>
  </cols>
  <sheetData>
    <row r="1" spans="1:21">
      <c r="A1" s="410" t="s">
        <v>207</v>
      </c>
      <c r="B1" s="410"/>
      <c r="C1" s="410"/>
      <c r="D1" s="410"/>
      <c r="E1" s="410"/>
      <c r="F1" s="410"/>
      <c r="G1" s="410"/>
      <c r="H1" s="410"/>
      <c r="I1" s="410"/>
      <c r="J1" s="410"/>
      <c r="K1" s="410"/>
      <c r="L1" s="410"/>
      <c r="M1" s="410"/>
      <c r="N1" s="410"/>
      <c r="O1" s="410"/>
      <c r="P1" s="410"/>
      <c r="Q1" s="410"/>
    </row>
    <row r="2" spans="1:21">
      <c r="A2" s="411" t="s">
        <v>206</v>
      </c>
      <c r="B2" s="411"/>
      <c r="C2" s="411"/>
      <c r="D2" s="411"/>
      <c r="E2" s="411"/>
      <c r="F2" s="411"/>
      <c r="G2" s="411"/>
      <c r="H2" s="411"/>
      <c r="I2" s="411"/>
      <c r="J2" s="411"/>
      <c r="K2" s="411"/>
      <c r="L2" s="411"/>
      <c r="M2" s="411"/>
      <c r="N2" s="411"/>
      <c r="O2" s="411"/>
      <c r="P2" s="411"/>
      <c r="Q2" s="411"/>
    </row>
    <row r="3" spans="1:21" s="3" customFormat="1" ht="63">
      <c r="A3" s="45" t="s">
        <v>392</v>
      </c>
      <c r="B3" s="45" t="s">
        <v>393</v>
      </c>
      <c r="C3" s="45" t="s">
        <v>430</v>
      </c>
      <c r="D3" s="45" t="s">
        <v>4</v>
      </c>
      <c r="E3" s="45" t="s">
        <v>6</v>
      </c>
      <c r="F3" s="45" t="s">
        <v>5</v>
      </c>
      <c r="G3" s="45" t="s">
        <v>176</v>
      </c>
      <c r="H3" s="45" t="s">
        <v>459</v>
      </c>
      <c r="I3" s="60" t="s">
        <v>460</v>
      </c>
      <c r="J3" s="100" t="s">
        <v>462</v>
      </c>
      <c r="K3" s="100" t="s">
        <v>463</v>
      </c>
      <c r="L3" s="100" t="s">
        <v>461</v>
      </c>
      <c r="M3" s="45" t="s">
        <v>391</v>
      </c>
      <c r="N3" s="45" t="s">
        <v>8</v>
      </c>
      <c r="O3" s="100" t="s">
        <v>9</v>
      </c>
      <c r="P3" s="100" t="s">
        <v>175</v>
      </c>
      <c r="Q3" s="182" t="s">
        <v>394</v>
      </c>
      <c r="R3" s="3" t="s">
        <v>307</v>
      </c>
      <c r="S3" s="3" t="s">
        <v>308</v>
      </c>
    </row>
    <row r="4" spans="1:21" s="6" customFormat="1" ht="9">
      <c r="A4" s="178" t="s">
        <v>405</v>
      </c>
      <c r="B4" s="179" t="s">
        <v>433</v>
      </c>
      <c r="C4" s="179"/>
      <c r="D4" s="181"/>
      <c r="E4" s="181"/>
      <c r="F4" s="181"/>
      <c r="G4" s="179"/>
      <c r="H4" s="179"/>
      <c r="I4" s="183"/>
      <c r="J4" s="183"/>
      <c r="K4" s="183"/>
      <c r="L4" s="183"/>
      <c r="M4" s="179"/>
      <c r="N4" s="181"/>
      <c r="O4" s="181"/>
      <c r="P4" s="181"/>
      <c r="Q4" s="249"/>
    </row>
    <row r="5" spans="1:21" s="6" customFormat="1" ht="9">
      <c r="A5" s="142" t="s">
        <v>406</v>
      </c>
      <c r="B5" s="44" t="s">
        <v>433</v>
      </c>
      <c r="C5" s="44"/>
      <c r="D5" s="52"/>
      <c r="E5" s="52"/>
      <c r="F5" s="52"/>
      <c r="G5" s="44"/>
      <c r="H5" s="44"/>
      <c r="I5" s="92"/>
      <c r="J5" s="92"/>
      <c r="K5" s="92"/>
      <c r="L5" s="92"/>
      <c r="M5" s="44"/>
      <c r="N5" s="52"/>
      <c r="O5" s="52"/>
      <c r="P5" s="52"/>
      <c r="Q5" s="94"/>
    </row>
    <row r="6" spans="1:21" s="6" customFormat="1" ht="9">
      <c r="A6" s="142" t="s">
        <v>407</v>
      </c>
      <c r="B6" s="44"/>
      <c r="C6" s="44"/>
      <c r="D6" s="52"/>
      <c r="E6" s="52"/>
      <c r="F6" s="52"/>
      <c r="G6" s="44"/>
      <c r="H6" s="44"/>
      <c r="I6" s="92"/>
      <c r="J6" s="92"/>
      <c r="K6" s="92"/>
      <c r="L6" s="92"/>
      <c r="M6" s="44"/>
      <c r="N6" s="52"/>
      <c r="O6" s="52"/>
      <c r="P6" s="52"/>
      <c r="Q6" s="94"/>
      <c r="R6" s="147"/>
      <c r="S6" s="147"/>
      <c r="T6" s="147"/>
    </row>
    <row r="7" spans="1:21" s="6" customFormat="1" ht="9">
      <c r="A7" s="143" t="s">
        <v>408</v>
      </c>
      <c r="B7" s="44">
        <v>40</v>
      </c>
      <c r="C7" s="44"/>
      <c r="D7" s="52">
        <v>0</v>
      </c>
      <c r="E7" s="52">
        <v>0</v>
      </c>
      <c r="F7" s="52">
        <v>0</v>
      </c>
      <c r="G7" s="44">
        <v>1</v>
      </c>
      <c r="H7" s="44">
        <f>B7*G7</f>
        <v>40</v>
      </c>
      <c r="I7" s="91">
        <f>ROUND(SUM('Base Data'!$H$79:$H$81)/3,0)</f>
        <v>1</v>
      </c>
      <c r="J7" s="92">
        <f>H7*I7</f>
        <v>40</v>
      </c>
      <c r="K7" s="92">
        <f>J7*0.1</f>
        <v>4</v>
      </c>
      <c r="L7" s="91">
        <f>J7*0.05</f>
        <v>2</v>
      </c>
      <c r="M7" s="44">
        <f>C7*G7*I7</f>
        <v>0</v>
      </c>
      <c r="N7" s="52">
        <f>(J7*'Base Data'!$C$5)+(K7*'Base Data'!$C$6)+(L7*'Base Data'!$C$7)</f>
        <v>4351.0999999999995</v>
      </c>
      <c r="O7" s="52">
        <f>(D7+E7+F7)*G7*I7</f>
        <v>0</v>
      </c>
      <c r="P7" s="92">
        <v>0</v>
      </c>
      <c r="Q7" s="94" t="s">
        <v>387</v>
      </c>
      <c r="R7" s="147"/>
      <c r="S7" s="147"/>
      <c r="T7" s="147"/>
    </row>
    <row r="8" spans="1:21" s="6" customFormat="1" ht="9">
      <c r="A8" s="142" t="s">
        <v>409</v>
      </c>
      <c r="B8" s="44"/>
      <c r="C8" s="44"/>
      <c r="D8" s="52"/>
      <c r="E8" s="52"/>
      <c r="F8" s="52"/>
      <c r="G8" s="44"/>
      <c r="H8" s="44"/>
      <c r="I8" s="92"/>
      <c r="J8" s="92"/>
      <c r="K8" s="92"/>
      <c r="L8" s="92"/>
      <c r="M8" s="44"/>
      <c r="N8" s="52"/>
      <c r="O8" s="52"/>
      <c r="P8" s="92"/>
      <c r="Q8" s="94"/>
      <c r="R8" s="147"/>
      <c r="S8" s="147"/>
      <c r="T8" s="147"/>
      <c r="U8" s="30"/>
    </row>
    <row r="9" spans="1:21" s="6" customFormat="1" ht="9">
      <c r="A9" s="143" t="s">
        <v>486</v>
      </c>
      <c r="B9" s="44">
        <v>12</v>
      </c>
      <c r="C9" s="44"/>
      <c r="D9" s="52">
        <v>0</v>
      </c>
      <c r="E9" s="52">
        <f>'Testing Costs'!$B$13</f>
        <v>5000</v>
      </c>
      <c r="F9" s="52">
        <v>0</v>
      </c>
      <c r="G9" s="44">
        <v>1</v>
      </c>
      <c r="H9" s="44">
        <f t="shared" ref="H9:H21" si="0">B9*G9</f>
        <v>12</v>
      </c>
      <c r="I9" s="91">
        <f>ROUND(SUM('Base Data'!$D$79:$D$80)/3,0)</f>
        <v>3</v>
      </c>
      <c r="J9" s="92">
        <f t="shared" ref="J9:J21" si="1">H9*I9</f>
        <v>36</v>
      </c>
      <c r="K9" s="92">
        <f t="shared" ref="K9:K21" si="2">J9*0.1</f>
        <v>3.6</v>
      </c>
      <c r="L9" s="92">
        <f t="shared" ref="L9:L21" si="3">J9*0.05</f>
        <v>1.8</v>
      </c>
      <c r="M9" s="93"/>
      <c r="N9" s="52">
        <f>(J9*'Base Data'!$C$5)+(K9*'Base Data'!$C$6)+(L9*'Base Data'!$C$7)</f>
        <v>3915.9900000000002</v>
      </c>
      <c r="O9" s="52">
        <f t="shared" ref="O9:O21" si="4">(D9+E9+F9)*G9*I9</f>
        <v>15000</v>
      </c>
      <c r="P9" s="92">
        <v>0</v>
      </c>
      <c r="Q9" s="94" t="s">
        <v>259</v>
      </c>
      <c r="R9" s="147"/>
      <c r="S9" s="147"/>
      <c r="T9" s="147"/>
      <c r="U9" s="30"/>
    </row>
    <row r="10" spans="1:21" s="6" customFormat="1" ht="9">
      <c r="A10" s="143" t="s">
        <v>133</v>
      </c>
      <c r="B10" s="44">
        <v>12</v>
      </c>
      <c r="C10" s="44"/>
      <c r="D10" s="52">
        <v>0</v>
      </c>
      <c r="E10" s="52">
        <f>'Testing Costs'!$B$17</f>
        <v>8000</v>
      </c>
      <c r="F10" s="52">
        <v>0</v>
      </c>
      <c r="G10" s="44">
        <v>1</v>
      </c>
      <c r="H10" s="44">
        <f t="shared" si="0"/>
        <v>12</v>
      </c>
      <c r="I10" s="91">
        <v>0</v>
      </c>
      <c r="J10" s="92">
        <f t="shared" si="1"/>
        <v>0</v>
      </c>
      <c r="K10" s="92">
        <f t="shared" si="2"/>
        <v>0</v>
      </c>
      <c r="L10" s="92">
        <f t="shared" si="3"/>
        <v>0</v>
      </c>
      <c r="M10" s="93"/>
      <c r="N10" s="52">
        <f>(J10*'Base Data'!$C$5)+(K10*'Base Data'!$C$6)+(L10*'Base Data'!$C$7)</f>
        <v>0</v>
      </c>
      <c r="O10" s="52">
        <f t="shared" si="4"/>
        <v>0</v>
      </c>
      <c r="P10" s="92">
        <v>0</v>
      </c>
      <c r="Q10" s="94" t="s">
        <v>387</v>
      </c>
      <c r="R10" s="147"/>
      <c r="S10" s="147"/>
      <c r="T10" s="147"/>
      <c r="U10" s="30"/>
    </row>
    <row r="11" spans="1:21" s="6" customFormat="1" ht="9">
      <c r="A11" s="143" t="s">
        <v>134</v>
      </c>
      <c r="B11" s="44">
        <v>12</v>
      </c>
      <c r="C11" s="44"/>
      <c r="D11" s="52">
        <v>0</v>
      </c>
      <c r="E11" s="52">
        <f>'Testing Costs'!$B$15</f>
        <v>8000</v>
      </c>
      <c r="F11" s="52">
        <v>0</v>
      </c>
      <c r="G11" s="44">
        <v>1</v>
      </c>
      <c r="H11" s="44">
        <f t="shared" si="0"/>
        <v>12</v>
      </c>
      <c r="I11" s="91">
        <v>0</v>
      </c>
      <c r="J11" s="92">
        <f t="shared" si="1"/>
        <v>0</v>
      </c>
      <c r="K11" s="92">
        <f t="shared" si="2"/>
        <v>0</v>
      </c>
      <c r="L11" s="92">
        <f t="shared" si="3"/>
        <v>0</v>
      </c>
      <c r="M11" s="93"/>
      <c r="N11" s="52">
        <f>(J11*'Base Data'!$C$5)+(K11*'Base Data'!$C$6)+(L11*'Base Data'!$C$7)</f>
        <v>0</v>
      </c>
      <c r="O11" s="52">
        <f t="shared" si="4"/>
        <v>0</v>
      </c>
      <c r="P11" s="92">
        <v>0</v>
      </c>
      <c r="Q11" s="94" t="s">
        <v>387</v>
      </c>
      <c r="R11" s="147"/>
      <c r="S11" s="147"/>
      <c r="T11" s="147"/>
      <c r="U11" s="30"/>
    </row>
    <row r="12" spans="1:21" s="6" customFormat="1" ht="9">
      <c r="A12" s="143" t="s">
        <v>135</v>
      </c>
      <c r="B12" s="44">
        <v>12</v>
      </c>
      <c r="C12" s="44"/>
      <c r="D12" s="52">
        <v>0</v>
      </c>
      <c r="E12" s="52">
        <f>'Testing Costs'!$B$14</f>
        <v>7000</v>
      </c>
      <c r="F12" s="52">
        <v>0</v>
      </c>
      <c r="G12" s="44">
        <v>1</v>
      </c>
      <c r="H12" s="44">
        <f t="shared" si="0"/>
        <v>12</v>
      </c>
      <c r="I12" s="91">
        <f>ROUND(SUM('Base Data'!$D$79:$D$81)/3,0)</f>
        <v>3</v>
      </c>
      <c r="J12" s="92">
        <f t="shared" si="1"/>
        <v>36</v>
      </c>
      <c r="K12" s="92">
        <f t="shared" si="2"/>
        <v>3.6</v>
      </c>
      <c r="L12" s="92">
        <f t="shared" si="3"/>
        <v>1.8</v>
      </c>
      <c r="M12" s="93"/>
      <c r="N12" s="52">
        <f>(J12*'Base Data'!$C$5)+(K12*'Base Data'!$C$6)+(L12*'Base Data'!$C$7)</f>
        <v>3915.9900000000002</v>
      </c>
      <c r="O12" s="52">
        <f t="shared" si="4"/>
        <v>21000</v>
      </c>
      <c r="P12" s="92">
        <v>0</v>
      </c>
      <c r="Q12" s="94" t="s">
        <v>387</v>
      </c>
      <c r="R12" s="147"/>
      <c r="S12" s="147"/>
      <c r="T12" s="147"/>
      <c r="U12" s="30"/>
    </row>
    <row r="13" spans="1:21" s="6" customFormat="1" ht="9">
      <c r="A13" s="143" t="s">
        <v>136</v>
      </c>
      <c r="B13" s="44">
        <v>12</v>
      </c>
      <c r="C13" s="44"/>
      <c r="D13" s="52">
        <v>0</v>
      </c>
      <c r="E13" s="52">
        <f>'Testing Costs'!$B$16</f>
        <v>16000</v>
      </c>
      <c r="F13" s="52">
        <v>0</v>
      </c>
      <c r="G13" s="44">
        <v>1</v>
      </c>
      <c r="H13" s="44">
        <f t="shared" si="0"/>
        <v>12</v>
      </c>
      <c r="I13" s="91">
        <f>ROUND(SUM('Base Data'!$D$79:$D$81)/3,0)</f>
        <v>3</v>
      </c>
      <c r="J13" s="92">
        <f t="shared" si="1"/>
        <v>36</v>
      </c>
      <c r="K13" s="92">
        <f t="shared" si="2"/>
        <v>3.6</v>
      </c>
      <c r="L13" s="92">
        <f t="shared" si="3"/>
        <v>1.8</v>
      </c>
      <c r="M13" s="93"/>
      <c r="N13" s="52">
        <f>(J13*'Base Data'!$C$5)+(K13*'Base Data'!$C$6)+(L13*'Base Data'!$C$7)</f>
        <v>3915.9900000000002</v>
      </c>
      <c r="O13" s="52">
        <f t="shared" si="4"/>
        <v>48000</v>
      </c>
      <c r="P13" s="92">
        <v>0</v>
      </c>
      <c r="Q13" s="94" t="s">
        <v>387</v>
      </c>
      <c r="R13" s="147"/>
      <c r="S13" s="147"/>
      <c r="T13" s="147"/>
      <c r="U13" s="30"/>
    </row>
    <row r="14" spans="1:21" s="6" customFormat="1" ht="9" customHeight="1">
      <c r="A14" s="143" t="s">
        <v>148</v>
      </c>
      <c r="B14" s="44">
        <v>12</v>
      </c>
      <c r="C14" s="44"/>
      <c r="D14" s="52">
        <v>0</v>
      </c>
      <c r="E14" s="52">
        <f>'Testing Costs'!$B$13</f>
        <v>5000</v>
      </c>
      <c r="F14" s="52">
        <v>0</v>
      </c>
      <c r="G14" s="44">
        <v>1</v>
      </c>
      <c r="H14" s="44">
        <f t="shared" si="0"/>
        <v>12</v>
      </c>
      <c r="I14" s="91">
        <f>'Fac-NewLrgLiquid-Yr2'!I9+'Fac-NewLrgLiquid-Yr2'!I14</f>
        <v>6</v>
      </c>
      <c r="J14" s="92">
        <f t="shared" si="1"/>
        <v>72</v>
      </c>
      <c r="K14" s="92">
        <f t="shared" si="2"/>
        <v>7.2</v>
      </c>
      <c r="L14" s="92">
        <f t="shared" si="3"/>
        <v>3.6</v>
      </c>
      <c r="M14" s="93"/>
      <c r="N14" s="52">
        <f>(J14*'Base Data'!$C$5)+(K14*'Base Data'!$C$6)+(L14*'Base Data'!$C$7)</f>
        <v>7831.9800000000005</v>
      </c>
      <c r="O14" s="52">
        <f t="shared" si="4"/>
        <v>30000</v>
      </c>
      <c r="P14" s="92">
        <v>0</v>
      </c>
      <c r="Q14" s="94" t="s">
        <v>260</v>
      </c>
      <c r="R14" s="147"/>
      <c r="S14" s="147"/>
      <c r="T14" s="147"/>
      <c r="U14" s="30"/>
    </row>
    <row r="15" spans="1:21" s="6" customFormat="1" ht="9">
      <c r="A15" s="143" t="s">
        <v>149</v>
      </c>
      <c r="B15" s="44">
        <v>12</v>
      </c>
      <c r="C15" s="44"/>
      <c r="D15" s="52">
        <v>0</v>
      </c>
      <c r="E15" s="52">
        <f>'Testing Costs'!$B$17</f>
        <v>8000</v>
      </c>
      <c r="F15" s="52">
        <v>0</v>
      </c>
      <c r="G15" s="44">
        <v>1</v>
      </c>
      <c r="H15" s="44">
        <f t="shared" si="0"/>
        <v>12</v>
      </c>
      <c r="I15" s="91">
        <f>'Fac-NewLrgLiquid-Yr2'!I10+'Fac-NewLrgLiquid-Yr2'!I15</f>
        <v>0</v>
      </c>
      <c r="J15" s="92">
        <f t="shared" si="1"/>
        <v>0</v>
      </c>
      <c r="K15" s="92">
        <f t="shared" si="2"/>
        <v>0</v>
      </c>
      <c r="L15" s="92">
        <f t="shared" si="3"/>
        <v>0</v>
      </c>
      <c r="M15" s="93"/>
      <c r="N15" s="52">
        <f>(J15*'Base Data'!$C$5)+(K15*'Base Data'!$C$6)+(L15*'Base Data'!$C$7)</f>
        <v>0</v>
      </c>
      <c r="O15" s="52">
        <f t="shared" si="4"/>
        <v>0</v>
      </c>
      <c r="P15" s="92">
        <v>0</v>
      </c>
      <c r="Q15" s="94" t="s">
        <v>260</v>
      </c>
      <c r="R15" s="147"/>
      <c r="S15" s="147"/>
      <c r="T15" s="147"/>
      <c r="U15" s="30"/>
    </row>
    <row r="16" spans="1:21" s="6" customFormat="1" ht="9">
      <c r="A16" s="143" t="s">
        <v>150</v>
      </c>
      <c r="B16" s="44">
        <v>12</v>
      </c>
      <c r="C16" s="44"/>
      <c r="D16" s="52">
        <v>0</v>
      </c>
      <c r="E16" s="52">
        <f>'Testing Costs'!$B$15</f>
        <v>8000</v>
      </c>
      <c r="F16" s="52">
        <v>0</v>
      </c>
      <c r="G16" s="44">
        <v>1</v>
      </c>
      <c r="H16" s="44">
        <f t="shared" si="0"/>
        <v>12</v>
      </c>
      <c r="I16" s="91">
        <f>'Fac-NewLrgLiquid-Yr2'!I11+'Fac-NewLrgLiquid-Yr2'!I16</f>
        <v>0</v>
      </c>
      <c r="J16" s="92">
        <f t="shared" si="1"/>
        <v>0</v>
      </c>
      <c r="K16" s="92">
        <f t="shared" si="2"/>
        <v>0</v>
      </c>
      <c r="L16" s="92">
        <f t="shared" si="3"/>
        <v>0</v>
      </c>
      <c r="M16" s="93"/>
      <c r="N16" s="52">
        <f>(J16*'Base Data'!$C$5)+(K16*'Base Data'!$C$6)+(L16*'Base Data'!$C$7)</f>
        <v>0</v>
      </c>
      <c r="O16" s="52">
        <f t="shared" si="4"/>
        <v>0</v>
      </c>
      <c r="P16" s="92">
        <v>0</v>
      </c>
      <c r="Q16" s="94" t="s">
        <v>260</v>
      </c>
      <c r="R16" s="147"/>
      <c r="S16" s="147"/>
      <c r="T16" s="147"/>
      <c r="U16" s="30"/>
    </row>
    <row r="17" spans="1:21" s="6" customFormat="1" ht="9">
      <c r="A17" s="143" t="s">
        <v>151</v>
      </c>
      <c r="B17" s="44">
        <v>12</v>
      </c>
      <c r="C17" s="44"/>
      <c r="D17" s="52">
        <v>0</v>
      </c>
      <c r="E17" s="52">
        <f>'Testing Costs'!$B$14</f>
        <v>7000</v>
      </c>
      <c r="F17" s="52">
        <v>0</v>
      </c>
      <c r="G17" s="44">
        <v>1</v>
      </c>
      <c r="H17" s="44">
        <f t="shared" si="0"/>
        <v>12</v>
      </c>
      <c r="I17" s="91">
        <f>'Fac-NewLrgLiquid-Yr2'!I12+'Fac-NewLrgLiquid-Yr2'!I17</f>
        <v>7</v>
      </c>
      <c r="J17" s="92">
        <f t="shared" si="1"/>
        <v>84</v>
      </c>
      <c r="K17" s="92">
        <f t="shared" si="2"/>
        <v>8.4</v>
      </c>
      <c r="L17" s="92">
        <f t="shared" si="3"/>
        <v>4.2</v>
      </c>
      <c r="M17" s="93"/>
      <c r="N17" s="52">
        <f>(J17*'Base Data'!$C$5)+(K17*'Base Data'!$C$6)+(L17*'Base Data'!$C$7)</f>
        <v>9137.3100000000013</v>
      </c>
      <c r="O17" s="52">
        <f t="shared" si="4"/>
        <v>49000</v>
      </c>
      <c r="P17" s="92">
        <v>0</v>
      </c>
      <c r="Q17" s="94" t="s">
        <v>260</v>
      </c>
      <c r="R17" s="147"/>
      <c r="S17" s="147"/>
      <c r="T17" s="147"/>
      <c r="U17" s="30"/>
    </row>
    <row r="18" spans="1:21" s="6" customFormat="1" ht="9">
      <c r="A18" s="143" t="s">
        <v>152</v>
      </c>
      <c r="B18" s="44">
        <v>12</v>
      </c>
      <c r="C18" s="44"/>
      <c r="D18" s="52">
        <v>0</v>
      </c>
      <c r="E18" s="52">
        <f>'Testing Costs'!$B$16</f>
        <v>16000</v>
      </c>
      <c r="F18" s="52">
        <v>0</v>
      </c>
      <c r="G18" s="44">
        <v>1</v>
      </c>
      <c r="H18" s="44">
        <f t="shared" si="0"/>
        <v>12</v>
      </c>
      <c r="I18" s="91">
        <f>'Fac-NewLrgLiquid-Yr2'!I13+'Fac-NewLrgLiquid-Yr2'!I18</f>
        <v>7</v>
      </c>
      <c r="J18" s="92">
        <f t="shared" si="1"/>
        <v>84</v>
      </c>
      <c r="K18" s="92">
        <f t="shared" si="2"/>
        <v>8.4</v>
      </c>
      <c r="L18" s="92">
        <f t="shared" si="3"/>
        <v>4.2</v>
      </c>
      <c r="M18" s="93"/>
      <c r="N18" s="52">
        <f>(J18*'Base Data'!$C$5)+(K18*'Base Data'!$C$6)+(L18*'Base Data'!$C$7)</f>
        <v>9137.3100000000013</v>
      </c>
      <c r="O18" s="52">
        <f t="shared" si="4"/>
        <v>112000</v>
      </c>
      <c r="P18" s="92">
        <v>0</v>
      </c>
      <c r="Q18" s="94" t="s">
        <v>260</v>
      </c>
      <c r="R18" s="147"/>
      <c r="S18" s="147"/>
      <c r="T18" s="147"/>
      <c r="U18" s="30"/>
    </row>
    <row r="19" spans="1:21" s="6" customFormat="1" ht="18">
      <c r="A19" s="332" t="s">
        <v>482</v>
      </c>
      <c r="B19" s="44">
        <v>24</v>
      </c>
      <c r="C19" s="331"/>
      <c r="D19" s="52">
        <v>0</v>
      </c>
      <c r="E19" s="52">
        <f>$E$10+$E$11</f>
        <v>16000</v>
      </c>
      <c r="F19" s="52">
        <v>0</v>
      </c>
      <c r="G19" s="44">
        <v>1</v>
      </c>
      <c r="H19" s="44">
        <f t="shared" si="0"/>
        <v>24</v>
      </c>
      <c r="I19" s="91">
        <v>0</v>
      </c>
      <c r="J19" s="92">
        <f t="shared" si="1"/>
        <v>0</v>
      </c>
      <c r="K19" s="92">
        <f t="shared" si="2"/>
        <v>0</v>
      </c>
      <c r="L19" s="92">
        <f t="shared" si="3"/>
        <v>0</v>
      </c>
      <c r="M19" s="93"/>
      <c r="N19" s="52">
        <f>(J19*'Base Data'!$C$5)+(K19*'Base Data'!$C$6)+(L19*'Base Data'!$C$7)</f>
        <v>0</v>
      </c>
      <c r="O19" s="52">
        <f t="shared" si="4"/>
        <v>0</v>
      </c>
      <c r="P19" s="92">
        <v>0</v>
      </c>
      <c r="Q19" s="94" t="s">
        <v>182</v>
      </c>
    </row>
    <row r="20" spans="1:21" s="6" customFormat="1" ht="9" customHeight="1">
      <c r="A20" s="143" t="s">
        <v>268</v>
      </c>
      <c r="B20" s="44">
        <v>5</v>
      </c>
      <c r="C20" s="44"/>
      <c r="D20" s="52">
        <v>0</v>
      </c>
      <c r="E20" s="52">
        <v>400</v>
      </c>
      <c r="F20" s="52">
        <v>0</v>
      </c>
      <c r="G20" s="44">
        <v>1</v>
      </c>
      <c r="H20" s="44">
        <f t="shared" si="0"/>
        <v>5</v>
      </c>
      <c r="I20" s="91">
        <f>ROUND(SUM('Base Data'!$D$79:$D$81)/3,0)</f>
        <v>3</v>
      </c>
      <c r="J20" s="92">
        <f t="shared" si="1"/>
        <v>15</v>
      </c>
      <c r="K20" s="92">
        <f t="shared" si="2"/>
        <v>1.5</v>
      </c>
      <c r="L20" s="92">
        <f t="shared" si="3"/>
        <v>0.75</v>
      </c>
      <c r="M20" s="93"/>
      <c r="N20" s="52">
        <f>(J20*'Base Data'!$C$5)+(K20*'Base Data'!$C$6)+(L20*'Base Data'!$C$7)</f>
        <v>1631.6625000000001</v>
      </c>
      <c r="O20" s="52">
        <f t="shared" si="4"/>
        <v>1200</v>
      </c>
      <c r="P20" s="92">
        <v>0</v>
      </c>
      <c r="Q20" s="94" t="s">
        <v>261</v>
      </c>
      <c r="R20" s="147"/>
      <c r="S20" s="147"/>
      <c r="T20" s="147"/>
      <c r="U20" s="30"/>
    </row>
    <row r="21" spans="1:21" s="6" customFormat="1" ht="9" customHeight="1">
      <c r="A21" s="143" t="s">
        <v>269</v>
      </c>
      <c r="B21" s="44">
        <v>5</v>
      </c>
      <c r="C21" s="44"/>
      <c r="D21" s="52">
        <v>0</v>
      </c>
      <c r="E21" s="52">
        <v>400</v>
      </c>
      <c r="F21" s="52">
        <v>0</v>
      </c>
      <c r="G21" s="44">
        <v>12</v>
      </c>
      <c r="H21" s="44">
        <f t="shared" si="0"/>
        <v>60</v>
      </c>
      <c r="I21" s="91">
        <f>'Fac-NewLrgLiquid-Yr2'!I21+'Fac-NewLrgLiquid-Yr2'!I20</f>
        <v>7</v>
      </c>
      <c r="J21" s="92">
        <f t="shared" si="1"/>
        <v>420</v>
      </c>
      <c r="K21" s="92">
        <f t="shared" si="2"/>
        <v>42</v>
      </c>
      <c r="L21" s="92">
        <f t="shared" si="3"/>
        <v>21</v>
      </c>
      <c r="M21" s="93"/>
      <c r="N21" s="52">
        <f>(J21*'Base Data'!$C$5)+(K21*'Base Data'!$C$6)+(L21*'Base Data'!$C$7)</f>
        <v>45686.55</v>
      </c>
      <c r="O21" s="52">
        <f t="shared" si="4"/>
        <v>33600</v>
      </c>
      <c r="P21" s="92">
        <v>0</v>
      </c>
      <c r="Q21" s="94" t="s">
        <v>261</v>
      </c>
      <c r="R21" s="147"/>
      <c r="S21" s="147"/>
      <c r="T21" s="147"/>
      <c r="U21" s="30"/>
    </row>
    <row r="22" spans="1:21" s="6" customFormat="1" ht="9">
      <c r="A22" s="143" t="s">
        <v>270</v>
      </c>
      <c r="B22" s="44"/>
      <c r="C22" s="44"/>
      <c r="D22" s="52"/>
      <c r="E22" s="52"/>
      <c r="F22" s="52"/>
      <c r="G22" s="44"/>
      <c r="H22" s="44"/>
      <c r="I22" s="92"/>
      <c r="J22" s="92"/>
      <c r="K22" s="92"/>
      <c r="L22" s="92"/>
      <c r="M22" s="93"/>
      <c r="N22" s="52"/>
      <c r="O22" s="52"/>
      <c r="P22" s="92"/>
      <c r="Q22" s="94"/>
      <c r="R22" s="147"/>
      <c r="S22" s="147"/>
      <c r="T22" s="147"/>
      <c r="U22" s="30"/>
    </row>
    <row r="23" spans="1:21" s="6" customFormat="1" ht="9">
      <c r="A23" s="143" t="s">
        <v>432</v>
      </c>
      <c r="B23" s="44">
        <v>40</v>
      </c>
      <c r="C23" s="44"/>
      <c r="D23" s="52">
        <v>0</v>
      </c>
      <c r="E23" s="52"/>
      <c r="F23" s="52">
        <v>0</v>
      </c>
      <c r="G23" s="44">
        <v>1</v>
      </c>
      <c r="H23" s="44">
        <f>B23*G23</f>
        <v>40</v>
      </c>
      <c r="I23" s="91">
        <f>ROUND(SUM('Base Data'!$H$79:$H$81)/3,0)</f>
        <v>1</v>
      </c>
      <c r="J23" s="92">
        <f>H23*I23</f>
        <v>40</v>
      </c>
      <c r="K23" s="92">
        <f>J23*0.1</f>
        <v>4</v>
      </c>
      <c r="L23" s="92">
        <f>J23*0.05</f>
        <v>2</v>
      </c>
      <c r="M23" s="93"/>
      <c r="N23" s="52">
        <f>(J23*'Base Data'!$C$5)+(K23*'Base Data'!$C$6)+(L23*'Base Data'!$C$7)</f>
        <v>4351.0999999999995</v>
      </c>
      <c r="O23" s="52">
        <f>(D23+E23+F23)*G23*I23</f>
        <v>0</v>
      </c>
      <c r="P23" s="92">
        <v>0</v>
      </c>
      <c r="Q23" s="94" t="s">
        <v>387</v>
      </c>
      <c r="R23" s="147"/>
      <c r="S23" s="147"/>
      <c r="T23" s="147"/>
      <c r="U23" s="30"/>
    </row>
    <row r="24" spans="1:21" s="6" customFormat="1" ht="9">
      <c r="A24" s="142" t="s">
        <v>410</v>
      </c>
      <c r="B24" s="44"/>
      <c r="C24" s="44"/>
      <c r="D24" s="52"/>
      <c r="E24" s="52"/>
      <c r="F24" s="52"/>
      <c r="G24" s="44"/>
      <c r="H24" s="44"/>
      <c r="I24" s="92"/>
      <c r="J24" s="92"/>
      <c r="K24" s="92"/>
      <c r="L24" s="92"/>
      <c r="M24" s="93"/>
      <c r="N24" s="52"/>
      <c r="O24" s="52"/>
      <c r="P24" s="92">
        <v>0</v>
      </c>
      <c r="Q24" s="94"/>
      <c r="R24" s="147"/>
      <c r="S24" s="147"/>
      <c r="T24" s="147"/>
      <c r="U24" s="30"/>
    </row>
    <row r="25" spans="1:21" s="6" customFormat="1" ht="9">
      <c r="A25" s="142" t="s">
        <v>411</v>
      </c>
      <c r="B25" s="44">
        <v>10</v>
      </c>
      <c r="C25" s="44"/>
      <c r="D25" s="52">
        <v>0</v>
      </c>
      <c r="E25" s="52">
        <v>0</v>
      </c>
      <c r="F25" s="52">
        <v>43100</v>
      </c>
      <c r="G25" s="44">
        <v>1</v>
      </c>
      <c r="H25" s="44">
        <f>B25*G25</f>
        <v>10</v>
      </c>
      <c r="I25" s="91">
        <f>SUM(Monitors!$C$23/3,0)</f>
        <v>0</v>
      </c>
      <c r="J25" s="92">
        <f>H25*I25</f>
        <v>0</v>
      </c>
      <c r="K25" s="92">
        <f>J25*0.1</f>
        <v>0</v>
      </c>
      <c r="L25" s="92">
        <f>J25*0.05</f>
        <v>0</v>
      </c>
      <c r="M25" s="93"/>
      <c r="N25" s="52">
        <f>(J25*'Base Data'!$C$5)+(K25*'Base Data'!$C$6)+(L25*'Base Data'!$C$7)</f>
        <v>0</v>
      </c>
      <c r="O25" s="52">
        <f>(D25+E25+F25)*G25*I25</f>
        <v>0</v>
      </c>
      <c r="P25" s="92">
        <v>0</v>
      </c>
      <c r="Q25" s="94" t="s">
        <v>387</v>
      </c>
      <c r="R25" s="147"/>
      <c r="S25" s="147"/>
      <c r="T25" s="147"/>
      <c r="U25" s="30"/>
    </row>
    <row r="26" spans="1:21" s="6" customFormat="1" ht="9">
      <c r="A26" s="142" t="s">
        <v>414</v>
      </c>
      <c r="B26" s="44">
        <v>10</v>
      </c>
      <c r="C26" s="44"/>
      <c r="D26" s="52">
        <v>0</v>
      </c>
      <c r="E26" s="52">
        <v>0</v>
      </c>
      <c r="F26" s="52">
        <v>14700</v>
      </c>
      <c r="G26" s="44">
        <v>1</v>
      </c>
      <c r="H26" s="44">
        <f>B26*G26</f>
        <v>10</v>
      </c>
      <c r="I26" s="91">
        <f>SUM(Monitors!$C$23/3,0)+'Fac-NewLrgLiquid-Yr2'!I26</f>
        <v>0</v>
      </c>
      <c r="J26" s="92">
        <f>H26*I26</f>
        <v>0</v>
      </c>
      <c r="K26" s="92">
        <f>J26*0.1</f>
        <v>0</v>
      </c>
      <c r="L26" s="92">
        <f>J26*0.05</f>
        <v>0</v>
      </c>
      <c r="M26" s="93"/>
      <c r="N26" s="52">
        <f>(J26*'Base Data'!$C$5)+(K26*'Base Data'!$C$6)+(L26*'Base Data'!$C$7)</f>
        <v>0</v>
      </c>
      <c r="O26" s="52">
        <f>(D26+E26+F26)*G26*I26</f>
        <v>0</v>
      </c>
      <c r="P26" s="92">
        <v>0</v>
      </c>
      <c r="Q26" s="94" t="s">
        <v>387</v>
      </c>
      <c r="R26" s="147"/>
      <c r="S26" s="147"/>
      <c r="T26" s="147"/>
      <c r="U26" s="30"/>
    </row>
    <row r="27" spans="1:21" s="6" customFormat="1" ht="9">
      <c r="A27" s="142" t="s">
        <v>356</v>
      </c>
      <c r="B27" s="44"/>
      <c r="C27" s="44"/>
      <c r="D27" s="52"/>
      <c r="E27" s="52"/>
      <c r="F27" s="52"/>
      <c r="G27" s="44"/>
      <c r="H27" s="44"/>
      <c r="I27" s="92"/>
      <c r="J27" s="92"/>
      <c r="K27" s="92"/>
      <c r="L27" s="92"/>
      <c r="M27" s="93"/>
      <c r="N27" s="52"/>
      <c r="O27" s="52"/>
      <c r="P27" s="92"/>
      <c r="Q27" s="94"/>
      <c r="R27" s="147"/>
      <c r="S27" s="147"/>
      <c r="T27" s="147"/>
      <c r="U27" s="30"/>
    </row>
    <row r="28" spans="1:21" s="6" customFormat="1" ht="9">
      <c r="A28" s="142" t="s">
        <v>411</v>
      </c>
      <c r="B28" s="44">
        <v>10</v>
      </c>
      <c r="C28" s="44"/>
      <c r="D28" s="52">
        <v>0</v>
      </c>
      <c r="E28" s="52">
        <v>0</v>
      </c>
      <c r="F28" s="52">
        <v>158000</v>
      </c>
      <c r="G28" s="44">
        <v>1</v>
      </c>
      <c r="H28" s="44">
        <f>B28*G28</f>
        <v>10</v>
      </c>
      <c r="I28" s="91">
        <v>0</v>
      </c>
      <c r="J28" s="92">
        <f>H28*I28</f>
        <v>0</v>
      </c>
      <c r="K28" s="92">
        <f>J28*0.1</f>
        <v>0</v>
      </c>
      <c r="L28" s="92">
        <f>J28*0.05</f>
        <v>0</v>
      </c>
      <c r="M28" s="93"/>
      <c r="N28" s="52">
        <f>(J28*'Base Data'!$C$5)+(K28*'Base Data'!$C$6)+(L28*'Base Data'!$C$7)</f>
        <v>0</v>
      </c>
      <c r="O28" s="52">
        <f>(D28+E28+F28)*G28*I28</f>
        <v>0</v>
      </c>
      <c r="P28" s="92">
        <v>0</v>
      </c>
      <c r="Q28" s="94" t="s">
        <v>263</v>
      </c>
      <c r="R28" s="147"/>
      <c r="S28" s="147"/>
      <c r="T28" s="147"/>
      <c r="U28" s="30"/>
    </row>
    <row r="29" spans="1:21" s="6" customFormat="1" ht="9">
      <c r="A29" s="142" t="s">
        <v>414</v>
      </c>
      <c r="B29" s="44">
        <v>10</v>
      </c>
      <c r="C29" s="44"/>
      <c r="D29" s="52">
        <v>0</v>
      </c>
      <c r="E29" s="52">
        <v>0</v>
      </c>
      <c r="F29" s="52">
        <v>56100</v>
      </c>
      <c r="G29" s="44">
        <v>1</v>
      </c>
      <c r="H29" s="44">
        <f>B29*G29</f>
        <v>10</v>
      </c>
      <c r="I29" s="91">
        <f>'Fac-NewLrgLiquid-Yr2'!I29</f>
        <v>1</v>
      </c>
      <c r="J29" s="92">
        <f>H29*I29</f>
        <v>10</v>
      </c>
      <c r="K29" s="92">
        <f>J29*0.1</f>
        <v>1</v>
      </c>
      <c r="L29" s="92">
        <f>J29*0.05</f>
        <v>0.5</v>
      </c>
      <c r="M29" s="93"/>
      <c r="N29" s="52">
        <f>(J29*'Base Data'!$C$5)+(K29*'Base Data'!$C$6)+(L29*'Base Data'!$C$7)</f>
        <v>1087.7749999999999</v>
      </c>
      <c r="O29" s="52">
        <f>(D29+E29+F29)*G29*I29</f>
        <v>56100</v>
      </c>
      <c r="P29" s="92">
        <v>0</v>
      </c>
      <c r="Q29" s="94" t="s">
        <v>263</v>
      </c>
      <c r="R29" s="147"/>
      <c r="S29" s="147"/>
      <c r="T29" s="147"/>
      <c r="U29" s="30"/>
    </row>
    <row r="30" spans="1:21" s="6" customFormat="1" ht="9">
      <c r="A30" s="142" t="s">
        <v>522</v>
      </c>
      <c r="B30" s="44"/>
      <c r="C30" s="44"/>
      <c r="D30" s="52"/>
      <c r="E30" s="52"/>
      <c r="F30" s="52"/>
      <c r="G30" s="44"/>
      <c r="H30" s="44"/>
      <c r="I30" s="91"/>
      <c r="J30" s="92"/>
      <c r="K30" s="92"/>
      <c r="L30" s="92"/>
      <c r="M30" s="93"/>
      <c r="N30" s="52"/>
      <c r="O30" s="52"/>
      <c r="P30" s="92"/>
      <c r="Q30" s="94"/>
    </row>
    <row r="31" spans="1:21" s="6" customFormat="1" ht="9">
      <c r="A31" s="142" t="s">
        <v>411</v>
      </c>
      <c r="B31" s="44">
        <v>10</v>
      </c>
      <c r="C31" s="44"/>
      <c r="D31" s="52">
        <v>0</v>
      </c>
      <c r="E31" s="52">
        <v>0</v>
      </c>
      <c r="F31" s="52">
        <f>Monitors!$F$32</f>
        <v>8523</v>
      </c>
      <c r="G31" s="44">
        <v>1</v>
      </c>
      <c r="H31" s="44">
        <f t="shared" ref="H31:H32" si="5">B31*G31</f>
        <v>10</v>
      </c>
      <c r="I31" s="91">
        <f>ROUND(Monitors!$F$23/3,0)</f>
        <v>3</v>
      </c>
      <c r="J31" s="92">
        <f t="shared" ref="J31:J32" si="6">H31*I31</f>
        <v>30</v>
      </c>
      <c r="K31" s="92">
        <f t="shared" ref="K31:K32" si="7">J31*0.1</f>
        <v>3</v>
      </c>
      <c r="L31" s="92">
        <f t="shared" ref="L31:L32" si="8">J31*0.05</f>
        <v>1.5</v>
      </c>
      <c r="M31" s="93"/>
      <c r="N31" s="52">
        <f>(J31*'Base Data'!$C$5)+(K31*'Base Data'!$C$6)+(L31*'Base Data'!$C$7)</f>
        <v>3263.3250000000003</v>
      </c>
      <c r="O31" s="52">
        <f>(D31+E31+F31)*G31*I31</f>
        <v>25569</v>
      </c>
      <c r="P31" s="92">
        <v>0</v>
      </c>
      <c r="Q31" s="94" t="s">
        <v>387</v>
      </c>
    </row>
    <row r="32" spans="1:21" s="6" customFormat="1" ht="9">
      <c r="A32" s="142" t="s">
        <v>414</v>
      </c>
      <c r="B32" s="44">
        <v>10</v>
      </c>
      <c r="C32" s="44"/>
      <c r="D32" s="52">
        <v>0</v>
      </c>
      <c r="E32" s="52">
        <v>0</v>
      </c>
      <c r="F32" s="52">
        <f>Monitors!$G$32</f>
        <v>1436</v>
      </c>
      <c r="G32" s="44">
        <v>1</v>
      </c>
      <c r="H32" s="44">
        <f t="shared" si="5"/>
        <v>10</v>
      </c>
      <c r="I32" s="91">
        <f>ROUND(Monitors!$F$23/3,0)+'Fac-NewLrgLiquid-Yr2'!I32</f>
        <v>10</v>
      </c>
      <c r="J32" s="92">
        <f t="shared" si="6"/>
        <v>100</v>
      </c>
      <c r="K32" s="92">
        <f t="shared" si="7"/>
        <v>10</v>
      </c>
      <c r="L32" s="92">
        <f t="shared" si="8"/>
        <v>5</v>
      </c>
      <c r="M32" s="93"/>
      <c r="N32" s="52">
        <f>(J32*'Base Data'!$C$5)+(K32*'Base Data'!$C$6)+(L32*'Base Data'!$C$7)</f>
        <v>10877.75</v>
      </c>
      <c r="O32" s="52">
        <f>(D32+E32+F32)*G32*I32</f>
        <v>14360</v>
      </c>
      <c r="P32" s="92">
        <v>0</v>
      </c>
      <c r="Q32" s="94" t="s">
        <v>387</v>
      </c>
    </row>
    <row r="33" spans="1:21" s="6" customFormat="1" ht="18">
      <c r="A33" s="143" t="s">
        <v>173</v>
      </c>
      <c r="B33" s="44"/>
      <c r="C33" s="44"/>
      <c r="D33" s="52"/>
      <c r="E33" s="52"/>
      <c r="F33" s="95"/>
      <c r="G33" s="44"/>
      <c r="H33" s="44"/>
      <c r="I33" s="96"/>
      <c r="J33" s="92"/>
      <c r="K33" s="92"/>
      <c r="L33" s="92"/>
      <c r="M33" s="93"/>
      <c r="N33" s="52"/>
      <c r="O33" s="52"/>
      <c r="P33" s="92"/>
      <c r="Q33" s="94"/>
      <c r="R33" s="147"/>
      <c r="S33" s="147"/>
      <c r="T33" s="147"/>
      <c r="U33" s="30"/>
    </row>
    <row r="34" spans="1:21" s="6" customFormat="1" ht="9">
      <c r="A34" s="142" t="s">
        <v>411</v>
      </c>
      <c r="B34" s="44">
        <v>10</v>
      </c>
      <c r="C34" s="44"/>
      <c r="D34" s="52">
        <v>0</v>
      </c>
      <c r="E34" s="52">
        <v>0</v>
      </c>
      <c r="F34" s="52">
        <v>24300</v>
      </c>
      <c r="G34" s="44">
        <v>1</v>
      </c>
      <c r="H34" s="44">
        <f>B34*G34</f>
        <v>10</v>
      </c>
      <c r="I34" s="91">
        <f>ROUND(Monitors!$D$23/3,0)</f>
        <v>3</v>
      </c>
      <c r="J34" s="92">
        <f>H34*I34</f>
        <v>30</v>
      </c>
      <c r="K34" s="92">
        <f>J34*0.1</f>
        <v>3</v>
      </c>
      <c r="L34" s="92">
        <f>J34*0.05</f>
        <v>1.5</v>
      </c>
      <c r="M34" s="93"/>
      <c r="N34" s="52">
        <f>(J34*'Base Data'!$C$5)+(K34*'Base Data'!$C$6)+(L34*'Base Data'!$C$7)</f>
        <v>3263.3250000000003</v>
      </c>
      <c r="O34" s="52">
        <f>(D34+E34+F34)*G34*I34</f>
        <v>72900</v>
      </c>
      <c r="P34" s="92">
        <v>0</v>
      </c>
      <c r="Q34" s="94" t="s">
        <v>387</v>
      </c>
      <c r="R34" s="147"/>
      <c r="S34" s="147"/>
      <c r="T34" s="147"/>
      <c r="U34" s="30"/>
    </row>
    <row r="35" spans="1:21" s="6" customFormat="1" ht="9">
      <c r="A35" s="142" t="s">
        <v>414</v>
      </c>
      <c r="B35" s="44">
        <v>10</v>
      </c>
      <c r="C35" s="44"/>
      <c r="D35" s="52">
        <v>0</v>
      </c>
      <c r="E35" s="52">
        <v>0</v>
      </c>
      <c r="F35" s="52">
        <v>5600</v>
      </c>
      <c r="G35" s="44">
        <v>1</v>
      </c>
      <c r="H35" s="44">
        <f>B35*G35</f>
        <v>10</v>
      </c>
      <c r="I35" s="91">
        <f>ROUND(Monitors!$D$23/3,0)+'Fac-NewLrgLiquid-Yr2'!I35</f>
        <v>10</v>
      </c>
      <c r="J35" s="92">
        <f>H35*I35</f>
        <v>100</v>
      </c>
      <c r="K35" s="92">
        <f>J35*0.1</f>
        <v>10</v>
      </c>
      <c r="L35" s="92">
        <f>J35*0.05</f>
        <v>5</v>
      </c>
      <c r="M35" s="93"/>
      <c r="N35" s="52">
        <f>(J35*'Base Data'!$C$5)+(K35*'Base Data'!$C$6)+(L35*'Base Data'!$C$7)</f>
        <v>10877.75</v>
      </c>
      <c r="O35" s="52">
        <f>(D35+E35+F35)*G35*I35</f>
        <v>56000</v>
      </c>
      <c r="P35" s="92">
        <v>0</v>
      </c>
      <c r="Q35" s="94" t="s">
        <v>387</v>
      </c>
      <c r="R35" s="147"/>
      <c r="S35" s="147"/>
      <c r="T35" s="147"/>
      <c r="U35" s="30"/>
    </row>
    <row r="36" spans="1:21" s="6" customFormat="1" ht="18">
      <c r="A36" s="143" t="s">
        <v>475</v>
      </c>
      <c r="B36" s="44"/>
      <c r="C36" s="44"/>
      <c r="D36" s="52"/>
      <c r="E36" s="52"/>
      <c r="F36" s="52"/>
      <c r="G36" s="44"/>
      <c r="H36" s="44"/>
      <c r="I36" s="96"/>
      <c r="J36" s="92"/>
      <c r="K36" s="92"/>
      <c r="L36" s="92"/>
      <c r="M36" s="93"/>
      <c r="N36" s="52"/>
      <c r="O36" s="238"/>
      <c r="P36" s="92"/>
      <c r="Q36" s="94"/>
      <c r="R36" s="147"/>
      <c r="S36" s="147"/>
      <c r="T36" s="147"/>
      <c r="U36" s="30"/>
    </row>
    <row r="37" spans="1:21" s="6" customFormat="1" ht="9">
      <c r="A37" s="142" t="s">
        <v>411</v>
      </c>
      <c r="B37" s="44">
        <v>10</v>
      </c>
      <c r="C37" s="44"/>
      <c r="D37" s="52">
        <v>0</v>
      </c>
      <c r="E37" s="52">
        <v>0</v>
      </c>
      <c r="F37" s="52">
        <f>25500</f>
        <v>25500</v>
      </c>
      <c r="G37" s="44">
        <v>1</v>
      </c>
      <c r="H37" s="44">
        <f>B37*G37</f>
        <v>10</v>
      </c>
      <c r="I37" s="91">
        <f>ROUND(Monitors!$B$23/3,0)</f>
        <v>1</v>
      </c>
      <c r="J37" s="92">
        <f>H37*I37</f>
        <v>10</v>
      </c>
      <c r="K37" s="92">
        <f>J37*0.1</f>
        <v>1</v>
      </c>
      <c r="L37" s="92">
        <f>J37*0.05</f>
        <v>0.5</v>
      </c>
      <c r="M37" s="93"/>
      <c r="N37" s="52">
        <f>(J37*'Base Data'!$C$5)+(K37*'Base Data'!$C$6)+(L37*'Base Data'!$C$7)</f>
        <v>1087.7749999999999</v>
      </c>
      <c r="O37" s="52">
        <f>(D37+E37+F37)*G37*I37</f>
        <v>25500</v>
      </c>
      <c r="P37" s="92">
        <v>0</v>
      </c>
      <c r="Q37" s="94" t="s">
        <v>387</v>
      </c>
      <c r="R37" s="147"/>
      <c r="S37" s="147"/>
      <c r="T37" s="147"/>
      <c r="U37" s="30"/>
    </row>
    <row r="38" spans="1:21" s="6" customFormat="1" ht="9">
      <c r="A38" s="142" t="s">
        <v>414</v>
      </c>
      <c r="B38" s="44">
        <v>10</v>
      </c>
      <c r="C38" s="44"/>
      <c r="D38" s="52">
        <v>0</v>
      </c>
      <c r="E38" s="52">
        <v>0</v>
      </c>
      <c r="F38" s="52">
        <v>9700</v>
      </c>
      <c r="G38" s="44">
        <v>1</v>
      </c>
      <c r="H38" s="44">
        <f>B38*G38</f>
        <v>10</v>
      </c>
      <c r="I38" s="91">
        <f>ROUND(Monitors!$B$23/3,0)+'Fac-NewLrgLiquid-Yr2'!I38</f>
        <v>4</v>
      </c>
      <c r="J38" s="92">
        <f>H38*I38</f>
        <v>40</v>
      </c>
      <c r="K38" s="92">
        <f>J38*0.1</f>
        <v>4</v>
      </c>
      <c r="L38" s="92">
        <f>J38*0.05</f>
        <v>2</v>
      </c>
      <c r="M38" s="93"/>
      <c r="N38" s="52">
        <f>(J38*'Base Data'!$C$5)+(K38*'Base Data'!$C$6)+(L38*'Base Data'!$C$7)</f>
        <v>4351.0999999999995</v>
      </c>
      <c r="O38" s="52">
        <f>(D38+E38+F38)*G38*I38</f>
        <v>38800</v>
      </c>
      <c r="P38" s="92">
        <v>0</v>
      </c>
      <c r="Q38" s="94" t="s">
        <v>387</v>
      </c>
      <c r="R38" s="147"/>
      <c r="S38" s="147"/>
      <c r="T38" s="147"/>
      <c r="U38" s="30"/>
    </row>
    <row r="39" spans="1:21" s="6" customFormat="1" ht="18">
      <c r="A39" s="143" t="s">
        <v>174</v>
      </c>
      <c r="B39" s="44"/>
      <c r="C39" s="44"/>
      <c r="D39" s="52"/>
      <c r="E39" s="52"/>
      <c r="F39" s="52"/>
      <c r="G39" s="44"/>
      <c r="H39" s="44"/>
      <c r="I39" s="96"/>
      <c r="J39" s="92"/>
      <c r="K39" s="92"/>
      <c r="L39" s="92"/>
      <c r="M39" s="93"/>
      <c r="N39" s="52"/>
      <c r="O39" s="52"/>
      <c r="P39" s="92"/>
      <c r="Q39" s="94"/>
      <c r="R39" s="147"/>
      <c r="S39" s="147"/>
      <c r="T39" s="147"/>
      <c r="U39" s="30"/>
    </row>
    <row r="40" spans="1:21" s="6" customFormat="1" ht="9">
      <c r="A40" s="142" t="s">
        <v>411</v>
      </c>
      <c r="B40" s="44">
        <v>10</v>
      </c>
      <c r="C40" s="44"/>
      <c r="D40" s="52">
        <v>0</v>
      </c>
      <c r="E40" s="52">
        <v>0</v>
      </c>
      <c r="F40" s="52">
        <v>115000</v>
      </c>
      <c r="G40" s="44">
        <v>1</v>
      </c>
      <c r="H40" s="44">
        <f>B40*G40</f>
        <v>10</v>
      </c>
      <c r="I40" s="91">
        <f>ROUNDDOWN(Monitors!$E$23/3,0)</f>
        <v>2</v>
      </c>
      <c r="J40" s="92">
        <f>H40*I40</f>
        <v>20</v>
      </c>
      <c r="K40" s="92">
        <f>J40*0.1</f>
        <v>2</v>
      </c>
      <c r="L40" s="92">
        <f>J40*0.05</f>
        <v>1</v>
      </c>
      <c r="M40" s="93"/>
      <c r="N40" s="52">
        <f>(J40*'Base Data'!$C$5)+(K40*'Base Data'!$C$6)+(L40*'Base Data'!$C$7)</f>
        <v>2175.5499999999997</v>
      </c>
      <c r="O40" s="52">
        <f>(D40+E40+F40)*G40*I40</f>
        <v>230000</v>
      </c>
      <c r="P40" s="92">
        <v>0</v>
      </c>
      <c r="Q40" s="94" t="s">
        <v>387</v>
      </c>
      <c r="R40" s="147"/>
      <c r="S40" s="147"/>
      <c r="T40" s="147"/>
      <c r="U40" s="30"/>
    </row>
    <row r="41" spans="1:21" s="6" customFormat="1" ht="9">
      <c r="A41" s="142" t="s">
        <v>414</v>
      </c>
      <c r="B41" s="44">
        <v>10</v>
      </c>
      <c r="C41" s="44"/>
      <c r="D41" s="52">
        <v>0</v>
      </c>
      <c r="E41" s="52">
        <v>0</v>
      </c>
      <c r="F41" s="52">
        <v>9700</v>
      </c>
      <c r="G41" s="44">
        <v>1</v>
      </c>
      <c r="H41" s="44">
        <f>B41*G41</f>
        <v>10</v>
      </c>
      <c r="I41" s="91">
        <f>ROUNDDOWN(Monitors!$E$23/3,0)+'Fac-NewLrgLiquid-Yr2'!I41</f>
        <v>8</v>
      </c>
      <c r="J41" s="92">
        <f>H41*I41</f>
        <v>80</v>
      </c>
      <c r="K41" s="92">
        <f>J41*0.1</f>
        <v>8</v>
      </c>
      <c r="L41" s="92">
        <f>J41*0.05</f>
        <v>4</v>
      </c>
      <c r="M41" s="93"/>
      <c r="N41" s="52">
        <f>(J41*'Base Data'!$C$5)+(K41*'Base Data'!$C$6)+(L41*'Base Data'!$C$7)</f>
        <v>8702.1999999999989</v>
      </c>
      <c r="O41" s="52">
        <f>(D41+E41+F41)*G41*I41</f>
        <v>77600</v>
      </c>
      <c r="P41" s="92">
        <v>0</v>
      </c>
      <c r="Q41" s="94" t="s">
        <v>387</v>
      </c>
      <c r="R41" s="147"/>
      <c r="S41" s="147"/>
      <c r="T41" s="147"/>
      <c r="U41" s="30"/>
    </row>
    <row r="42" spans="1:21" s="6" customFormat="1" ht="9">
      <c r="A42" s="142" t="s">
        <v>415</v>
      </c>
      <c r="B42" s="44" t="s">
        <v>433</v>
      </c>
      <c r="C42" s="44"/>
      <c r="D42" s="52"/>
      <c r="E42" s="52"/>
      <c r="F42" s="52"/>
      <c r="G42" s="44"/>
      <c r="H42" s="44"/>
      <c r="I42" s="92"/>
      <c r="J42" s="92"/>
      <c r="K42" s="92"/>
      <c r="L42" s="92"/>
      <c r="M42" s="44"/>
      <c r="N42" s="52"/>
      <c r="O42" s="52"/>
      <c r="P42" s="92"/>
      <c r="Q42" s="94"/>
      <c r="R42" s="147"/>
      <c r="S42" s="147"/>
      <c r="T42" s="147"/>
      <c r="U42" s="30"/>
    </row>
    <row r="43" spans="1:21" s="6" customFormat="1" ht="9">
      <c r="A43" s="142" t="s">
        <v>416</v>
      </c>
      <c r="B43" s="44" t="s">
        <v>433</v>
      </c>
      <c r="C43" s="44"/>
      <c r="D43" s="52"/>
      <c r="E43" s="52"/>
      <c r="F43" s="52"/>
      <c r="G43" s="44"/>
      <c r="H43" s="44"/>
      <c r="I43" s="92"/>
      <c r="J43" s="92"/>
      <c r="K43" s="92"/>
      <c r="L43" s="92"/>
      <c r="M43" s="44"/>
      <c r="N43" s="52"/>
      <c r="O43" s="52"/>
      <c r="P43" s="92"/>
      <c r="Q43" s="94"/>
      <c r="R43" s="147"/>
      <c r="S43" s="147"/>
      <c r="T43" s="147"/>
    </row>
    <row r="44" spans="1:21" s="6" customFormat="1" ht="9">
      <c r="A44" s="142" t="s">
        <v>417</v>
      </c>
      <c r="B44" s="44"/>
      <c r="C44" s="44"/>
      <c r="D44" s="52"/>
      <c r="E44" s="52"/>
      <c r="F44" s="52"/>
      <c r="G44" s="44"/>
      <c r="H44" s="44"/>
      <c r="I44" s="92"/>
      <c r="J44" s="92"/>
      <c r="K44" s="92"/>
      <c r="L44" s="92"/>
      <c r="M44" s="44"/>
      <c r="N44" s="52"/>
      <c r="O44" s="52"/>
      <c r="P44" s="92"/>
      <c r="Q44" s="94"/>
      <c r="R44" s="147"/>
      <c r="S44" s="147"/>
      <c r="T44" s="147"/>
    </row>
    <row r="45" spans="1:21" s="6" customFormat="1" ht="9">
      <c r="A45" s="177" t="s">
        <v>435</v>
      </c>
      <c r="B45" s="44">
        <v>2</v>
      </c>
      <c r="C45" s="44"/>
      <c r="D45" s="52">
        <v>0</v>
      </c>
      <c r="E45" s="52">
        <v>0</v>
      </c>
      <c r="F45" s="52">
        <v>0</v>
      </c>
      <c r="G45" s="44">
        <v>1</v>
      </c>
      <c r="H45" s="44">
        <f>B45*G45</f>
        <v>2</v>
      </c>
      <c r="I45" s="91">
        <f>$I$7</f>
        <v>1</v>
      </c>
      <c r="J45" s="92">
        <f>H45*I45</f>
        <v>2</v>
      </c>
      <c r="K45" s="92">
        <f>J45*0.1</f>
        <v>0.2</v>
      </c>
      <c r="L45" s="92">
        <f>J45*0.05</f>
        <v>0.1</v>
      </c>
      <c r="M45" s="44">
        <f>C45*G45*I45</f>
        <v>0</v>
      </c>
      <c r="N45" s="52">
        <f>(J45*'Base Data'!$C$5)+(K45*'Base Data'!$C$6)+(L45*'Base Data'!$C$7)</f>
        <v>217.55500000000001</v>
      </c>
      <c r="O45" s="52">
        <f>(D45+E45+F45)*G45*I45</f>
        <v>0</v>
      </c>
      <c r="P45" s="92">
        <f>G45*I45</f>
        <v>1</v>
      </c>
      <c r="Q45" s="94" t="s">
        <v>387</v>
      </c>
      <c r="R45" s="147"/>
      <c r="S45" s="147"/>
      <c r="T45" s="147"/>
    </row>
    <row r="46" spans="1:21" s="6" customFormat="1" ht="9" customHeight="1">
      <c r="A46" s="177" t="s">
        <v>377</v>
      </c>
      <c r="B46" s="44">
        <v>8</v>
      </c>
      <c r="C46" s="44"/>
      <c r="D46" s="52">
        <v>0</v>
      </c>
      <c r="E46" s="52">
        <v>0</v>
      </c>
      <c r="F46" s="52">
        <v>0</v>
      </c>
      <c r="G46" s="44">
        <v>1</v>
      </c>
      <c r="H46" s="44">
        <f>B46*G46</f>
        <v>8</v>
      </c>
      <c r="I46" s="91">
        <f>$I$7</f>
        <v>1</v>
      </c>
      <c r="J46" s="92">
        <f>H46*I46</f>
        <v>8</v>
      </c>
      <c r="K46" s="92">
        <f>J46*0.1</f>
        <v>0.8</v>
      </c>
      <c r="L46" s="92">
        <f>J46*0.05</f>
        <v>0.4</v>
      </c>
      <c r="M46" s="44">
        <f>C46*G46*I46</f>
        <v>0</v>
      </c>
      <c r="N46" s="52">
        <f>(J46*'Base Data'!$C$5)+(K46*'Base Data'!$C$6)+(L46*'Base Data'!$C$7)</f>
        <v>870.22</v>
      </c>
      <c r="O46" s="52">
        <f>(D46+E46+F46)*G46*I46</f>
        <v>0</v>
      </c>
      <c r="P46" s="92">
        <f>G46*I46</f>
        <v>1</v>
      </c>
      <c r="Q46" s="94" t="s">
        <v>387</v>
      </c>
      <c r="R46" s="147"/>
      <c r="S46" s="147"/>
      <c r="T46" s="147"/>
    </row>
    <row r="47" spans="1:21" s="6" customFormat="1" ht="9">
      <c r="A47" s="144" t="s">
        <v>492</v>
      </c>
      <c r="B47" s="44">
        <v>20</v>
      </c>
      <c r="C47" s="44">
        <v>0</v>
      </c>
      <c r="D47" s="52">
        <v>0</v>
      </c>
      <c r="E47" s="52">
        <v>0</v>
      </c>
      <c r="F47" s="52">
        <v>0</v>
      </c>
      <c r="G47" s="44">
        <v>2</v>
      </c>
      <c r="H47" s="44">
        <f>B47*G47</f>
        <v>40</v>
      </c>
      <c r="I47" s="91">
        <f>$I$7+'Fac-NewLrgLiquid-Yr2'!I47</f>
        <v>4</v>
      </c>
      <c r="J47" s="92">
        <f>H47*I47</f>
        <v>160</v>
      </c>
      <c r="K47" s="92">
        <f>J47*0.1</f>
        <v>16</v>
      </c>
      <c r="L47" s="92">
        <f>J47*0.05</f>
        <v>8</v>
      </c>
      <c r="M47" s="92">
        <f>C47*G47*I47</f>
        <v>0</v>
      </c>
      <c r="N47" s="52">
        <f>(J47*'Base Data'!$C$5)+(K47*'Base Data'!$C$6)+(L47*'Base Data'!$C$7)</f>
        <v>17404.399999999998</v>
      </c>
      <c r="O47" s="52">
        <f>(D47+E47+F47)*G47*I47</f>
        <v>0</v>
      </c>
      <c r="P47" s="92">
        <f>G47*I47</f>
        <v>8</v>
      </c>
      <c r="Q47" s="94" t="s">
        <v>387</v>
      </c>
      <c r="R47" s="184"/>
      <c r="S47" s="147"/>
      <c r="T47" s="147"/>
    </row>
    <row r="48" spans="1:21" s="6" customFormat="1" ht="9">
      <c r="A48" s="145" t="s">
        <v>7</v>
      </c>
      <c r="B48" s="44"/>
      <c r="C48" s="44"/>
      <c r="D48" s="52"/>
      <c r="E48" s="52"/>
      <c r="F48" s="52"/>
      <c r="G48" s="44"/>
      <c r="H48" s="44"/>
      <c r="I48" s="91"/>
      <c r="J48" s="92">
        <f t="shared" ref="J48:O48" si="9">SUM(J4:J47)</f>
        <v>1453</v>
      </c>
      <c r="K48" s="92">
        <f t="shared" si="9"/>
        <v>145.30000000000001</v>
      </c>
      <c r="L48" s="92">
        <f t="shared" si="9"/>
        <v>72.650000000000006</v>
      </c>
      <c r="M48" s="92">
        <f t="shared" si="9"/>
        <v>0</v>
      </c>
      <c r="N48" s="52">
        <f t="shared" si="9"/>
        <v>158053.70749999999</v>
      </c>
      <c r="O48" s="52">
        <f t="shared" si="9"/>
        <v>906629</v>
      </c>
      <c r="P48" s="92">
        <f>SUM(P45:P47)</f>
        <v>10</v>
      </c>
      <c r="Q48" s="94"/>
      <c r="R48" s="150">
        <f>SUM(O7,O9:O21,O26,O29,O32,O35,O38,O41)</f>
        <v>552660</v>
      </c>
      <c r="S48" s="149">
        <f>SUM(O25,O28,O31,O34,O37,O40)</f>
        <v>353969</v>
      </c>
      <c r="T48" s="147"/>
    </row>
    <row r="49" spans="1:20" s="6" customFormat="1" ht="9">
      <c r="A49" s="142" t="s">
        <v>431</v>
      </c>
      <c r="B49" s="44"/>
      <c r="C49" s="44"/>
      <c r="D49" s="52"/>
      <c r="E49" s="52"/>
      <c r="F49" s="52"/>
      <c r="G49" s="44"/>
      <c r="H49" s="44"/>
      <c r="I49" s="92"/>
      <c r="J49" s="92"/>
      <c r="K49" s="92"/>
      <c r="L49" s="92"/>
      <c r="M49" s="44"/>
      <c r="N49" s="52"/>
      <c r="O49" s="52"/>
      <c r="P49" s="92"/>
      <c r="Q49" s="94"/>
      <c r="R49" s="147"/>
      <c r="S49" s="147"/>
      <c r="T49" s="147"/>
    </row>
    <row r="50" spans="1:20" s="6" customFormat="1" ht="9">
      <c r="A50" s="142" t="s">
        <v>418</v>
      </c>
      <c r="B50" s="44" t="s">
        <v>422</v>
      </c>
      <c r="C50" s="44"/>
      <c r="D50" s="52"/>
      <c r="E50" s="52"/>
      <c r="F50" s="52"/>
      <c r="G50" s="44"/>
      <c r="H50" s="44"/>
      <c r="I50" s="92"/>
      <c r="J50" s="92"/>
      <c r="K50" s="92"/>
      <c r="L50" s="92"/>
      <c r="M50" s="44"/>
      <c r="N50" s="52"/>
      <c r="O50" s="52"/>
      <c r="P50" s="92"/>
      <c r="Q50" s="94"/>
      <c r="R50" s="147"/>
      <c r="S50" s="147"/>
      <c r="T50" s="147"/>
    </row>
    <row r="51" spans="1:20" s="6" customFormat="1" ht="9">
      <c r="A51" s="142" t="s">
        <v>419</v>
      </c>
      <c r="B51" s="44" t="s">
        <v>433</v>
      </c>
      <c r="C51" s="44"/>
      <c r="D51" s="52"/>
      <c r="E51" s="52"/>
      <c r="F51" s="52"/>
      <c r="G51" s="44"/>
      <c r="H51" s="44"/>
      <c r="I51" s="92"/>
      <c r="J51" s="92"/>
      <c r="K51" s="92"/>
      <c r="L51" s="92"/>
      <c r="M51" s="44"/>
      <c r="N51" s="52"/>
      <c r="O51" s="52"/>
      <c r="P51" s="92"/>
      <c r="Q51" s="94"/>
      <c r="R51" s="147"/>
      <c r="S51" s="147"/>
      <c r="T51" s="147"/>
    </row>
    <row r="52" spans="1:20" s="6" customFormat="1" ht="9">
      <c r="A52" s="142" t="s">
        <v>420</v>
      </c>
      <c r="B52" s="44" t="s">
        <v>433</v>
      </c>
      <c r="C52" s="44"/>
      <c r="D52" s="52"/>
      <c r="E52" s="52"/>
      <c r="F52" s="52"/>
      <c r="G52" s="44"/>
      <c r="H52" s="44"/>
      <c r="I52" s="92"/>
      <c r="J52" s="92"/>
      <c r="K52" s="92"/>
      <c r="L52" s="92"/>
      <c r="M52" s="44"/>
      <c r="N52" s="52"/>
      <c r="O52" s="52"/>
      <c r="P52" s="92"/>
      <c r="Q52" s="94" t="s">
        <v>389</v>
      </c>
      <c r="R52" s="147"/>
      <c r="S52" s="147"/>
      <c r="T52" s="147"/>
    </row>
    <row r="53" spans="1:20" s="6" customFormat="1" ht="9">
      <c r="A53" s="142" t="s">
        <v>421</v>
      </c>
      <c r="B53" s="44"/>
      <c r="C53" s="44"/>
      <c r="D53" s="52"/>
      <c r="E53" s="52"/>
      <c r="F53" s="52"/>
      <c r="G53" s="44"/>
      <c r="H53" s="44"/>
      <c r="I53" s="92"/>
      <c r="J53" s="92"/>
      <c r="K53" s="92"/>
      <c r="L53" s="92"/>
      <c r="M53" s="44"/>
      <c r="N53" s="52"/>
      <c r="O53" s="52"/>
      <c r="P53" s="92"/>
      <c r="Q53" s="94"/>
      <c r="R53" s="147"/>
      <c r="S53" s="147"/>
      <c r="T53" s="147"/>
    </row>
    <row r="54" spans="1:20" s="6" customFormat="1" ht="9.75" customHeight="1">
      <c r="A54" s="142" t="s">
        <v>429</v>
      </c>
      <c r="B54" s="44">
        <v>20</v>
      </c>
      <c r="C54" s="44"/>
      <c r="D54" s="52">
        <v>0</v>
      </c>
      <c r="E54" s="52">
        <v>0</v>
      </c>
      <c r="F54" s="52">
        <v>0</v>
      </c>
      <c r="G54" s="44">
        <v>1</v>
      </c>
      <c r="H54" s="44">
        <f t="shared" ref="H54:H60" si="10">B54*G54</f>
        <v>20</v>
      </c>
      <c r="I54" s="91">
        <f>$I$13+'Fac-NewLrgLiquid-Yr2'!I54</f>
        <v>10</v>
      </c>
      <c r="J54" s="92">
        <f t="shared" ref="J54:J60" si="11">H54*I54</f>
        <v>200</v>
      </c>
      <c r="K54" s="92">
        <f t="shared" ref="K54:K60" si="12">J54*0.1</f>
        <v>20</v>
      </c>
      <c r="L54" s="92">
        <f t="shared" ref="L54:L60" si="13">J54*0.05</f>
        <v>10</v>
      </c>
      <c r="M54" s="44"/>
      <c r="N54" s="52">
        <f>(J54*'Base Data'!$C$5)+(K54*'Base Data'!$C$6)+(L54*'Base Data'!$C$7)</f>
        <v>21755.5</v>
      </c>
      <c r="O54" s="52">
        <f t="shared" ref="O54:O60" si="14">(D54+E54+F54)*G54*I54</f>
        <v>0</v>
      </c>
      <c r="P54" s="92">
        <v>0</v>
      </c>
      <c r="Q54" s="94" t="s">
        <v>387</v>
      </c>
      <c r="R54" s="147"/>
      <c r="S54" s="147"/>
      <c r="T54" s="147"/>
    </row>
    <row r="55" spans="1:20" s="6" customFormat="1" ht="9">
      <c r="A55" s="143" t="s">
        <v>425</v>
      </c>
      <c r="B55" s="44">
        <v>15</v>
      </c>
      <c r="C55" s="44">
        <v>0</v>
      </c>
      <c r="D55" s="52">
        <v>0</v>
      </c>
      <c r="E55" s="52">
        <v>0</v>
      </c>
      <c r="F55" s="52">
        <v>0</v>
      </c>
      <c r="G55" s="44">
        <v>1</v>
      </c>
      <c r="H55" s="44">
        <f t="shared" si="10"/>
        <v>15</v>
      </c>
      <c r="I55" s="91">
        <f>$I$13+'Fac-NewLrgLiquid-Yr2'!I55</f>
        <v>10</v>
      </c>
      <c r="J55" s="92">
        <f t="shared" si="11"/>
        <v>150</v>
      </c>
      <c r="K55" s="92">
        <f t="shared" si="12"/>
        <v>15</v>
      </c>
      <c r="L55" s="92">
        <f t="shared" si="13"/>
        <v>7.5</v>
      </c>
      <c r="M55" s="44">
        <f>C55*G55*I55</f>
        <v>0</v>
      </c>
      <c r="N55" s="52">
        <f>(J55*'Base Data'!$C$5)+(K55*'Base Data'!$C$6)+(L55*'Base Data'!$C$7)</f>
        <v>16316.625</v>
      </c>
      <c r="O55" s="52">
        <f t="shared" si="14"/>
        <v>0</v>
      </c>
      <c r="P55" s="92">
        <v>0</v>
      </c>
      <c r="Q55" s="94" t="s">
        <v>387</v>
      </c>
      <c r="R55" s="147"/>
      <c r="S55" s="147"/>
      <c r="T55" s="147"/>
    </row>
    <row r="56" spans="1:20" s="6" customFormat="1" ht="9.75" customHeight="1">
      <c r="A56" s="142" t="s">
        <v>426</v>
      </c>
      <c r="B56" s="44">
        <v>2</v>
      </c>
      <c r="C56" s="44"/>
      <c r="D56" s="52">
        <v>0</v>
      </c>
      <c r="E56" s="52">
        <v>0</v>
      </c>
      <c r="F56" s="52">
        <v>0</v>
      </c>
      <c r="G56" s="44">
        <v>1</v>
      </c>
      <c r="H56" s="44">
        <f t="shared" si="10"/>
        <v>2</v>
      </c>
      <c r="I56" s="91">
        <f>$I$13+'Fac-NewLrgLiquid-Yr2'!I56</f>
        <v>10</v>
      </c>
      <c r="J56" s="92">
        <f t="shared" si="11"/>
        <v>20</v>
      </c>
      <c r="K56" s="92">
        <f t="shared" si="12"/>
        <v>2</v>
      </c>
      <c r="L56" s="92">
        <f t="shared" si="13"/>
        <v>1</v>
      </c>
      <c r="M56" s="44"/>
      <c r="N56" s="52">
        <f>(J56*'Base Data'!$C$5)+(K56*'Base Data'!$C$6)+(L56*'Base Data'!$C$7)</f>
        <v>2175.5499999999997</v>
      </c>
      <c r="O56" s="52">
        <f t="shared" si="14"/>
        <v>0</v>
      </c>
      <c r="P56" s="92">
        <v>0</v>
      </c>
      <c r="Q56" s="94" t="s">
        <v>387</v>
      </c>
      <c r="R56" s="147"/>
      <c r="S56" s="147"/>
      <c r="T56" s="147"/>
    </row>
    <row r="57" spans="1:20" s="6" customFormat="1" ht="9">
      <c r="A57" s="143" t="s">
        <v>436</v>
      </c>
      <c r="B57" s="44">
        <v>2</v>
      </c>
      <c r="C57" s="44"/>
      <c r="D57" s="52">
        <v>0</v>
      </c>
      <c r="E57" s="52">
        <v>0</v>
      </c>
      <c r="F57" s="52">
        <v>0</v>
      </c>
      <c r="G57" s="44">
        <v>1</v>
      </c>
      <c r="H57" s="44">
        <f t="shared" si="10"/>
        <v>2</v>
      </c>
      <c r="I57" s="91">
        <f>$I$13+'Fac-NewLrgLiquid-Yr2'!I57</f>
        <v>10</v>
      </c>
      <c r="J57" s="92">
        <f t="shared" si="11"/>
        <v>20</v>
      </c>
      <c r="K57" s="92">
        <f t="shared" si="12"/>
        <v>2</v>
      </c>
      <c r="L57" s="92">
        <f t="shared" si="13"/>
        <v>1</v>
      </c>
      <c r="M57" s="44"/>
      <c r="N57" s="52">
        <f>(J57*'Base Data'!$C$5)+(K57*'Base Data'!$C$6)+(L57*'Base Data'!$C$7)</f>
        <v>2175.5499999999997</v>
      </c>
      <c r="O57" s="52">
        <f t="shared" si="14"/>
        <v>0</v>
      </c>
      <c r="P57" s="92">
        <v>0</v>
      </c>
      <c r="Q57" s="94" t="s">
        <v>387</v>
      </c>
      <c r="R57" s="147"/>
      <c r="S57" s="147"/>
      <c r="T57" s="147"/>
    </row>
    <row r="58" spans="1:20" s="6" customFormat="1" ht="9">
      <c r="A58" s="143" t="s">
        <v>437</v>
      </c>
      <c r="B58" s="44">
        <v>2</v>
      </c>
      <c r="C58" s="44">
        <v>0</v>
      </c>
      <c r="D58" s="52">
        <v>0</v>
      </c>
      <c r="E58" s="52">
        <v>0</v>
      </c>
      <c r="F58" s="52">
        <v>0</v>
      </c>
      <c r="G58" s="44">
        <v>2</v>
      </c>
      <c r="H58" s="44">
        <f t="shared" si="10"/>
        <v>4</v>
      </c>
      <c r="I58" s="91">
        <f>$I$13+'Fac-NewLrgLiquid-Yr2'!I58</f>
        <v>10</v>
      </c>
      <c r="J58" s="92">
        <f t="shared" si="11"/>
        <v>40</v>
      </c>
      <c r="K58" s="92">
        <f t="shared" si="12"/>
        <v>4</v>
      </c>
      <c r="L58" s="92">
        <f t="shared" si="13"/>
        <v>2</v>
      </c>
      <c r="M58" s="44">
        <f>C58*G58*I58</f>
        <v>0</v>
      </c>
      <c r="N58" s="52">
        <f>(J58*'Base Data'!$C$5)+(K58*'Base Data'!$C$6)+(L58*'Base Data'!$C$7)</f>
        <v>4351.0999999999995</v>
      </c>
      <c r="O58" s="52">
        <f t="shared" si="14"/>
        <v>0</v>
      </c>
      <c r="P58" s="92">
        <v>0</v>
      </c>
      <c r="Q58" s="94" t="s">
        <v>387</v>
      </c>
      <c r="R58" s="147"/>
      <c r="S58" s="147"/>
      <c r="T58" s="147"/>
    </row>
    <row r="59" spans="1:20" s="6" customFormat="1" ht="9">
      <c r="A59" s="143" t="s">
        <v>438</v>
      </c>
      <c r="B59" s="44">
        <v>0.5</v>
      </c>
      <c r="C59" s="44"/>
      <c r="D59" s="52">
        <v>0</v>
      </c>
      <c r="E59" s="52">
        <v>0</v>
      </c>
      <c r="F59" s="52">
        <v>0</v>
      </c>
      <c r="G59" s="44">
        <v>12</v>
      </c>
      <c r="H59" s="44">
        <f t="shared" si="10"/>
        <v>6</v>
      </c>
      <c r="I59" s="91">
        <f>$I$13+'Fac-NewLrgLiquid-Yr2'!I59</f>
        <v>10</v>
      </c>
      <c r="J59" s="92">
        <f t="shared" si="11"/>
        <v>60</v>
      </c>
      <c r="K59" s="92">
        <f t="shared" si="12"/>
        <v>6</v>
      </c>
      <c r="L59" s="92">
        <f t="shared" si="13"/>
        <v>3</v>
      </c>
      <c r="M59" s="44"/>
      <c r="N59" s="52">
        <f>(J59*'Base Data'!$C$5)+(K59*'Base Data'!$C$6)+(L59*'Base Data'!$C$7)</f>
        <v>6526.6500000000005</v>
      </c>
      <c r="O59" s="52">
        <f t="shared" si="14"/>
        <v>0</v>
      </c>
      <c r="P59" s="92">
        <v>0</v>
      </c>
      <c r="Q59" s="94" t="s">
        <v>261</v>
      </c>
      <c r="R59" s="147"/>
      <c r="S59" s="147"/>
      <c r="T59" s="147"/>
    </row>
    <row r="60" spans="1:20" s="6" customFormat="1" ht="9">
      <c r="A60" s="142" t="s">
        <v>427</v>
      </c>
      <c r="B60" s="44">
        <v>40</v>
      </c>
      <c r="C60" s="44"/>
      <c r="D60" s="52">
        <v>0</v>
      </c>
      <c r="E60" s="52">
        <v>0</v>
      </c>
      <c r="F60" s="52">
        <v>0</v>
      </c>
      <c r="G60" s="44">
        <v>1</v>
      </c>
      <c r="H60" s="44">
        <f t="shared" si="10"/>
        <v>40</v>
      </c>
      <c r="I60" s="91">
        <f>$I$7</f>
        <v>1</v>
      </c>
      <c r="J60" s="92">
        <f t="shared" si="11"/>
        <v>40</v>
      </c>
      <c r="K60" s="92">
        <f t="shared" si="12"/>
        <v>4</v>
      </c>
      <c r="L60" s="92">
        <f t="shared" si="13"/>
        <v>2</v>
      </c>
      <c r="M60" s="44"/>
      <c r="N60" s="52">
        <f>(J60*'Base Data'!$C$5)+(K60*'Base Data'!$C$6)+(L60*'Base Data'!$C$7)</f>
        <v>4351.0999999999995</v>
      </c>
      <c r="O60" s="52">
        <f t="shared" si="14"/>
        <v>0</v>
      </c>
      <c r="P60" s="92">
        <v>0</v>
      </c>
      <c r="Q60" s="94" t="s">
        <v>84</v>
      </c>
    </row>
    <row r="61" spans="1:20" s="6" customFormat="1" ht="9">
      <c r="A61" s="142" t="s">
        <v>428</v>
      </c>
      <c r="B61" s="44" t="s">
        <v>433</v>
      </c>
      <c r="C61" s="44"/>
      <c r="D61" s="52"/>
      <c r="E61" s="52"/>
      <c r="F61" s="52"/>
      <c r="G61" s="44"/>
      <c r="H61" s="44"/>
      <c r="I61" s="92"/>
      <c r="J61" s="92"/>
      <c r="K61" s="92"/>
      <c r="L61" s="92"/>
      <c r="M61" s="44"/>
      <c r="N61" s="52"/>
      <c r="O61" s="52"/>
      <c r="P61" s="92"/>
      <c r="Q61" s="94"/>
      <c r="R61" s="147"/>
      <c r="S61" s="147"/>
      <c r="T61" s="147"/>
    </row>
    <row r="62" spans="1:20" s="6" customFormat="1" ht="9">
      <c r="A62" s="254" t="s">
        <v>27</v>
      </c>
      <c r="B62" s="239"/>
      <c r="C62" s="239"/>
      <c r="D62" s="240"/>
      <c r="E62" s="240"/>
      <c r="F62" s="240"/>
      <c r="G62" s="239"/>
      <c r="H62" s="239"/>
      <c r="I62" s="241"/>
      <c r="J62" s="241">
        <f t="shared" ref="J62:P62" si="15">SUM(J50:J61)</f>
        <v>530</v>
      </c>
      <c r="K62" s="241">
        <f t="shared" si="15"/>
        <v>53</v>
      </c>
      <c r="L62" s="241">
        <f t="shared" si="15"/>
        <v>26.5</v>
      </c>
      <c r="M62" s="240">
        <f t="shared" si="15"/>
        <v>0</v>
      </c>
      <c r="N62" s="240">
        <f t="shared" si="15"/>
        <v>57652.075000000004</v>
      </c>
      <c r="O62" s="240">
        <f t="shared" si="15"/>
        <v>0</v>
      </c>
      <c r="P62" s="92">
        <f t="shared" si="15"/>
        <v>0</v>
      </c>
      <c r="Q62" s="242"/>
      <c r="R62" s="39">
        <f>SUM(R50:R61)</f>
        <v>0</v>
      </c>
    </row>
    <row r="63" spans="1:20" s="2" customFormat="1">
      <c r="A63" s="186" t="s">
        <v>400</v>
      </c>
      <c r="B63" s="187"/>
      <c r="C63" s="187"/>
      <c r="D63" s="187"/>
      <c r="E63" s="187"/>
      <c r="F63" s="188"/>
      <c r="G63" s="187"/>
      <c r="H63" s="187"/>
      <c r="I63" s="189"/>
      <c r="J63" s="190">
        <f t="shared" ref="J63:P63" si="16">J48+J62</f>
        <v>1983</v>
      </c>
      <c r="K63" s="190">
        <f t="shared" si="16"/>
        <v>198.3</v>
      </c>
      <c r="L63" s="190">
        <f t="shared" si="16"/>
        <v>99.15</v>
      </c>
      <c r="M63" s="191">
        <f t="shared" si="16"/>
        <v>0</v>
      </c>
      <c r="N63" s="191">
        <f t="shared" si="16"/>
        <v>215705.7825</v>
      </c>
      <c r="O63" s="191">
        <f t="shared" si="16"/>
        <v>906629</v>
      </c>
      <c r="P63" s="190">
        <f t="shared" si="16"/>
        <v>10</v>
      </c>
      <c r="Q63" s="192"/>
    </row>
    <row r="64" spans="1:20" ht="6" customHeight="1">
      <c r="A64" s="114"/>
      <c r="B64" s="54"/>
      <c r="C64" s="54"/>
      <c r="D64" s="54"/>
      <c r="E64" s="54"/>
      <c r="F64" s="54"/>
      <c r="G64" s="54"/>
      <c r="H64" s="54"/>
      <c r="I64" s="55"/>
      <c r="J64" s="54"/>
      <c r="K64" s="54"/>
      <c r="L64" s="54"/>
      <c r="M64" s="54"/>
      <c r="N64" s="54"/>
      <c r="O64" s="196"/>
      <c r="P64" s="196"/>
      <c r="Q64" s="54"/>
    </row>
    <row r="65" spans="1:18" s="14" customFormat="1" ht="19.5" customHeight="1">
      <c r="A65" s="412" t="s">
        <v>540</v>
      </c>
      <c r="B65" s="412"/>
      <c r="C65" s="412"/>
      <c r="D65" s="412"/>
      <c r="E65" s="412"/>
      <c r="F65" s="412"/>
      <c r="G65" s="412"/>
      <c r="H65" s="412"/>
      <c r="I65" s="412"/>
      <c r="J65" s="412"/>
      <c r="K65" s="412"/>
      <c r="L65" s="412"/>
      <c r="M65" s="412"/>
      <c r="N65" s="412"/>
      <c r="O65" s="412"/>
      <c r="P65" s="352"/>
      <c r="Q65" s="56"/>
    </row>
    <row r="66" spans="1:18" s="14" customFormat="1" ht="9" customHeight="1">
      <c r="A66" s="408" t="s">
        <v>153</v>
      </c>
      <c r="B66" s="408"/>
      <c r="C66" s="408"/>
      <c r="D66" s="408"/>
      <c r="E66" s="408"/>
      <c r="F66" s="408"/>
      <c r="G66" s="408"/>
      <c r="H66" s="408"/>
      <c r="I66" s="408"/>
      <c r="J66" s="408"/>
      <c r="K66" s="408"/>
      <c r="L66" s="408"/>
      <c r="M66" s="408"/>
      <c r="N66" s="408"/>
      <c r="O66" s="408"/>
      <c r="P66" s="15"/>
    </row>
    <row r="67" spans="1:18" s="14" customFormat="1" ht="9" customHeight="1">
      <c r="A67" s="408" t="s">
        <v>262</v>
      </c>
      <c r="B67" s="408"/>
      <c r="C67" s="408"/>
      <c r="D67" s="408"/>
      <c r="E67" s="408"/>
      <c r="F67" s="408"/>
      <c r="G67" s="408"/>
      <c r="H67" s="408"/>
      <c r="I67" s="408"/>
      <c r="J67" s="408"/>
      <c r="K67" s="408"/>
      <c r="L67" s="408"/>
      <c r="M67" s="408"/>
      <c r="N67" s="408"/>
      <c r="O67" s="408"/>
      <c r="P67" s="15"/>
    </row>
    <row r="68" spans="1:18" ht="20.25" customHeight="1">
      <c r="A68" s="408" t="s">
        <v>301</v>
      </c>
      <c r="B68" s="408"/>
      <c r="C68" s="408"/>
      <c r="D68" s="408"/>
      <c r="E68" s="408"/>
      <c r="F68" s="408"/>
      <c r="G68" s="408"/>
      <c r="H68" s="408"/>
      <c r="I68" s="408"/>
      <c r="J68" s="408"/>
      <c r="K68" s="408"/>
      <c r="L68" s="408"/>
      <c r="M68" s="408"/>
      <c r="N68" s="408"/>
      <c r="O68" s="408"/>
      <c r="P68" s="1"/>
      <c r="Q68" s="1"/>
      <c r="R68" s="14"/>
    </row>
    <row r="69" spans="1:18" s="14" customFormat="1" ht="9" customHeight="1">
      <c r="A69" s="14" t="s">
        <v>441</v>
      </c>
      <c r="B69" s="15"/>
      <c r="C69" s="15"/>
      <c r="D69" s="15"/>
      <c r="E69" s="15"/>
      <c r="F69" s="15"/>
      <c r="G69" s="15"/>
      <c r="H69" s="15"/>
      <c r="I69" s="16"/>
      <c r="J69" s="15"/>
      <c r="K69" s="15"/>
      <c r="L69" s="15"/>
      <c r="M69" s="15"/>
      <c r="N69" s="15"/>
      <c r="O69" s="17"/>
      <c r="P69" s="15"/>
    </row>
    <row r="70" spans="1:18" s="14" customFormat="1" ht="9">
      <c r="A70" s="14" t="s">
        <v>106</v>
      </c>
      <c r="B70" s="15"/>
      <c r="C70" s="15"/>
      <c r="D70" s="15"/>
      <c r="E70" s="15"/>
      <c r="F70" s="15"/>
      <c r="G70" s="15"/>
      <c r="H70" s="15"/>
      <c r="I70" s="16"/>
      <c r="J70" s="15"/>
      <c r="K70" s="15"/>
      <c r="L70" s="15"/>
      <c r="M70" s="15"/>
      <c r="N70" s="15"/>
      <c r="O70" s="17"/>
      <c r="P70" s="15"/>
    </row>
    <row r="71" spans="1:18" s="14" customFormat="1" ht="9">
      <c r="A71" s="14" t="s">
        <v>367</v>
      </c>
      <c r="B71" s="15"/>
      <c r="C71" s="15"/>
      <c r="D71" s="15"/>
      <c r="E71" s="15"/>
      <c r="F71" s="15"/>
      <c r="G71" s="15"/>
      <c r="H71" s="15"/>
      <c r="I71" s="16"/>
      <c r="J71" s="15"/>
      <c r="K71" s="15"/>
      <c r="L71" s="15"/>
      <c r="M71" s="15"/>
      <c r="N71" s="15"/>
      <c r="O71" s="17"/>
      <c r="P71" s="15"/>
    </row>
    <row r="72" spans="1:18" s="14" customFormat="1" ht="9">
      <c r="A72" s="14" t="s">
        <v>563</v>
      </c>
      <c r="O72" s="17"/>
      <c r="P72" s="15"/>
    </row>
    <row r="73" spans="1:18" s="14" customFormat="1" ht="9">
      <c r="A73" s="406" t="s">
        <v>371</v>
      </c>
      <c r="B73" s="406"/>
      <c r="C73" s="406"/>
      <c r="D73" s="406"/>
      <c r="E73" s="406"/>
      <c r="F73" s="406"/>
      <c r="G73" s="406"/>
      <c r="H73" s="406"/>
      <c r="I73" s="406"/>
      <c r="J73" s="406"/>
      <c r="K73" s="406"/>
      <c r="L73" s="406"/>
      <c r="M73" s="406"/>
      <c r="N73" s="406"/>
      <c r="O73" s="17"/>
      <c r="P73" s="17"/>
      <c r="Q73" s="15"/>
    </row>
    <row r="74" spans="1:18" s="14" customFormat="1" ht="9">
      <c r="A74" s="408" t="s">
        <v>564</v>
      </c>
      <c r="B74" s="408"/>
      <c r="C74" s="408"/>
      <c r="D74" s="408"/>
      <c r="E74" s="408"/>
      <c r="F74" s="408"/>
      <c r="G74" s="408"/>
      <c r="H74" s="408"/>
      <c r="I74" s="408"/>
      <c r="J74" s="408"/>
      <c r="K74" s="408"/>
      <c r="L74" s="408"/>
      <c r="M74" s="408"/>
      <c r="N74" s="15"/>
      <c r="O74" s="17"/>
      <c r="P74" s="17"/>
      <c r="Q74" s="15"/>
    </row>
    <row r="75" spans="1:18" s="14" customFormat="1" ht="9">
      <c r="B75" s="15"/>
      <c r="C75" s="15"/>
      <c r="D75" s="15"/>
      <c r="E75" s="15"/>
      <c r="F75" s="15"/>
      <c r="G75" s="15"/>
      <c r="H75" s="15"/>
      <c r="I75" s="16"/>
      <c r="J75" s="15"/>
      <c r="K75" s="15"/>
      <c r="L75" s="15"/>
      <c r="M75" s="15"/>
      <c r="N75" s="15"/>
      <c r="O75" s="17"/>
      <c r="P75" s="17"/>
      <c r="Q75" s="15"/>
    </row>
    <row r="76" spans="1:18" s="14" customFormat="1" ht="9">
      <c r="B76" s="15"/>
      <c r="C76" s="15"/>
      <c r="D76" s="15"/>
      <c r="E76" s="15"/>
      <c r="F76" s="15"/>
      <c r="G76" s="15"/>
      <c r="H76" s="15"/>
      <c r="I76" s="16"/>
      <c r="J76" s="15"/>
      <c r="K76" s="15"/>
      <c r="L76" s="15"/>
      <c r="M76" s="15"/>
      <c r="N76" s="15"/>
      <c r="O76" s="17"/>
      <c r="P76" s="17"/>
      <c r="Q76" s="15"/>
    </row>
    <row r="77" spans="1:18" s="14" customFormat="1" ht="9">
      <c r="B77" s="15"/>
      <c r="C77" s="15"/>
      <c r="D77" s="15"/>
      <c r="E77" s="15"/>
      <c r="F77" s="15"/>
      <c r="G77" s="15"/>
      <c r="H77" s="15"/>
      <c r="I77" s="16"/>
      <c r="J77" s="15"/>
      <c r="K77" s="15"/>
      <c r="L77" s="15"/>
      <c r="M77" s="15"/>
      <c r="N77" s="15"/>
      <c r="O77" s="17"/>
      <c r="P77" s="17"/>
      <c r="Q77" s="15"/>
    </row>
    <row r="78" spans="1:18" s="14" customFormat="1" ht="9">
      <c r="B78" s="15"/>
      <c r="C78" s="15"/>
      <c r="D78" s="15"/>
      <c r="E78" s="15"/>
      <c r="F78" s="15"/>
      <c r="G78" s="15"/>
      <c r="H78" s="15"/>
      <c r="I78" s="16"/>
      <c r="J78" s="15"/>
      <c r="K78" s="15"/>
      <c r="L78" s="15"/>
      <c r="M78" s="15"/>
      <c r="N78" s="15"/>
      <c r="O78" s="17"/>
      <c r="P78" s="17"/>
      <c r="Q78" s="15"/>
    </row>
    <row r="79" spans="1:18" s="14" customFormat="1" ht="9">
      <c r="B79" s="15"/>
      <c r="C79" s="15"/>
      <c r="D79" s="15"/>
      <c r="E79" s="15"/>
      <c r="F79" s="15"/>
      <c r="G79" s="15"/>
      <c r="H79" s="15"/>
      <c r="I79" s="16"/>
      <c r="J79" s="15"/>
      <c r="K79" s="15"/>
      <c r="L79" s="15"/>
      <c r="M79" s="15"/>
      <c r="N79" s="15"/>
      <c r="O79" s="17"/>
      <c r="P79" s="17"/>
      <c r="Q79" s="15"/>
    </row>
    <row r="80" spans="1:18" s="14" customFormat="1" ht="9">
      <c r="B80" s="15"/>
      <c r="C80" s="15"/>
      <c r="D80" s="15"/>
      <c r="E80" s="15"/>
      <c r="F80" s="15"/>
      <c r="G80" s="15"/>
      <c r="H80" s="15"/>
      <c r="I80" s="16"/>
      <c r="J80" s="15"/>
      <c r="K80" s="15"/>
      <c r="L80" s="15"/>
      <c r="M80" s="15"/>
      <c r="N80" s="15"/>
      <c r="O80" s="17"/>
      <c r="P80" s="17"/>
      <c r="Q80" s="15"/>
    </row>
    <row r="81" spans="2:17" s="14" customFormat="1" ht="9">
      <c r="B81" s="15"/>
      <c r="C81" s="15"/>
      <c r="D81" s="15"/>
      <c r="E81" s="15"/>
      <c r="F81" s="15"/>
      <c r="G81" s="15"/>
      <c r="H81" s="15"/>
      <c r="I81" s="16"/>
      <c r="J81" s="15"/>
      <c r="K81" s="15"/>
      <c r="L81" s="15"/>
      <c r="M81" s="15"/>
      <c r="N81" s="15"/>
      <c r="O81" s="17"/>
      <c r="P81" s="17"/>
      <c r="Q81" s="15"/>
    </row>
    <row r="82" spans="2:17" s="14" customFormat="1" ht="9">
      <c r="B82" s="15"/>
      <c r="C82" s="15"/>
      <c r="D82" s="15"/>
      <c r="E82" s="15"/>
      <c r="F82" s="15"/>
      <c r="G82" s="15"/>
      <c r="H82" s="15"/>
      <c r="I82" s="16"/>
      <c r="J82" s="15"/>
      <c r="K82" s="15"/>
      <c r="L82" s="15"/>
      <c r="M82" s="15"/>
      <c r="N82" s="15"/>
      <c r="O82" s="17"/>
      <c r="P82" s="17"/>
      <c r="Q82" s="15"/>
    </row>
    <row r="83" spans="2:17" s="14" customFormat="1" ht="9">
      <c r="B83" s="15"/>
      <c r="C83" s="15"/>
      <c r="D83" s="15"/>
      <c r="E83" s="15"/>
      <c r="F83" s="15"/>
      <c r="G83" s="15"/>
      <c r="H83" s="15"/>
      <c r="I83" s="16"/>
      <c r="J83" s="15"/>
      <c r="K83" s="15"/>
      <c r="L83" s="15"/>
      <c r="M83" s="15"/>
      <c r="N83" s="15"/>
      <c r="O83" s="17"/>
      <c r="P83" s="17"/>
      <c r="Q83" s="15"/>
    </row>
    <row r="84" spans="2:17" s="14" customFormat="1" ht="9">
      <c r="B84" s="15"/>
      <c r="C84" s="15"/>
      <c r="D84" s="15"/>
      <c r="E84" s="15"/>
      <c r="F84" s="15"/>
      <c r="G84" s="15"/>
      <c r="H84" s="15"/>
      <c r="I84" s="16"/>
      <c r="J84" s="15"/>
      <c r="K84" s="15"/>
      <c r="L84" s="15"/>
      <c r="M84" s="15"/>
      <c r="N84" s="15"/>
      <c r="O84" s="17"/>
      <c r="P84" s="17"/>
      <c r="Q84" s="15"/>
    </row>
    <row r="85" spans="2:17" s="14" customFormat="1" ht="9">
      <c r="B85" s="15"/>
      <c r="C85" s="15"/>
      <c r="D85" s="15"/>
      <c r="E85" s="15"/>
      <c r="F85" s="15"/>
      <c r="G85" s="15"/>
      <c r="H85" s="15"/>
      <c r="I85" s="16"/>
      <c r="J85" s="15"/>
      <c r="K85" s="15"/>
      <c r="L85" s="15"/>
      <c r="M85" s="15"/>
      <c r="N85" s="15"/>
      <c r="O85" s="17"/>
      <c r="P85" s="17"/>
      <c r="Q85" s="15"/>
    </row>
    <row r="86" spans="2:17" s="14" customFormat="1" ht="9">
      <c r="B86" s="15"/>
      <c r="C86" s="15"/>
      <c r="D86" s="15"/>
      <c r="E86" s="15"/>
      <c r="F86" s="15"/>
      <c r="G86" s="15"/>
      <c r="H86" s="15"/>
      <c r="I86" s="16"/>
      <c r="J86" s="15"/>
      <c r="K86" s="15"/>
      <c r="L86" s="15"/>
      <c r="M86" s="15"/>
      <c r="N86" s="15"/>
      <c r="O86" s="17"/>
      <c r="P86" s="17"/>
      <c r="Q86" s="15"/>
    </row>
    <row r="87" spans="2:17" s="14" customFormat="1" ht="9">
      <c r="B87" s="15"/>
      <c r="C87" s="15"/>
      <c r="D87" s="15"/>
      <c r="E87" s="15"/>
      <c r="F87" s="15"/>
      <c r="G87" s="15"/>
      <c r="H87" s="15"/>
      <c r="I87" s="16"/>
      <c r="J87" s="15"/>
      <c r="K87" s="15"/>
      <c r="L87" s="15"/>
      <c r="M87" s="15"/>
      <c r="N87" s="15"/>
      <c r="O87" s="17"/>
      <c r="P87" s="17"/>
      <c r="Q87" s="15"/>
    </row>
    <row r="88" spans="2:17" s="14" customFormat="1" ht="9">
      <c r="B88" s="15"/>
      <c r="C88" s="15"/>
      <c r="D88" s="15"/>
      <c r="E88" s="15"/>
      <c r="F88" s="15"/>
      <c r="G88" s="15"/>
      <c r="H88" s="15"/>
      <c r="I88" s="16"/>
      <c r="J88" s="15"/>
      <c r="K88" s="15"/>
      <c r="L88" s="15"/>
      <c r="M88" s="15"/>
      <c r="N88" s="15"/>
      <c r="O88" s="17"/>
      <c r="P88" s="17"/>
      <c r="Q88" s="15"/>
    </row>
    <row r="89" spans="2:17" s="14" customFormat="1" ht="9">
      <c r="B89" s="15"/>
      <c r="C89" s="15"/>
      <c r="D89" s="15"/>
      <c r="E89" s="15"/>
      <c r="F89" s="15"/>
      <c r="G89" s="15"/>
      <c r="H89" s="15"/>
      <c r="I89" s="16"/>
      <c r="J89" s="15"/>
      <c r="K89" s="15"/>
      <c r="L89" s="15"/>
      <c r="M89" s="15"/>
      <c r="N89" s="15"/>
      <c r="O89" s="17"/>
      <c r="P89" s="17"/>
      <c r="Q89" s="15"/>
    </row>
    <row r="90" spans="2:17" s="14" customFormat="1" ht="9">
      <c r="B90" s="15"/>
      <c r="C90" s="15"/>
      <c r="D90" s="15"/>
      <c r="E90" s="15"/>
      <c r="F90" s="15"/>
      <c r="G90" s="15"/>
      <c r="H90" s="15"/>
      <c r="I90" s="16"/>
      <c r="J90" s="15"/>
      <c r="K90" s="15"/>
      <c r="L90" s="15"/>
      <c r="M90" s="15"/>
      <c r="N90" s="15"/>
      <c r="O90" s="17"/>
      <c r="P90" s="17"/>
      <c r="Q90" s="15"/>
    </row>
    <row r="91" spans="2:17" s="14" customFormat="1" ht="9">
      <c r="B91" s="15"/>
      <c r="C91" s="15"/>
      <c r="D91" s="15"/>
      <c r="E91" s="15"/>
      <c r="F91" s="15"/>
      <c r="G91" s="15"/>
      <c r="H91" s="15"/>
      <c r="I91" s="16"/>
      <c r="J91" s="15"/>
      <c r="K91" s="15"/>
      <c r="L91" s="15"/>
      <c r="M91" s="15"/>
      <c r="N91" s="15"/>
      <c r="O91" s="17"/>
      <c r="P91" s="17"/>
      <c r="Q91" s="15"/>
    </row>
    <row r="92" spans="2:17" s="14" customFormat="1" ht="9">
      <c r="B92" s="15"/>
      <c r="C92" s="15"/>
      <c r="D92" s="15"/>
      <c r="E92" s="15"/>
      <c r="F92" s="15"/>
      <c r="G92" s="15"/>
      <c r="H92" s="15"/>
      <c r="I92" s="16"/>
      <c r="J92" s="15"/>
      <c r="K92" s="15"/>
      <c r="L92" s="15"/>
      <c r="M92" s="15"/>
      <c r="N92" s="15"/>
      <c r="O92" s="17"/>
      <c r="P92" s="17"/>
      <c r="Q92" s="15"/>
    </row>
    <row r="93" spans="2:17" s="14" customFormat="1" ht="9">
      <c r="B93" s="15"/>
      <c r="C93" s="15"/>
      <c r="D93" s="15"/>
      <c r="E93" s="15"/>
      <c r="F93" s="15"/>
      <c r="G93" s="15"/>
      <c r="H93" s="15"/>
      <c r="I93" s="16"/>
      <c r="J93" s="15"/>
      <c r="K93" s="15"/>
      <c r="L93" s="15"/>
      <c r="M93" s="15"/>
      <c r="N93" s="15"/>
      <c r="O93" s="17"/>
      <c r="P93" s="17"/>
      <c r="Q93" s="15"/>
    </row>
    <row r="94" spans="2:17" s="14" customFormat="1" ht="9">
      <c r="B94" s="15"/>
      <c r="C94" s="15"/>
      <c r="D94" s="15"/>
      <c r="E94" s="15"/>
      <c r="F94" s="15"/>
      <c r="G94" s="15"/>
      <c r="H94" s="15"/>
      <c r="I94" s="16"/>
      <c r="J94" s="15"/>
      <c r="K94" s="15"/>
      <c r="L94" s="15"/>
      <c r="M94" s="15"/>
      <c r="N94" s="15"/>
      <c r="O94" s="17"/>
      <c r="P94" s="17"/>
      <c r="Q94" s="15"/>
    </row>
    <row r="95" spans="2:17" s="14" customFormat="1" ht="9">
      <c r="B95" s="15"/>
      <c r="C95" s="15"/>
      <c r="D95" s="15"/>
      <c r="E95" s="15"/>
      <c r="F95" s="15"/>
      <c r="G95" s="15"/>
      <c r="H95" s="15"/>
      <c r="I95" s="16"/>
      <c r="J95" s="15"/>
      <c r="K95" s="15"/>
      <c r="L95" s="15"/>
      <c r="M95" s="15"/>
      <c r="N95" s="15"/>
      <c r="O95" s="17"/>
      <c r="P95" s="17"/>
      <c r="Q95" s="15"/>
    </row>
    <row r="96" spans="2:17" s="14" customFormat="1" ht="9">
      <c r="B96" s="15"/>
      <c r="C96" s="15"/>
      <c r="D96" s="15"/>
      <c r="E96" s="15"/>
      <c r="F96" s="15"/>
      <c r="G96" s="15"/>
      <c r="H96" s="15"/>
      <c r="I96" s="16"/>
      <c r="J96" s="15"/>
      <c r="K96" s="15"/>
      <c r="L96" s="15"/>
      <c r="M96" s="15"/>
      <c r="N96" s="15"/>
      <c r="O96" s="17"/>
      <c r="P96" s="17"/>
      <c r="Q96" s="15"/>
    </row>
    <row r="97" spans="2:17" s="14" customFormat="1" ht="9">
      <c r="B97" s="15"/>
      <c r="C97" s="15"/>
      <c r="D97" s="15"/>
      <c r="E97" s="15"/>
      <c r="F97" s="15"/>
      <c r="G97" s="15"/>
      <c r="H97" s="15"/>
      <c r="I97" s="16"/>
      <c r="J97" s="15"/>
      <c r="K97" s="15"/>
      <c r="L97" s="15"/>
      <c r="M97" s="15"/>
      <c r="N97" s="15"/>
      <c r="O97" s="17"/>
      <c r="P97" s="17"/>
      <c r="Q97" s="15"/>
    </row>
    <row r="98" spans="2:17" s="14" customFormat="1" ht="9">
      <c r="B98" s="15"/>
      <c r="C98" s="15"/>
      <c r="D98" s="15"/>
      <c r="E98" s="15"/>
      <c r="F98" s="15"/>
      <c r="G98" s="15"/>
      <c r="H98" s="15"/>
      <c r="I98" s="16"/>
      <c r="J98" s="15"/>
      <c r="K98" s="15"/>
      <c r="L98" s="15"/>
      <c r="M98" s="15"/>
      <c r="N98" s="15"/>
      <c r="O98" s="17"/>
      <c r="P98" s="17"/>
      <c r="Q98" s="15"/>
    </row>
    <row r="99" spans="2:17" s="14" customFormat="1" ht="9">
      <c r="B99" s="15"/>
      <c r="C99" s="15"/>
      <c r="D99" s="15"/>
      <c r="E99" s="15"/>
      <c r="F99" s="15"/>
      <c r="G99" s="15"/>
      <c r="H99" s="15"/>
      <c r="I99" s="16"/>
      <c r="J99" s="15"/>
      <c r="K99" s="15"/>
      <c r="L99" s="15"/>
      <c r="M99" s="15"/>
      <c r="N99" s="15"/>
      <c r="O99" s="17"/>
      <c r="P99" s="17"/>
      <c r="Q99" s="15"/>
    </row>
    <row r="100" spans="2:17" s="14" customFormat="1" ht="9">
      <c r="B100" s="15"/>
      <c r="C100" s="15"/>
      <c r="D100" s="15"/>
      <c r="E100" s="15"/>
      <c r="F100" s="15"/>
      <c r="G100" s="15"/>
      <c r="H100" s="15"/>
      <c r="I100" s="16"/>
      <c r="J100" s="15"/>
      <c r="K100" s="15"/>
      <c r="L100" s="15"/>
      <c r="M100" s="15"/>
      <c r="N100" s="15"/>
      <c r="O100" s="17"/>
      <c r="P100" s="17"/>
      <c r="Q100" s="15"/>
    </row>
    <row r="101" spans="2:17" s="14" customFormat="1" ht="9">
      <c r="B101" s="15"/>
      <c r="C101" s="15"/>
      <c r="D101" s="15"/>
      <c r="E101" s="15"/>
      <c r="F101" s="15"/>
      <c r="G101" s="15"/>
      <c r="H101" s="15"/>
      <c r="I101" s="16"/>
      <c r="J101" s="15"/>
      <c r="K101" s="15"/>
      <c r="L101" s="15"/>
      <c r="M101" s="15"/>
      <c r="N101" s="15"/>
      <c r="O101" s="17"/>
      <c r="P101" s="17"/>
      <c r="Q101" s="15"/>
    </row>
    <row r="102" spans="2:17" s="14" customFormat="1" ht="9">
      <c r="B102" s="15"/>
      <c r="C102" s="15"/>
      <c r="D102" s="15"/>
      <c r="E102" s="15"/>
      <c r="F102" s="15"/>
      <c r="G102" s="15"/>
      <c r="H102" s="15"/>
      <c r="I102" s="16"/>
      <c r="J102" s="15"/>
      <c r="K102" s="15"/>
      <c r="L102" s="15"/>
      <c r="M102" s="15"/>
      <c r="N102" s="15"/>
      <c r="O102" s="17"/>
      <c r="P102" s="17"/>
      <c r="Q102" s="15"/>
    </row>
    <row r="103" spans="2:17" s="14" customFormat="1" ht="9">
      <c r="B103" s="15"/>
      <c r="C103" s="15"/>
      <c r="D103" s="15"/>
      <c r="E103" s="15"/>
      <c r="F103" s="15"/>
      <c r="G103" s="15"/>
      <c r="H103" s="15"/>
      <c r="I103" s="16"/>
      <c r="J103" s="15"/>
      <c r="K103" s="15"/>
      <c r="L103" s="15"/>
      <c r="M103" s="15"/>
      <c r="N103" s="15"/>
      <c r="O103" s="17"/>
      <c r="P103" s="17"/>
      <c r="Q103" s="15"/>
    </row>
    <row r="104" spans="2:17" s="14" customFormat="1" ht="9">
      <c r="B104" s="15"/>
      <c r="C104" s="15"/>
      <c r="D104" s="15"/>
      <c r="E104" s="15"/>
      <c r="F104" s="15"/>
      <c r="G104" s="15"/>
      <c r="H104" s="15"/>
      <c r="I104" s="16"/>
      <c r="J104" s="15"/>
      <c r="K104" s="15"/>
      <c r="L104" s="15"/>
      <c r="M104" s="15"/>
      <c r="N104" s="15"/>
      <c r="O104" s="17"/>
      <c r="P104" s="17"/>
      <c r="Q104" s="15"/>
    </row>
    <row r="105" spans="2:17" s="14" customFormat="1" ht="9">
      <c r="B105" s="15"/>
      <c r="C105" s="15"/>
      <c r="D105" s="15"/>
      <c r="E105" s="15"/>
      <c r="F105" s="15"/>
      <c r="G105" s="15"/>
      <c r="H105" s="15"/>
      <c r="I105" s="16"/>
      <c r="J105" s="15"/>
      <c r="K105" s="15"/>
      <c r="L105" s="15"/>
      <c r="M105" s="15"/>
      <c r="N105" s="15"/>
      <c r="O105" s="17"/>
      <c r="P105" s="17"/>
      <c r="Q105" s="15"/>
    </row>
    <row r="106" spans="2:17" s="14" customFormat="1" ht="9">
      <c r="B106" s="15"/>
      <c r="C106" s="15"/>
      <c r="D106" s="15"/>
      <c r="E106" s="15"/>
      <c r="F106" s="15"/>
      <c r="G106" s="15"/>
      <c r="H106" s="15"/>
      <c r="I106" s="16"/>
      <c r="J106" s="15"/>
      <c r="K106" s="15"/>
      <c r="L106" s="15"/>
      <c r="M106" s="15"/>
      <c r="N106" s="15"/>
      <c r="O106" s="17"/>
      <c r="P106" s="17"/>
      <c r="Q106" s="15"/>
    </row>
    <row r="107" spans="2:17" s="14" customFormat="1" ht="9">
      <c r="B107" s="15"/>
      <c r="C107" s="15"/>
      <c r="D107" s="15"/>
      <c r="E107" s="15"/>
      <c r="F107" s="15"/>
      <c r="G107" s="15"/>
      <c r="H107" s="15"/>
      <c r="I107" s="16"/>
      <c r="J107" s="15"/>
      <c r="K107" s="15"/>
      <c r="L107" s="15"/>
      <c r="M107" s="15"/>
      <c r="N107" s="15"/>
      <c r="O107" s="17"/>
      <c r="P107" s="17"/>
      <c r="Q107" s="15"/>
    </row>
    <row r="108" spans="2:17" s="14" customFormat="1" ht="9">
      <c r="B108" s="15"/>
      <c r="C108" s="15"/>
      <c r="D108" s="15"/>
      <c r="E108" s="15"/>
      <c r="F108" s="15"/>
      <c r="G108" s="15"/>
      <c r="H108" s="15"/>
      <c r="I108" s="16"/>
      <c r="J108" s="15"/>
      <c r="K108" s="15"/>
      <c r="L108" s="15"/>
      <c r="M108" s="15"/>
      <c r="N108" s="15"/>
      <c r="O108" s="17"/>
      <c r="P108" s="17"/>
      <c r="Q108" s="15"/>
    </row>
    <row r="109" spans="2:17" s="14" customFormat="1" ht="9">
      <c r="B109" s="15"/>
      <c r="C109" s="15"/>
      <c r="D109" s="15"/>
      <c r="E109" s="15"/>
      <c r="F109" s="15"/>
      <c r="G109" s="15"/>
      <c r="H109" s="15"/>
      <c r="I109" s="16"/>
      <c r="J109" s="15"/>
      <c r="K109" s="15"/>
      <c r="L109" s="15"/>
      <c r="M109" s="15"/>
      <c r="N109" s="15"/>
      <c r="O109" s="17"/>
      <c r="P109" s="17"/>
      <c r="Q109" s="15"/>
    </row>
    <row r="110" spans="2:17" s="14" customFormat="1" ht="9">
      <c r="B110" s="15"/>
      <c r="C110" s="15"/>
      <c r="D110" s="15"/>
      <c r="E110" s="15"/>
      <c r="F110" s="15"/>
      <c r="G110" s="15"/>
      <c r="H110" s="15"/>
      <c r="I110" s="16"/>
      <c r="J110" s="15"/>
      <c r="K110" s="15"/>
      <c r="L110" s="15"/>
      <c r="M110" s="15"/>
      <c r="N110" s="15"/>
      <c r="O110" s="17"/>
      <c r="P110" s="17"/>
      <c r="Q110" s="15"/>
    </row>
    <row r="111" spans="2:17" s="14" customFormat="1" ht="9">
      <c r="B111" s="15"/>
      <c r="C111" s="15"/>
      <c r="D111" s="15"/>
      <c r="E111" s="15"/>
      <c r="F111" s="15"/>
      <c r="G111" s="15"/>
      <c r="H111" s="15"/>
      <c r="I111" s="16"/>
      <c r="J111" s="15"/>
      <c r="K111" s="15"/>
      <c r="L111" s="15"/>
      <c r="M111" s="15"/>
      <c r="N111" s="15"/>
      <c r="O111" s="17"/>
      <c r="P111" s="17"/>
      <c r="Q111" s="15"/>
    </row>
    <row r="112" spans="2:17" s="14" customFormat="1" ht="9">
      <c r="B112" s="15"/>
      <c r="C112" s="15"/>
      <c r="D112" s="15"/>
      <c r="E112" s="15"/>
      <c r="F112" s="15"/>
      <c r="G112" s="15"/>
      <c r="H112" s="15"/>
      <c r="I112" s="16"/>
      <c r="J112" s="15"/>
      <c r="K112" s="15"/>
      <c r="L112" s="15"/>
      <c r="M112" s="15"/>
      <c r="N112" s="15"/>
      <c r="O112" s="17"/>
      <c r="P112" s="17"/>
      <c r="Q112" s="15"/>
    </row>
    <row r="113" spans="2:17" s="14" customFormat="1" ht="9">
      <c r="B113" s="15"/>
      <c r="C113" s="15"/>
      <c r="D113" s="15"/>
      <c r="E113" s="15"/>
      <c r="F113" s="15"/>
      <c r="G113" s="15"/>
      <c r="H113" s="15"/>
      <c r="I113" s="16"/>
      <c r="J113" s="15"/>
      <c r="K113" s="15"/>
      <c r="L113" s="15"/>
      <c r="M113" s="15"/>
      <c r="N113" s="15"/>
      <c r="O113" s="17"/>
      <c r="P113" s="17"/>
      <c r="Q113" s="15"/>
    </row>
    <row r="114" spans="2:17" s="14" customFormat="1" ht="9">
      <c r="B114" s="15"/>
      <c r="C114" s="15"/>
      <c r="D114" s="15"/>
      <c r="E114" s="15"/>
      <c r="F114" s="15"/>
      <c r="G114" s="15"/>
      <c r="H114" s="15"/>
      <c r="I114" s="16"/>
      <c r="J114" s="15"/>
      <c r="K114" s="15"/>
      <c r="L114" s="15"/>
      <c r="M114" s="15"/>
      <c r="N114" s="15"/>
      <c r="O114" s="17"/>
      <c r="P114" s="17"/>
      <c r="Q114" s="15"/>
    </row>
    <row r="115" spans="2:17" s="14" customFormat="1" ht="9">
      <c r="B115" s="15"/>
      <c r="C115" s="15"/>
      <c r="D115" s="15"/>
      <c r="E115" s="15"/>
      <c r="F115" s="15"/>
      <c r="G115" s="15"/>
      <c r="H115" s="15"/>
      <c r="I115" s="16"/>
      <c r="J115" s="15"/>
      <c r="K115" s="15"/>
      <c r="L115" s="15"/>
      <c r="M115" s="15"/>
      <c r="N115" s="15"/>
      <c r="O115" s="17"/>
      <c r="P115" s="17"/>
      <c r="Q115" s="15"/>
    </row>
  </sheetData>
  <mergeCells count="8">
    <mergeCell ref="A74:M74"/>
    <mergeCell ref="A73:N73"/>
    <mergeCell ref="A1:Q1"/>
    <mergeCell ref="A2:Q2"/>
    <mergeCell ref="A66:O66"/>
    <mergeCell ref="A65:O65"/>
    <mergeCell ref="A67:O67"/>
    <mergeCell ref="A68:O68"/>
  </mergeCells>
  <phoneticPr fontId="7" type="noConversion"/>
  <pageMargins left="0.25" right="0.25" top="0.5" bottom="0.75" header="0.5" footer="0.5"/>
  <pageSetup scale="58" orientation="landscape" r:id="rId1"/>
  <headerFooter alignWithMargins="0"/>
</worksheet>
</file>

<file path=xl/worksheets/sheet24.xml><?xml version="1.0" encoding="utf-8"?>
<worksheet xmlns="http://schemas.openxmlformats.org/spreadsheetml/2006/main" xmlns:r="http://schemas.openxmlformats.org/officeDocument/2006/relationships">
  <sheetPr>
    <pageSetUpPr fitToPage="1"/>
  </sheetPr>
  <dimension ref="A1:U94"/>
  <sheetViews>
    <sheetView zoomScale="115" zoomScaleNormal="115" workbookViewId="0">
      <pane xSplit="1" ySplit="3" topLeftCell="B45" activePane="bottomRight" state="frozen"/>
      <selection activeCell="P31" sqref="P31"/>
      <selection pane="topRight" activeCell="P31" sqref="P31"/>
      <selection pane="bottomLeft" activeCell="P31" sqref="P31"/>
      <selection pane="bottomRight" activeCell="A75" sqref="A75:A76"/>
    </sheetView>
  </sheetViews>
  <sheetFormatPr defaultRowHeight="11.25"/>
  <cols>
    <col min="1" max="1" width="35.28515625" style="114" customWidth="1"/>
    <col min="2" max="2" width="8.85546875" style="54" bestFit="1" customWidth="1"/>
    <col min="3" max="3" width="8" style="54" hidden="1" customWidth="1"/>
    <col min="4" max="4" width="8.42578125" style="54" bestFit="1" customWidth="1"/>
    <col min="5" max="5" width="8.85546875" style="54" bestFit="1" customWidth="1"/>
    <col min="6" max="6" width="8.140625" style="54" customWidth="1"/>
    <col min="7" max="7" width="9.28515625" style="54" bestFit="1" customWidth="1"/>
    <col min="8" max="8" width="7.85546875" style="54" bestFit="1" customWidth="1"/>
    <col min="9" max="9" width="8.85546875" style="55" customWidth="1"/>
    <col min="10" max="11" width="6.85546875" style="54" bestFit="1" customWidth="1"/>
    <col min="12" max="12" width="9" style="54" customWidth="1"/>
    <col min="13" max="13" width="7.85546875" style="54" hidden="1" customWidth="1"/>
    <col min="14" max="14" width="8.28515625" style="54" customWidth="1"/>
    <col min="15" max="15" width="9.42578125" style="196" customWidth="1"/>
    <col min="16" max="16" width="7.42578125" style="196" customWidth="1"/>
    <col min="17" max="17" width="4" style="54" bestFit="1" customWidth="1"/>
    <col min="18" max="19" width="9.140625" style="114" hidden="1" customWidth="1"/>
    <col min="20" max="20" width="11.140625" style="114" customWidth="1"/>
    <col min="21" max="21" width="8.5703125" style="114" customWidth="1"/>
    <col min="22" max="16384" width="9.140625" style="114"/>
  </cols>
  <sheetData>
    <row r="1" spans="1:21">
      <c r="A1" s="410" t="s">
        <v>290</v>
      </c>
      <c r="B1" s="410"/>
      <c r="C1" s="410"/>
      <c r="D1" s="410"/>
      <c r="E1" s="410"/>
      <c r="F1" s="410"/>
      <c r="G1" s="410"/>
      <c r="H1" s="410"/>
      <c r="I1" s="410"/>
      <c r="J1" s="410"/>
      <c r="K1" s="410"/>
      <c r="L1" s="410"/>
      <c r="M1" s="410"/>
      <c r="N1" s="410"/>
      <c r="O1" s="410"/>
      <c r="P1" s="410"/>
      <c r="Q1" s="410"/>
    </row>
    <row r="2" spans="1:21">
      <c r="A2" s="411" t="s">
        <v>108</v>
      </c>
      <c r="B2" s="411"/>
      <c r="C2" s="411"/>
      <c r="D2" s="411"/>
      <c r="E2" s="411"/>
      <c r="F2" s="411"/>
      <c r="G2" s="411"/>
      <c r="H2" s="411"/>
      <c r="I2" s="411"/>
      <c r="J2" s="411"/>
      <c r="K2" s="411"/>
      <c r="L2" s="411"/>
      <c r="M2" s="411"/>
      <c r="N2" s="411"/>
      <c r="O2" s="411"/>
      <c r="P2" s="411"/>
      <c r="Q2" s="411"/>
    </row>
    <row r="3" spans="1:21" s="193" customFormat="1" ht="63">
      <c r="A3" s="45" t="s">
        <v>392</v>
      </c>
      <c r="B3" s="45" t="s">
        <v>393</v>
      </c>
      <c r="C3" s="45" t="s">
        <v>430</v>
      </c>
      <c r="D3" s="45" t="s">
        <v>4</v>
      </c>
      <c r="E3" s="45" t="s">
        <v>6</v>
      </c>
      <c r="F3" s="45" t="s">
        <v>5</v>
      </c>
      <c r="G3" s="45" t="s">
        <v>176</v>
      </c>
      <c r="H3" s="45" t="s">
        <v>459</v>
      </c>
      <c r="I3" s="60" t="s">
        <v>460</v>
      </c>
      <c r="J3" s="100" t="s">
        <v>462</v>
      </c>
      <c r="K3" s="100" t="s">
        <v>463</v>
      </c>
      <c r="L3" s="100" t="s">
        <v>461</v>
      </c>
      <c r="M3" s="45" t="s">
        <v>391</v>
      </c>
      <c r="N3" s="45" t="s">
        <v>8</v>
      </c>
      <c r="O3" s="100" t="s">
        <v>9</v>
      </c>
      <c r="P3" s="100" t="s">
        <v>175</v>
      </c>
      <c r="Q3" s="182" t="s">
        <v>394</v>
      </c>
      <c r="R3" s="193" t="s">
        <v>307</v>
      </c>
      <c r="S3" s="193" t="s">
        <v>308</v>
      </c>
    </row>
    <row r="4" spans="1:21" s="147" customFormat="1" ht="9">
      <c r="A4" s="178" t="s">
        <v>405</v>
      </c>
      <c r="B4" s="179" t="s">
        <v>433</v>
      </c>
      <c r="C4" s="179"/>
      <c r="D4" s="181"/>
      <c r="E4" s="181"/>
      <c r="F4" s="181"/>
      <c r="G4" s="179"/>
      <c r="H4" s="179"/>
      <c r="I4" s="183"/>
      <c r="J4" s="183"/>
      <c r="K4" s="183"/>
      <c r="L4" s="183"/>
      <c r="M4" s="179"/>
      <c r="N4" s="181"/>
      <c r="O4" s="181"/>
      <c r="P4" s="181"/>
      <c r="Q4" s="249"/>
    </row>
    <row r="5" spans="1:21" s="147" customFormat="1" ht="9">
      <c r="A5" s="142" t="s">
        <v>406</v>
      </c>
      <c r="B5" s="44" t="s">
        <v>433</v>
      </c>
      <c r="C5" s="44"/>
      <c r="D5" s="52"/>
      <c r="E5" s="52"/>
      <c r="F5" s="52"/>
      <c r="G5" s="44"/>
      <c r="H5" s="44"/>
      <c r="I5" s="92"/>
      <c r="J5" s="92"/>
      <c r="K5" s="92"/>
      <c r="L5" s="92"/>
      <c r="M5" s="44"/>
      <c r="N5" s="52"/>
      <c r="O5" s="52"/>
      <c r="P5" s="52"/>
      <c r="Q5" s="94"/>
    </row>
    <row r="6" spans="1:21" s="147" customFormat="1" ht="9">
      <c r="A6" s="142" t="s">
        <v>407</v>
      </c>
      <c r="B6" s="44"/>
      <c r="C6" s="44"/>
      <c r="D6" s="52"/>
      <c r="E6" s="52"/>
      <c r="F6" s="52"/>
      <c r="G6" s="44"/>
      <c r="H6" s="44"/>
      <c r="I6" s="92"/>
      <c r="J6" s="92"/>
      <c r="K6" s="92"/>
      <c r="L6" s="92"/>
      <c r="M6" s="44"/>
      <c r="N6" s="52"/>
      <c r="O6" s="52"/>
      <c r="P6" s="52"/>
      <c r="Q6" s="94"/>
    </row>
    <row r="7" spans="1:21" s="147" customFormat="1" ht="9">
      <c r="A7" s="143" t="s">
        <v>408</v>
      </c>
      <c r="B7" s="44">
        <v>40</v>
      </c>
      <c r="C7" s="44"/>
      <c r="D7" s="52">
        <v>0</v>
      </c>
      <c r="E7" s="52">
        <v>0</v>
      </c>
      <c r="F7" s="52">
        <v>0</v>
      </c>
      <c r="G7" s="44">
        <v>1</v>
      </c>
      <c r="H7" s="44">
        <f>B7*G7</f>
        <v>40</v>
      </c>
      <c r="I7" s="91">
        <f>ROUND(SUM('Base Data'!$H$71:$H$73)/3,0)</f>
        <v>1</v>
      </c>
      <c r="J7" s="92">
        <f>H7*I7</f>
        <v>40</v>
      </c>
      <c r="K7" s="92">
        <f>J7*0.1</f>
        <v>4</v>
      </c>
      <c r="L7" s="91">
        <f>J7*0.05</f>
        <v>2</v>
      </c>
      <c r="M7" s="44">
        <f>C7*G7*I7</f>
        <v>0</v>
      </c>
      <c r="N7" s="52">
        <f>(J7*'Base Data'!$C$5)+(K7*'Base Data'!$C$6)+(L7*'Base Data'!$C$7)</f>
        <v>4351.0999999999995</v>
      </c>
      <c r="O7" s="52">
        <f>(D7+E7+F7)*G7*I7</f>
        <v>0</v>
      </c>
      <c r="P7" s="92">
        <v>0</v>
      </c>
      <c r="Q7" s="94" t="s">
        <v>387</v>
      </c>
    </row>
    <row r="8" spans="1:21" s="147" customFormat="1" ht="9">
      <c r="A8" s="142" t="s">
        <v>409</v>
      </c>
      <c r="B8" s="44"/>
      <c r="C8" s="44"/>
      <c r="D8" s="52"/>
      <c r="E8" s="52"/>
      <c r="F8" s="52"/>
      <c r="G8" s="44"/>
      <c r="H8" s="44"/>
      <c r="I8" s="92"/>
      <c r="J8" s="92"/>
      <c r="K8" s="92"/>
      <c r="L8" s="92"/>
      <c r="M8" s="44"/>
      <c r="N8" s="52"/>
      <c r="O8" s="52"/>
      <c r="P8" s="92"/>
      <c r="Q8" s="94"/>
      <c r="U8" s="195"/>
    </row>
    <row r="9" spans="1:21" s="147" customFormat="1" ht="9">
      <c r="A9" s="143" t="s">
        <v>486</v>
      </c>
      <c r="B9" s="44">
        <v>12</v>
      </c>
      <c r="C9" s="44"/>
      <c r="D9" s="52">
        <v>0</v>
      </c>
      <c r="E9" s="52">
        <f>'Testing Costs'!$B$13</f>
        <v>5000</v>
      </c>
      <c r="F9" s="52">
        <v>0</v>
      </c>
      <c r="G9" s="44">
        <v>1</v>
      </c>
      <c r="H9" s="44">
        <f t="shared" ref="H9:H21" si="0">B9*G9</f>
        <v>12</v>
      </c>
      <c r="I9" s="91">
        <v>0</v>
      </c>
      <c r="J9" s="92">
        <f t="shared" ref="J9:J21" si="1">H9*I9</f>
        <v>0</v>
      </c>
      <c r="K9" s="92">
        <f t="shared" ref="K9:K21" si="2">J9*0.1</f>
        <v>0</v>
      </c>
      <c r="L9" s="92">
        <f t="shared" ref="L9:L21" si="3">J9*0.05</f>
        <v>0</v>
      </c>
      <c r="M9" s="93"/>
      <c r="N9" s="52">
        <f>(J9*'Base Data'!$C$5)+(K9*'Base Data'!$C$6)+(L9*'Base Data'!$C$7)</f>
        <v>0</v>
      </c>
      <c r="O9" s="52">
        <f t="shared" ref="O9:O21" si="4">(D9+E9+F9)*G9*I9</f>
        <v>0</v>
      </c>
      <c r="P9" s="92">
        <v>0</v>
      </c>
      <c r="Q9" s="94" t="s">
        <v>389</v>
      </c>
      <c r="U9" s="195"/>
    </row>
    <row r="10" spans="1:21" s="147" customFormat="1" ht="9">
      <c r="A10" s="143" t="s">
        <v>133</v>
      </c>
      <c r="B10" s="44">
        <v>12</v>
      </c>
      <c r="C10" s="44"/>
      <c r="D10" s="52">
        <v>0</v>
      </c>
      <c r="E10" s="52">
        <f>'Testing Costs'!$B$17</f>
        <v>8000</v>
      </c>
      <c r="F10" s="52">
        <v>0</v>
      </c>
      <c r="G10" s="44">
        <v>1</v>
      </c>
      <c r="H10" s="44">
        <f t="shared" si="0"/>
        <v>12</v>
      </c>
      <c r="I10" s="91">
        <v>0</v>
      </c>
      <c r="J10" s="92">
        <f t="shared" si="1"/>
        <v>0</v>
      </c>
      <c r="K10" s="92">
        <f t="shared" si="2"/>
        <v>0</v>
      </c>
      <c r="L10" s="92">
        <f t="shared" si="3"/>
        <v>0</v>
      </c>
      <c r="M10" s="93"/>
      <c r="N10" s="52">
        <f>(J10*'Base Data'!$C$5)+(K10*'Base Data'!$C$6)+(L10*'Base Data'!$C$7)</f>
        <v>0</v>
      </c>
      <c r="O10" s="52">
        <f t="shared" si="4"/>
        <v>0</v>
      </c>
      <c r="P10" s="92">
        <v>0</v>
      </c>
      <c r="Q10" s="94" t="s">
        <v>389</v>
      </c>
      <c r="U10" s="195"/>
    </row>
    <row r="11" spans="1:21" s="147" customFormat="1" ht="9">
      <c r="A11" s="143" t="s">
        <v>134</v>
      </c>
      <c r="B11" s="44">
        <v>12</v>
      </c>
      <c r="C11" s="44"/>
      <c r="D11" s="52">
        <v>0</v>
      </c>
      <c r="E11" s="52">
        <f>'Testing Costs'!$B$15</f>
        <v>8000</v>
      </c>
      <c r="F11" s="52">
        <v>0</v>
      </c>
      <c r="G11" s="44">
        <v>1</v>
      </c>
      <c r="H11" s="44">
        <f t="shared" si="0"/>
        <v>12</v>
      </c>
      <c r="I11" s="91">
        <v>0</v>
      </c>
      <c r="J11" s="92">
        <f t="shared" si="1"/>
        <v>0</v>
      </c>
      <c r="K11" s="92">
        <f t="shared" si="2"/>
        <v>0</v>
      </c>
      <c r="L11" s="92">
        <f t="shared" si="3"/>
        <v>0</v>
      </c>
      <c r="M11" s="93"/>
      <c r="N11" s="52">
        <f>(J11*'Base Data'!$C$5)+(K11*'Base Data'!$C$6)+(L11*'Base Data'!$C$7)</f>
        <v>0</v>
      </c>
      <c r="O11" s="52">
        <f t="shared" si="4"/>
        <v>0</v>
      </c>
      <c r="P11" s="92">
        <v>0</v>
      </c>
      <c r="Q11" s="94" t="s">
        <v>389</v>
      </c>
      <c r="U11" s="195"/>
    </row>
    <row r="12" spans="1:21" s="147" customFormat="1" ht="9">
      <c r="A12" s="143" t="s">
        <v>135</v>
      </c>
      <c r="B12" s="44">
        <v>12</v>
      </c>
      <c r="C12" s="44"/>
      <c r="D12" s="52">
        <v>0</v>
      </c>
      <c r="E12" s="52">
        <f>'Testing Costs'!$B$14</f>
        <v>7000</v>
      </c>
      <c r="F12" s="52">
        <v>0</v>
      </c>
      <c r="G12" s="44">
        <v>1</v>
      </c>
      <c r="H12" s="44">
        <f t="shared" si="0"/>
        <v>12</v>
      </c>
      <c r="I12" s="91">
        <v>0</v>
      </c>
      <c r="J12" s="92">
        <f t="shared" si="1"/>
        <v>0</v>
      </c>
      <c r="K12" s="92">
        <f t="shared" si="2"/>
        <v>0</v>
      </c>
      <c r="L12" s="92">
        <f t="shared" si="3"/>
        <v>0</v>
      </c>
      <c r="M12" s="93"/>
      <c r="N12" s="52">
        <f>(J12*'Base Data'!$C$5)+(K12*'Base Data'!$C$6)+(L12*'Base Data'!$C$7)</f>
        <v>0</v>
      </c>
      <c r="O12" s="52">
        <f t="shared" si="4"/>
        <v>0</v>
      </c>
      <c r="P12" s="92">
        <v>0</v>
      </c>
      <c r="Q12" s="94" t="s">
        <v>389</v>
      </c>
      <c r="U12" s="195"/>
    </row>
    <row r="13" spans="1:21" s="147" customFormat="1" ht="9">
      <c r="A13" s="143" t="s">
        <v>136</v>
      </c>
      <c r="B13" s="44">
        <v>12</v>
      </c>
      <c r="C13" s="44"/>
      <c r="D13" s="52">
        <v>0</v>
      </c>
      <c r="E13" s="52">
        <f>'Testing Costs'!$B$16</f>
        <v>16000</v>
      </c>
      <c r="F13" s="52">
        <v>0</v>
      </c>
      <c r="G13" s="44">
        <v>1</v>
      </c>
      <c r="H13" s="44">
        <f t="shared" si="0"/>
        <v>12</v>
      </c>
      <c r="I13" s="91">
        <v>0</v>
      </c>
      <c r="J13" s="92">
        <f t="shared" si="1"/>
        <v>0</v>
      </c>
      <c r="K13" s="92">
        <f t="shared" si="2"/>
        <v>0</v>
      </c>
      <c r="L13" s="92">
        <f t="shared" si="3"/>
        <v>0</v>
      </c>
      <c r="M13" s="93"/>
      <c r="N13" s="52">
        <f>(J13*'Base Data'!$C$5)+(K13*'Base Data'!$C$6)+(L13*'Base Data'!$C$7)</f>
        <v>0</v>
      </c>
      <c r="O13" s="52">
        <f t="shared" si="4"/>
        <v>0</v>
      </c>
      <c r="P13" s="92">
        <v>0</v>
      </c>
      <c r="Q13" s="94" t="s">
        <v>389</v>
      </c>
      <c r="U13" s="195"/>
    </row>
    <row r="14" spans="1:21" s="147" customFormat="1" ht="9" customHeight="1">
      <c r="A14" s="143" t="s">
        <v>148</v>
      </c>
      <c r="B14" s="44">
        <v>12</v>
      </c>
      <c r="C14" s="44"/>
      <c r="D14" s="52">
        <v>0</v>
      </c>
      <c r="E14" s="52">
        <f>'Testing Costs'!$B$13</f>
        <v>5000</v>
      </c>
      <c r="F14" s="52">
        <v>0</v>
      </c>
      <c r="G14" s="44">
        <v>1</v>
      </c>
      <c r="H14" s="44">
        <f t="shared" si="0"/>
        <v>12</v>
      </c>
      <c r="I14" s="91">
        <v>0</v>
      </c>
      <c r="J14" s="92">
        <f t="shared" si="1"/>
        <v>0</v>
      </c>
      <c r="K14" s="92">
        <f t="shared" si="2"/>
        <v>0</v>
      </c>
      <c r="L14" s="92">
        <f t="shared" si="3"/>
        <v>0</v>
      </c>
      <c r="M14" s="93"/>
      <c r="N14" s="52">
        <f>(J14*'Base Data'!$C$5)+(K14*'Base Data'!$C$6)+(L14*'Base Data'!$C$7)</f>
        <v>0</v>
      </c>
      <c r="O14" s="52">
        <f t="shared" si="4"/>
        <v>0</v>
      </c>
      <c r="P14" s="92">
        <v>0</v>
      </c>
      <c r="Q14" s="94" t="s">
        <v>387</v>
      </c>
      <c r="U14" s="195"/>
    </row>
    <row r="15" spans="1:21" s="147" customFormat="1" ht="9">
      <c r="A15" s="143" t="s">
        <v>149</v>
      </c>
      <c r="B15" s="44">
        <v>12</v>
      </c>
      <c r="C15" s="44"/>
      <c r="D15" s="52">
        <v>0</v>
      </c>
      <c r="E15" s="52">
        <f>'Testing Costs'!$B$17</f>
        <v>8000</v>
      </c>
      <c r="F15" s="52">
        <v>0</v>
      </c>
      <c r="G15" s="44">
        <v>1</v>
      </c>
      <c r="H15" s="44">
        <f t="shared" si="0"/>
        <v>12</v>
      </c>
      <c r="I15" s="91">
        <v>0</v>
      </c>
      <c r="J15" s="92">
        <f t="shared" si="1"/>
        <v>0</v>
      </c>
      <c r="K15" s="92">
        <f t="shared" si="2"/>
        <v>0</v>
      </c>
      <c r="L15" s="92">
        <f t="shared" si="3"/>
        <v>0</v>
      </c>
      <c r="M15" s="93"/>
      <c r="N15" s="52">
        <f>(J15*'Base Data'!$C$5)+(K15*'Base Data'!$C$6)+(L15*'Base Data'!$C$7)</f>
        <v>0</v>
      </c>
      <c r="O15" s="52">
        <f t="shared" si="4"/>
        <v>0</v>
      </c>
      <c r="P15" s="92">
        <v>0</v>
      </c>
      <c r="Q15" s="94" t="s">
        <v>387</v>
      </c>
      <c r="U15" s="195"/>
    </row>
    <row r="16" spans="1:21" s="147" customFormat="1" ht="9">
      <c r="A16" s="143" t="s">
        <v>150</v>
      </c>
      <c r="B16" s="44">
        <v>12</v>
      </c>
      <c r="C16" s="44"/>
      <c r="D16" s="52">
        <v>0</v>
      </c>
      <c r="E16" s="52">
        <f>'Testing Costs'!$B$15</f>
        <v>8000</v>
      </c>
      <c r="F16" s="52">
        <v>0</v>
      </c>
      <c r="G16" s="44">
        <v>1</v>
      </c>
      <c r="H16" s="44">
        <f t="shared" si="0"/>
        <v>12</v>
      </c>
      <c r="I16" s="91">
        <v>0</v>
      </c>
      <c r="J16" s="92">
        <f t="shared" si="1"/>
        <v>0</v>
      </c>
      <c r="K16" s="92">
        <f t="shared" si="2"/>
        <v>0</v>
      </c>
      <c r="L16" s="92">
        <f t="shared" si="3"/>
        <v>0</v>
      </c>
      <c r="M16" s="93"/>
      <c r="N16" s="52">
        <f>(J16*'Base Data'!$C$5)+(K16*'Base Data'!$C$6)+(L16*'Base Data'!$C$7)</f>
        <v>0</v>
      </c>
      <c r="O16" s="52">
        <f t="shared" si="4"/>
        <v>0</v>
      </c>
      <c r="P16" s="92">
        <v>0</v>
      </c>
      <c r="Q16" s="94" t="s">
        <v>387</v>
      </c>
      <c r="U16" s="195"/>
    </row>
    <row r="17" spans="1:21" s="147" customFormat="1" ht="9">
      <c r="A17" s="143" t="s">
        <v>151</v>
      </c>
      <c r="B17" s="44">
        <v>12</v>
      </c>
      <c r="C17" s="44"/>
      <c r="D17" s="52">
        <v>0</v>
      </c>
      <c r="E17" s="52">
        <f>'Testing Costs'!$B$14</f>
        <v>7000</v>
      </c>
      <c r="F17" s="52">
        <v>0</v>
      </c>
      <c r="G17" s="44">
        <v>1</v>
      </c>
      <c r="H17" s="44">
        <f t="shared" si="0"/>
        <v>12</v>
      </c>
      <c r="I17" s="91">
        <v>0</v>
      </c>
      <c r="J17" s="92">
        <f t="shared" si="1"/>
        <v>0</v>
      </c>
      <c r="K17" s="92">
        <f t="shared" si="2"/>
        <v>0</v>
      </c>
      <c r="L17" s="92">
        <f t="shared" si="3"/>
        <v>0</v>
      </c>
      <c r="M17" s="93"/>
      <c r="N17" s="52">
        <f>(J17*'Base Data'!$C$5)+(K17*'Base Data'!$C$6)+(L17*'Base Data'!$C$7)</f>
        <v>0</v>
      </c>
      <c r="O17" s="52">
        <f t="shared" si="4"/>
        <v>0</v>
      </c>
      <c r="P17" s="92">
        <v>0</v>
      </c>
      <c r="Q17" s="94" t="s">
        <v>387</v>
      </c>
      <c r="U17" s="195"/>
    </row>
    <row r="18" spans="1:21" s="147" customFormat="1" ht="9">
      <c r="A18" s="143" t="s">
        <v>152</v>
      </c>
      <c r="B18" s="44">
        <v>12</v>
      </c>
      <c r="C18" s="44"/>
      <c r="D18" s="52">
        <v>0</v>
      </c>
      <c r="E18" s="52">
        <f>'Testing Costs'!$B$16</f>
        <v>16000</v>
      </c>
      <c r="F18" s="52">
        <v>0</v>
      </c>
      <c r="G18" s="44">
        <v>1</v>
      </c>
      <c r="H18" s="44">
        <f t="shared" si="0"/>
        <v>12</v>
      </c>
      <c r="I18" s="91">
        <v>0</v>
      </c>
      <c r="J18" s="92">
        <f t="shared" si="1"/>
        <v>0</v>
      </c>
      <c r="K18" s="92">
        <f t="shared" si="2"/>
        <v>0</v>
      </c>
      <c r="L18" s="92">
        <f t="shared" si="3"/>
        <v>0</v>
      </c>
      <c r="M18" s="93"/>
      <c r="N18" s="52">
        <f>(J18*'Base Data'!$C$5)+(K18*'Base Data'!$C$6)+(L18*'Base Data'!$C$7)</f>
        <v>0</v>
      </c>
      <c r="O18" s="52">
        <f t="shared" si="4"/>
        <v>0</v>
      </c>
      <c r="P18" s="92">
        <v>0</v>
      </c>
      <c r="Q18" s="94" t="s">
        <v>387</v>
      </c>
      <c r="U18" s="195"/>
    </row>
    <row r="19" spans="1:21" s="147" customFormat="1" ht="18">
      <c r="A19" s="332" t="s">
        <v>482</v>
      </c>
      <c r="B19" s="44">
        <v>24</v>
      </c>
      <c r="C19" s="331"/>
      <c r="D19" s="52">
        <v>0</v>
      </c>
      <c r="E19" s="52">
        <f>$E$13+$E$14</f>
        <v>21000</v>
      </c>
      <c r="F19" s="52">
        <v>0</v>
      </c>
      <c r="G19" s="44">
        <v>1</v>
      </c>
      <c r="H19" s="44">
        <f t="shared" si="0"/>
        <v>24</v>
      </c>
      <c r="I19" s="91">
        <v>0</v>
      </c>
      <c r="J19" s="92">
        <f t="shared" si="1"/>
        <v>0</v>
      </c>
      <c r="K19" s="92">
        <f t="shared" si="2"/>
        <v>0</v>
      </c>
      <c r="L19" s="92">
        <f t="shared" si="3"/>
        <v>0</v>
      </c>
      <c r="M19" s="93"/>
      <c r="N19" s="52">
        <f>(J19*'Base Data'!$C$5)+(K19*'Base Data'!$C$6)+(L19*'Base Data'!$C$7)</f>
        <v>0</v>
      </c>
      <c r="O19" s="52">
        <f t="shared" si="4"/>
        <v>0</v>
      </c>
      <c r="P19" s="92">
        <v>0</v>
      </c>
      <c r="Q19" s="94" t="s">
        <v>567</v>
      </c>
    </row>
    <row r="20" spans="1:21" s="147" customFormat="1" ht="9" customHeight="1">
      <c r="A20" s="143" t="s">
        <v>268</v>
      </c>
      <c r="B20" s="44">
        <v>5</v>
      </c>
      <c r="C20" s="44"/>
      <c r="D20" s="52">
        <v>0</v>
      </c>
      <c r="E20" s="52">
        <v>400</v>
      </c>
      <c r="F20" s="52">
        <v>0</v>
      </c>
      <c r="G20" s="44">
        <v>1</v>
      </c>
      <c r="H20" s="44">
        <f t="shared" si="0"/>
        <v>5</v>
      </c>
      <c r="I20" s="91">
        <v>0</v>
      </c>
      <c r="J20" s="92">
        <f t="shared" si="1"/>
        <v>0</v>
      </c>
      <c r="K20" s="92">
        <f t="shared" si="2"/>
        <v>0</v>
      </c>
      <c r="L20" s="92">
        <f t="shared" si="3"/>
        <v>0</v>
      </c>
      <c r="M20" s="93"/>
      <c r="N20" s="52">
        <f>(J20*'Base Data'!$C$5)+(K20*'Base Data'!$C$6)+(L20*'Base Data'!$C$7)</f>
        <v>0</v>
      </c>
      <c r="O20" s="52">
        <f t="shared" si="4"/>
        <v>0</v>
      </c>
      <c r="P20" s="92">
        <v>0</v>
      </c>
      <c r="Q20" s="94" t="s">
        <v>565</v>
      </c>
      <c r="U20" s="195"/>
    </row>
    <row r="21" spans="1:21" s="147" customFormat="1" ht="9" customHeight="1">
      <c r="A21" s="143" t="s">
        <v>269</v>
      </c>
      <c r="B21" s="44">
        <v>5</v>
      </c>
      <c r="C21" s="44"/>
      <c r="D21" s="52">
        <v>0</v>
      </c>
      <c r="E21" s="52">
        <v>400</v>
      </c>
      <c r="F21" s="52">
        <v>0</v>
      </c>
      <c r="G21" s="44">
        <v>12</v>
      </c>
      <c r="H21" s="44">
        <f t="shared" si="0"/>
        <v>60</v>
      </c>
      <c r="I21" s="91">
        <v>0</v>
      </c>
      <c r="J21" s="92">
        <f t="shared" si="1"/>
        <v>0</v>
      </c>
      <c r="K21" s="92">
        <f t="shared" si="2"/>
        <v>0</v>
      </c>
      <c r="L21" s="92">
        <f t="shared" si="3"/>
        <v>0</v>
      </c>
      <c r="M21" s="93"/>
      <c r="N21" s="52">
        <f>(J21*'Base Data'!$C$5)+(K21*'Base Data'!$C$6)+(L21*'Base Data'!$C$7)</f>
        <v>0</v>
      </c>
      <c r="O21" s="52">
        <f t="shared" si="4"/>
        <v>0</v>
      </c>
      <c r="P21" s="92">
        <v>0</v>
      </c>
      <c r="Q21" s="94" t="s">
        <v>565</v>
      </c>
      <c r="U21" s="195"/>
    </row>
    <row r="22" spans="1:21" s="147" customFormat="1" ht="9">
      <c r="A22" s="143" t="s">
        <v>270</v>
      </c>
      <c r="B22" s="44"/>
      <c r="C22" s="44"/>
      <c r="D22" s="52"/>
      <c r="E22" s="52"/>
      <c r="F22" s="52"/>
      <c r="G22" s="44"/>
      <c r="H22" s="44"/>
      <c r="I22" s="92"/>
      <c r="J22" s="92"/>
      <c r="K22" s="92"/>
      <c r="L22" s="92"/>
      <c r="M22" s="93"/>
      <c r="N22" s="52"/>
      <c r="O22" s="52"/>
      <c r="P22" s="92"/>
      <c r="Q22" s="94"/>
      <c r="U22" s="195"/>
    </row>
    <row r="23" spans="1:21" s="147" customFormat="1" ht="9">
      <c r="A23" s="143" t="s">
        <v>432</v>
      </c>
      <c r="B23" s="44">
        <v>40</v>
      </c>
      <c r="C23" s="44"/>
      <c r="D23" s="52">
        <v>0</v>
      </c>
      <c r="E23" s="52"/>
      <c r="F23" s="52">
        <v>0</v>
      </c>
      <c r="G23" s="44">
        <v>1</v>
      </c>
      <c r="H23" s="44">
        <f>B23*G23</f>
        <v>40</v>
      </c>
      <c r="I23" s="91">
        <v>0</v>
      </c>
      <c r="J23" s="92">
        <f>H23*I23</f>
        <v>0</v>
      </c>
      <c r="K23" s="92">
        <f>J23*0.1</f>
        <v>0</v>
      </c>
      <c r="L23" s="92">
        <f>J23*0.05</f>
        <v>0</v>
      </c>
      <c r="M23" s="93"/>
      <c r="N23" s="52">
        <f>(J23*'Base Data'!$C$5)+(K23*'Base Data'!$C$6)+(L23*'Base Data'!$C$7)</f>
        <v>0</v>
      </c>
      <c r="O23" s="52">
        <f>(D23+E23+F23)*G23*I23</f>
        <v>0</v>
      </c>
      <c r="P23" s="92">
        <v>0</v>
      </c>
      <c r="Q23" s="94" t="s">
        <v>387</v>
      </c>
      <c r="U23" s="195"/>
    </row>
    <row r="24" spans="1:21" s="147" customFormat="1" ht="9">
      <c r="A24" s="142" t="s">
        <v>410</v>
      </c>
      <c r="B24" s="44"/>
      <c r="C24" s="44"/>
      <c r="D24" s="52"/>
      <c r="E24" s="52"/>
      <c r="F24" s="52"/>
      <c r="G24" s="44"/>
      <c r="H24" s="44"/>
      <c r="I24" s="92"/>
      <c r="J24" s="92"/>
      <c r="K24" s="92"/>
      <c r="L24" s="92"/>
      <c r="M24" s="93"/>
      <c r="N24" s="52"/>
      <c r="O24" s="52"/>
      <c r="P24" s="92"/>
      <c r="Q24" s="94"/>
      <c r="U24" s="195"/>
    </row>
    <row r="25" spans="1:21" s="147" customFormat="1" ht="9">
      <c r="A25" s="142" t="s">
        <v>411</v>
      </c>
      <c r="B25" s="44">
        <v>10</v>
      </c>
      <c r="C25" s="44"/>
      <c r="D25" s="52">
        <v>0</v>
      </c>
      <c r="E25" s="52">
        <v>0</v>
      </c>
      <c r="F25" s="52">
        <v>43100</v>
      </c>
      <c r="G25" s="44">
        <v>1</v>
      </c>
      <c r="H25" s="44">
        <f>B25*G25</f>
        <v>10</v>
      </c>
      <c r="I25" s="91">
        <f>SUM(Monitors!$C$25/3,0)</f>
        <v>0</v>
      </c>
      <c r="J25" s="92">
        <f>H25*I25</f>
        <v>0</v>
      </c>
      <c r="K25" s="92">
        <f>J25*0.1</f>
        <v>0</v>
      </c>
      <c r="L25" s="92">
        <f>J25*0.05</f>
        <v>0</v>
      </c>
      <c r="M25" s="93"/>
      <c r="N25" s="52">
        <f>(J25*'Base Data'!$C$5)+(K25*'Base Data'!$C$6)+(L25*'Base Data'!$C$7)</f>
        <v>0</v>
      </c>
      <c r="O25" s="52">
        <f>(D25+E25+F25)*G25*I25</f>
        <v>0</v>
      </c>
      <c r="P25" s="92">
        <v>0</v>
      </c>
      <c r="Q25" s="94" t="s">
        <v>387</v>
      </c>
      <c r="U25" s="195"/>
    </row>
    <row r="26" spans="1:21" s="147" customFormat="1" ht="9">
      <c r="A26" s="142" t="s">
        <v>414</v>
      </c>
      <c r="B26" s="44">
        <v>10</v>
      </c>
      <c r="C26" s="44"/>
      <c r="D26" s="52">
        <v>0</v>
      </c>
      <c r="E26" s="52">
        <v>0</v>
      </c>
      <c r="F26" s="52">
        <v>14700</v>
      </c>
      <c r="G26" s="44">
        <v>1</v>
      </c>
      <c r="H26" s="44">
        <f>B26*G26</f>
        <v>10</v>
      </c>
      <c r="I26" s="91">
        <v>0</v>
      </c>
      <c r="J26" s="92">
        <f>H26*I26</f>
        <v>0</v>
      </c>
      <c r="K26" s="92">
        <f>J26*0.1</f>
        <v>0</v>
      </c>
      <c r="L26" s="92">
        <f>J26*0.05</f>
        <v>0</v>
      </c>
      <c r="M26" s="93"/>
      <c r="N26" s="52">
        <f>(J26*'Base Data'!$C$5)+(K26*'Base Data'!$C$6)+(L26*'Base Data'!$C$7)</f>
        <v>0</v>
      </c>
      <c r="O26" s="52">
        <f>(D26+E26+F26)*G26*I26</f>
        <v>0</v>
      </c>
      <c r="P26" s="92">
        <v>0</v>
      </c>
      <c r="Q26" s="94" t="s">
        <v>387</v>
      </c>
      <c r="U26" s="195"/>
    </row>
    <row r="27" spans="1:21" s="147" customFormat="1" ht="9">
      <c r="A27" s="142" t="s">
        <v>356</v>
      </c>
      <c r="B27" s="44"/>
      <c r="C27" s="44"/>
      <c r="D27" s="52"/>
      <c r="E27" s="52"/>
      <c r="F27" s="52"/>
      <c r="G27" s="44"/>
      <c r="H27" s="44"/>
      <c r="I27" s="92"/>
      <c r="J27" s="92"/>
      <c r="K27" s="92"/>
      <c r="L27" s="92"/>
      <c r="M27" s="93"/>
      <c r="N27" s="52"/>
      <c r="O27" s="52"/>
      <c r="P27" s="92"/>
      <c r="Q27" s="94"/>
      <c r="U27" s="195"/>
    </row>
    <row r="28" spans="1:21" s="147" customFormat="1" ht="9">
      <c r="A28" s="142" t="s">
        <v>411</v>
      </c>
      <c r="B28" s="44">
        <v>10</v>
      </c>
      <c r="C28" s="44"/>
      <c r="D28" s="52">
        <v>0</v>
      </c>
      <c r="E28" s="52">
        <v>0</v>
      </c>
      <c r="F28" s="52">
        <v>158000</v>
      </c>
      <c r="G28" s="44">
        <v>1</v>
      </c>
      <c r="H28" s="44">
        <f>B28*G28</f>
        <v>10</v>
      </c>
      <c r="I28" s="91">
        <v>0</v>
      </c>
      <c r="J28" s="92">
        <f>H28*I28</f>
        <v>0</v>
      </c>
      <c r="K28" s="92">
        <f>J28*0.1</f>
        <v>0</v>
      </c>
      <c r="L28" s="92">
        <f>J28*0.05</f>
        <v>0</v>
      </c>
      <c r="M28" s="93"/>
      <c r="N28" s="52">
        <f>(J28*'Base Data'!$C$5)+(K28*'Base Data'!$C$6)+(L28*'Base Data'!$C$7)</f>
        <v>0</v>
      </c>
      <c r="O28" s="52">
        <f>(D28+E28+F28)*G28*I28</f>
        <v>0</v>
      </c>
      <c r="P28" s="92">
        <v>0</v>
      </c>
      <c r="Q28" s="94" t="s">
        <v>387</v>
      </c>
      <c r="U28" s="195"/>
    </row>
    <row r="29" spans="1:21" s="147" customFormat="1" ht="9">
      <c r="A29" s="142" t="s">
        <v>414</v>
      </c>
      <c r="B29" s="44">
        <v>10</v>
      </c>
      <c r="C29" s="44"/>
      <c r="D29" s="52">
        <v>0</v>
      </c>
      <c r="E29" s="52">
        <v>0</v>
      </c>
      <c r="F29" s="52">
        <v>56100</v>
      </c>
      <c r="G29" s="44">
        <v>1</v>
      </c>
      <c r="H29" s="44">
        <f>B29*G29</f>
        <v>10</v>
      </c>
      <c r="I29" s="91">
        <v>0</v>
      </c>
      <c r="J29" s="92">
        <f>H29*I29</f>
        <v>0</v>
      </c>
      <c r="K29" s="92">
        <f>J29*0.1</f>
        <v>0</v>
      </c>
      <c r="L29" s="92">
        <f>J29*0.05</f>
        <v>0</v>
      </c>
      <c r="M29" s="93"/>
      <c r="N29" s="52">
        <f>(J29*'Base Data'!$C$5)+(K29*'Base Data'!$C$6)+(L29*'Base Data'!$C$7)</f>
        <v>0</v>
      </c>
      <c r="O29" s="52">
        <f>(D29+E29+F29)*G29*I29</f>
        <v>0</v>
      </c>
      <c r="P29" s="92">
        <v>0</v>
      </c>
      <c r="Q29" s="94" t="s">
        <v>387</v>
      </c>
      <c r="U29" s="195"/>
    </row>
    <row r="30" spans="1:21" s="147" customFormat="1" ht="9">
      <c r="A30" s="142" t="s">
        <v>522</v>
      </c>
      <c r="B30" s="44"/>
      <c r="C30" s="44"/>
      <c r="D30" s="52"/>
      <c r="E30" s="52"/>
      <c r="F30" s="52"/>
      <c r="G30" s="44"/>
      <c r="H30" s="44"/>
      <c r="I30" s="91"/>
      <c r="J30" s="92"/>
      <c r="K30" s="92"/>
      <c r="L30" s="92"/>
      <c r="M30" s="93"/>
      <c r="N30" s="52"/>
      <c r="O30" s="52"/>
      <c r="P30" s="92"/>
      <c r="Q30" s="94"/>
    </row>
    <row r="31" spans="1:21" s="147" customFormat="1" ht="9">
      <c r="A31" s="142" t="s">
        <v>411</v>
      </c>
      <c r="B31" s="44">
        <v>10</v>
      </c>
      <c r="C31" s="44"/>
      <c r="D31" s="52">
        <v>0</v>
      </c>
      <c r="E31" s="52">
        <v>0</v>
      </c>
      <c r="F31" s="52">
        <f>Monitors!$F$32</f>
        <v>8523</v>
      </c>
      <c r="G31" s="44">
        <v>1</v>
      </c>
      <c r="H31" s="44">
        <f t="shared" ref="H31:H32" si="5">B31*G31</f>
        <v>10</v>
      </c>
      <c r="I31" s="91">
        <v>0</v>
      </c>
      <c r="J31" s="92">
        <f t="shared" ref="J31:J32" si="6">H31*I31</f>
        <v>0</v>
      </c>
      <c r="K31" s="92">
        <f t="shared" ref="K31:K32" si="7">J31*0.1</f>
        <v>0</v>
      </c>
      <c r="L31" s="92">
        <f t="shared" ref="L31:L32" si="8">J31*0.05</f>
        <v>0</v>
      </c>
      <c r="M31" s="93"/>
      <c r="N31" s="52">
        <f>(J31*'Base Data'!$C$5)+(K31*'Base Data'!$C$6)+(L31*'Base Data'!$C$7)</f>
        <v>0</v>
      </c>
      <c r="O31" s="52">
        <f>(D31+E31+F31)*G31*I31</f>
        <v>0</v>
      </c>
      <c r="P31" s="92">
        <v>0</v>
      </c>
      <c r="Q31" s="94" t="s">
        <v>387</v>
      </c>
    </row>
    <row r="32" spans="1:21" s="147" customFormat="1" ht="9">
      <c r="A32" s="142" t="s">
        <v>414</v>
      </c>
      <c r="B32" s="44">
        <v>10</v>
      </c>
      <c r="C32" s="44"/>
      <c r="D32" s="52">
        <v>0</v>
      </c>
      <c r="E32" s="52">
        <v>0</v>
      </c>
      <c r="F32" s="52">
        <f>Monitors!$G$32</f>
        <v>1436</v>
      </c>
      <c r="G32" s="44">
        <v>1</v>
      </c>
      <c r="H32" s="44">
        <f t="shared" si="5"/>
        <v>10</v>
      </c>
      <c r="I32" s="91">
        <v>0</v>
      </c>
      <c r="J32" s="92">
        <f t="shared" si="6"/>
        <v>0</v>
      </c>
      <c r="K32" s="92">
        <f t="shared" si="7"/>
        <v>0</v>
      </c>
      <c r="L32" s="92">
        <f t="shared" si="8"/>
        <v>0</v>
      </c>
      <c r="M32" s="93"/>
      <c r="N32" s="52">
        <f>(J32*'Base Data'!$C$5)+(K32*'Base Data'!$C$6)+(L32*'Base Data'!$C$7)</f>
        <v>0</v>
      </c>
      <c r="O32" s="52">
        <f>(D32+E32+F32)*G32*I32</f>
        <v>0</v>
      </c>
      <c r="P32" s="92">
        <v>0</v>
      </c>
      <c r="Q32" s="94" t="s">
        <v>387</v>
      </c>
    </row>
    <row r="33" spans="1:21" s="147" customFormat="1" ht="18">
      <c r="A33" s="143" t="s">
        <v>173</v>
      </c>
      <c r="B33" s="44"/>
      <c r="C33" s="44"/>
      <c r="D33" s="52"/>
      <c r="E33" s="52"/>
      <c r="F33" s="95"/>
      <c r="G33" s="44"/>
      <c r="H33" s="44"/>
      <c r="I33" s="96"/>
      <c r="J33" s="92"/>
      <c r="K33" s="92"/>
      <c r="L33" s="92"/>
      <c r="M33" s="93"/>
      <c r="N33" s="52"/>
      <c r="O33" s="52"/>
      <c r="P33" s="92"/>
      <c r="Q33" s="94"/>
      <c r="U33" s="195"/>
    </row>
    <row r="34" spans="1:21" s="147" customFormat="1" ht="9">
      <c r="A34" s="142" t="s">
        <v>411</v>
      </c>
      <c r="B34" s="44">
        <v>10</v>
      </c>
      <c r="C34" s="44"/>
      <c r="D34" s="52">
        <v>0</v>
      </c>
      <c r="E34" s="52">
        <v>0</v>
      </c>
      <c r="F34" s="52">
        <v>24300</v>
      </c>
      <c r="G34" s="44">
        <v>1</v>
      </c>
      <c r="H34" s="44">
        <f>B34*G34</f>
        <v>10</v>
      </c>
      <c r="I34" s="91">
        <f>ROUND(Monitors!$D$25/3,0)</f>
        <v>0</v>
      </c>
      <c r="J34" s="92">
        <f>H34*I34</f>
        <v>0</v>
      </c>
      <c r="K34" s="92">
        <f>J34*0.1</f>
        <v>0</v>
      </c>
      <c r="L34" s="92">
        <f>J34*0.05</f>
        <v>0</v>
      </c>
      <c r="M34" s="93"/>
      <c r="N34" s="52">
        <f>(J34*'Base Data'!$C$5)+(K34*'Base Data'!$C$6)+(L34*'Base Data'!$C$7)</f>
        <v>0</v>
      </c>
      <c r="O34" s="52">
        <f>(D34+E34+F34)*G34*I34</f>
        <v>0</v>
      </c>
      <c r="P34" s="92">
        <v>0</v>
      </c>
      <c r="Q34" s="94" t="s">
        <v>387</v>
      </c>
      <c r="U34" s="195"/>
    </row>
    <row r="35" spans="1:21" s="147" customFormat="1" ht="9">
      <c r="A35" s="142" t="s">
        <v>414</v>
      </c>
      <c r="B35" s="44">
        <v>10</v>
      </c>
      <c r="C35" s="44"/>
      <c r="D35" s="52">
        <v>0</v>
      </c>
      <c r="E35" s="52">
        <v>0</v>
      </c>
      <c r="F35" s="52">
        <v>5600</v>
      </c>
      <c r="G35" s="44">
        <v>1</v>
      </c>
      <c r="H35" s="44">
        <f>B35*G35</f>
        <v>10</v>
      </c>
      <c r="I35" s="91">
        <f>ROUND(Monitors!$D$25/3,0)</f>
        <v>0</v>
      </c>
      <c r="J35" s="92">
        <f>H35*I35</f>
        <v>0</v>
      </c>
      <c r="K35" s="92">
        <f>J35*0.1</f>
        <v>0</v>
      </c>
      <c r="L35" s="92">
        <f>J35*0.05</f>
        <v>0</v>
      </c>
      <c r="M35" s="93"/>
      <c r="N35" s="52">
        <f>(J35*'Base Data'!$C$5)+(K35*'Base Data'!$C$6)+(L35*'Base Data'!$C$7)</f>
        <v>0</v>
      </c>
      <c r="O35" s="52">
        <f>(D35+E35+F35)*G35*I35</f>
        <v>0</v>
      </c>
      <c r="P35" s="92">
        <v>0</v>
      </c>
      <c r="Q35" s="94" t="s">
        <v>387</v>
      </c>
      <c r="U35" s="195"/>
    </row>
    <row r="36" spans="1:21" s="147" customFormat="1" ht="18">
      <c r="A36" s="143" t="s">
        <v>475</v>
      </c>
      <c r="B36" s="44"/>
      <c r="C36" s="44"/>
      <c r="D36" s="52"/>
      <c r="E36" s="52"/>
      <c r="F36" s="52"/>
      <c r="G36" s="44"/>
      <c r="H36" s="44"/>
      <c r="I36" s="96"/>
      <c r="J36" s="92"/>
      <c r="K36" s="92"/>
      <c r="L36" s="92"/>
      <c r="M36" s="93"/>
      <c r="N36" s="52"/>
      <c r="O36" s="238"/>
      <c r="P36" s="92"/>
      <c r="Q36" s="94"/>
      <c r="U36" s="195"/>
    </row>
    <row r="37" spans="1:21" s="147" customFormat="1" ht="9">
      <c r="A37" s="142" t="s">
        <v>411</v>
      </c>
      <c r="B37" s="44">
        <v>10</v>
      </c>
      <c r="C37" s="44"/>
      <c r="D37" s="52">
        <v>0</v>
      </c>
      <c r="E37" s="52">
        <v>0</v>
      </c>
      <c r="F37" s="52">
        <f>25500</f>
        <v>25500</v>
      </c>
      <c r="G37" s="44">
        <v>1</v>
      </c>
      <c r="H37" s="44">
        <f>B37*G37</f>
        <v>10</v>
      </c>
      <c r="I37" s="91">
        <f>ROUND(Monitors!$B$25/3,0)</f>
        <v>0</v>
      </c>
      <c r="J37" s="92">
        <f>H37*I37</f>
        <v>0</v>
      </c>
      <c r="K37" s="92">
        <f>J37*0.1</f>
        <v>0</v>
      </c>
      <c r="L37" s="92">
        <f>J37*0.05</f>
        <v>0</v>
      </c>
      <c r="M37" s="93"/>
      <c r="N37" s="52">
        <f>(J37*'Base Data'!$C$5)+(K37*'Base Data'!$C$6)+(L37*'Base Data'!$C$7)</f>
        <v>0</v>
      </c>
      <c r="O37" s="52">
        <f>(D37+E37+F37)*G37*I37</f>
        <v>0</v>
      </c>
      <c r="P37" s="92">
        <v>0</v>
      </c>
      <c r="Q37" s="94" t="s">
        <v>387</v>
      </c>
      <c r="U37" s="195"/>
    </row>
    <row r="38" spans="1:21" s="147" customFormat="1" ht="9">
      <c r="A38" s="142" t="s">
        <v>414</v>
      </c>
      <c r="B38" s="44">
        <v>10</v>
      </c>
      <c r="C38" s="44"/>
      <c r="D38" s="52">
        <v>0</v>
      </c>
      <c r="E38" s="52">
        <v>0</v>
      </c>
      <c r="F38" s="52">
        <v>9700</v>
      </c>
      <c r="G38" s="44">
        <v>1</v>
      </c>
      <c r="H38" s="44">
        <f>B38*G38</f>
        <v>10</v>
      </c>
      <c r="I38" s="91">
        <f>ROUND(Monitors!$B$25/3,0)</f>
        <v>0</v>
      </c>
      <c r="J38" s="92">
        <f>H38*I38</f>
        <v>0</v>
      </c>
      <c r="K38" s="92">
        <f>J38*0.1</f>
        <v>0</v>
      </c>
      <c r="L38" s="92">
        <f>J38*0.05</f>
        <v>0</v>
      </c>
      <c r="M38" s="93"/>
      <c r="N38" s="52">
        <f>(J38*'Base Data'!$C$5)+(K38*'Base Data'!$C$6)+(L38*'Base Data'!$C$7)</f>
        <v>0</v>
      </c>
      <c r="O38" s="52">
        <f>(D38+E38+F38)*G38*I38</f>
        <v>0</v>
      </c>
      <c r="P38" s="92">
        <v>0</v>
      </c>
      <c r="Q38" s="94" t="s">
        <v>387</v>
      </c>
      <c r="U38" s="195"/>
    </row>
    <row r="39" spans="1:21" s="147" customFormat="1" ht="9">
      <c r="A39" s="142" t="s">
        <v>279</v>
      </c>
      <c r="B39" s="44">
        <v>12</v>
      </c>
      <c r="C39" s="44"/>
      <c r="D39" s="52">
        <v>0</v>
      </c>
      <c r="E39" s="52">
        <v>2875</v>
      </c>
      <c r="F39" s="52">
        <v>0</v>
      </c>
      <c r="G39" s="44">
        <v>1</v>
      </c>
      <c r="H39" s="44">
        <f>B39*G39</f>
        <v>12</v>
      </c>
      <c r="I39" s="92">
        <v>3</v>
      </c>
      <c r="J39" s="91">
        <f>H39*I39</f>
        <v>36</v>
      </c>
      <c r="K39" s="91">
        <f>J39*0.1</f>
        <v>3.6</v>
      </c>
      <c r="L39" s="91">
        <f>J39*0.05</f>
        <v>1.8</v>
      </c>
      <c r="M39" s="92"/>
      <c r="N39" s="52">
        <f>(J39*'Base Data'!$C$5)+(K39*'Base Data'!$C$6)+(L39*'Base Data'!$C$7)</f>
        <v>3915.9900000000002</v>
      </c>
      <c r="O39" s="52">
        <f>(D39+E39+F39)*G39*I39</f>
        <v>8625</v>
      </c>
      <c r="P39" s="92">
        <v>0</v>
      </c>
      <c r="Q39" s="94" t="s">
        <v>388</v>
      </c>
      <c r="U39" s="195"/>
    </row>
    <row r="40" spans="1:21" s="147" customFormat="1" ht="9">
      <c r="A40" s="142" t="s">
        <v>480</v>
      </c>
      <c r="B40" s="44">
        <v>10</v>
      </c>
      <c r="C40" s="44"/>
      <c r="D40" s="52">
        <v>0</v>
      </c>
      <c r="E40" s="52">
        <v>400</v>
      </c>
      <c r="F40" s="52">
        <v>0</v>
      </c>
      <c r="G40" s="44">
        <v>1</v>
      </c>
      <c r="H40" s="44">
        <f>B40*G40</f>
        <v>10</v>
      </c>
      <c r="I40" s="92">
        <v>0</v>
      </c>
      <c r="J40" s="91">
        <f>H40*I40</f>
        <v>0</v>
      </c>
      <c r="K40" s="91">
        <f>J40*0.1</f>
        <v>0</v>
      </c>
      <c r="L40" s="91">
        <f>J40*0.05</f>
        <v>0</v>
      </c>
      <c r="M40" s="92"/>
      <c r="N40" s="52">
        <f>(J40*'Base Data'!$C$5)+(K40*'Base Data'!$C$6)+(L40*'Base Data'!$C$7)</f>
        <v>0</v>
      </c>
      <c r="O40" s="52">
        <f>(D40+E40+F40)*G40*I40</f>
        <v>0</v>
      </c>
      <c r="P40" s="92">
        <v>0</v>
      </c>
      <c r="Q40" s="94" t="s">
        <v>78</v>
      </c>
    </row>
    <row r="41" spans="1:21" s="147" customFormat="1" ht="9">
      <c r="A41" s="142" t="s">
        <v>415</v>
      </c>
      <c r="B41" s="44" t="s">
        <v>433</v>
      </c>
      <c r="C41" s="44"/>
      <c r="D41" s="52"/>
      <c r="E41" s="52"/>
      <c r="F41" s="52"/>
      <c r="G41" s="44"/>
      <c r="H41" s="44"/>
      <c r="I41" s="92"/>
      <c r="J41" s="92"/>
      <c r="K41" s="92"/>
      <c r="L41" s="92"/>
      <c r="M41" s="44"/>
      <c r="N41" s="52"/>
      <c r="O41" s="52"/>
      <c r="P41" s="92"/>
      <c r="Q41" s="94"/>
      <c r="U41" s="195"/>
    </row>
    <row r="42" spans="1:21" s="147" customFormat="1" ht="9">
      <c r="A42" s="142" t="s">
        <v>416</v>
      </c>
      <c r="B42" s="44" t="s">
        <v>433</v>
      </c>
      <c r="C42" s="44"/>
      <c r="D42" s="52"/>
      <c r="E42" s="52"/>
      <c r="F42" s="52"/>
      <c r="G42" s="44"/>
      <c r="H42" s="44"/>
      <c r="I42" s="92"/>
      <c r="J42" s="92"/>
      <c r="K42" s="92"/>
      <c r="L42" s="92"/>
      <c r="M42" s="44"/>
      <c r="N42" s="52"/>
      <c r="O42" s="52"/>
      <c r="P42" s="92"/>
      <c r="Q42" s="94"/>
    </row>
    <row r="43" spans="1:21" s="147" customFormat="1" ht="9">
      <c r="A43" s="142" t="s">
        <v>417</v>
      </c>
      <c r="B43" s="44"/>
      <c r="C43" s="44"/>
      <c r="D43" s="52"/>
      <c r="E43" s="52"/>
      <c r="F43" s="52"/>
      <c r="G43" s="44"/>
      <c r="H43" s="44"/>
      <c r="I43" s="92"/>
      <c r="J43" s="92"/>
      <c r="K43" s="92"/>
      <c r="L43" s="92"/>
      <c r="M43" s="44"/>
      <c r="N43" s="52"/>
      <c r="O43" s="52"/>
      <c r="P43" s="92"/>
      <c r="Q43" s="94"/>
    </row>
    <row r="44" spans="1:21" s="147" customFormat="1" ht="9">
      <c r="A44" s="177" t="s">
        <v>435</v>
      </c>
      <c r="B44" s="44">
        <v>2</v>
      </c>
      <c r="C44" s="44"/>
      <c r="D44" s="52">
        <v>0</v>
      </c>
      <c r="E44" s="52">
        <v>0</v>
      </c>
      <c r="F44" s="52">
        <v>0</v>
      </c>
      <c r="G44" s="44">
        <v>1</v>
      </c>
      <c r="H44" s="44">
        <f>B44*G44</f>
        <v>2</v>
      </c>
      <c r="I44" s="91">
        <f>$I$7</f>
        <v>1</v>
      </c>
      <c r="J44" s="92">
        <f>H44*I44</f>
        <v>2</v>
      </c>
      <c r="K44" s="92">
        <f>J44*0.1</f>
        <v>0.2</v>
      </c>
      <c r="L44" s="92">
        <f>J44*0.05</f>
        <v>0.1</v>
      </c>
      <c r="M44" s="44">
        <f>C44*G44*I44</f>
        <v>0</v>
      </c>
      <c r="N44" s="52">
        <f>(J44*'Base Data'!$C$5)+(K44*'Base Data'!$C$6)+(L44*'Base Data'!$C$7)</f>
        <v>217.55500000000001</v>
      </c>
      <c r="O44" s="52">
        <f>(D44+E44+F44)*G44*I44</f>
        <v>0</v>
      </c>
      <c r="P44" s="92">
        <f>G44*I44</f>
        <v>1</v>
      </c>
      <c r="Q44" s="94" t="s">
        <v>387</v>
      </c>
    </row>
    <row r="45" spans="1:21" s="147" customFormat="1" ht="9" customHeight="1">
      <c r="A45" s="177" t="s">
        <v>377</v>
      </c>
      <c r="B45" s="44">
        <v>8</v>
      </c>
      <c r="C45" s="44"/>
      <c r="D45" s="52">
        <v>0</v>
      </c>
      <c r="E45" s="52">
        <v>0</v>
      </c>
      <c r="F45" s="52">
        <v>0</v>
      </c>
      <c r="G45" s="44">
        <v>1</v>
      </c>
      <c r="H45" s="44">
        <f>B45*G45</f>
        <v>8</v>
      </c>
      <c r="I45" s="91">
        <f>$I$7</f>
        <v>1</v>
      </c>
      <c r="J45" s="92">
        <f>H45*I45</f>
        <v>8</v>
      </c>
      <c r="K45" s="92">
        <f>J45*0.1</f>
        <v>0.8</v>
      </c>
      <c r="L45" s="92">
        <f>J45*0.05</f>
        <v>0.4</v>
      </c>
      <c r="M45" s="44">
        <f>C45*G45*I45</f>
        <v>0</v>
      </c>
      <c r="N45" s="52">
        <f>(J45*'Base Data'!$C$5)+(K45*'Base Data'!$C$6)+(L45*'Base Data'!$C$7)</f>
        <v>870.22</v>
      </c>
      <c r="O45" s="52">
        <f>(D45+E45+F45)*G45*I45</f>
        <v>0</v>
      </c>
      <c r="P45" s="92">
        <f>G45*I45</f>
        <v>1</v>
      </c>
      <c r="Q45" s="94" t="s">
        <v>387</v>
      </c>
    </row>
    <row r="46" spans="1:21" s="147" customFormat="1" ht="9">
      <c r="A46" s="144" t="s">
        <v>493</v>
      </c>
      <c r="B46" s="44">
        <v>20</v>
      </c>
      <c r="C46" s="44">
        <v>0</v>
      </c>
      <c r="D46" s="52">
        <v>0</v>
      </c>
      <c r="E46" s="52">
        <v>0</v>
      </c>
      <c r="F46" s="52">
        <v>0</v>
      </c>
      <c r="G46" s="44">
        <v>1</v>
      </c>
      <c r="H46" s="44">
        <f>B46*G46</f>
        <v>20</v>
      </c>
      <c r="I46" s="91">
        <f>$I$39</f>
        <v>3</v>
      </c>
      <c r="J46" s="92">
        <f>H46*I46</f>
        <v>60</v>
      </c>
      <c r="K46" s="92">
        <f>J46*0.1</f>
        <v>6</v>
      </c>
      <c r="L46" s="92">
        <f>J46*0.05</f>
        <v>3</v>
      </c>
      <c r="M46" s="92">
        <f>C46*G46*I46</f>
        <v>0</v>
      </c>
      <c r="N46" s="52">
        <f>(J46*'Base Data'!$C$5)+(K46*'Base Data'!$C$6)+(L46*'Base Data'!$C$7)</f>
        <v>6526.6500000000005</v>
      </c>
      <c r="O46" s="52">
        <f>(D46+E46+F46)*G46*I46</f>
        <v>0</v>
      </c>
      <c r="P46" s="92">
        <f>G46*I46</f>
        <v>3</v>
      </c>
      <c r="Q46" s="94" t="s">
        <v>542</v>
      </c>
    </row>
    <row r="47" spans="1:21" s="147" customFormat="1" ht="9">
      <c r="A47" s="144" t="s">
        <v>456</v>
      </c>
      <c r="B47" s="44">
        <v>20</v>
      </c>
      <c r="C47" s="44">
        <v>0</v>
      </c>
      <c r="D47" s="52">
        <v>0</v>
      </c>
      <c r="E47" s="52">
        <v>0</v>
      </c>
      <c r="F47" s="52">
        <v>0</v>
      </c>
      <c r="G47" s="44">
        <v>2</v>
      </c>
      <c r="H47" s="44">
        <f>B47*G47</f>
        <v>40</v>
      </c>
      <c r="I47" s="91">
        <v>0</v>
      </c>
      <c r="J47" s="92">
        <f>H47*I47</f>
        <v>0</v>
      </c>
      <c r="K47" s="92">
        <f>J47*0.1</f>
        <v>0</v>
      </c>
      <c r="L47" s="92">
        <f>J47*0.05</f>
        <v>0</v>
      </c>
      <c r="M47" s="92">
        <f>C47*G47*I47</f>
        <v>0</v>
      </c>
      <c r="N47" s="52">
        <f>(J47*'Base Data'!$C$5)+(K47*'Base Data'!$C$6)+(L47*'Base Data'!$C$7)</f>
        <v>0</v>
      </c>
      <c r="O47" s="52">
        <f>(D47+E47+F47)*G47*I47</f>
        <v>0</v>
      </c>
      <c r="P47" s="92">
        <f>G47*I47</f>
        <v>0</v>
      </c>
      <c r="Q47" s="94" t="s">
        <v>542</v>
      </c>
      <c r="R47" s="150">
        <f>SUM(O7,O9:O21,O26,O29,O32,O35,O38:O40)</f>
        <v>8625</v>
      </c>
      <c r="S47" s="149">
        <f>SUM(O25,O28,O31,O34,O37)</f>
        <v>0</v>
      </c>
    </row>
    <row r="48" spans="1:21" s="147" customFormat="1" ht="9">
      <c r="A48" s="144" t="s">
        <v>494</v>
      </c>
      <c r="B48" s="44">
        <v>5</v>
      </c>
      <c r="C48" s="44"/>
      <c r="D48" s="52">
        <v>0</v>
      </c>
      <c r="E48" s="52">
        <v>0</v>
      </c>
      <c r="F48" s="52">
        <v>0</v>
      </c>
      <c r="G48" s="44">
        <v>1</v>
      </c>
      <c r="H48" s="44">
        <f t="shared" ref="H48" si="9">B48*G48</f>
        <v>5</v>
      </c>
      <c r="I48" s="91">
        <v>1</v>
      </c>
      <c r="J48" s="92">
        <f t="shared" ref="J48" si="10">H48*I48</f>
        <v>5</v>
      </c>
      <c r="K48" s="92">
        <f t="shared" ref="K48" si="11">J48*0.1</f>
        <v>0.5</v>
      </c>
      <c r="L48" s="92">
        <f t="shared" ref="L48" si="12">J48*0.05</f>
        <v>0.25</v>
      </c>
      <c r="M48" s="92">
        <f t="shared" ref="M48" si="13">C48*G48*I48</f>
        <v>0</v>
      </c>
      <c r="N48" s="52">
        <f>(J48*'Base Data'!$C$5)+(K48*'Base Data'!$C$6)+(L48*'Base Data'!$C$7)</f>
        <v>543.88749999999993</v>
      </c>
      <c r="O48" s="52">
        <f t="shared" ref="O48" si="14">(D48+E48+F48)*G48*I48</f>
        <v>0</v>
      </c>
      <c r="P48" s="92">
        <f t="shared" ref="P48" si="15">G48*I48</f>
        <v>1</v>
      </c>
      <c r="Q48" s="94" t="s">
        <v>84</v>
      </c>
    </row>
    <row r="49" spans="1:18" s="147" customFormat="1" ht="9">
      <c r="A49" s="145" t="s">
        <v>7</v>
      </c>
      <c r="B49" s="44"/>
      <c r="C49" s="44"/>
      <c r="D49" s="52"/>
      <c r="E49" s="52"/>
      <c r="F49" s="52"/>
      <c r="G49" s="44"/>
      <c r="H49" s="44"/>
      <c r="I49" s="91"/>
      <c r="J49" s="92">
        <f t="shared" ref="J49:O49" si="16">SUM(J4:J47)</f>
        <v>146</v>
      </c>
      <c r="K49" s="92">
        <f t="shared" si="16"/>
        <v>14.6</v>
      </c>
      <c r="L49" s="92">
        <f t="shared" si="16"/>
        <v>7.3</v>
      </c>
      <c r="M49" s="92">
        <f t="shared" si="16"/>
        <v>0</v>
      </c>
      <c r="N49" s="52">
        <f t="shared" si="16"/>
        <v>15881.514999999999</v>
      </c>
      <c r="O49" s="52">
        <f t="shared" si="16"/>
        <v>8625</v>
      </c>
      <c r="P49" s="92">
        <f>SUM(P44:P47)</f>
        <v>5</v>
      </c>
      <c r="Q49" s="94"/>
    </row>
    <row r="50" spans="1:18" s="147" customFormat="1" ht="9">
      <c r="A50" s="142" t="s">
        <v>431</v>
      </c>
      <c r="B50" s="44"/>
      <c r="C50" s="44"/>
      <c r="D50" s="52"/>
      <c r="E50" s="52"/>
      <c r="F50" s="52"/>
      <c r="G50" s="44"/>
      <c r="H50" s="44"/>
      <c r="I50" s="92"/>
      <c r="J50" s="92"/>
      <c r="K50" s="92"/>
      <c r="L50" s="92"/>
      <c r="M50" s="44"/>
      <c r="N50" s="52"/>
      <c r="O50" s="52"/>
      <c r="P50" s="92"/>
      <c r="Q50" s="94"/>
      <c r="R50" s="150"/>
    </row>
    <row r="51" spans="1:18" s="147" customFormat="1" ht="9">
      <c r="A51" s="142" t="s">
        <v>418</v>
      </c>
      <c r="B51" s="44" t="s">
        <v>422</v>
      </c>
      <c r="C51" s="44"/>
      <c r="D51" s="52"/>
      <c r="E51" s="52"/>
      <c r="F51" s="52"/>
      <c r="G51" s="44"/>
      <c r="H51" s="44"/>
      <c r="I51" s="92"/>
      <c r="J51" s="92"/>
      <c r="K51" s="92"/>
      <c r="L51" s="92"/>
      <c r="M51" s="44"/>
      <c r="N51" s="52"/>
      <c r="O51" s="52"/>
      <c r="P51" s="92"/>
      <c r="Q51" s="94"/>
    </row>
    <row r="52" spans="1:18" s="147" customFormat="1" ht="9">
      <c r="A52" s="142" t="s">
        <v>419</v>
      </c>
      <c r="B52" s="44" t="s">
        <v>433</v>
      </c>
      <c r="C52" s="44"/>
      <c r="D52" s="52"/>
      <c r="E52" s="52"/>
      <c r="F52" s="52"/>
      <c r="G52" s="44"/>
      <c r="H52" s="44"/>
      <c r="I52" s="92"/>
      <c r="J52" s="92"/>
      <c r="K52" s="92"/>
      <c r="L52" s="92"/>
      <c r="M52" s="44"/>
      <c r="N52" s="52"/>
      <c r="O52" s="52"/>
      <c r="P52" s="92"/>
      <c r="Q52" s="94"/>
    </row>
    <row r="53" spans="1:18" s="147" customFormat="1" ht="9">
      <c r="A53" s="142" t="s">
        <v>420</v>
      </c>
      <c r="B53" s="44" t="s">
        <v>433</v>
      </c>
      <c r="C53" s="44"/>
      <c r="D53" s="52"/>
      <c r="E53" s="52"/>
      <c r="F53" s="52"/>
      <c r="G53" s="44"/>
      <c r="H53" s="44"/>
      <c r="I53" s="92"/>
      <c r="J53" s="92"/>
      <c r="K53" s="92"/>
      <c r="L53" s="92"/>
      <c r="M53" s="44"/>
      <c r="N53" s="52"/>
      <c r="O53" s="52"/>
      <c r="P53" s="92"/>
      <c r="Q53" s="94" t="s">
        <v>272</v>
      </c>
    </row>
    <row r="54" spans="1:18" s="147" customFormat="1" ht="9">
      <c r="A54" s="142" t="s">
        <v>421</v>
      </c>
      <c r="B54" s="44"/>
      <c r="C54" s="44"/>
      <c r="D54" s="52"/>
      <c r="E54" s="52"/>
      <c r="F54" s="52"/>
      <c r="G54" s="44"/>
      <c r="H54" s="44"/>
      <c r="I54" s="92"/>
      <c r="J54" s="92"/>
      <c r="K54" s="92"/>
      <c r="L54" s="92"/>
      <c r="M54" s="44"/>
      <c r="N54" s="52"/>
      <c r="O54" s="52"/>
      <c r="P54" s="92"/>
      <c r="Q54" s="94"/>
    </row>
    <row r="55" spans="1:18" s="147" customFormat="1" ht="9.75" customHeight="1">
      <c r="A55" s="142" t="s">
        <v>429</v>
      </c>
      <c r="B55" s="44">
        <v>20</v>
      </c>
      <c r="C55" s="44"/>
      <c r="D55" s="52">
        <v>0</v>
      </c>
      <c r="E55" s="52">
        <v>0</v>
      </c>
      <c r="F55" s="52">
        <v>0</v>
      </c>
      <c r="G55" s="44">
        <v>1</v>
      </c>
      <c r="H55" s="44">
        <f t="shared" ref="H55:H63" si="17">B55*G55</f>
        <v>20</v>
      </c>
      <c r="I55" s="91">
        <f>$I$13</f>
        <v>0</v>
      </c>
      <c r="J55" s="92">
        <f t="shared" ref="J55:J63" si="18">H55*I55</f>
        <v>0</v>
      </c>
      <c r="K55" s="92">
        <f t="shared" ref="K55:K63" si="19">J55*0.1</f>
        <v>0</v>
      </c>
      <c r="L55" s="92">
        <f t="shared" ref="L55:L63" si="20">J55*0.05</f>
        <v>0</v>
      </c>
      <c r="M55" s="44"/>
      <c r="N55" s="52">
        <f>(J55*'Base Data'!$C$5)+(K55*'Base Data'!$C$6)+(L55*'Base Data'!$C$7)</f>
        <v>0</v>
      </c>
      <c r="O55" s="52">
        <f t="shared" ref="O55:O63" si="21">(D55+E55+F55)*G55*I55</f>
        <v>0</v>
      </c>
      <c r="P55" s="92">
        <v>0</v>
      </c>
      <c r="Q55" s="94" t="s">
        <v>387</v>
      </c>
    </row>
    <row r="56" spans="1:18" s="147" customFormat="1" ht="9">
      <c r="A56" s="143" t="s">
        <v>425</v>
      </c>
      <c r="B56" s="44">
        <v>15</v>
      </c>
      <c r="C56" s="44">
        <v>0</v>
      </c>
      <c r="D56" s="52">
        <v>0</v>
      </c>
      <c r="E56" s="52">
        <v>0</v>
      </c>
      <c r="F56" s="52">
        <v>0</v>
      </c>
      <c r="G56" s="44">
        <v>1</v>
      </c>
      <c r="H56" s="44">
        <f t="shared" si="17"/>
        <v>15</v>
      </c>
      <c r="I56" s="91">
        <f>$I$13</f>
        <v>0</v>
      </c>
      <c r="J56" s="92">
        <f t="shared" si="18"/>
        <v>0</v>
      </c>
      <c r="K56" s="92">
        <f t="shared" si="19"/>
        <v>0</v>
      </c>
      <c r="L56" s="92">
        <f t="shared" si="20"/>
        <v>0</v>
      </c>
      <c r="M56" s="44">
        <f>C56*G56*I56</f>
        <v>0</v>
      </c>
      <c r="N56" s="52">
        <f>(J56*'Base Data'!$C$5)+(K56*'Base Data'!$C$6)+(L56*'Base Data'!$C$7)</f>
        <v>0</v>
      </c>
      <c r="O56" s="52">
        <f t="shared" si="21"/>
        <v>0</v>
      </c>
      <c r="P56" s="92">
        <v>0</v>
      </c>
      <c r="Q56" s="94" t="s">
        <v>387</v>
      </c>
    </row>
    <row r="57" spans="1:18" s="147" customFormat="1" ht="9.75" customHeight="1">
      <c r="A57" s="142" t="s">
        <v>426</v>
      </c>
      <c r="B57" s="44">
        <v>2</v>
      </c>
      <c r="C57" s="44"/>
      <c r="D57" s="52">
        <v>0</v>
      </c>
      <c r="E57" s="52">
        <v>0</v>
      </c>
      <c r="F57" s="52">
        <v>0</v>
      </c>
      <c r="G57" s="44">
        <v>1</v>
      </c>
      <c r="H57" s="44">
        <f t="shared" si="17"/>
        <v>2</v>
      </c>
      <c r="I57" s="91">
        <f>$I$13</f>
        <v>0</v>
      </c>
      <c r="J57" s="92">
        <f t="shared" si="18"/>
        <v>0</v>
      </c>
      <c r="K57" s="92">
        <f t="shared" si="19"/>
        <v>0</v>
      </c>
      <c r="L57" s="92">
        <f t="shared" si="20"/>
        <v>0</v>
      </c>
      <c r="M57" s="44"/>
      <c r="N57" s="52">
        <f>(J57*'Base Data'!$C$5)+(K57*'Base Data'!$C$6)+(L57*'Base Data'!$C$7)</f>
        <v>0</v>
      </c>
      <c r="O57" s="52">
        <f t="shared" si="21"/>
        <v>0</v>
      </c>
      <c r="P57" s="92">
        <v>0</v>
      </c>
      <c r="Q57" s="94" t="s">
        <v>387</v>
      </c>
    </row>
    <row r="58" spans="1:18" s="147" customFormat="1" ht="9">
      <c r="A58" s="143" t="s">
        <v>436</v>
      </c>
      <c r="B58" s="44">
        <v>2</v>
      </c>
      <c r="C58" s="44"/>
      <c r="D58" s="52">
        <v>0</v>
      </c>
      <c r="E58" s="52">
        <v>0</v>
      </c>
      <c r="F58" s="52">
        <v>0</v>
      </c>
      <c r="G58" s="44">
        <v>1</v>
      </c>
      <c r="H58" s="44">
        <f t="shared" si="17"/>
        <v>2</v>
      </c>
      <c r="I58" s="91">
        <f>$I$13</f>
        <v>0</v>
      </c>
      <c r="J58" s="92">
        <f t="shared" si="18"/>
        <v>0</v>
      </c>
      <c r="K58" s="92">
        <f t="shared" si="19"/>
        <v>0</v>
      </c>
      <c r="L58" s="92">
        <f t="shared" si="20"/>
        <v>0</v>
      </c>
      <c r="M58" s="44"/>
      <c r="N58" s="52">
        <f>(J58*'Base Data'!$C$5)+(K58*'Base Data'!$C$6)+(L58*'Base Data'!$C$7)</f>
        <v>0</v>
      </c>
      <c r="O58" s="52">
        <f t="shared" si="21"/>
        <v>0</v>
      </c>
      <c r="P58" s="92">
        <v>0</v>
      </c>
      <c r="Q58" s="94" t="s">
        <v>387</v>
      </c>
    </row>
    <row r="59" spans="1:18" s="147" customFormat="1" ht="9" customHeight="1">
      <c r="A59" s="143" t="s">
        <v>241</v>
      </c>
      <c r="B59" s="44">
        <v>2</v>
      </c>
      <c r="C59" s="44">
        <v>0</v>
      </c>
      <c r="D59" s="52">
        <v>0</v>
      </c>
      <c r="E59" s="52">
        <v>0</v>
      </c>
      <c r="F59" s="52">
        <v>0</v>
      </c>
      <c r="G59" s="44">
        <v>2</v>
      </c>
      <c r="H59" s="44">
        <f>B59*G59</f>
        <v>4</v>
      </c>
      <c r="I59" s="91">
        <f>$I$39</f>
        <v>3</v>
      </c>
      <c r="J59" s="92">
        <f>H59*I59</f>
        <v>12</v>
      </c>
      <c r="K59" s="92">
        <f t="shared" si="19"/>
        <v>1.2000000000000002</v>
      </c>
      <c r="L59" s="92">
        <f>J59*0.05</f>
        <v>0.60000000000000009</v>
      </c>
      <c r="M59" s="44">
        <f>C59*G59*I59</f>
        <v>0</v>
      </c>
      <c r="N59" s="52">
        <f>(J59*'Base Data'!$C$5)+(K59*'Base Data'!$C$6)+(L59*'Base Data'!$C$7)</f>
        <v>1305.3300000000002</v>
      </c>
      <c r="O59" s="52">
        <f>(D59+E59+F59)*G59*I59</f>
        <v>0</v>
      </c>
      <c r="P59" s="92">
        <v>0</v>
      </c>
      <c r="Q59" s="94" t="s">
        <v>542</v>
      </c>
    </row>
    <row r="60" spans="1:18" s="147" customFormat="1" ht="27">
      <c r="A60" s="143" t="s">
        <v>489</v>
      </c>
      <c r="B60" s="44">
        <v>2</v>
      </c>
      <c r="C60" s="44">
        <v>0</v>
      </c>
      <c r="D60" s="52">
        <v>0</v>
      </c>
      <c r="E60" s="52">
        <v>0</v>
      </c>
      <c r="F60" s="52">
        <v>0</v>
      </c>
      <c r="G60" s="44">
        <v>2</v>
      </c>
      <c r="H60" s="44">
        <f t="shared" si="17"/>
        <v>4</v>
      </c>
      <c r="I60" s="91">
        <f>$I$13</f>
        <v>0</v>
      </c>
      <c r="J60" s="92">
        <f t="shared" si="18"/>
        <v>0</v>
      </c>
      <c r="K60" s="92">
        <f t="shared" si="19"/>
        <v>0</v>
      </c>
      <c r="L60" s="92">
        <f t="shared" si="20"/>
        <v>0</v>
      </c>
      <c r="M60" s="44">
        <f>C60*G60*I60</f>
        <v>0</v>
      </c>
      <c r="N60" s="52">
        <f>(J60*'Base Data'!$C$5)+(K60*'Base Data'!$C$6)+(L60*'Base Data'!$C$7)</f>
        <v>0</v>
      </c>
      <c r="O60" s="52">
        <f t="shared" si="21"/>
        <v>0</v>
      </c>
      <c r="P60" s="92">
        <v>0</v>
      </c>
      <c r="Q60" s="94" t="s">
        <v>542</v>
      </c>
    </row>
    <row r="61" spans="1:18" s="147" customFormat="1" ht="9">
      <c r="A61" s="143" t="s">
        <v>247</v>
      </c>
      <c r="B61" s="44">
        <v>0.5</v>
      </c>
      <c r="C61" s="44"/>
      <c r="D61" s="52">
        <v>0</v>
      </c>
      <c r="E61" s="52">
        <v>0</v>
      </c>
      <c r="F61" s="52">
        <v>0</v>
      </c>
      <c r="G61" s="44">
        <v>12</v>
      </c>
      <c r="H61" s="44">
        <f t="shared" si="17"/>
        <v>6</v>
      </c>
      <c r="I61" s="91">
        <f>$I$39+$I$13</f>
        <v>3</v>
      </c>
      <c r="J61" s="92">
        <f t="shared" si="18"/>
        <v>18</v>
      </c>
      <c r="K61" s="92">
        <f t="shared" si="19"/>
        <v>1.8</v>
      </c>
      <c r="L61" s="92">
        <f t="shared" si="20"/>
        <v>0.9</v>
      </c>
      <c r="M61" s="44"/>
      <c r="N61" s="52">
        <f>(J61*'Base Data'!$C$5)+(K61*'Base Data'!$C$6)+(L61*'Base Data'!$C$7)</f>
        <v>1957.9950000000001</v>
      </c>
      <c r="O61" s="52">
        <f t="shared" si="21"/>
        <v>0</v>
      </c>
      <c r="P61" s="92">
        <v>0</v>
      </c>
      <c r="Q61" s="94" t="s">
        <v>387</v>
      </c>
    </row>
    <row r="62" spans="1:18" s="147" customFormat="1" ht="9">
      <c r="A62" s="333" t="s">
        <v>490</v>
      </c>
      <c r="B62" s="44">
        <v>0.25</v>
      </c>
      <c r="C62" s="44"/>
      <c r="D62" s="52">
        <v>0</v>
      </c>
      <c r="E62" s="52">
        <v>0</v>
      </c>
      <c r="F62" s="52">
        <v>0</v>
      </c>
      <c r="G62" s="44">
        <v>1</v>
      </c>
      <c r="H62" s="44">
        <f>B62*G62</f>
        <v>0.25</v>
      </c>
      <c r="I62" s="91">
        <f>$I$39</f>
        <v>3</v>
      </c>
      <c r="J62" s="91">
        <f>H62*I62</f>
        <v>0.75</v>
      </c>
      <c r="K62" s="91">
        <f>J62*0.1</f>
        <v>7.5000000000000011E-2</v>
      </c>
      <c r="L62" s="91">
        <f>J62*0.05</f>
        <v>3.7500000000000006E-2</v>
      </c>
      <c r="M62" s="44">
        <f>C62*G62*I62</f>
        <v>0</v>
      </c>
      <c r="N62" s="52">
        <f>(J62*'Base Data'!$C$5)+(K62*'Base Data'!$C$6)+(L62*'Base Data'!$C$7)</f>
        <v>81.58312500000001</v>
      </c>
      <c r="O62" s="52">
        <f>(D62+E62+F62)*G62*I62</f>
        <v>0</v>
      </c>
      <c r="P62" s="92">
        <f>G62*I62</f>
        <v>3</v>
      </c>
      <c r="Q62" s="94" t="s">
        <v>388</v>
      </c>
    </row>
    <row r="63" spans="1:18" s="147" customFormat="1" ht="9">
      <c r="A63" s="142" t="s">
        <v>427</v>
      </c>
      <c r="B63" s="44">
        <v>40</v>
      </c>
      <c r="C63" s="44"/>
      <c r="D63" s="52">
        <v>0</v>
      </c>
      <c r="E63" s="52">
        <v>0</v>
      </c>
      <c r="F63" s="52">
        <v>0</v>
      </c>
      <c r="G63" s="44">
        <v>1</v>
      </c>
      <c r="H63" s="44">
        <f t="shared" si="17"/>
        <v>40</v>
      </c>
      <c r="I63" s="91">
        <f>$I$7</f>
        <v>1</v>
      </c>
      <c r="J63" s="92">
        <f t="shared" si="18"/>
        <v>40</v>
      </c>
      <c r="K63" s="92">
        <f t="shared" si="19"/>
        <v>4</v>
      </c>
      <c r="L63" s="92">
        <f t="shared" si="20"/>
        <v>2</v>
      </c>
      <c r="M63" s="44"/>
      <c r="N63" s="52">
        <f>(J63*'Base Data'!$C$5)+(K63*'Base Data'!$C$6)+(L63*'Base Data'!$C$7)</f>
        <v>4351.0999999999995</v>
      </c>
      <c r="O63" s="52">
        <f t="shared" si="21"/>
        <v>0</v>
      </c>
      <c r="P63" s="92">
        <v>0</v>
      </c>
      <c r="Q63" s="94" t="s">
        <v>69</v>
      </c>
    </row>
    <row r="64" spans="1:18" s="147" customFormat="1">
      <c r="A64" s="142" t="s">
        <v>428</v>
      </c>
      <c r="B64" s="44" t="s">
        <v>433</v>
      </c>
      <c r="C64" s="44"/>
      <c r="D64" s="52"/>
      <c r="E64" s="52"/>
      <c r="F64" s="52"/>
      <c r="G64" s="44"/>
      <c r="H64" s="44"/>
      <c r="I64" s="92"/>
      <c r="J64" s="92"/>
      <c r="K64" s="92"/>
      <c r="L64" s="92"/>
      <c r="M64" s="44"/>
      <c r="N64" s="52"/>
      <c r="O64" s="52"/>
      <c r="P64" s="92"/>
      <c r="Q64" s="94"/>
      <c r="R64" s="185"/>
    </row>
    <row r="65" spans="1:18" s="147" customFormat="1">
      <c r="A65" s="254" t="s">
        <v>27</v>
      </c>
      <c r="B65" s="239"/>
      <c r="C65" s="239"/>
      <c r="D65" s="240"/>
      <c r="E65" s="240"/>
      <c r="F65" s="240"/>
      <c r="G65" s="239"/>
      <c r="H65" s="239"/>
      <c r="I65" s="241"/>
      <c r="J65" s="241">
        <f t="shared" ref="J65:O65" si="22">SUM(J51:J64)</f>
        <v>70.75</v>
      </c>
      <c r="K65" s="241">
        <f t="shared" si="22"/>
        <v>7.0750000000000002</v>
      </c>
      <c r="L65" s="241">
        <f t="shared" si="22"/>
        <v>3.5375000000000001</v>
      </c>
      <c r="M65" s="240">
        <f t="shared" si="22"/>
        <v>0</v>
      </c>
      <c r="N65" s="240">
        <f t="shared" si="22"/>
        <v>7696.0081250000003</v>
      </c>
      <c r="O65" s="240">
        <f t="shared" si="22"/>
        <v>0</v>
      </c>
      <c r="P65" s="241"/>
      <c r="Q65" s="242"/>
      <c r="R65" s="114"/>
    </row>
    <row r="66" spans="1:18" s="185" customFormat="1">
      <c r="A66" s="186" t="s">
        <v>400</v>
      </c>
      <c r="B66" s="187"/>
      <c r="C66" s="187"/>
      <c r="D66" s="187"/>
      <c r="E66" s="187"/>
      <c r="F66" s="188"/>
      <c r="G66" s="187"/>
      <c r="H66" s="187"/>
      <c r="I66" s="189"/>
      <c r="J66" s="190">
        <f t="shared" ref="J66:P66" si="23">J49+J65</f>
        <v>216.75</v>
      </c>
      <c r="K66" s="190">
        <f t="shared" si="23"/>
        <v>21.675000000000001</v>
      </c>
      <c r="L66" s="190">
        <f t="shared" si="23"/>
        <v>10.8375</v>
      </c>
      <c r="M66" s="191">
        <f t="shared" si="23"/>
        <v>0</v>
      </c>
      <c r="N66" s="191">
        <f t="shared" si="23"/>
        <v>23577.523125</v>
      </c>
      <c r="O66" s="191">
        <f t="shared" si="23"/>
        <v>8625</v>
      </c>
      <c r="P66" s="190">
        <f t="shared" si="23"/>
        <v>5</v>
      </c>
      <c r="Q66" s="192"/>
      <c r="R66" s="53"/>
    </row>
    <row r="67" spans="1:18" ht="6" customHeight="1">
      <c r="R67" s="53"/>
    </row>
    <row r="68" spans="1:18" s="53" customFormat="1" ht="18" customHeight="1">
      <c r="A68" s="412" t="s">
        <v>541</v>
      </c>
      <c r="B68" s="412"/>
      <c r="C68" s="412"/>
      <c r="D68" s="412"/>
      <c r="E68" s="412"/>
      <c r="F68" s="412"/>
      <c r="G68" s="412"/>
      <c r="H68" s="412"/>
      <c r="I68" s="412"/>
      <c r="J68" s="412"/>
      <c r="K68" s="412"/>
      <c r="L68" s="412"/>
      <c r="M68" s="412"/>
      <c r="N68" s="412"/>
      <c r="O68" s="412"/>
      <c r="P68" s="375"/>
    </row>
    <row r="69" spans="1:18" s="53" customFormat="1" ht="9" customHeight="1">
      <c r="A69" s="409" t="s">
        <v>383</v>
      </c>
      <c r="B69" s="409"/>
      <c r="C69" s="409"/>
      <c r="D69" s="409"/>
      <c r="E69" s="409"/>
      <c r="F69" s="409"/>
      <c r="G69" s="409"/>
      <c r="H69" s="409"/>
      <c r="I69" s="409"/>
      <c r="J69" s="409"/>
      <c r="K69" s="409"/>
      <c r="L69" s="409"/>
      <c r="M69" s="409"/>
      <c r="N69" s="409"/>
      <c r="O69" s="409"/>
      <c r="P69" s="375"/>
    </row>
    <row r="70" spans="1:18" s="384" customFormat="1" ht="9">
      <c r="A70" s="409" t="s">
        <v>547</v>
      </c>
      <c r="B70" s="409"/>
      <c r="C70" s="409"/>
      <c r="D70" s="409"/>
      <c r="E70" s="409"/>
      <c r="F70" s="409"/>
      <c r="G70" s="409"/>
      <c r="H70" s="409"/>
      <c r="I70" s="409"/>
      <c r="J70" s="409"/>
      <c r="K70" s="409"/>
      <c r="L70" s="409"/>
      <c r="M70" s="409"/>
      <c r="N70" s="409"/>
      <c r="O70" s="409"/>
      <c r="P70" s="409"/>
      <c r="Q70" s="53"/>
      <c r="R70" s="53"/>
    </row>
    <row r="71" spans="1:18" s="53" customFormat="1">
      <c r="A71" s="409" t="s">
        <v>271</v>
      </c>
      <c r="B71" s="409"/>
      <c r="C71" s="409"/>
      <c r="D71" s="409"/>
      <c r="E71" s="409"/>
      <c r="F71" s="409"/>
      <c r="G71" s="409"/>
      <c r="H71" s="409"/>
      <c r="I71" s="409"/>
      <c r="J71" s="409"/>
      <c r="K71" s="409"/>
      <c r="L71" s="409"/>
      <c r="M71" s="409"/>
      <c r="N71" s="409"/>
      <c r="O71" s="409"/>
      <c r="P71" s="409"/>
      <c r="Q71" s="114"/>
    </row>
    <row r="72" spans="1:18" s="53" customFormat="1" ht="21" customHeight="1">
      <c r="A72" s="409" t="s">
        <v>566</v>
      </c>
      <c r="B72" s="409"/>
      <c r="C72" s="409"/>
      <c r="D72" s="409"/>
      <c r="E72" s="409"/>
      <c r="F72" s="409"/>
      <c r="G72" s="409"/>
      <c r="H72" s="409"/>
      <c r="I72" s="409"/>
      <c r="J72" s="409"/>
      <c r="K72" s="409"/>
      <c r="L72" s="409"/>
      <c r="M72" s="409"/>
      <c r="N72" s="409"/>
      <c r="O72" s="409"/>
      <c r="P72" s="378"/>
    </row>
    <row r="73" spans="1:18" s="53" customFormat="1" ht="9" customHeight="1">
      <c r="A73" s="98" t="s">
        <v>543</v>
      </c>
      <c r="B73" s="378"/>
      <c r="C73" s="378"/>
      <c r="D73" s="378"/>
      <c r="E73" s="378"/>
      <c r="F73" s="378"/>
      <c r="G73" s="378"/>
      <c r="H73" s="378"/>
      <c r="I73" s="378"/>
      <c r="J73" s="378"/>
      <c r="K73" s="378"/>
      <c r="L73" s="378"/>
      <c r="M73" s="378"/>
      <c r="N73" s="378"/>
      <c r="O73" s="378"/>
      <c r="P73" s="378"/>
    </row>
    <row r="74" spans="1:18" s="53" customFormat="1" ht="9">
      <c r="A74" s="14" t="s">
        <v>568</v>
      </c>
      <c r="B74" s="56"/>
      <c r="C74" s="56"/>
      <c r="D74" s="56"/>
      <c r="E74" s="56"/>
      <c r="F74" s="56"/>
      <c r="G74" s="56"/>
      <c r="H74" s="56"/>
      <c r="I74" s="57"/>
      <c r="J74" s="56"/>
      <c r="K74" s="56"/>
      <c r="L74" s="56"/>
      <c r="M74" s="56"/>
      <c r="N74" s="56"/>
      <c r="O74" s="197"/>
      <c r="P74" s="197"/>
      <c r="Q74" s="56"/>
    </row>
    <row r="75" spans="1:18" s="53" customFormat="1" ht="9">
      <c r="A75" s="14" t="s">
        <v>575</v>
      </c>
      <c r="C75" s="56"/>
      <c r="D75" s="56"/>
      <c r="E75" s="56"/>
      <c r="F75" s="56"/>
      <c r="G75" s="56"/>
      <c r="H75" s="56"/>
      <c r="I75" s="56"/>
      <c r="J75" s="57"/>
      <c r="K75" s="56"/>
      <c r="L75" s="56"/>
      <c r="M75" s="56"/>
      <c r="N75" s="56"/>
      <c r="O75" s="56"/>
      <c r="P75" s="197"/>
      <c r="Q75" s="56"/>
    </row>
    <row r="76" spans="1:18" s="53" customFormat="1" ht="9">
      <c r="A76" s="139" t="s">
        <v>576</v>
      </c>
      <c r="B76" s="409"/>
      <c r="C76" s="409"/>
      <c r="D76" s="409"/>
      <c r="E76" s="409"/>
      <c r="F76" s="409"/>
      <c r="G76" s="409"/>
      <c r="H76" s="409"/>
      <c r="I76" s="409"/>
      <c r="J76" s="409"/>
      <c r="K76" s="409"/>
      <c r="L76" s="409"/>
      <c r="M76" s="409"/>
      <c r="N76" s="409"/>
      <c r="O76" s="409"/>
      <c r="P76" s="409"/>
      <c r="Q76" s="56"/>
    </row>
    <row r="77" spans="1:18" s="53" customFormat="1" ht="9">
      <c r="B77" s="56"/>
      <c r="C77" s="56"/>
      <c r="D77" s="56"/>
      <c r="E77" s="56"/>
      <c r="F77" s="56"/>
      <c r="G77" s="56"/>
      <c r="H77" s="56"/>
      <c r="I77" s="57"/>
      <c r="J77" s="56"/>
      <c r="K77" s="56"/>
      <c r="L77" s="56"/>
      <c r="M77" s="56"/>
      <c r="N77" s="56"/>
      <c r="O77" s="197"/>
      <c r="P77" s="197"/>
      <c r="Q77" s="56"/>
    </row>
    <row r="78" spans="1:18" s="53" customFormat="1" ht="9">
      <c r="B78" s="56"/>
      <c r="C78" s="56"/>
      <c r="D78" s="56"/>
      <c r="E78" s="56"/>
      <c r="F78" s="56"/>
      <c r="G78" s="56"/>
      <c r="H78" s="56"/>
      <c r="I78" s="57"/>
      <c r="J78" s="56"/>
      <c r="K78" s="56"/>
      <c r="L78" s="56"/>
      <c r="M78" s="56"/>
      <c r="N78" s="56"/>
      <c r="O78" s="197"/>
      <c r="P78" s="197"/>
      <c r="Q78" s="56"/>
    </row>
    <row r="79" spans="1:18" s="53" customFormat="1" ht="9">
      <c r="B79" s="56"/>
      <c r="C79" s="56"/>
      <c r="D79" s="56"/>
      <c r="E79" s="56"/>
      <c r="F79" s="56"/>
      <c r="G79" s="56"/>
      <c r="H79" s="56"/>
      <c r="I79" s="57"/>
      <c r="J79" s="56"/>
      <c r="K79" s="56"/>
      <c r="L79" s="56"/>
      <c r="M79" s="56"/>
      <c r="N79" s="56"/>
      <c r="O79" s="197"/>
      <c r="P79" s="197"/>
      <c r="Q79" s="56"/>
    </row>
    <row r="80" spans="1:18" s="53" customFormat="1" ht="9">
      <c r="B80" s="56"/>
      <c r="C80" s="56"/>
      <c r="D80" s="56"/>
      <c r="E80" s="56"/>
      <c r="F80" s="56"/>
      <c r="G80" s="56"/>
      <c r="H80" s="56"/>
      <c r="I80" s="57"/>
      <c r="J80" s="56"/>
      <c r="K80" s="56"/>
      <c r="L80" s="56"/>
      <c r="M80" s="56"/>
      <c r="N80" s="56"/>
      <c r="O80" s="197"/>
      <c r="P80" s="197"/>
      <c r="Q80" s="56"/>
    </row>
    <row r="81" spans="2:18" s="53" customFormat="1" ht="9">
      <c r="B81" s="56"/>
      <c r="C81" s="56"/>
      <c r="D81" s="56"/>
      <c r="E81" s="56"/>
      <c r="F81" s="56"/>
      <c r="G81" s="56"/>
      <c r="H81" s="56"/>
      <c r="I81" s="57"/>
      <c r="J81" s="56"/>
      <c r="K81" s="56"/>
      <c r="L81" s="56"/>
      <c r="M81" s="56"/>
      <c r="N81" s="56"/>
      <c r="O81" s="197"/>
      <c r="P81" s="197"/>
      <c r="Q81" s="56"/>
    </row>
    <row r="82" spans="2:18" s="53" customFormat="1" ht="9">
      <c r="B82" s="56"/>
      <c r="C82" s="56"/>
      <c r="D82" s="56"/>
      <c r="E82" s="56"/>
      <c r="F82" s="56"/>
      <c r="G82" s="56"/>
      <c r="H82" s="56"/>
      <c r="I82" s="57"/>
      <c r="J82" s="56"/>
      <c r="K82" s="56"/>
      <c r="L82" s="56"/>
      <c r="M82" s="56"/>
      <c r="N82" s="56"/>
      <c r="O82" s="197"/>
      <c r="P82" s="197"/>
      <c r="Q82" s="56"/>
    </row>
    <row r="83" spans="2:18" s="53" customFormat="1" ht="9">
      <c r="B83" s="56"/>
      <c r="C83" s="56"/>
      <c r="D83" s="56"/>
      <c r="E83" s="56"/>
      <c r="F83" s="56"/>
      <c r="G83" s="56"/>
      <c r="H83" s="56"/>
      <c r="I83" s="57"/>
      <c r="J83" s="56"/>
      <c r="K83" s="56"/>
      <c r="L83" s="56"/>
      <c r="M83" s="56"/>
      <c r="N83" s="56"/>
      <c r="O83" s="197"/>
      <c r="P83" s="197"/>
      <c r="Q83" s="56"/>
    </row>
    <row r="84" spans="2:18" s="53" customFormat="1" ht="9">
      <c r="B84" s="56"/>
      <c r="C84" s="56"/>
      <c r="D84" s="56"/>
      <c r="E84" s="56"/>
      <c r="F84" s="56"/>
      <c r="G84" s="56"/>
      <c r="H84" s="56"/>
      <c r="I84" s="57"/>
      <c r="J84" s="56"/>
      <c r="K84" s="56"/>
      <c r="L84" s="56"/>
      <c r="M84" s="56"/>
      <c r="N84" s="56"/>
      <c r="O84" s="197"/>
      <c r="P84" s="197"/>
      <c r="Q84" s="56"/>
    </row>
    <row r="85" spans="2:18" s="53" customFormat="1" ht="9">
      <c r="B85" s="56"/>
      <c r="C85" s="56"/>
      <c r="D85" s="56"/>
      <c r="E85" s="56"/>
      <c r="F85" s="56"/>
      <c r="G85" s="56"/>
      <c r="H85" s="56"/>
      <c r="I85" s="57"/>
      <c r="J85" s="56"/>
      <c r="K85" s="56"/>
      <c r="L85" s="56"/>
      <c r="M85" s="56"/>
      <c r="N85" s="56"/>
      <c r="O85" s="197"/>
      <c r="P85" s="197"/>
      <c r="Q85" s="56"/>
    </row>
    <row r="86" spans="2:18" s="53" customFormat="1" ht="9">
      <c r="B86" s="56"/>
      <c r="C86" s="56"/>
      <c r="D86" s="56"/>
      <c r="E86" s="56"/>
      <c r="F86" s="56"/>
      <c r="G86" s="56"/>
      <c r="H86" s="56"/>
      <c r="I86" s="57"/>
      <c r="J86" s="56"/>
      <c r="K86" s="56"/>
      <c r="L86" s="56"/>
      <c r="M86" s="56"/>
      <c r="N86" s="56"/>
      <c r="O86" s="197"/>
      <c r="P86" s="197"/>
      <c r="Q86" s="56"/>
    </row>
    <row r="87" spans="2:18" s="53" customFormat="1" ht="9">
      <c r="B87" s="56"/>
      <c r="C87" s="56"/>
      <c r="D87" s="56"/>
      <c r="E87" s="56"/>
      <c r="F87" s="56"/>
      <c r="G87" s="56"/>
      <c r="H87" s="56"/>
      <c r="I87" s="57"/>
      <c r="J87" s="56"/>
      <c r="K87" s="56"/>
      <c r="L87" s="56"/>
      <c r="M87" s="56"/>
      <c r="N87" s="56"/>
      <c r="O87" s="197"/>
      <c r="P87" s="197"/>
      <c r="Q87" s="56"/>
    </row>
    <row r="88" spans="2:18" s="53" customFormat="1" ht="9">
      <c r="B88" s="56"/>
      <c r="C88" s="56"/>
      <c r="D88" s="56"/>
      <c r="E88" s="56"/>
      <c r="F88" s="56"/>
      <c r="G88" s="56"/>
      <c r="H88" s="56"/>
      <c r="I88" s="57"/>
      <c r="J88" s="56"/>
      <c r="K88" s="56"/>
      <c r="L88" s="56"/>
      <c r="M88" s="56"/>
      <c r="N88" s="56"/>
      <c r="O88" s="197"/>
      <c r="P88" s="197"/>
      <c r="Q88" s="56"/>
    </row>
    <row r="89" spans="2:18" s="53" customFormat="1" ht="9">
      <c r="B89" s="56"/>
      <c r="C89" s="56"/>
      <c r="D89" s="56"/>
      <c r="E89" s="56"/>
      <c r="F89" s="56"/>
      <c r="G89" s="56"/>
      <c r="H89" s="56"/>
      <c r="I89" s="57"/>
      <c r="J89" s="56"/>
      <c r="K89" s="56"/>
      <c r="L89" s="56"/>
      <c r="M89" s="56"/>
      <c r="N89" s="56"/>
      <c r="O89" s="197"/>
      <c r="P89" s="197"/>
      <c r="Q89" s="56"/>
    </row>
    <row r="90" spans="2:18" s="53" customFormat="1">
      <c r="B90" s="56"/>
      <c r="C90" s="56"/>
      <c r="D90" s="56"/>
      <c r="E90" s="56"/>
      <c r="F90" s="56"/>
      <c r="G90" s="56"/>
      <c r="H90" s="56"/>
      <c r="I90" s="57"/>
      <c r="J90" s="56"/>
      <c r="K90" s="56"/>
      <c r="L90" s="56"/>
      <c r="M90" s="56"/>
      <c r="N90" s="56"/>
      <c r="O90" s="197"/>
      <c r="P90" s="197"/>
      <c r="Q90" s="56"/>
      <c r="R90" s="114"/>
    </row>
    <row r="91" spans="2:18" s="53" customFormat="1">
      <c r="B91" s="56"/>
      <c r="C91" s="56"/>
      <c r="D91" s="56"/>
      <c r="E91" s="56"/>
      <c r="F91" s="56"/>
      <c r="G91" s="56"/>
      <c r="H91" s="56"/>
      <c r="I91" s="57"/>
      <c r="J91" s="56"/>
      <c r="K91" s="56"/>
      <c r="L91" s="56"/>
      <c r="M91" s="56"/>
      <c r="N91" s="56"/>
      <c r="O91" s="197"/>
      <c r="P91" s="197"/>
      <c r="Q91" s="56"/>
      <c r="R91" s="114"/>
    </row>
    <row r="92" spans="2:18">
      <c r="Q92" s="56"/>
    </row>
    <row r="93" spans="2:18">
      <c r="Q93" s="56"/>
    </row>
    <row r="94" spans="2:18">
      <c r="Q94" s="56"/>
    </row>
  </sheetData>
  <mergeCells count="8">
    <mergeCell ref="B76:P76"/>
    <mergeCell ref="A71:P71"/>
    <mergeCell ref="A72:O72"/>
    <mergeCell ref="A1:Q1"/>
    <mergeCell ref="A2:Q2"/>
    <mergeCell ref="A69:O69"/>
    <mergeCell ref="A68:O68"/>
    <mergeCell ref="A70:P70"/>
  </mergeCells>
  <phoneticPr fontId="7" type="noConversion"/>
  <pageMargins left="0.25" right="0.25" top="0.5" bottom="0.75" header="0.5" footer="0.5"/>
  <pageSetup scale="58" orientation="landscape" r:id="rId1"/>
  <headerFooter alignWithMargins="0"/>
  <ignoredErrors>
    <ignoredError sqref="I59" formula="1"/>
  </ignoredErrors>
</worksheet>
</file>

<file path=xl/worksheets/sheet25.xml><?xml version="1.0" encoding="utf-8"?>
<worksheet xmlns="http://schemas.openxmlformats.org/spreadsheetml/2006/main" xmlns:r="http://schemas.openxmlformats.org/officeDocument/2006/relationships">
  <sheetPr>
    <pageSetUpPr fitToPage="1"/>
  </sheetPr>
  <dimension ref="A1:U121"/>
  <sheetViews>
    <sheetView zoomScale="110" zoomScaleNormal="110" workbookViewId="0">
      <pane xSplit="1" ySplit="3" topLeftCell="B4" activePane="bottomRight" state="frozen"/>
      <selection activeCell="P31" sqref="P31"/>
      <selection pane="topRight" activeCell="P31" sqref="P31"/>
      <selection pane="bottomLeft" activeCell="P31" sqref="P31"/>
      <selection pane="bottomRight" activeCell="L105" sqref="L105"/>
    </sheetView>
  </sheetViews>
  <sheetFormatPr defaultRowHeight="11.25"/>
  <cols>
    <col min="1" max="1" width="34.28515625" style="114" customWidth="1"/>
    <col min="2" max="2" width="8.85546875" style="54" bestFit="1" customWidth="1"/>
    <col min="3" max="3" width="8" style="54" hidden="1" customWidth="1"/>
    <col min="4" max="4" width="8.42578125" style="54" bestFit="1" customWidth="1"/>
    <col min="5" max="5" width="8.85546875" style="54" bestFit="1" customWidth="1"/>
    <col min="6" max="6" width="7.85546875" style="54" bestFit="1" customWidth="1"/>
    <col min="7" max="7" width="9.28515625" style="54" bestFit="1" customWidth="1"/>
    <col min="8" max="8" width="7.85546875" style="54" bestFit="1" customWidth="1"/>
    <col min="9" max="9" width="9.42578125" style="55" bestFit="1" customWidth="1"/>
    <col min="10" max="11" width="6.85546875" style="54" bestFit="1" customWidth="1"/>
    <col min="12" max="12" width="8.85546875" style="54" bestFit="1" customWidth="1"/>
    <col min="13" max="13" width="7.85546875" style="54" hidden="1" customWidth="1"/>
    <col min="14" max="14" width="8.42578125" style="54" bestFit="1" customWidth="1"/>
    <col min="15" max="15" width="10.140625" style="196" bestFit="1" customWidth="1"/>
    <col min="16" max="16" width="7.85546875" style="196" customWidth="1"/>
    <col min="17" max="17" width="4" style="54" bestFit="1" customWidth="1"/>
    <col min="18" max="19" width="9.140625" style="114" hidden="1" customWidth="1"/>
    <col min="20" max="20" width="11.140625" style="114" customWidth="1"/>
    <col min="21" max="21" width="8.5703125" style="114" customWidth="1"/>
    <col min="22" max="16384" width="9.140625" style="114"/>
  </cols>
  <sheetData>
    <row r="1" spans="1:21">
      <c r="A1" s="410" t="s">
        <v>291</v>
      </c>
      <c r="B1" s="410"/>
      <c r="C1" s="410"/>
      <c r="D1" s="410"/>
      <c r="E1" s="410"/>
      <c r="F1" s="410"/>
      <c r="G1" s="410"/>
      <c r="H1" s="410"/>
      <c r="I1" s="410"/>
      <c r="J1" s="410"/>
      <c r="K1" s="410"/>
      <c r="L1" s="410"/>
      <c r="M1" s="410"/>
      <c r="N1" s="410"/>
      <c r="O1" s="410"/>
      <c r="P1" s="410"/>
      <c r="Q1" s="410"/>
    </row>
    <row r="2" spans="1:21">
      <c r="A2" s="411" t="s">
        <v>302</v>
      </c>
      <c r="B2" s="411"/>
      <c r="C2" s="411"/>
      <c r="D2" s="411"/>
      <c r="E2" s="411"/>
      <c r="F2" s="411"/>
      <c r="G2" s="411"/>
      <c r="H2" s="411"/>
      <c r="I2" s="411"/>
      <c r="J2" s="411"/>
      <c r="K2" s="411"/>
      <c r="L2" s="411"/>
      <c r="M2" s="411"/>
      <c r="N2" s="411"/>
      <c r="O2" s="411"/>
      <c r="P2" s="411"/>
      <c r="Q2" s="411"/>
    </row>
    <row r="3" spans="1:21" s="193" customFormat="1" ht="63">
      <c r="A3" s="45" t="s">
        <v>392</v>
      </c>
      <c r="B3" s="45" t="s">
        <v>393</v>
      </c>
      <c r="C3" s="45" t="s">
        <v>430</v>
      </c>
      <c r="D3" s="45" t="s">
        <v>4</v>
      </c>
      <c r="E3" s="45" t="s">
        <v>6</v>
      </c>
      <c r="F3" s="45" t="s">
        <v>5</v>
      </c>
      <c r="G3" s="45" t="s">
        <v>176</v>
      </c>
      <c r="H3" s="45" t="s">
        <v>459</v>
      </c>
      <c r="I3" s="60" t="s">
        <v>460</v>
      </c>
      <c r="J3" s="100" t="s">
        <v>462</v>
      </c>
      <c r="K3" s="100" t="s">
        <v>463</v>
      </c>
      <c r="L3" s="100" t="s">
        <v>461</v>
      </c>
      <c r="M3" s="45" t="s">
        <v>391</v>
      </c>
      <c r="N3" s="45" t="s">
        <v>8</v>
      </c>
      <c r="O3" s="100" t="s">
        <v>9</v>
      </c>
      <c r="P3" s="100" t="s">
        <v>175</v>
      </c>
      <c r="Q3" s="182" t="s">
        <v>394</v>
      </c>
      <c r="R3" s="193" t="s">
        <v>307</v>
      </c>
      <c r="S3" s="193" t="s">
        <v>308</v>
      </c>
    </row>
    <row r="4" spans="1:21" s="147" customFormat="1" ht="9">
      <c r="A4" s="178" t="s">
        <v>405</v>
      </c>
      <c r="B4" s="179" t="s">
        <v>433</v>
      </c>
      <c r="C4" s="179"/>
      <c r="D4" s="181"/>
      <c r="E4" s="181"/>
      <c r="F4" s="181"/>
      <c r="G4" s="179"/>
      <c r="H4" s="179"/>
      <c r="I4" s="183"/>
      <c r="J4" s="183"/>
      <c r="K4" s="183"/>
      <c r="L4" s="183"/>
      <c r="M4" s="179"/>
      <c r="N4" s="181"/>
      <c r="O4" s="181"/>
      <c r="P4" s="181"/>
      <c r="Q4" s="249"/>
    </row>
    <row r="5" spans="1:21" s="147" customFormat="1" ht="9">
      <c r="A5" s="142" t="s">
        <v>406</v>
      </c>
      <c r="B5" s="44" t="s">
        <v>433</v>
      </c>
      <c r="C5" s="44"/>
      <c r="D5" s="52"/>
      <c r="E5" s="52"/>
      <c r="F5" s="52"/>
      <c r="G5" s="44"/>
      <c r="H5" s="44"/>
      <c r="I5" s="92"/>
      <c r="J5" s="92"/>
      <c r="K5" s="92"/>
      <c r="L5" s="92"/>
      <c r="M5" s="44"/>
      <c r="N5" s="52"/>
      <c r="O5" s="52"/>
      <c r="P5" s="52"/>
      <c r="Q5" s="94"/>
    </row>
    <row r="6" spans="1:21" s="147" customFormat="1" ht="9">
      <c r="A6" s="142" t="s">
        <v>407</v>
      </c>
      <c r="B6" s="44"/>
      <c r="C6" s="44"/>
      <c r="D6" s="52"/>
      <c r="E6" s="52"/>
      <c r="F6" s="52"/>
      <c r="G6" s="44"/>
      <c r="H6" s="44"/>
      <c r="I6" s="92"/>
      <c r="J6" s="92"/>
      <c r="K6" s="92"/>
      <c r="L6" s="92"/>
      <c r="M6" s="44"/>
      <c r="N6" s="52"/>
      <c r="O6" s="52"/>
      <c r="P6" s="52"/>
      <c r="Q6" s="94"/>
    </row>
    <row r="7" spans="1:21" s="147" customFormat="1" ht="9">
      <c r="A7" s="143" t="s">
        <v>408</v>
      </c>
      <c r="B7" s="44">
        <v>40</v>
      </c>
      <c r="C7" s="44"/>
      <c r="D7" s="52">
        <v>0</v>
      </c>
      <c r="E7" s="52">
        <v>0</v>
      </c>
      <c r="F7" s="52">
        <v>0</v>
      </c>
      <c r="G7" s="44">
        <v>1</v>
      </c>
      <c r="H7" s="44">
        <f>B7*G7</f>
        <v>40</v>
      </c>
      <c r="I7" s="91">
        <v>1</v>
      </c>
      <c r="J7" s="92">
        <f>H7*I7</f>
        <v>40</v>
      </c>
      <c r="K7" s="92">
        <f>J7*0.1</f>
        <v>4</v>
      </c>
      <c r="L7" s="91">
        <f>J7*0.05</f>
        <v>2</v>
      </c>
      <c r="M7" s="44">
        <f>C7*G7*I7</f>
        <v>0</v>
      </c>
      <c r="N7" s="52">
        <f>(J7*'Base Data'!$C$5)+(K7*'Base Data'!$C$6)+(L7*'Base Data'!$C$7)</f>
        <v>4351.0999999999995</v>
      </c>
      <c r="O7" s="52">
        <f>(D7+E7+F7)*G7*I7</f>
        <v>0</v>
      </c>
      <c r="P7" s="92">
        <v>0</v>
      </c>
      <c r="Q7" s="94" t="s">
        <v>387</v>
      </c>
    </row>
    <row r="8" spans="1:21" s="147" customFormat="1" ht="9">
      <c r="A8" s="142" t="s">
        <v>409</v>
      </c>
      <c r="B8" s="44"/>
      <c r="C8" s="44"/>
      <c r="D8" s="52"/>
      <c r="E8" s="52"/>
      <c r="F8" s="52"/>
      <c r="G8" s="44"/>
      <c r="H8" s="44"/>
      <c r="I8" s="92"/>
      <c r="J8" s="92"/>
      <c r="K8" s="92"/>
      <c r="L8" s="92"/>
      <c r="M8" s="44"/>
      <c r="N8" s="52"/>
      <c r="O8" s="52"/>
      <c r="P8" s="92"/>
      <c r="Q8" s="94"/>
      <c r="U8" s="195"/>
    </row>
    <row r="9" spans="1:21" s="147" customFormat="1" ht="9">
      <c r="A9" s="143" t="s">
        <v>486</v>
      </c>
      <c r="B9" s="44">
        <v>12</v>
      </c>
      <c r="C9" s="44"/>
      <c r="D9" s="52">
        <v>0</v>
      </c>
      <c r="E9" s="52">
        <f>'Testing Costs'!$B$13</f>
        <v>5000</v>
      </c>
      <c r="F9" s="52">
        <v>0</v>
      </c>
      <c r="G9" s="44">
        <v>1</v>
      </c>
      <c r="H9" s="44">
        <f t="shared" ref="H9:H21" si="0">B9*G9</f>
        <v>12</v>
      </c>
      <c r="I9" s="91">
        <v>0</v>
      </c>
      <c r="J9" s="92">
        <f t="shared" ref="J9:J21" si="1">H9*I9</f>
        <v>0</v>
      </c>
      <c r="K9" s="92">
        <f t="shared" ref="K9:K21" si="2">J9*0.1</f>
        <v>0</v>
      </c>
      <c r="L9" s="92">
        <f t="shared" ref="L9:L21" si="3">J9*0.05</f>
        <v>0</v>
      </c>
      <c r="M9" s="93"/>
      <c r="N9" s="52">
        <f>(J9*'Base Data'!$C$5)+(K9*'Base Data'!$C$6)+(L9*'Base Data'!$C$7)</f>
        <v>0</v>
      </c>
      <c r="O9" s="52">
        <f t="shared" ref="O9:O21" si="4">(D9+E9+F9)*G9*I9</f>
        <v>0</v>
      </c>
      <c r="P9" s="92">
        <v>0</v>
      </c>
      <c r="Q9" s="94" t="s">
        <v>389</v>
      </c>
      <c r="U9" s="195"/>
    </row>
    <row r="10" spans="1:21" s="147" customFormat="1" ht="9">
      <c r="A10" s="143" t="s">
        <v>133</v>
      </c>
      <c r="B10" s="44">
        <v>12</v>
      </c>
      <c r="C10" s="44"/>
      <c r="D10" s="52">
        <v>0</v>
      </c>
      <c r="E10" s="52">
        <f>'Testing Costs'!$B$17</f>
        <v>8000</v>
      </c>
      <c r="F10" s="52">
        <v>0</v>
      </c>
      <c r="G10" s="44">
        <v>1</v>
      </c>
      <c r="H10" s="44">
        <f t="shared" si="0"/>
        <v>12</v>
      </c>
      <c r="I10" s="91">
        <v>0</v>
      </c>
      <c r="J10" s="92">
        <f t="shared" si="1"/>
        <v>0</v>
      </c>
      <c r="K10" s="92">
        <f t="shared" si="2"/>
        <v>0</v>
      </c>
      <c r="L10" s="92">
        <f t="shared" si="3"/>
        <v>0</v>
      </c>
      <c r="M10" s="93"/>
      <c r="N10" s="52">
        <f>(J10*'Base Data'!$C$5)+(K10*'Base Data'!$C$6)+(L10*'Base Data'!$C$7)</f>
        <v>0</v>
      </c>
      <c r="O10" s="52">
        <f t="shared" si="4"/>
        <v>0</v>
      </c>
      <c r="P10" s="92">
        <v>0</v>
      </c>
      <c r="Q10" s="94" t="s">
        <v>389</v>
      </c>
      <c r="U10" s="195"/>
    </row>
    <row r="11" spans="1:21" s="147" customFormat="1" ht="9">
      <c r="A11" s="143" t="s">
        <v>134</v>
      </c>
      <c r="B11" s="44">
        <v>12</v>
      </c>
      <c r="C11" s="44"/>
      <c r="D11" s="52">
        <v>0</v>
      </c>
      <c r="E11" s="52">
        <f>'Testing Costs'!$B$15</f>
        <v>8000</v>
      </c>
      <c r="F11" s="52">
        <v>0</v>
      </c>
      <c r="G11" s="44">
        <v>1</v>
      </c>
      <c r="H11" s="44">
        <f t="shared" si="0"/>
        <v>12</v>
      </c>
      <c r="I11" s="91">
        <v>0</v>
      </c>
      <c r="J11" s="92">
        <f t="shared" si="1"/>
        <v>0</v>
      </c>
      <c r="K11" s="92">
        <f t="shared" si="2"/>
        <v>0</v>
      </c>
      <c r="L11" s="92">
        <f t="shared" si="3"/>
        <v>0</v>
      </c>
      <c r="M11" s="93"/>
      <c r="N11" s="52">
        <f>(J11*'Base Data'!$C$5)+(K11*'Base Data'!$C$6)+(L11*'Base Data'!$C$7)</f>
        <v>0</v>
      </c>
      <c r="O11" s="52">
        <f t="shared" si="4"/>
        <v>0</v>
      </c>
      <c r="P11" s="92">
        <v>0</v>
      </c>
      <c r="Q11" s="94" t="s">
        <v>389</v>
      </c>
      <c r="U11" s="195"/>
    </row>
    <row r="12" spans="1:21" s="147" customFormat="1" ht="9">
      <c r="A12" s="143" t="s">
        <v>135</v>
      </c>
      <c r="B12" s="44">
        <v>12</v>
      </c>
      <c r="C12" s="44"/>
      <c r="D12" s="52">
        <v>0</v>
      </c>
      <c r="E12" s="52">
        <f>'Testing Costs'!$B$14</f>
        <v>7000</v>
      </c>
      <c r="F12" s="52">
        <v>0</v>
      </c>
      <c r="G12" s="44">
        <v>1</v>
      </c>
      <c r="H12" s="44">
        <f t="shared" si="0"/>
        <v>12</v>
      </c>
      <c r="I12" s="91">
        <v>0</v>
      </c>
      <c r="J12" s="92">
        <f t="shared" si="1"/>
        <v>0</v>
      </c>
      <c r="K12" s="92">
        <f t="shared" si="2"/>
        <v>0</v>
      </c>
      <c r="L12" s="92">
        <f t="shared" si="3"/>
        <v>0</v>
      </c>
      <c r="M12" s="93"/>
      <c r="N12" s="52">
        <f>(J12*'Base Data'!$C$5)+(K12*'Base Data'!$C$6)+(L12*'Base Data'!$C$7)</f>
        <v>0</v>
      </c>
      <c r="O12" s="52">
        <f t="shared" si="4"/>
        <v>0</v>
      </c>
      <c r="P12" s="92">
        <v>0</v>
      </c>
      <c r="Q12" s="94" t="s">
        <v>389</v>
      </c>
      <c r="U12" s="195"/>
    </row>
    <row r="13" spans="1:21" s="147" customFormat="1" ht="9">
      <c r="A13" s="143" t="s">
        <v>136</v>
      </c>
      <c r="B13" s="44">
        <v>12</v>
      </c>
      <c r="C13" s="44"/>
      <c r="D13" s="52">
        <v>0</v>
      </c>
      <c r="E13" s="52">
        <f>'Testing Costs'!$B$16</f>
        <v>16000</v>
      </c>
      <c r="F13" s="52">
        <v>0</v>
      </c>
      <c r="G13" s="44">
        <v>1</v>
      </c>
      <c r="H13" s="44">
        <f t="shared" si="0"/>
        <v>12</v>
      </c>
      <c r="I13" s="91">
        <v>0</v>
      </c>
      <c r="J13" s="92">
        <f t="shared" si="1"/>
        <v>0</v>
      </c>
      <c r="K13" s="92">
        <f t="shared" si="2"/>
        <v>0</v>
      </c>
      <c r="L13" s="92">
        <f t="shared" si="3"/>
        <v>0</v>
      </c>
      <c r="M13" s="93"/>
      <c r="N13" s="52">
        <f>(J13*'Base Data'!$C$5)+(K13*'Base Data'!$C$6)+(L13*'Base Data'!$C$7)</f>
        <v>0</v>
      </c>
      <c r="O13" s="52">
        <f t="shared" si="4"/>
        <v>0</v>
      </c>
      <c r="P13" s="92">
        <v>0</v>
      </c>
      <c r="Q13" s="94" t="s">
        <v>389</v>
      </c>
      <c r="U13" s="195"/>
    </row>
    <row r="14" spans="1:21" s="147" customFormat="1" ht="9" customHeight="1">
      <c r="A14" s="143" t="s">
        <v>148</v>
      </c>
      <c r="B14" s="44">
        <v>12</v>
      </c>
      <c r="C14" s="44"/>
      <c r="D14" s="52">
        <v>0</v>
      </c>
      <c r="E14" s="52">
        <f>'Testing Costs'!$B$13</f>
        <v>5000</v>
      </c>
      <c r="F14" s="52">
        <v>0</v>
      </c>
      <c r="G14" s="44">
        <v>1</v>
      </c>
      <c r="H14" s="44">
        <f t="shared" si="0"/>
        <v>12</v>
      </c>
      <c r="I14" s="91">
        <f>'Fac-NewLrgGas-Yr1'!I9</f>
        <v>0</v>
      </c>
      <c r="J14" s="92">
        <f t="shared" si="1"/>
        <v>0</v>
      </c>
      <c r="K14" s="92">
        <f t="shared" si="2"/>
        <v>0</v>
      </c>
      <c r="L14" s="92">
        <f t="shared" si="3"/>
        <v>0</v>
      </c>
      <c r="M14" s="93"/>
      <c r="N14" s="52">
        <f>(J14*'Base Data'!$C$5)+(K14*'Base Data'!$C$6)+(L14*'Base Data'!$C$7)</f>
        <v>0</v>
      </c>
      <c r="O14" s="52">
        <f t="shared" si="4"/>
        <v>0</v>
      </c>
      <c r="P14" s="92">
        <v>0</v>
      </c>
      <c r="Q14" s="94" t="s">
        <v>387</v>
      </c>
      <c r="U14" s="195"/>
    </row>
    <row r="15" spans="1:21" s="147" customFormat="1" ht="9">
      <c r="A15" s="143" t="s">
        <v>149</v>
      </c>
      <c r="B15" s="44">
        <v>12</v>
      </c>
      <c r="C15" s="44"/>
      <c r="D15" s="52">
        <v>0</v>
      </c>
      <c r="E15" s="52">
        <f>'Testing Costs'!$B$17</f>
        <v>8000</v>
      </c>
      <c r="F15" s="52">
        <v>0</v>
      </c>
      <c r="G15" s="44">
        <v>1</v>
      </c>
      <c r="H15" s="44">
        <f t="shared" si="0"/>
        <v>12</v>
      </c>
      <c r="I15" s="91">
        <f>'Fac-NewLrgGas-Yr1'!I10</f>
        <v>0</v>
      </c>
      <c r="J15" s="92">
        <f t="shared" si="1"/>
        <v>0</v>
      </c>
      <c r="K15" s="92">
        <f t="shared" si="2"/>
        <v>0</v>
      </c>
      <c r="L15" s="92">
        <f t="shared" si="3"/>
        <v>0</v>
      </c>
      <c r="M15" s="93"/>
      <c r="N15" s="52">
        <f>(J15*'Base Data'!$C$5)+(K15*'Base Data'!$C$6)+(L15*'Base Data'!$C$7)</f>
        <v>0</v>
      </c>
      <c r="O15" s="52">
        <f t="shared" si="4"/>
        <v>0</v>
      </c>
      <c r="P15" s="92">
        <v>0</v>
      </c>
      <c r="Q15" s="94" t="s">
        <v>387</v>
      </c>
      <c r="U15" s="195"/>
    </row>
    <row r="16" spans="1:21" s="147" customFormat="1" ht="9">
      <c r="A16" s="143" t="s">
        <v>150</v>
      </c>
      <c r="B16" s="44">
        <v>12</v>
      </c>
      <c r="C16" s="44"/>
      <c r="D16" s="52">
        <v>0</v>
      </c>
      <c r="E16" s="52">
        <f>'Testing Costs'!$B$15</f>
        <v>8000</v>
      </c>
      <c r="F16" s="52">
        <v>0</v>
      </c>
      <c r="G16" s="44">
        <v>1</v>
      </c>
      <c r="H16" s="44">
        <f t="shared" si="0"/>
        <v>12</v>
      </c>
      <c r="I16" s="91">
        <f>'Fac-NewLrgGas-Yr1'!I11</f>
        <v>0</v>
      </c>
      <c r="J16" s="92">
        <f t="shared" si="1"/>
        <v>0</v>
      </c>
      <c r="K16" s="92">
        <f t="shared" si="2"/>
        <v>0</v>
      </c>
      <c r="L16" s="92">
        <f t="shared" si="3"/>
        <v>0</v>
      </c>
      <c r="M16" s="93"/>
      <c r="N16" s="52">
        <f>(J16*'Base Data'!$C$5)+(K16*'Base Data'!$C$6)+(L16*'Base Data'!$C$7)</f>
        <v>0</v>
      </c>
      <c r="O16" s="52">
        <f t="shared" si="4"/>
        <v>0</v>
      </c>
      <c r="P16" s="92">
        <v>0</v>
      </c>
      <c r="Q16" s="94" t="s">
        <v>387</v>
      </c>
      <c r="U16" s="195"/>
    </row>
    <row r="17" spans="1:21" s="147" customFormat="1" ht="9">
      <c r="A17" s="143" t="s">
        <v>151</v>
      </c>
      <c r="B17" s="44">
        <v>12</v>
      </c>
      <c r="C17" s="44"/>
      <c r="D17" s="52">
        <v>0</v>
      </c>
      <c r="E17" s="52">
        <f>'Testing Costs'!$B$14</f>
        <v>7000</v>
      </c>
      <c r="F17" s="52">
        <v>0</v>
      </c>
      <c r="G17" s="44">
        <v>1</v>
      </c>
      <c r="H17" s="44">
        <f t="shared" si="0"/>
        <v>12</v>
      </c>
      <c r="I17" s="91">
        <f>'Fac-NewLrgGas-Yr1'!I12</f>
        <v>0</v>
      </c>
      <c r="J17" s="92">
        <f t="shared" si="1"/>
        <v>0</v>
      </c>
      <c r="K17" s="92">
        <f t="shared" si="2"/>
        <v>0</v>
      </c>
      <c r="L17" s="92">
        <f t="shared" si="3"/>
        <v>0</v>
      </c>
      <c r="M17" s="93"/>
      <c r="N17" s="52">
        <f>(J17*'Base Data'!$C$5)+(K17*'Base Data'!$C$6)+(L17*'Base Data'!$C$7)</f>
        <v>0</v>
      </c>
      <c r="O17" s="52">
        <f t="shared" si="4"/>
        <v>0</v>
      </c>
      <c r="P17" s="92">
        <v>0</v>
      </c>
      <c r="Q17" s="94" t="s">
        <v>387</v>
      </c>
      <c r="U17" s="195"/>
    </row>
    <row r="18" spans="1:21" s="147" customFormat="1" ht="9">
      <c r="A18" s="143" t="s">
        <v>152</v>
      </c>
      <c r="B18" s="44">
        <v>12</v>
      </c>
      <c r="C18" s="44"/>
      <c r="D18" s="52">
        <v>0</v>
      </c>
      <c r="E18" s="52">
        <f>'Testing Costs'!$B$16</f>
        <v>16000</v>
      </c>
      <c r="F18" s="52">
        <v>0</v>
      </c>
      <c r="G18" s="44">
        <v>1</v>
      </c>
      <c r="H18" s="44">
        <f t="shared" si="0"/>
        <v>12</v>
      </c>
      <c r="I18" s="91">
        <f>'Fac-NewLrgGas-Yr1'!I13</f>
        <v>0</v>
      </c>
      <c r="J18" s="92">
        <f t="shared" si="1"/>
        <v>0</v>
      </c>
      <c r="K18" s="92">
        <f t="shared" si="2"/>
        <v>0</v>
      </c>
      <c r="L18" s="92">
        <f t="shared" si="3"/>
        <v>0</v>
      </c>
      <c r="M18" s="93"/>
      <c r="N18" s="52">
        <f>(J18*'Base Data'!$C$5)+(K18*'Base Data'!$C$6)+(L18*'Base Data'!$C$7)</f>
        <v>0</v>
      </c>
      <c r="O18" s="52">
        <f t="shared" si="4"/>
        <v>0</v>
      </c>
      <c r="P18" s="92">
        <v>0</v>
      </c>
      <c r="Q18" s="94" t="s">
        <v>387</v>
      </c>
      <c r="U18" s="195"/>
    </row>
    <row r="19" spans="1:21" s="147" customFormat="1" ht="18.75" customHeight="1">
      <c r="A19" s="332" t="s">
        <v>482</v>
      </c>
      <c r="B19" s="44">
        <v>24</v>
      </c>
      <c r="C19" s="331"/>
      <c r="D19" s="52">
        <v>0</v>
      </c>
      <c r="E19" s="52">
        <f>$E$13+$E$14</f>
        <v>21000</v>
      </c>
      <c r="F19" s="52">
        <v>0</v>
      </c>
      <c r="G19" s="44">
        <v>1</v>
      </c>
      <c r="H19" s="44">
        <f t="shared" si="0"/>
        <v>24</v>
      </c>
      <c r="I19" s="91">
        <v>0</v>
      </c>
      <c r="J19" s="92">
        <f t="shared" si="1"/>
        <v>0</v>
      </c>
      <c r="K19" s="92">
        <f t="shared" si="2"/>
        <v>0</v>
      </c>
      <c r="L19" s="92">
        <f t="shared" si="3"/>
        <v>0</v>
      </c>
      <c r="M19" s="93"/>
      <c r="N19" s="52">
        <f>(J19*'Base Data'!$C$5)+(K19*'Base Data'!$C$6)+(L19*'Base Data'!$C$7)</f>
        <v>0</v>
      </c>
      <c r="O19" s="52">
        <f t="shared" si="4"/>
        <v>0</v>
      </c>
      <c r="P19" s="92">
        <v>0</v>
      </c>
      <c r="Q19" s="94" t="s">
        <v>567</v>
      </c>
    </row>
    <row r="20" spans="1:21" s="147" customFormat="1" ht="9" customHeight="1">
      <c r="A20" s="143" t="s">
        <v>268</v>
      </c>
      <c r="B20" s="44">
        <v>5</v>
      </c>
      <c r="C20" s="44"/>
      <c r="D20" s="52">
        <v>0</v>
      </c>
      <c r="E20" s="52">
        <v>400</v>
      </c>
      <c r="F20" s="52">
        <v>0</v>
      </c>
      <c r="G20" s="44">
        <v>1</v>
      </c>
      <c r="H20" s="44">
        <f t="shared" si="0"/>
        <v>5</v>
      </c>
      <c r="I20" s="91">
        <v>0</v>
      </c>
      <c r="J20" s="92">
        <f t="shared" si="1"/>
        <v>0</v>
      </c>
      <c r="K20" s="92">
        <f t="shared" si="2"/>
        <v>0</v>
      </c>
      <c r="L20" s="92">
        <f t="shared" si="3"/>
        <v>0</v>
      </c>
      <c r="M20" s="93"/>
      <c r="N20" s="52">
        <f>(J20*'Base Data'!$C$5)+(K20*'Base Data'!$C$6)+(L20*'Base Data'!$C$7)</f>
        <v>0</v>
      </c>
      <c r="O20" s="52">
        <f t="shared" si="4"/>
        <v>0</v>
      </c>
      <c r="P20" s="92">
        <v>0</v>
      </c>
      <c r="Q20" s="94" t="s">
        <v>565</v>
      </c>
      <c r="U20" s="195"/>
    </row>
    <row r="21" spans="1:21" s="147" customFormat="1" ht="9" customHeight="1">
      <c r="A21" s="143" t="s">
        <v>269</v>
      </c>
      <c r="B21" s="44">
        <v>5</v>
      </c>
      <c r="C21" s="44"/>
      <c r="D21" s="52">
        <v>0</v>
      </c>
      <c r="E21" s="52">
        <v>400</v>
      </c>
      <c r="F21" s="52">
        <v>0</v>
      </c>
      <c r="G21" s="44">
        <v>12</v>
      </c>
      <c r="H21" s="44">
        <f t="shared" si="0"/>
        <v>60</v>
      </c>
      <c r="I21" s="91">
        <v>0</v>
      </c>
      <c r="J21" s="92">
        <f t="shared" si="1"/>
        <v>0</v>
      </c>
      <c r="K21" s="92">
        <f t="shared" si="2"/>
        <v>0</v>
      </c>
      <c r="L21" s="92">
        <f t="shared" si="3"/>
        <v>0</v>
      </c>
      <c r="M21" s="93"/>
      <c r="N21" s="52">
        <f>(J21*'Base Data'!$C$5)+(K21*'Base Data'!$C$6)+(L21*'Base Data'!$C$7)</f>
        <v>0</v>
      </c>
      <c r="O21" s="52">
        <f t="shared" si="4"/>
        <v>0</v>
      </c>
      <c r="P21" s="92">
        <v>0</v>
      </c>
      <c r="Q21" s="94" t="s">
        <v>565</v>
      </c>
      <c r="U21" s="195"/>
    </row>
    <row r="22" spans="1:21" s="147" customFormat="1" ht="9">
      <c r="A22" s="143" t="s">
        <v>270</v>
      </c>
      <c r="B22" s="44"/>
      <c r="C22" s="44"/>
      <c r="D22" s="52"/>
      <c r="E22" s="52"/>
      <c r="F22" s="52"/>
      <c r="G22" s="44"/>
      <c r="H22" s="44"/>
      <c r="I22" s="92"/>
      <c r="J22" s="92"/>
      <c r="K22" s="92"/>
      <c r="L22" s="92"/>
      <c r="M22" s="93"/>
      <c r="N22" s="52"/>
      <c r="O22" s="52"/>
      <c r="P22" s="92"/>
      <c r="Q22" s="94"/>
      <c r="U22" s="195"/>
    </row>
    <row r="23" spans="1:21" s="147" customFormat="1" ht="9">
      <c r="A23" s="143" t="s">
        <v>432</v>
      </c>
      <c r="B23" s="44">
        <v>40</v>
      </c>
      <c r="C23" s="44"/>
      <c r="D23" s="52">
        <v>0</v>
      </c>
      <c r="E23" s="52"/>
      <c r="F23" s="52">
        <v>0</v>
      </c>
      <c r="G23" s="44">
        <v>1</v>
      </c>
      <c r="H23" s="44">
        <f>B23*G23</f>
        <v>40</v>
      </c>
      <c r="I23" s="91">
        <v>1</v>
      </c>
      <c r="J23" s="92">
        <f>H23*I23</f>
        <v>40</v>
      </c>
      <c r="K23" s="92">
        <f>J23*0.1</f>
        <v>4</v>
      </c>
      <c r="L23" s="92">
        <f>J23*0.05</f>
        <v>2</v>
      </c>
      <c r="M23" s="93"/>
      <c r="N23" s="52">
        <f>(J23*'Base Data'!$C$5)+(K23*'Base Data'!$C$6)+(L23*'Base Data'!$C$7)</f>
        <v>4351.0999999999995</v>
      </c>
      <c r="O23" s="52">
        <f>(D23+E23+F23)*G23*I23</f>
        <v>0</v>
      </c>
      <c r="P23" s="92">
        <v>0</v>
      </c>
      <c r="Q23" s="94" t="s">
        <v>387</v>
      </c>
      <c r="U23" s="195"/>
    </row>
    <row r="24" spans="1:21" s="147" customFormat="1" ht="9">
      <c r="A24" s="142" t="s">
        <v>410</v>
      </c>
      <c r="B24" s="44"/>
      <c r="C24" s="44"/>
      <c r="D24" s="52"/>
      <c r="E24" s="52"/>
      <c r="F24" s="52"/>
      <c r="G24" s="44"/>
      <c r="H24" s="44"/>
      <c r="I24" s="92"/>
      <c r="J24" s="92"/>
      <c r="K24" s="92"/>
      <c r="L24" s="92"/>
      <c r="M24" s="93"/>
      <c r="N24" s="52"/>
      <c r="O24" s="52"/>
      <c r="P24" s="92"/>
      <c r="Q24" s="94"/>
      <c r="U24" s="195"/>
    </row>
    <row r="25" spans="1:21" s="147" customFormat="1" ht="9">
      <c r="A25" s="142" t="s">
        <v>411</v>
      </c>
      <c r="B25" s="44">
        <v>10</v>
      </c>
      <c r="C25" s="44"/>
      <c r="D25" s="52">
        <v>0</v>
      </c>
      <c r="E25" s="52">
        <v>0</v>
      </c>
      <c r="F25" s="52">
        <v>43100</v>
      </c>
      <c r="G25" s="44">
        <v>1</v>
      </c>
      <c r="H25" s="44">
        <f>B25*G25</f>
        <v>10</v>
      </c>
      <c r="I25" s="91">
        <v>0</v>
      </c>
      <c r="J25" s="92">
        <f>H25*I25</f>
        <v>0</v>
      </c>
      <c r="K25" s="92">
        <f>J25*0.1</f>
        <v>0</v>
      </c>
      <c r="L25" s="92">
        <f>J25*0.05</f>
        <v>0</v>
      </c>
      <c r="M25" s="93"/>
      <c r="N25" s="52">
        <f>(J25*'Base Data'!$C$5)+(K25*'Base Data'!$C$6)+(L25*'Base Data'!$C$7)</f>
        <v>0</v>
      </c>
      <c r="O25" s="52">
        <f>(D25+E25+F25)*G25*I25</f>
        <v>0</v>
      </c>
      <c r="P25" s="92">
        <v>0</v>
      </c>
      <c r="Q25" s="94" t="s">
        <v>387</v>
      </c>
      <c r="U25" s="195"/>
    </row>
    <row r="26" spans="1:21" s="147" customFormat="1" ht="9">
      <c r="A26" s="142" t="s">
        <v>414</v>
      </c>
      <c r="B26" s="44">
        <v>10</v>
      </c>
      <c r="C26" s="44"/>
      <c r="D26" s="52">
        <v>0</v>
      </c>
      <c r="E26" s="52">
        <v>0</v>
      </c>
      <c r="F26" s="52">
        <v>14700</v>
      </c>
      <c r="G26" s="44">
        <v>1</v>
      </c>
      <c r="H26" s="44">
        <f>B26*G26</f>
        <v>10</v>
      </c>
      <c r="I26" s="91">
        <v>0</v>
      </c>
      <c r="J26" s="92">
        <f>H26*I26</f>
        <v>0</v>
      </c>
      <c r="K26" s="92">
        <f>J26*0.1</f>
        <v>0</v>
      </c>
      <c r="L26" s="92">
        <f>J26*0.05</f>
        <v>0</v>
      </c>
      <c r="M26" s="93"/>
      <c r="N26" s="52">
        <f>(J26*'Base Data'!$C$5)+(K26*'Base Data'!$C$6)+(L26*'Base Data'!$C$7)</f>
        <v>0</v>
      </c>
      <c r="O26" s="52">
        <f>(D26+E26+F26)*G26*I26</f>
        <v>0</v>
      </c>
      <c r="P26" s="92">
        <v>0</v>
      </c>
      <c r="Q26" s="94" t="s">
        <v>387</v>
      </c>
      <c r="U26" s="195"/>
    </row>
    <row r="27" spans="1:21" s="147" customFormat="1" ht="9">
      <c r="A27" s="142" t="s">
        <v>356</v>
      </c>
      <c r="B27" s="44"/>
      <c r="C27" s="44"/>
      <c r="D27" s="52"/>
      <c r="E27" s="52"/>
      <c r="F27" s="52"/>
      <c r="G27" s="44"/>
      <c r="H27" s="44"/>
      <c r="I27" s="92"/>
      <c r="J27" s="92"/>
      <c r="K27" s="92"/>
      <c r="L27" s="92"/>
      <c r="M27" s="93"/>
      <c r="N27" s="52"/>
      <c r="O27" s="52"/>
      <c r="P27" s="92"/>
      <c r="Q27" s="94"/>
      <c r="U27" s="195"/>
    </row>
    <row r="28" spans="1:21" s="147" customFormat="1" ht="9">
      <c r="A28" s="142" t="s">
        <v>411</v>
      </c>
      <c r="B28" s="44">
        <v>10</v>
      </c>
      <c r="C28" s="44"/>
      <c r="D28" s="52">
        <v>0</v>
      </c>
      <c r="E28" s="52">
        <v>0</v>
      </c>
      <c r="F28" s="52">
        <v>158000</v>
      </c>
      <c r="G28" s="44">
        <v>1</v>
      </c>
      <c r="H28" s="44">
        <f>B28*G28</f>
        <v>10</v>
      </c>
      <c r="I28" s="91">
        <v>0</v>
      </c>
      <c r="J28" s="92">
        <f>H28*I28</f>
        <v>0</v>
      </c>
      <c r="K28" s="92">
        <f>J28*0.1</f>
        <v>0</v>
      </c>
      <c r="L28" s="92">
        <f>J28*0.05</f>
        <v>0</v>
      </c>
      <c r="M28" s="93"/>
      <c r="N28" s="52">
        <f>(J28*'Base Data'!$C$5)+(K28*'Base Data'!$C$6)+(L28*'Base Data'!$C$7)</f>
        <v>0</v>
      </c>
      <c r="O28" s="52">
        <f>(D28+E28+F28)*G28*I28</f>
        <v>0</v>
      </c>
      <c r="P28" s="92">
        <v>0</v>
      </c>
      <c r="Q28" s="94" t="s">
        <v>387</v>
      </c>
      <c r="U28" s="195"/>
    </row>
    <row r="29" spans="1:21" s="147" customFormat="1" ht="9">
      <c r="A29" s="142" t="s">
        <v>414</v>
      </c>
      <c r="B29" s="44">
        <v>10</v>
      </c>
      <c r="C29" s="44"/>
      <c r="D29" s="52">
        <v>0</v>
      </c>
      <c r="E29" s="52">
        <v>0</v>
      </c>
      <c r="F29" s="52">
        <v>56100</v>
      </c>
      <c r="G29" s="44">
        <v>1</v>
      </c>
      <c r="H29" s="44">
        <f>B29*G29</f>
        <v>10</v>
      </c>
      <c r="I29" s="91">
        <v>0</v>
      </c>
      <c r="J29" s="92">
        <f>H29*I29</f>
        <v>0</v>
      </c>
      <c r="K29" s="92">
        <f>J29*0.1</f>
        <v>0</v>
      </c>
      <c r="L29" s="92">
        <f>J29*0.05</f>
        <v>0</v>
      </c>
      <c r="M29" s="93"/>
      <c r="N29" s="52">
        <f>(J29*'Base Data'!$C$5)+(K29*'Base Data'!$C$6)+(L29*'Base Data'!$C$7)</f>
        <v>0</v>
      </c>
      <c r="O29" s="52">
        <f>(D29+E29+F29)*G29*I29</f>
        <v>0</v>
      </c>
      <c r="P29" s="92">
        <v>0</v>
      </c>
      <c r="Q29" s="94" t="s">
        <v>387</v>
      </c>
      <c r="U29" s="195"/>
    </row>
    <row r="30" spans="1:21" s="147" customFormat="1" ht="9">
      <c r="A30" s="142" t="s">
        <v>522</v>
      </c>
      <c r="B30" s="44"/>
      <c r="C30" s="44"/>
      <c r="D30" s="52"/>
      <c r="E30" s="52"/>
      <c r="F30" s="52"/>
      <c r="G30" s="44"/>
      <c r="H30" s="44"/>
      <c r="I30" s="91"/>
      <c r="J30" s="92"/>
      <c r="K30" s="92"/>
      <c r="L30" s="92"/>
      <c r="M30" s="93"/>
      <c r="N30" s="52"/>
      <c r="O30" s="52"/>
      <c r="P30" s="92"/>
      <c r="Q30" s="94"/>
    </row>
    <row r="31" spans="1:21" s="147" customFormat="1" ht="9">
      <c r="A31" s="142" t="s">
        <v>411</v>
      </c>
      <c r="B31" s="44">
        <v>10</v>
      </c>
      <c r="C31" s="44"/>
      <c r="D31" s="52">
        <v>0</v>
      </c>
      <c r="E31" s="52">
        <v>0</v>
      </c>
      <c r="F31" s="52">
        <f>Monitors!$F$32</f>
        <v>8523</v>
      </c>
      <c r="G31" s="44">
        <v>1</v>
      </c>
      <c r="H31" s="44">
        <f t="shared" ref="H31:H32" si="5">B31*G31</f>
        <v>10</v>
      </c>
      <c r="I31" s="91">
        <v>0</v>
      </c>
      <c r="J31" s="92">
        <f t="shared" ref="J31:J32" si="6">H31*I31</f>
        <v>0</v>
      </c>
      <c r="K31" s="92">
        <f t="shared" ref="K31:K32" si="7">J31*0.1</f>
        <v>0</v>
      </c>
      <c r="L31" s="92">
        <f t="shared" ref="L31:L32" si="8">J31*0.05</f>
        <v>0</v>
      </c>
      <c r="M31" s="93"/>
      <c r="N31" s="52">
        <f>(J31*'Base Data'!$C$5)+(K31*'Base Data'!$C$6)+(L31*'Base Data'!$C$7)</f>
        <v>0</v>
      </c>
      <c r="O31" s="52">
        <f>(D31+E31+F31)*G31*I31</f>
        <v>0</v>
      </c>
      <c r="P31" s="92">
        <v>0</v>
      </c>
      <c r="Q31" s="94" t="s">
        <v>387</v>
      </c>
    </row>
    <row r="32" spans="1:21" s="147" customFormat="1" ht="9">
      <c r="A32" s="142" t="s">
        <v>414</v>
      </c>
      <c r="B32" s="44">
        <v>10</v>
      </c>
      <c r="C32" s="44"/>
      <c r="D32" s="52">
        <v>0</v>
      </c>
      <c r="E32" s="52">
        <v>0</v>
      </c>
      <c r="F32" s="52">
        <f>Monitors!$G$32</f>
        <v>1436</v>
      </c>
      <c r="G32" s="44">
        <v>1</v>
      </c>
      <c r="H32" s="44">
        <f t="shared" si="5"/>
        <v>10</v>
      </c>
      <c r="I32" s="91">
        <v>0</v>
      </c>
      <c r="J32" s="92">
        <f t="shared" si="6"/>
        <v>0</v>
      </c>
      <c r="K32" s="92">
        <f t="shared" si="7"/>
        <v>0</v>
      </c>
      <c r="L32" s="92">
        <f t="shared" si="8"/>
        <v>0</v>
      </c>
      <c r="M32" s="93"/>
      <c r="N32" s="52">
        <f>(J32*'Base Data'!$C$5)+(K32*'Base Data'!$C$6)+(L32*'Base Data'!$C$7)</f>
        <v>0</v>
      </c>
      <c r="O32" s="52">
        <f>(D32+E32+F32)*G32*I32</f>
        <v>0</v>
      </c>
      <c r="P32" s="92">
        <v>0</v>
      </c>
      <c r="Q32" s="94" t="s">
        <v>387</v>
      </c>
    </row>
    <row r="33" spans="1:21" s="147" customFormat="1" ht="18">
      <c r="A33" s="143" t="s">
        <v>173</v>
      </c>
      <c r="B33" s="44"/>
      <c r="C33" s="44"/>
      <c r="D33" s="52"/>
      <c r="E33" s="52"/>
      <c r="F33" s="95"/>
      <c r="G33" s="44"/>
      <c r="H33" s="44"/>
      <c r="I33" s="96"/>
      <c r="J33" s="92"/>
      <c r="K33" s="92"/>
      <c r="L33" s="92"/>
      <c r="M33" s="93"/>
      <c r="N33" s="52"/>
      <c r="O33" s="52"/>
      <c r="P33" s="92"/>
      <c r="Q33" s="94"/>
      <c r="U33" s="195"/>
    </row>
    <row r="34" spans="1:21" s="147" customFormat="1" ht="9">
      <c r="A34" s="142" t="s">
        <v>411</v>
      </c>
      <c r="B34" s="44">
        <v>10</v>
      </c>
      <c r="C34" s="44"/>
      <c r="D34" s="52">
        <v>0</v>
      </c>
      <c r="E34" s="52">
        <v>0</v>
      </c>
      <c r="F34" s="52">
        <v>24300</v>
      </c>
      <c r="G34" s="44">
        <v>1</v>
      </c>
      <c r="H34" s="44">
        <f>B34*G34</f>
        <v>10</v>
      </c>
      <c r="I34" s="91">
        <f>ROUND(Monitors!$D$27/3,0)+ROUND(Monitors!$D$25/3,0)</f>
        <v>0</v>
      </c>
      <c r="J34" s="92">
        <f>H34*I34</f>
        <v>0</v>
      </c>
      <c r="K34" s="92">
        <f>J34*0.1</f>
        <v>0</v>
      </c>
      <c r="L34" s="92">
        <f>J34*0.05</f>
        <v>0</v>
      </c>
      <c r="M34" s="93"/>
      <c r="N34" s="52">
        <f>(J34*'Base Data'!$C$5)+(K34*'Base Data'!$C$6)+(L34*'Base Data'!$C$7)</f>
        <v>0</v>
      </c>
      <c r="O34" s="52">
        <f>(D34+E34+F34)*G34*I34</f>
        <v>0</v>
      </c>
      <c r="P34" s="92">
        <v>0</v>
      </c>
      <c r="Q34" s="94" t="s">
        <v>387</v>
      </c>
      <c r="U34" s="195"/>
    </row>
    <row r="35" spans="1:21" s="147" customFormat="1" ht="9">
      <c r="A35" s="142" t="s">
        <v>414</v>
      </c>
      <c r="B35" s="44">
        <v>10</v>
      </c>
      <c r="C35" s="44"/>
      <c r="D35" s="52">
        <v>0</v>
      </c>
      <c r="E35" s="52">
        <v>0</v>
      </c>
      <c r="F35" s="52">
        <v>5600</v>
      </c>
      <c r="G35" s="44">
        <v>1</v>
      </c>
      <c r="H35" s="44">
        <f>B35*G35</f>
        <v>10</v>
      </c>
      <c r="I35" s="91">
        <f>'Fac-NewLrgGas-Yr1'!I34+I34</f>
        <v>0</v>
      </c>
      <c r="J35" s="92">
        <f>H35*I35</f>
        <v>0</v>
      </c>
      <c r="K35" s="92">
        <f>J35*0.1</f>
        <v>0</v>
      </c>
      <c r="L35" s="92">
        <f>J35*0.05</f>
        <v>0</v>
      </c>
      <c r="M35" s="93"/>
      <c r="N35" s="52">
        <f>(J35*'Base Data'!$C$5)+(K35*'Base Data'!$C$6)+(L35*'Base Data'!$C$7)</f>
        <v>0</v>
      </c>
      <c r="O35" s="52">
        <f>(D35+E35+F35)*G35*I35</f>
        <v>0</v>
      </c>
      <c r="P35" s="92">
        <v>0</v>
      </c>
      <c r="Q35" s="94" t="s">
        <v>387</v>
      </c>
      <c r="U35" s="195"/>
    </row>
    <row r="36" spans="1:21" s="147" customFormat="1" ht="18">
      <c r="A36" s="143" t="s">
        <v>475</v>
      </c>
      <c r="B36" s="44"/>
      <c r="C36" s="44"/>
      <c r="D36" s="52"/>
      <c r="E36" s="52"/>
      <c r="F36" s="52"/>
      <c r="G36" s="44"/>
      <c r="H36" s="44"/>
      <c r="I36" s="96"/>
      <c r="J36" s="92"/>
      <c r="K36" s="92"/>
      <c r="L36" s="92"/>
      <c r="M36" s="93"/>
      <c r="N36" s="52"/>
      <c r="O36" s="238"/>
      <c r="P36" s="92"/>
      <c r="Q36" s="94"/>
      <c r="U36" s="195"/>
    </row>
    <row r="37" spans="1:21" s="147" customFormat="1" ht="9">
      <c r="A37" s="142" t="s">
        <v>411</v>
      </c>
      <c r="B37" s="44">
        <v>10</v>
      </c>
      <c r="C37" s="44"/>
      <c r="D37" s="52">
        <v>0</v>
      </c>
      <c r="E37" s="52">
        <v>0</v>
      </c>
      <c r="F37" s="52">
        <f>25500</f>
        <v>25500</v>
      </c>
      <c r="G37" s="44">
        <v>1</v>
      </c>
      <c r="H37" s="44">
        <f>B37*G37</f>
        <v>10</v>
      </c>
      <c r="I37" s="91">
        <f>ROUND(Monitors!$D$27/3,0)+ROUND(Monitors!$D$25/3,0)</f>
        <v>0</v>
      </c>
      <c r="J37" s="92">
        <f>H37*I37</f>
        <v>0</v>
      </c>
      <c r="K37" s="92">
        <f>J37*0.1</f>
        <v>0</v>
      </c>
      <c r="L37" s="92">
        <f>J37*0.05</f>
        <v>0</v>
      </c>
      <c r="M37" s="93"/>
      <c r="N37" s="52">
        <f>(J37*'Base Data'!$C$5)+(K37*'Base Data'!$C$6)+(L37*'Base Data'!$C$7)</f>
        <v>0</v>
      </c>
      <c r="O37" s="52">
        <f>(D37+E37+F37)*G37*I37</f>
        <v>0</v>
      </c>
      <c r="P37" s="92">
        <v>0</v>
      </c>
      <c r="Q37" s="94" t="s">
        <v>387</v>
      </c>
      <c r="U37" s="195"/>
    </row>
    <row r="38" spans="1:21" s="147" customFormat="1" ht="9">
      <c r="A38" s="142" t="s">
        <v>414</v>
      </c>
      <c r="B38" s="44">
        <v>10</v>
      </c>
      <c r="C38" s="44"/>
      <c r="D38" s="52">
        <v>0</v>
      </c>
      <c r="E38" s="52">
        <v>0</v>
      </c>
      <c r="F38" s="52">
        <v>9700</v>
      </c>
      <c r="G38" s="44">
        <v>1</v>
      </c>
      <c r="H38" s="44">
        <f>B38*G38</f>
        <v>10</v>
      </c>
      <c r="I38" s="91">
        <f>'Fac-NewLrgGas-Yr1'!I37+ROUND(Monitors!$D$27/3,0)+ROUND(Monitors!$D$25/3,0)</f>
        <v>0</v>
      </c>
      <c r="J38" s="92">
        <f>H38*I38</f>
        <v>0</v>
      </c>
      <c r="K38" s="92">
        <f>J38*0.1</f>
        <v>0</v>
      </c>
      <c r="L38" s="92">
        <f>J38*0.05</f>
        <v>0</v>
      </c>
      <c r="M38" s="93"/>
      <c r="N38" s="52">
        <f>(J38*'Base Data'!$C$5)+(K38*'Base Data'!$C$6)+(L38*'Base Data'!$C$7)</f>
        <v>0</v>
      </c>
      <c r="O38" s="52">
        <f>(D38+E38+F38)*G38*I38</f>
        <v>0</v>
      </c>
      <c r="P38" s="92">
        <v>0</v>
      </c>
      <c r="Q38" s="94" t="s">
        <v>387</v>
      </c>
      <c r="U38" s="195"/>
    </row>
    <row r="39" spans="1:21" s="147" customFormat="1" ht="9">
      <c r="A39" s="142" t="s">
        <v>279</v>
      </c>
      <c r="B39" s="44">
        <v>12</v>
      </c>
      <c r="C39" s="44"/>
      <c r="D39" s="52">
        <v>0</v>
      </c>
      <c r="E39" s="52">
        <v>2875</v>
      </c>
      <c r="F39" s="52">
        <v>0</v>
      </c>
      <c r="G39" s="44">
        <v>1</v>
      </c>
      <c r="H39" s="44">
        <f>B39*G39</f>
        <v>12</v>
      </c>
      <c r="I39" s="92">
        <f>3+'Fac-NewLrgGas-Yr1'!I39</f>
        <v>6</v>
      </c>
      <c r="J39" s="91">
        <f>H39*I39</f>
        <v>72</v>
      </c>
      <c r="K39" s="91">
        <f>J39*0.1</f>
        <v>7.2</v>
      </c>
      <c r="L39" s="91">
        <f>J39*0.05</f>
        <v>3.6</v>
      </c>
      <c r="M39" s="92"/>
      <c r="N39" s="52">
        <f>(J39*'Base Data'!$C$5)+(K39*'Base Data'!$C$6)+(L39*'Base Data'!$C$7)</f>
        <v>7831.9800000000005</v>
      </c>
      <c r="O39" s="52">
        <f>(D39+E39+F39)*G39*I39</f>
        <v>17250</v>
      </c>
      <c r="P39" s="92">
        <v>0</v>
      </c>
      <c r="Q39" s="94" t="s">
        <v>388</v>
      </c>
      <c r="U39" s="195"/>
    </row>
    <row r="40" spans="1:21" s="147" customFormat="1" ht="9">
      <c r="A40" s="142" t="s">
        <v>480</v>
      </c>
      <c r="B40" s="44">
        <v>10</v>
      </c>
      <c r="C40" s="44"/>
      <c r="D40" s="52">
        <v>0</v>
      </c>
      <c r="E40" s="52">
        <v>400</v>
      </c>
      <c r="F40" s="52">
        <v>0</v>
      </c>
      <c r="G40" s="44">
        <v>1</v>
      </c>
      <c r="H40" s="44">
        <f>B40*G40</f>
        <v>10</v>
      </c>
      <c r="I40" s="92">
        <v>0</v>
      </c>
      <c r="J40" s="91">
        <f>H40*I40</f>
        <v>0</v>
      </c>
      <c r="K40" s="91">
        <f>J40*0.1</f>
        <v>0</v>
      </c>
      <c r="L40" s="91">
        <f>J40*0.05</f>
        <v>0</v>
      </c>
      <c r="M40" s="92"/>
      <c r="N40" s="52">
        <f>(J40*'Base Data'!$C$5)+(K40*'Base Data'!$C$6)+(L40*'Base Data'!$C$7)</f>
        <v>0</v>
      </c>
      <c r="O40" s="52">
        <f>(D40+E40+F40)*G40*I40</f>
        <v>0</v>
      </c>
      <c r="P40" s="92">
        <v>0</v>
      </c>
      <c r="Q40" s="94" t="s">
        <v>78</v>
      </c>
    </row>
    <row r="41" spans="1:21" s="147" customFormat="1" ht="9">
      <c r="A41" s="142" t="s">
        <v>415</v>
      </c>
      <c r="B41" s="44" t="s">
        <v>433</v>
      </c>
      <c r="C41" s="44"/>
      <c r="D41" s="52"/>
      <c r="E41" s="52"/>
      <c r="F41" s="52"/>
      <c r="G41" s="44"/>
      <c r="H41" s="44"/>
      <c r="I41" s="92"/>
      <c r="J41" s="92"/>
      <c r="K41" s="92"/>
      <c r="L41" s="92"/>
      <c r="M41" s="44"/>
      <c r="N41" s="52"/>
      <c r="O41" s="52"/>
      <c r="P41" s="92"/>
      <c r="Q41" s="94"/>
      <c r="U41" s="195"/>
    </row>
    <row r="42" spans="1:21" s="147" customFormat="1" ht="9">
      <c r="A42" s="142" t="s">
        <v>416</v>
      </c>
      <c r="B42" s="44" t="s">
        <v>433</v>
      </c>
      <c r="C42" s="44"/>
      <c r="D42" s="52"/>
      <c r="E42" s="52"/>
      <c r="F42" s="52"/>
      <c r="G42" s="44"/>
      <c r="H42" s="44"/>
      <c r="I42" s="92"/>
      <c r="J42" s="92"/>
      <c r="K42" s="92"/>
      <c r="L42" s="92"/>
      <c r="M42" s="44"/>
      <c r="N42" s="52"/>
      <c r="O42" s="52"/>
      <c r="P42" s="92"/>
      <c r="Q42" s="94"/>
    </row>
    <row r="43" spans="1:21" s="147" customFormat="1" ht="9">
      <c r="A43" s="142" t="s">
        <v>417</v>
      </c>
      <c r="B43" s="44"/>
      <c r="C43" s="44"/>
      <c r="D43" s="52"/>
      <c r="E43" s="52"/>
      <c r="F43" s="52"/>
      <c r="G43" s="44"/>
      <c r="H43" s="44"/>
      <c r="I43" s="92"/>
      <c r="J43" s="92"/>
      <c r="K43" s="92"/>
      <c r="L43" s="92"/>
      <c r="M43" s="44"/>
      <c r="N43" s="52"/>
      <c r="O43" s="52"/>
      <c r="P43" s="92"/>
      <c r="Q43" s="94"/>
    </row>
    <row r="44" spans="1:21" s="147" customFormat="1" ht="9">
      <c r="A44" s="177" t="s">
        <v>435</v>
      </c>
      <c r="B44" s="44">
        <v>2</v>
      </c>
      <c r="C44" s="44"/>
      <c r="D44" s="52">
        <v>0</v>
      </c>
      <c r="E44" s="52">
        <v>0</v>
      </c>
      <c r="F44" s="52">
        <v>0</v>
      </c>
      <c r="G44" s="44">
        <v>1</v>
      </c>
      <c r="H44" s="44">
        <f>B44*G44</f>
        <v>2</v>
      </c>
      <c r="I44" s="91">
        <f>$I$7</f>
        <v>1</v>
      </c>
      <c r="J44" s="92">
        <f>H44*I44</f>
        <v>2</v>
      </c>
      <c r="K44" s="92">
        <f>J44*0.1</f>
        <v>0.2</v>
      </c>
      <c r="L44" s="92">
        <f>J44*0.05</f>
        <v>0.1</v>
      </c>
      <c r="M44" s="44">
        <f>C44*G44*I44</f>
        <v>0</v>
      </c>
      <c r="N44" s="52">
        <f>(J44*'Base Data'!$C$5)+(K44*'Base Data'!$C$6)+(L44*'Base Data'!$C$7)</f>
        <v>217.55500000000001</v>
      </c>
      <c r="O44" s="52">
        <f>(D44+E44+F44)*G44*I44</f>
        <v>0</v>
      </c>
      <c r="P44" s="92">
        <f>G44*I44</f>
        <v>1</v>
      </c>
      <c r="Q44" s="94" t="s">
        <v>387</v>
      </c>
    </row>
    <row r="45" spans="1:21" s="147" customFormat="1" ht="9" customHeight="1">
      <c r="A45" s="177" t="s">
        <v>377</v>
      </c>
      <c r="B45" s="44">
        <v>8</v>
      </c>
      <c r="C45" s="44"/>
      <c r="D45" s="52">
        <v>0</v>
      </c>
      <c r="E45" s="52">
        <v>0</v>
      </c>
      <c r="F45" s="52">
        <v>0</v>
      </c>
      <c r="G45" s="44">
        <v>1</v>
      </c>
      <c r="H45" s="44">
        <f>B45*G45</f>
        <v>8</v>
      </c>
      <c r="I45" s="91">
        <f>$I$7</f>
        <v>1</v>
      </c>
      <c r="J45" s="92">
        <f>H45*I45</f>
        <v>8</v>
      </c>
      <c r="K45" s="92">
        <f>J45*0.1</f>
        <v>0.8</v>
      </c>
      <c r="L45" s="92">
        <f>J45*0.05</f>
        <v>0.4</v>
      </c>
      <c r="M45" s="44">
        <f>C45*G45*I45</f>
        <v>0</v>
      </c>
      <c r="N45" s="52">
        <f>(J45*'Base Data'!$C$5)+(K45*'Base Data'!$C$6)+(L45*'Base Data'!$C$7)</f>
        <v>870.22</v>
      </c>
      <c r="O45" s="52">
        <f>(D45+E45+F45)*G45*I45</f>
        <v>0</v>
      </c>
      <c r="P45" s="92">
        <f>G45*I45</f>
        <v>1</v>
      </c>
      <c r="Q45" s="94" t="s">
        <v>387</v>
      </c>
    </row>
    <row r="46" spans="1:21" s="147" customFormat="1" ht="9">
      <c r="A46" s="144" t="s">
        <v>493</v>
      </c>
      <c r="B46" s="44">
        <v>20</v>
      </c>
      <c r="C46" s="44">
        <v>0</v>
      </c>
      <c r="D46" s="52">
        <v>0</v>
      </c>
      <c r="E46" s="52">
        <v>0</v>
      </c>
      <c r="F46" s="52">
        <v>0</v>
      </c>
      <c r="G46" s="44">
        <v>2</v>
      </c>
      <c r="H46" s="44">
        <f>B46*G46</f>
        <v>40</v>
      </c>
      <c r="I46" s="91">
        <f>$I$39</f>
        <v>6</v>
      </c>
      <c r="J46" s="92">
        <f>H46*I46</f>
        <v>240</v>
      </c>
      <c r="K46" s="92">
        <f>J46*0.1</f>
        <v>24</v>
      </c>
      <c r="L46" s="92">
        <f>J46*0.05</f>
        <v>12</v>
      </c>
      <c r="M46" s="92">
        <f>C46*G46*I46</f>
        <v>0</v>
      </c>
      <c r="N46" s="52">
        <f>(J46*'Base Data'!$C$5)+(K46*'Base Data'!$C$6)+(L46*'Base Data'!$C$7)</f>
        <v>26106.600000000002</v>
      </c>
      <c r="O46" s="52">
        <f>(D46+E46+F46)*G46*I46</f>
        <v>0</v>
      </c>
      <c r="P46" s="92">
        <f>G46*I46</f>
        <v>12</v>
      </c>
      <c r="Q46" s="94" t="s">
        <v>542</v>
      </c>
      <c r="R46" s="150"/>
    </row>
    <row r="47" spans="1:21" s="147" customFormat="1" ht="9">
      <c r="A47" s="144" t="s">
        <v>456</v>
      </c>
      <c r="B47" s="44">
        <v>20</v>
      </c>
      <c r="C47" s="44">
        <v>0</v>
      </c>
      <c r="D47" s="52">
        <v>0</v>
      </c>
      <c r="E47" s="52">
        <v>0</v>
      </c>
      <c r="F47" s="52">
        <v>0</v>
      </c>
      <c r="G47" s="44">
        <v>2</v>
      </c>
      <c r="H47" s="44">
        <f>B47*G47</f>
        <v>40</v>
      </c>
      <c r="I47" s="91">
        <v>0</v>
      </c>
      <c r="J47" s="92">
        <f>H47*I47</f>
        <v>0</v>
      </c>
      <c r="K47" s="92">
        <f>J47*0.1</f>
        <v>0</v>
      </c>
      <c r="L47" s="92">
        <f>J47*0.05</f>
        <v>0</v>
      </c>
      <c r="M47" s="92">
        <f>C47*G47*I47</f>
        <v>0</v>
      </c>
      <c r="N47" s="52">
        <f>(J47*'Base Data'!$C$5)+(K47*'Base Data'!$C$6)+(L47*'Base Data'!$C$7)</f>
        <v>0</v>
      </c>
      <c r="O47" s="52">
        <f>(D47+E47+F47)*G47*I47</f>
        <v>0</v>
      </c>
      <c r="P47" s="92">
        <f>G47*I47</f>
        <v>0</v>
      </c>
      <c r="Q47" s="94" t="s">
        <v>542</v>
      </c>
      <c r="R47" s="150">
        <f>SUM(O6,O8:O20,O25,O28,O31,O34,O37,O39:O40)</f>
        <v>17250</v>
      </c>
      <c r="S47" s="149">
        <f>SUM(O25,O28,O31,O34,O37)</f>
        <v>0</v>
      </c>
    </row>
    <row r="48" spans="1:21" s="147" customFormat="1" ht="9">
      <c r="A48" s="144" t="s">
        <v>494</v>
      </c>
      <c r="B48" s="44">
        <v>5</v>
      </c>
      <c r="C48" s="44"/>
      <c r="D48" s="52">
        <v>0</v>
      </c>
      <c r="E48" s="52">
        <v>0</v>
      </c>
      <c r="F48" s="52">
        <v>0</v>
      </c>
      <c r="G48" s="44">
        <v>1</v>
      </c>
      <c r="H48" s="44">
        <f t="shared" ref="H48" si="9">B48*G48</f>
        <v>5</v>
      </c>
      <c r="I48" s="91">
        <v>0</v>
      </c>
      <c r="J48" s="92">
        <f t="shared" ref="J48" si="10">H48*I48</f>
        <v>0</v>
      </c>
      <c r="K48" s="92">
        <f t="shared" ref="K48" si="11">J48*0.1</f>
        <v>0</v>
      </c>
      <c r="L48" s="92">
        <f t="shared" ref="L48" si="12">J48*0.05</f>
        <v>0</v>
      </c>
      <c r="M48" s="92">
        <f t="shared" ref="M48" si="13">C48*G48*I48</f>
        <v>0</v>
      </c>
      <c r="N48" s="52">
        <f>(J48*'Base Data'!$C$5)+(K48*'Base Data'!$C$6)+(L48*'Base Data'!$C$7)</f>
        <v>0</v>
      </c>
      <c r="O48" s="52">
        <f t="shared" ref="O48" si="14">(D48+E48+F48)*G48*I48</f>
        <v>0</v>
      </c>
      <c r="P48" s="92">
        <f t="shared" ref="P48" si="15">G48*I48</f>
        <v>0</v>
      </c>
      <c r="Q48" s="94" t="s">
        <v>84</v>
      </c>
    </row>
    <row r="49" spans="1:18" s="147" customFormat="1" ht="9">
      <c r="A49" s="145" t="s">
        <v>7</v>
      </c>
      <c r="B49" s="44"/>
      <c r="C49" s="44"/>
      <c r="D49" s="52"/>
      <c r="E49" s="52"/>
      <c r="F49" s="52"/>
      <c r="G49" s="44"/>
      <c r="H49" s="44"/>
      <c r="I49" s="91"/>
      <c r="J49" s="92">
        <f t="shared" ref="J49:O49" si="16">SUM(J4:J47)</f>
        <v>402</v>
      </c>
      <c r="K49" s="92">
        <f t="shared" si="16"/>
        <v>40.200000000000003</v>
      </c>
      <c r="L49" s="92">
        <f t="shared" si="16"/>
        <v>20.100000000000001</v>
      </c>
      <c r="M49" s="92">
        <f t="shared" si="16"/>
        <v>0</v>
      </c>
      <c r="N49" s="52">
        <f t="shared" si="16"/>
        <v>43728.555000000008</v>
      </c>
      <c r="O49" s="52">
        <f t="shared" si="16"/>
        <v>17250</v>
      </c>
      <c r="P49" s="92">
        <f>SUM(P44:P47)</f>
        <v>14</v>
      </c>
      <c r="Q49" s="94"/>
    </row>
    <row r="50" spans="1:18" s="147" customFormat="1" ht="9">
      <c r="A50" s="142" t="s">
        <v>431</v>
      </c>
      <c r="B50" s="44"/>
      <c r="C50" s="44"/>
      <c r="D50" s="52"/>
      <c r="E50" s="52"/>
      <c r="F50" s="52"/>
      <c r="G50" s="44"/>
      <c r="H50" s="44"/>
      <c r="I50" s="92"/>
      <c r="J50" s="92"/>
      <c r="K50" s="92"/>
      <c r="L50" s="92"/>
      <c r="M50" s="44"/>
      <c r="N50" s="52"/>
      <c r="O50" s="52"/>
      <c r="P50" s="92"/>
      <c r="Q50" s="94"/>
    </row>
    <row r="51" spans="1:18" s="147" customFormat="1" ht="9">
      <c r="A51" s="142" t="s">
        <v>418</v>
      </c>
      <c r="B51" s="44" t="s">
        <v>422</v>
      </c>
      <c r="C51" s="44"/>
      <c r="D51" s="52"/>
      <c r="E51" s="52"/>
      <c r="F51" s="52"/>
      <c r="G51" s="44"/>
      <c r="H51" s="44"/>
      <c r="I51" s="92"/>
      <c r="J51" s="92"/>
      <c r="K51" s="92"/>
      <c r="L51" s="92"/>
      <c r="M51" s="44"/>
      <c r="N51" s="52"/>
      <c r="O51" s="52"/>
      <c r="P51" s="92"/>
      <c r="Q51" s="94"/>
    </row>
    <row r="52" spans="1:18" s="147" customFormat="1" ht="9">
      <c r="A52" s="142" t="s">
        <v>419</v>
      </c>
      <c r="B52" s="44" t="s">
        <v>433</v>
      </c>
      <c r="C52" s="44"/>
      <c r="D52" s="52"/>
      <c r="E52" s="52"/>
      <c r="F52" s="52"/>
      <c r="G52" s="44"/>
      <c r="H52" s="44"/>
      <c r="I52" s="92"/>
      <c r="J52" s="92"/>
      <c r="K52" s="92"/>
      <c r="L52" s="92"/>
      <c r="M52" s="44"/>
      <c r="N52" s="52"/>
      <c r="O52" s="52"/>
      <c r="P52" s="92"/>
      <c r="Q52" s="94"/>
    </row>
    <row r="53" spans="1:18" s="147" customFormat="1" ht="9">
      <c r="A53" s="142" t="s">
        <v>420</v>
      </c>
      <c r="B53" s="44" t="s">
        <v>433</v>
      </c>
      <c r="C53" s="44"/>
      <c r="D53" s="52"/>
      <c r="E53" s="52"/>
      <c r="F53" s="52"/>
      <c r="G53" s="44"/>
      <c r="H53" s="44"/>
      <c r="I53" s="92"/>
      <c r="J53" s="92"/>
      <c r="K53" s="92"/>
      <c r="L53" s="92"/>
      <c r="M53" s="44"/>
      <c r="N53" s="52"/>
      <c r="O53" s="52"/>
      <c r="P53" s="92"/>
      <c r="Q53" s="94" t="s">
        <v>272</v>
      </c>
    </row>
    <row r="54" spans="1:18" s="147" customFormat="1" ht="9">
      <c r="A54" s="142" t="s">
        <v>421</v>
      </c>
      <c r="B54" s="44"/>
      <c r="C54" s="44"/>
      <c r="D54" s="52"/>
      <c r="E54" s="52"/>
      <c r="F54" s="52"/>
      <c r="G54" s="44"/>
      <c r="H54" s="44"/>
      <c r="I54" s="92"/>
      <c r="J54" s="92"/>
      <c r="K54" s="92"/>
      <c r="L54" s="92"/>
      <c r="M54" s="44"/>
      <c r="N54" s="52"/>
      <c r="O54" s="52"/>
      <c r="P54" s="92"/>
      <c r="Q54" s="94"/>
    </row>
    <row r="55" spans="1:18" s="147" customFormat="1" ht="9.75" customHeight="1">
      <c r="A55" s="142" t="s">
        <v>429</v>
      </c>
      <c r="B55" s="44">
        <v>20</v>
      </c>
      <c r="C55" s="44"/>
      <c r="D55" s="52">
        <v>0</v>
      </c>
      <c r="E55" s="52">
        <v>0</v>
      </c>
      <c r="F55" s="52">
        <v>0</v>
      </c>
      <c r="G55" s="44">
        <v>1</v>
      </c>
      <c r="H55" s="44">
        <f t="shared" ref="H55:H63" si="17">B55*G55</f>
        <v>20</v>
      </c>
      <c r="I55" s="91">
        <f>$I$13+'Fac-NewLrgGas-Yr1'!$I55</f>
        <v>0</v>
      </c>
      <c r="J55" s="92">
        <f t="shared" ref="J55:J63" si="18">H55*I55</f>
        <v>0</v>
      </c>
      <c r="K55" s="92">
        <f t="shared" ref="K55:K63" si="19">J55*0.1</f>
        <v>0</v>
      </c>
      <c r="L55" s="92">
        <f t="shared" ref="L55:L63" si="20">J55*0.05</f>
        <v>0</v>
      </c>
      <c r="M55" s="44"/>
      <c r="N55" s="52">
        <f>(J55*'Base Data'!$C$5)+(K55*'Base Data'!$C$6)+(L55*'Base Data'!$C$7)</f>
        <v>0</v>
      </c>
      <c r="O55" s="52">
        <f t="shared" ref="O55:O63" si="21">(D55+E55+F55)*G55*I55</f>
        <v>0</v>
      </c>
      <c r="P55" s="92">
        <v>0</v>
      </c>
      <c r="Q55" s="94" t="s">
        <v>387</v>
      </c>
    </row>
    <row r="56" spans="1:18" s="147" customFormat="1" ht="9">
      <c r="A56" s="143" t="s">
        <v>425</v>
      </c>
      <c r="B56" s="44">
        <v>15</v>
      </c>
      <c r="C56" s="44">
        <v>0</v>
      </c>
      <c r="D56" s="52">
        <v>0</v>
      </c>
      <c r="E56" s="52">
        <v>0</v>
      </c>
      <c r="F56" s="52">
        <v>0</v>
      </c>
      <c r="G56" s="44">
        <v>1</v>
      </c>
      <c r="H56" s="44">
        <f t="shared" si="17"/>
        <v>15</v>
      </c>
      <c r="I56" s="91">
        <f>$I$13+'Fac-NewLrgGas-Yr1'!$I56</f>
        <v>0</v>
      </c>
      <c r="J56" s="92">
        <f t="shared" si="18"/>
        <v>0</v>
      </c>
      <c r="K56" s="92">
        <f t="shared" si="19"/>
        <v>0</v>
      </c>
      <c r="L56" s="92">
        <f t="shared" si="20"/>
        <v>0</v>
      </c>
      <c r="M56" s="44">
        <f>C56*G56*I56</f>
        <v>0</v>
      </c>
      <c r="N56" s="52">
        <f>(J56*'Base Data'!$C$5)+(K56*'Base Data'!$C$6)+(L56*'Base Data'!$C$7)</f>
        <v>0</v>
      </c>
      <c r="O56" s="52">
        <f t="shared" si="21"/>
        <v>0</v>
      </c>
      <c r="P56" s="92">
        <v>0</v>
      </c>
      <c r="Q56" s="94" t="s">
        <v>387</v>
      </c>
    </row>
    <row r="57" spans="1:18" s="147" customFormat="1" ht="9.75" customHeight="1">
      <c r="A57" s="142" t="s">
        <v>426</v>
      </c>
      <c r="B57" s="44">
        <v>2</v>
      </c>
      <c r="C57" s="44"/>
      <c r="D57" s="52">
        <v>0</v>
      </c>
      <c r="E57" s="52">
        <v>0</v>
      </c>
      <c r="F57" s="52">
        <v>0</v>
      </c>
      <c r="G57" s="44">
        <v>1</v>
      </c>
      <c r="H57" s="44">
        <f t="shared" si="17"/>
        <v>2</v>
      </c>
      <c r="I57" s="91">
        <f>$I$13+'Fac-NewLrgGas-Yr1'!$I57</f>
        <v>0</v>
      </c>
      <c r="J57" s="92">
        <f t="shared" si="18"/>
        <v>0</v>
      </c>
      <c r="K57" s="92">
        <f t="shared" si="19"/>
        <v>0</v>
      </c>
      <c r="L57" s="92">
        <f t="shared" si="20"/>
        <v>0</v>
      </c>
      <c r="M57" s="44"/>
      <c r="N57" s="52">
        <f>(J57*'Base Data'!$C$5)+(K57*'Base Data'!$C$6)+(L57*'Base Data'!$C$7)</f>
        <v>0</v>
      </c>
      <c r="O57" s="52">
        <f t="shared" si="21"/>
        <v>0</v>
      </c>
      <c r="P57" s="92">
        <v>0</v>
      </c>
      <c r="Q57" s="94" t="s">
        <v>387</v>
      </c>
    </row>
    <row r="58" spans="1:18" s="147" customFormat="1" ht="9">
      <c r="A58" s="143" t="s">
        <v>436</v>
      </c>
      <c r="B58" s="44">
        <v>2</v>
      </c>
      <c r="C58" s="44"/>
      <c r="D58" s="52">
        <v>0</v>
      </c>
      <c r="E58" s="52">
        <v>0</v>
      </c>
      <c r="F58" s="52">
        <v>0</v>
      </c>
      <c r="G58" s="44">
        <v>1</v>
      </c>
      <c r="H58" s="44">
        <f t="shared" si="17"/>
        <v>2</v>
      </c>
      <c r="I58" s="91">
        <f>$I$13+'Fac-NewLrgGas-Yr1'!$I58</f>
        <v>0</v>
      </c>
      <c r="J58" s="92">
        <f t="shared" si="18"/>
        <v>0</v>
      </c>
      <c r="K58" s="92">
        <f t="shared" si="19"/>
        <v>0</v>
      </c>
      <c r="L58" s="92">
        <f t="shared" si="20"/>
        <v>0</v>
      </c>
      <c r="M58" s="44"/>
      <c r="N58" s="52">
        <f>(J58*'Base Data'!$C$5)+(K58*'Base Data'!$C$6)+(L58*'Base Data'!$C$7)</f>
        <v>0</v>
      </c>
      <c r="O58" s="52">
        <f t="shared" si="21"/>
        <v>0</v>
      </c>
      <c r="P58" s="92">
        <v>0</v>
      </c>
      <c r="Q58" s="94" t="s">
        <v>387</v>
      </c>
    </row>
    <row r="59" spans="1:18" s="147" customFormat="1" ht="9" customHeight="1">
      <c r="A59" s="143" t="s">
        <v>241</v>
      </c>
      <c r="B59" s="44">
        <v>2</v>
      </c>
      <c r="C59" s="44">
        <v>0</v>
      </c>
      <c r="D59" s="52">
        <v>0</v>
      </c>
      <c r="E59" s="52">
        <v>0</v>
      </c>
      <c r="F59" s="52">
        <v>0</v>
      </c>
      <c r="G59" s="44">
        <v>2</v>
      </c>
      <c r="H59" s="44">
        <f>B59*G59</f>
        <v>4</v>
      </c>
      <c r="I59" s="91">
        <f>$I$39</f>
        <v>6</v>
      </c>
      <c r="J59" s="92">
        <f>H59*I59</f>
        <v>24</v>
      </c>
      <c r="K59" s="92">
        <f t="shared" si="19"/>
        <v>2.4000000000000004</v>
      </c>
      <c r="L59" s="92">
        <f>J59*0.05</f>
        <v>1.2000000000000002</v>
      </c>
      <c r="M59" s="44">
        <f>C59*G59*I59</f>
        <v>0</v>
      </c>
      <c r="N59" s="52">
        <f>(J59*'Base Data'!$C$5)+(K59*'Base Data'!$C$6)+(L59*'Base Data'!$C$7)</f>
        <v>2610.6600000000003</v>
      </c>
      <c r="O59" s="52">
        <f>(D59+E59+F59)*G59*I59</f>
        <v>0</v>
      </c>
      <c r="P59" s="92">
        <v>0</v>
      </c>
      <c r="Q59" s="94" t="s">
        <v>542</v>
      </c>
    </row>
    <row r="60" spans="1:18" s="147" customFormat="1" ht="18.75" customHeight="1">
      <c r="A60" s="143" t="s">
        <v>489</v>
      </c>
      <c r="B60" s="44">
        <v>2</v>
      </c>
      <c r="C60" s="44">
        <v>0</v>
      </c>
      <c r="D60" s="52">
        <v>0</v>
      </c>
      <c r="E60" s="52">
        <v>0</v>
      </c>
      <c r="F60" s="52">
        <v>0</v>
      </c>
      <c r="G60" s="44">
        <v>2</v>
      </c>
      <c r="H60" s="44">
        <f t="shared" si="17"/>
        <v>4</v>
      </c>
      <c r="I60" s="91">
        <f>$I$13+'Fac-NewLrgGas-Yr1'!$I60</f>
        <v>0</v>
      </c>
      <c r="J60" s="92">
        <f t="shared" si="18"/>
        <v>0</v>
      </c>
      <c r="K60" s="92">
        <f t="shared" si="19"/>
        <v>0</v>
      </c>
      <c r="L60" s="92">
        <f t="shared" si="20"/>
        <v>0</v>
      </c>
      <c r="M60" s="44">
        <f>C60*G60*I60</f>
        <v>0</v>
      </c>
      <c r="N60" s="52">
        <f>(J60*'Base Data'!$C$5)+(K60*'Base Data'!$C$6)+(L60*'Base Data'!$C$7)</f>
        <v>0</v>
      </c>
      <c r="O60" s="52">
        <f t="shared" si="21"/>
        <v>0</v>
      </c>
      <c r="P60" s="92">
        <v>0</v>
      </c>
      <c r="Q60" s="94" t="s">
        <v>542</v>
      </c>
    </row>
    <row r="61" spans="1:18" s="147" customFormat="1" ht="9">
      <c r="A61" s="143" t="s">
        <v>246</v>
      </c>
      <c r="B61" s="44">
        <v>0.5</v>
      </c>
      <c r="C61" s="44"/>
      <c r="D61" s="52">
        <v>0</v>
      </c>
      <c r="E61" s="52">
        <v>0</v>
      </c>
      <c r="F61" s="52">
        <v>0</v>
      </c>
      <c r="G61" s="44">
        <v>12</v>
      </c>
      <c r="H61" s="44">
        <f t="shared" si="17"/>
        <v>6</v>
      </c>
      <c r="I61" s="91">
        <f>$I$39</f>
        <v>6</v>
      </c>
      <c r="J61" s="92">
        <f t="shared" si="18"/>
        <v>36</v>
      </c>
      <c r="K61" s="92">
        <f t="shared" si="19"/>
        <v>3.6</v>
      </c>
      <c r="L61" s="92">
        <f t="shared" si="20"/>
        <v>1.8</v>
      </c>
      <c r="M61" s="44"/>
      <c r="N61" s="52">
        <f>(J61*'Base Data'!$C$5)+(K61*'Base Data'!$C$6)+(L61*'Base Data'!$C$7)</f>
        <v>3915.9900000000002</v>
      </c>
      <c r="O61" s="52">
        <f t="shared" si="21"/>
        <v>0</v>
      </c>
      <c r="P61" s="92">
        <v>0</v>
      </c>
      <c r="Q61" s="94" t="s">
        <v>387</v>
      </c>
    </row>
    <row r="62" spans="1:18" s="147" customFormat="1" ht="9">
      <c r="A62" s="333" t="s">
        <v>490</v>
      </c>
      <c r="B62" s="44">
        <v>0.25</v>
      </c>
      <c r="C62" s="44"/>
      <c r="D62" s="52">
        <v>0</v>
      </c>
      <c r="E62" s="52">
        <v>0</v>
      </c>
      <c r="F62" s="52">
        <v>0</v>
      </c>
      <c r="G62" s="44">
        <v>1</v>
      </c>
      <c r="H62" s="44">
        <f>B62*G62</f>
        <v>0.25</v>
      </c>
      <c r="I62" s="91">
        <f>$I$39</f>
        <v>6</v>
      </c>
      <c r="J62" s="91">
        <f>H62*I62</f>
        <v>1.5</v>
      </c>
      <c r="K62" s="91">
        <f>J62*0.1</f>
        <v>0.15000000000000002</v>
      </c>
      <c r="L62" s="91">
        <f>J62*0.05</f>
        <v>7.5000000000000011E-2</v>
      </c>
      <c r="M62" s="44">
        <f>C62*G62*I62</f>
        <v>0</v>
      </c>
      <c r="N62" s="52">
        <f>(J62*'Base Data'!$C$5)+(K62*'Base Data'!$C$6)+(L62*'Base Data'!$C$7)</f>
        <v>163.16625000000002</v>
      </c>
      <c r="O62" s="52">
        <f>(D62+E62+F62)*G62*I62</f>
        <v>0</v>
      </c>
      <c r="P62" s="92">
        <f>G62*I62</f>
        <v>6</v>
      </c>
      <c r="Q62" s="94" t="s">
        <v>388</v>
      </c>
    </row>
    <row r="63" spans="1:18" s="147" customFormat="1" ht="9">
      <c r="A63" s="142" t="s">
        <v>427</v>
      </c>
      <c r="B63" s="44">
        <v>40</v>
      </c>
      <c r="C63" s="44"/>
      <c r="D63" s="52">
        <v>0</v>
      </c>
      <c r="E63" s="52">
        <v>0</v>
      </c>
      <c r="F63" s="52">
        <v>0</v>
      </c>
      <c r="G63" s="44">
        <v>1</v>
      </c>
      <c r="H63" s="44">
        <f t="shared" si="17"/>
        <v>40</v>
      </c>
      <c r="I63" s="91">
        <f>$I$7</f>
        <v>1</v>
      </c>
      <c r="J63" s="92">
        <f t="shared" si="18"/>
        <v>40</v>
      </c>
      <c r="K63" s="92">
        <f t="shared" si="19"/>
        <v>4</v>
      </c>
      <c r="L63" s="92">
        <f t="shared" si="20"/>
        <v>2</v>
      </c>
      <c r="M63" s="44"/>
      <c r="N63" s="52">
        <f>(J63*'Base Data'!$C$5)+(K63*'Base Data'!$C$6)+(L63*'Base Data'!$C$7)</f>
        <v>4351.0999999999995</v>
      </c>
      <c r="O63" s="52">
        <f t="shared" si="21"/>
        <v>0</v>
      </c>
      <c r="P63" s="92">
        <v>0</v>
      </c>
      <c r="Q63" s="94" t="s">
        <v>69</v>
      </c>
    </row>
    <row r="64" spans="1:18" s="147" customFormat="1">
      <c r="A64" s="142" t="s">
        <v>428</v>
      </c>
      <c r="B64" s="44" t="s">
        <v>433</v>
      </c>
      <c r="C64" s="44"/>
      <c r="D64" s="52"/>
      <c r="E64" s="52"/>
      <c r="F64" s="52"/>
      <c r="G64" s="44"/>
      <c r="H64" s="44"/>
      <c r="I64" s="92"/>
      <c r="J64" s="92"/>
      <c r="K64" s="92"/>
      <c r="L64" s="92"/>
      <c r="M64" s="44"/>
      <c r="N64" s="52"/>
      <c r="O64" s="52"/>
      <c r="P64" s="92"/>
      <c r="Q64" s="94"/>
      <c r="R64" s="185"/>
    </row>
    <row r="65" spans="1:20" s="147" customFormat="1">
      <c r="A65" s="254" t="s">
        <v>27</v>
      </c>
      <c r="B65" s="239"/>
      <c r="C65" s="239"/>
      <c r="D65" s="240"/>
      <c r="E65" s="240"/>
      <c r="F65" s="240"/>
      <c r="G65" s="239"/>
      <c r="H65" s="239"/>
      <c r="I65" s="241"/>
      <c r="J65" s="241">
        <f t="shared" ref="J65:O65" si="22">SUM(J51:J64)</f>
        <v>101.5</v>
      </c>
      <c r="K65" s="241">
        <f t="shared" si="22"/>
        <v>10.15</v>
      </c>
      <c r="L65" s="241">
        <f t="shared" si="22"/>
        <v>5.0750000000000002</v>
      </c>
      <c r="M65" s="240">
        <f t="shared" si="22"/>
        <v>0</v>
      </c>
      <c r="N65" s="240">
        <f t="shared" si="22"/>
        <v>11040.91625</v>
      </c>
      <c r="O65" s="240">
        <f t="shared" si="22"/>
        <v>0</v>
      </c>
      <c r="P65" s="241"/>
      <c r="Q65" s="242"/>
      <c r="R65" s="114"/>
    </row>
    <row r="66" spans="1:20" s="185" customFormat="1">
      <c r="A66" s="186" t="s">
        <v>400</v>
      </c>
      <c r="B66" s="187"/>
      <c r="C66" s="187"/>
      <c r="D66" s="187"/>
      <c r="E66" s="187"/>
      <c r="F66" s="188"/>
      <c r="G66" s="187"/>
      <c r="H66" s="187"/>
      <c r="I66" s="189"/>
      <c r="J66" s="190">
        <f t="shared" ref="J66:P66" si="23">J49+J65</f>
        <v>503.5</v>
      </c>
      <c r="K66" s="190">
        <f t="shared" si="23"/>
        <v>50.35</v>
      </c>
      <c r="L66" s="190">
        <f t="shared" si="23"/>
        <v>25.175000000000001</v>
      </c>
      <c r="M66" s="191">
        <f t="shared" si="23"/>
        <v>0</v>
      </c>
      <c r="N66" s="191">
        <f t="shared" si="23"/>
        <v>54769.47125000001</v>
      </c>
      <c r="O66" s="191">
        <f t="shared" si="23"/>
        <v>17250</v>
      </c>
      <c r="P66" s="190">
        <f t="shared" si="23"/>
        <v>14</v>
      </c>
      <c r="Q66" s="192"/>
      <c r="R66" s="53"/>
    </row>
    <row r="67" spans="1:20" ht="6" customHeight="1">
      <c r="R67" s="53"/>
    </row>
    <row r="68" spans="1:20" s="53" customFormat="1" ht="21" customHeight="1">
      <c r="A68" s="412" t="s">
        <v>541</v>
      </c>
      <c r="B68" s="412"/>
      <c r="C68" s="412"/>
      <c r="D68" s="412"/>
      <c r="E68" s="412"/>
      <c r="F68" s="412"/>
      <c r="G68" s="412"/>
      <c r="H68" s="412"/>
      <c r="I68" s="412"/>
      <c r="J68" s="412"/>
      <c r="K68" s="412"/>
      <c r="L68" s="412"/>
      <c r="M68" s="412"/>
      <c r="N68" s="412"/>
      <c r="O68" s="412"/>
      <c r="P68" s="375"/>
    </row>
    <row r="69" spans="1:20" s="53" customFormat="1" ht="9" customHeight="1">
      <c r="A69" s="409" t="s">
        <v>383</v>
      </c>
      <c r="B69" s="409"/>
      <c r="C69" s="409"/>
      <c r="D69" s="409"/>
      <c r="E69" s="409"/>
      <c r="F69" s="409"/>
      <c r="G69" s="409"/>
      <c r="H69" s="409"/>
      <c r="I69" s="409"/>
      <c r="J69" s="409"/>
      <c r="K69" s="409"/>
      <c r="L69" s="409"/>
      <c r="M69" s="409"/>
      <c r="N69" s="409"/>
      <c r="O69" s="409"/>
      <c r="P69" s="375"/>
    </row>
    <row r="70" spans="1:20" s="53" customFormat="1" ht="9" customHeight="1">
      <c r="A70" s="409" t="s">
        <v>547</v>
      </c>
      <c r="B70" s="409"/>
      <c r="C70" s="409"/>
      <c r="D70" s="409"/>
      <c r="E70" s="409"/>
      <c r="F70" s="409"/>
      <c r="G70" s="409"/>
      <c r="H70" s="409"/>
      <c r="I70" s="409"/>
      <c r="J70" s="409"/>
      <c r="K70" s="409"/>
      <c r="L70" s="409"/>
      <c r="M70" s="409"/>
      <c r="N70" s="409"/>
      <c r="O70" s="409"/>
      <c r="P70" s="409"/>
    </row>
    <row r="71" spans="1:20">
      <c r="A71" s="409" t="s">
        <v>271</v>
      </c>
      <c r="B71" s="409"/>
      <c r="C71" s="409"/>
      <c r="D71" s="409"/>
      <c r="E71" s="409"/>
      <c r="F71" s="409"/>
      <c r="G71" s="409"/>
      <c r="H71" s="409"/>
      <c r="I71" s="409"/>
      <c r="J71" s="409"/>
      <c r="K71" s="409"/>
      <c r="L71" s="409"/>
      <c r="M71" s="409"/>
      <c r="N71" s="409"/>
      <c r="O71" s="409"/>
      <c r="P71" s="409"/>
      <c r="Q71" s="114"/>
      <c r="R71" s="53"/>
    </row>
    <row r="72" spans="1:20" s="53" customFormat="1" ht="17.25" customHeight="1">
      <c r="A72" s="409" t="s">
        <v>566</v>
      </c>
      <c r="B72" s="409"/>
      <c r="C72" s="409"/>
      <c r="D72" s="409"/>
      <c r="E72" s="409"/>
      <c r="F72" s="409"/>
      <c r="G72" s="409"/>
      <c r="H72" s="409"/>
      <c r="I72" s="409"/>
      <c r="J72" s="409"/>
      <c r="K72" s="409"/>
      <c r="L72" s="409"/>
      <c r="M72" s="409"/>
      <c r="N72" s="409"/>
      <c r="O72" s="409"/>
      <c r="P72" s="378"/>
    </row>
    <row r="73" spans="1:20" s="53" customFormat="1" ht="9" customHeight="1">
      <c r="A73" s="98" t="s">
        <v>543</v>
      </c>
      <c r="B73" s="378"/>
      <c r="C73" s="378"/>
      <c r="D73" s="378"/>
      <c r="E73" s="378"/>
      <c r="F73" s="378"/>
      <c r="G73" s="378"/>
      <c r="H73" s="378"/>
      <c r="I73" s="378"/>
      <c r="J73" s="378"/>
      <c r="K73" s="378"/>
      <c r="L73" s="378"/>
      <c r="M73" s="378"/>
      <c r="N73" s="378"/>
      <c r="O73" s="378"/>
      <c r="P73" s="378"/>
    </row>
    <row r="74" spans="1:20" s="53" customFormat="1" ht="9">
      <c r="A74" s="14" t="s">
        <v>568</v>
      </c>
      <c r="B74" s="56"/>
      <c r="C74" s="56"/>
      <c r="D74" s="56"/>
      <c r="E74" s="56"/>
      <c r="F74" s="56"/>
      <c r="G74" s="56"/>
      <c r="H74" s="56"/>
      <c r="I74" s="57"/>
      <c r="J74" s="56"/>
      <c r="K74" s="56"/>
      <c r="L74" s="56"/>
      <c r="M74" s="56"/>
      <c r="N74" s="56"/>
      <c r="O74" s="197"/>
      <c r="P74" s="197"/>
      <c r="Q74" s="56"/>
    </row>
    <row r="75" spans="1:20" s="53" customFormat="1" ht="9">
      <c r="A75" s="14" t="s">
        <v>575</v>
      </c>
      <c r="P75" s="119"/>
      <c r="Q75" s="119"/>
      <c r="R75" s="119"/>
      <c r="S75" s="119"/>
      <c r="T75" s="119"/>
    </row>
    <row r="76" spans="1:20" s="53" customFormat="1" ht="9">
      <c r="A76" s="139" t="s">
        <v>576</v>
      </c>
      <c r="B76" s="56"/>
      <c r="C76" s="56"/>
      <c r="D76" s="111"/>
      <c r="E76" s="56"/>
      <c r="F76" s="56"/>
      <c r="G76" s="56"/>
      <c r="H76" s="56"/>
      <c r="I76" s="57"/>
      <c r="J76" s="56"/>
      <c r="K76" s="56"/>
      <c r="L76" s="56"/>
      <c r="M76" s="56"/>
      <c r="N76" s="56"/>
      <c r="O76" s="197"/>
      <c r="P76" s="197"/>
      <c r="Q76" s="56"/>
    </row>
    <row r="77" spans="1:20" s="53" customFormat="1" ht="9">
      <c r="B77" s="56"/>
      <c r="C77" s="56"/>
      <c r="D77" s="56"/>
      <c r="E77" s="56"/>
      <c r="F77" s="56"/>
      <c r="G77" s="56"/>
      <c r="H77" s="56"/>
      <c r="I77" s="57"/>
      <c r="J77" s="56"/>
      <c r="K77" s="56"/>
      <c r="L77" s="56"/>
      <c r="M77" s="56"/>
      <c r="N77" s="56"/>
      <c r="O77" s="197"/>
      <c r="P77" s="197"/>
      <c r="Q77" s="56"/>
    </row>
    <row r="78" spans="1:20" s="53" customFormat="1" ht="9">
      <c r="B78" s="56"/>
      <c r="C78" s="56"/>
      <c r="D78" s="56"/>
      <c r="E78" s="56"/>
      <c r="F78" s="56"/>
      <c r="G78" s="56"/>
      <c r="H78" s="56"/>
      <c r="I78" s="57"/>
      <c r="J78" s="56"/>
      <c r="K78" s="56"/>
      <c r="L78" s="56"/>
      <c r="M78" s="56"/>
      <c r="N78" s="56"/>
      <c r="O78" s="197"/>
      <c r="P78" s="197"/>
      <c r="Q78" s="56"/>
    </row>
    <row r="79" spans="1:20" s="53" customFormat="1" ht="9">
      <c r="B79" s="56"/>
      <c r="C79" s="56"/>
      <c r="D79" s="56"/>
      <c r="E79" s="56"/>
      <c r="F79" s="56"/>
      <c r="G79" s="56"/>
      <c r="H79" s="56"/>
      <c r="I79" s="57"/>
      <c r="J79" s="56"/>
      <c r="K79" s="56"/>
      <c r="L79" s="56"/>
      <c r="M79" s="56"/>
      <c r="N79" s="56"/>
      <c r="O79" s="197"/>
      <c r="P79" s="197"/>
      <c r="Q79" s="56"/>
    </row>
    <row r="80" spans="1:20" s="53" customFormat="1" ht="9">
      <c r="B80" s="56"/>
      <c r="C80" s="56"/>
      <c r="D80" s="56"/>
      <c r="E80" s="56"/>
      <c r="F80" s="56"/>
      <c r="G80" s="56"/>
      <c r="H80" s="56"/>
      <c r="I80" s="57"/>
      <c r="J80" s="56"/>
      <c r="K80" s="56"/>
      <c r="L80" s="56"/>
      <c r="M80" s="56"/>
      <c r="N80" s="56"/>
      <c r="O80" s="197"/>
      <c r="P80" s="197"/>
      <c r="Q80" s="56"/>
    </row>
    <row r="81" spans="2:17" s="53" customFormat="1" ht="9">
      <c r="B81" s="56"/>
      <c r="C81" s="56"/>
      <c r="D81" s="56"/>
      <c r="E81" s="56"/>
      <c r="F81" s="56"/>
      <c r="G81" s="56"/>
      <c r="H81" s="56"/>
      <c r="I81" s="57"/>
      <c r="J81" s="56"/>
      <c r="K81" s="56"/>
      <c r="L81" s="56"/>
      <c r="M81" s="56"/>
      <c r="N81" s="56"/>
      <c r="O81" s="197"/>
      <c r="P81" s="197"/>
      <c r="Q81" s="56"/>
    </row>
    <row r="82" spans="2:17" s="53" customFormat="1" ht="9">
      <c r="B82" s="56"/>
      <c r="C82" s="56"/>
      <c r="D82" s="56"/>
      <c r="E82" s="56"/>
      <c r="F82" s="56"/>
      <c r="G82" s="56"/>
      <c r="H82" s="56"/>
      <c r="I82" s="57"/>
      <c r="J82" s="56"/>
      <c r="K82" s="56"/>
      <c r="L82" s="56"/>
      <c r="M82" s="56"/>
      <c r="N82" s="56"/>
      <c r="O82" s="197"/>
      <c r="P82" s="197"/>
      <c r="Q82" s="56"/>
    </row>
    <row r="83" spans="2:17" s="53" customFormat="1" ht="9">
      <c r="B83" s="56"/>
      <c r="C83" s="56"/>
      <c r="D83" s="56"/>
      <c r="E83" s="56"/>
      <c r="F83" s="56"/>
      <c r="G83" s="56"/>
      <c r="H83" s="56"/>
      <c r="I83" s="57"/>
      <c r="J83" s="56"/>
      <c r="K83" s="56"/>
      <c r="L83" s="56"/>
      <c r="M83" s="56"/>
      <c r="N83" s="56"/>
      <c r="O83" s="197"/>
      <c r="P83" s="197"/>
      <c r="Q83" s="56"/>
    </row>
    <row r="84" spans="2:17" s="53" customFormat="1" ht="9">
      <c r="B84" s="56"/>
      <c r="C84" s="56"/>
      <c r="D84" s="56"/>
      <c r="E84" s="56"/>
      <c r="F84" s="56"/>
      <c r="G84" s="56"/>
      <c r="H84" s="56"/>
      <c r="I84" s="57"/>
      <c r="J84" s="56"/>
      <c r="K84" s="56"/>
      <c r="L84" s="56"/>
      <c r="M84" s="56"/>
      <c r="N84" s="56"/>
      <c r="O84" s="197"/>
      <c r="P84" s="197"/>
      <c r="Q84" s="56"/>
    </row>
    <row r="85" spans="2:17" s="53" customFormat="1" ht="9">
      <c r="B85" s="56"/>
      <c r="C85" s="56"/>
      <c r="D85" s="56"/>
      <c r="E85" s="56"/>
      <c r="F85" s="56"/>
      <c r="G85" s="56"/>
      <c r="H85" s="56"/>
      <c r="I85" s="57"/>
      <c r="J85" s="56"/>
      <c r="K85" s="56"/>
      <c r="L85" s="56"/>
      <c r="M85" s="56"/>
      <c r="N85" s="56"/>
      <c r="O85" s="197"/>
      <c r="P85" s="197"/>
      <c r="Q85" s="56"/>
    </row>
    <row r="86" spans="2:17" s="53" customFormat="1" ht="9">
      <c r="B86" s="56"/>
      <c r="C86" s="56"/>
      <c r="D86" s="56"/>
      <c r="E86" s="56"/>
      <c r="F86" s="56"/>
      <c r="G86" s="56"/>
      <c r="H86" s="56"/>
      <c r="I86" s="57"/>
      <c r="J86" s="56"/>
      <c r="K86" s="56"/>
      <c r="L86" s="56"/>
      <c r="M86" s="56"/>
      <c r="N86" s="56"/>
      <c r="O86" s="197"/>
      <c r="P86" s="197"/>
      <c r="Q86" s="56"/>
    </row>
    <row r="87" spans="2:17" s="53" customFormat="1" ht="9">
      <c r="B87" s="56"/>
      <c r="C87" s="56"/>
      <c r="D87" s="56"/>
      <c r="E87" s="56"/>
      <c r="F87" s="56"/>
      <c r="G87" s="56"/>
      <c r="H87" s="56"/>
      <c r="I87" s="57"/>
      <c r="J87" s="56"/>
      <c r="K87" s="56"/>
      <c r="L87" s="56"/>
      <c r="M87" s="56"/>
      <c r="N87" s="56"/>
      <c r="O87" s="197"/>
      <c r="P87" s="197"/>
      <c r="Q87" s="56"/>
    </row>
    <row r="88" spans="2:17" s="53" customFormat="1" ht="9">
      <c r="B88" s="56"/>
      <c r="C88" s="56"/>
      <c r="D88" s="56"/>
      <c r="E88" s="56"/>
      <c r="F88" s="56"/>
      <c r="G88" s="56"/>
      <c r="H88" s="56"/>
      <c r="I88" s="57"/>
      <c r="J88" s="56"/>
      <c r="K88" s="56"/>
      <c r="L88" s="56"/>
      <c r="M88" s="56"/>
      <c r="N88" s="56"/>
      <c r="O88" s="197"/>
      <c r="P88" s="197"/>
      <c r="Q88" s="56"/>
    </row>
    <row r="89" spans="2:17" s="53" customFormat="1" ht="9">
      <c r="B89" s="56"/>
      <c r="C89" s="56"/>
      <c r="D89" s="56"/>
      <c r="E89" s="56"/>
      <c r="F89" s="56"/>
      <c r="G89" s="56"/>
      <c r="H89" s="56"/>
      <c r="I89" s="57"/>
      <c r="J89" s="56"/>
      <c r="K89" s="56"/>
      <c r="L89" s="56"/>
      <c r="M89" s="56"/>
      <c r="N89" s="56"/>
      <c r="O89" s="197"/>
      <c r="P89" s="197"/>
      <c r="Q89" s="56"/>
    </row>
    <row r="90" spans="2:17" s="53" customFormat="1" ht="9">
      <c r="B90" s="56"/>
      <c r="C90" s="56"/>
      <c r="D90" s="56"/>
      <c r="E90" s="56"/>
      <c r="F90" s="56"/>
      <c r="G90" s="56"/>
      <c r="H90" s="56"/>
      <c r="I90" s="57"/>
      <c r="J90" s="56"/>
      <c r="K90" s="56"/>
      <c r="L90" s="56"/>
      <c r="M90" s="56"/>
      <c r="N90" s="56"/>
      <c r="O90" s="197"/>
      <c r="P90" s="197"/>
      <c r="Q90" s="56"/>
    </row>
    <row r="91" spans="2:17" s="53" customFormat="1" ht="9">
      <c r="B91" s="56"/>
      <c r="C91" s="56"/>
      <c r="D91" s="56"/>
      <c r="E91" s="56"/>
      <c r="F91" s="56"/>
      <c r="G91" s="56"/>
      <c r="H91" s="56"/>
      <c r="I91" s="57"/>
      <c r="J91" s="56"/>
      <c r="K91" s="56"/>
      <c r="L91" s="56"/>
      <c r="M91" s="56"/>
      <c r="N91" s="56"/>
      <c r="O91" s="197"/>
      <c r="P91" s="197"/>
      <c r="Q91" s="56"/>
    </row>
    <row r="92" spans="2:17" s="53" customFormat="1" ht="9">
      <c r="B92" s="56"/>
      <c r="C92" s="56"/>
      <c r="D92" s="56"/>
      <c r="E92" s="56"/>
      <c r="F92" s="56"/>
      <c r="G92" s="56"/>
      <c r="H92" s="56"/>
      <c r="I92" s="57"/>
      <c r="J92" s="56"/>
      <c r="K92" s="56"/>
      <c r="L92" s="56"/>
      <c r="M92" s="56"/>
      <c r="N92" s="56"/>
      <c r="O92" s="197"/>
      <c r="P92" s="197"/>
      <c r="Q92" s="56"/>
    </row>
    <row r="93" spans="2:17" s="53" customFormat="1" ht="9">
      <c r="B93" s="56"/>
      <c r="C93" s="56"/>
      <c r="D93" s="56"/>
      <c r="E93" s="56"/>
      <c r="F93" s="56"/>
      <c r="G93" s="56"/>
      <c r="H93" s="56"/>
      <c r="I93" s="57"/>
      <c r="J93" s="56"/>
      <c r="K93" s="56"/>
      <c r="L93" s="56"/>
      <c r="M93" s="56"/>
      <c r="N93" s="56"/>
      <c r="O93" s="197"/>
      <c r="P93" s="197"/>
      <c r="Q93" s="56"/>
    </row>
    <row r="94" spans="2:17" s="53" customFormat="1" ht="9">
      <c r="B94" s="56"/>
      <c r="C94" s="56"/>
      <c r="D94" s="56"/>
      <c r="E94" s="56"/>
      <c r="F94" s="56"/>
      <c r="G94" s="56"/>
      <c r="H94" s="56"/>
      <c r="I94" s="57"/>
      <c r="J94" s="56"/>
      <c r="K94" s="56"/>
      <c r="L94" s="56"/>
      <c r="M94" s="56"/>
      <c r="N94" s="56"/>
      <c r="O94" s="197"/>
      <c r="P94" s="197"/>
      <c r="Q94" s="56"/>
    </row>
    <row r="95" spans="2:17" s="53" customFormat="1" ht="9">
      <c r="B95" s="56"/>
      <c r="C95" s="56"/>
      <c r="D95" s="56"/>
      <c r="E95" s="56"/>
      <c r="F95" s="56"/>
      <c r="G95" s="56"/>
      <c r="H95" s="56"/>
      <c r="I95" s="57"/>
      <c r="J95" s="56"/>
      <c r="K95" s="56"/>
      <c r="L95" s="56"/>
      <c r="M95" s="56"/>
      <c r="N95" s="56"/>
      <c r="O95" s="197"/>
      <c r="P95" s="197"/>
      <c r="Q95" s="56"/>
    </row>
    <row r="96" spans="2:17" s="53" customFormat="1" ht="9">
      <c r="B96" s="56"/>
      <c r="C96" s="56"/>
      <c r="D96" s="56"/>
      <c r="E96" s="56"/>
      <c r="F96" s="56"/>
      <c r="G96" s="56"/>
      <c r="H96" s="56"/>
      <c r="I96" s="57"/>
      <c r="J96" s="56"/>
      <c r="K96" s="56"/>
      <c r="L96" s="56"/>
      <c r="M96" s="56"/>
      <c r="N96" s="56"/>
      <c r="O96" s="197"/>
      <c r="P96" s="197"/>
      <c r="Q96" s="56"/>
    </row>
    <row r="97" spans="2:17" s="53" customFormat="1" ht="9">
      <c r="B97" s="56"/>
      <c r="C97" s="56"/>
      <c r="D97" s="56"/>
      <c r="E97" s="56"/>
      <c r="F97" s="56"/>
      <c r="G97" s="56"/>
      <c r="H97" s="56"/>
      <c r="I97" s="57"/>
      <c r="J97" s="56"/>
      <c r="K97" s="56"/>
      <c r="L97" s="56"/>
      <c r="M97" s="56"/>
      <c r="N97" s="56"/>
      <c r="O97" s="197"/>
      <c r="P97" s="197"/>
      <c r="Q97" s="56"/>
    </row>
    <row r="98" spans="2:17" s="53" customFormat="1" ht="9">
      <c r="B98" s="56"/>
      <c r="C98" s="56"/>
      <c r="D98" s="56"/>
      <c r="E98" s="56"/>
      <c r="F98" s="56"/>
      <c r="G98" s="56"/>
      <c r="H98" s="56"/>
      <c r="I98" s="57"/>
      <c r="J98" s="56"/>
      <c r="K98" s="56"/>
      <c r="L98" s="56"/>
      <c r="M98" s="56"/>
      <c r="N98" s="56"/>
      <c r="O98" s="197"/>
      <c r="P98" s="197"/>
      <c r="Q98" s="56"/>
    </row>
    <row r="99" spans="2:17" s="53" customFormat="1" ht="9">
      <c r="B99" s="56"/>
      <c r="C99" s="56"/>
      <c r="D99" s="56"/>
      <c r="E99" s="56"/>
      <c r="F99" s="56"/>
      <c r="G99" s="56"/>
      <c r="H99" s="56"/>
      <c r="I99" s="57"/>
      <c r="J99" s="56"/>
      <c r="K99" s="56"/>
      <c r="L99" s="56"/>
      <c r="M99" s="56"/>
      <c r="N99" s="56"/>
      <c r="O99" s="197"/>
      <c r="P99" s="197"/>
      <c r="Q99" s="56"/>
    </row>
    <row r="100" spans="2:17" s="53" customFormat="1" ht="9">
      <c r="B100" s="56"/>
      <c r="C100" s="56"/>
      <c r="D100" s="56"/>
      <c r="E100" s="56"/>
      <c r="F100" s="56"/>
      <c r="G100" s="56"/>
      <c r="H100" s="56"/>
      <c r="I100" s="57"/>
      <c r="J100" s="56"/>
      <c r="K100" s="56"/>
      <c r="L100" s="56"/>
      <c r="M100" s="56"/>
      <c r="N100" s="56"/>
      <c r="O100" s="197"/>
      <c r="P100" s="197"/>
      <c r="Q100" s="56"/>
    </row>
    <row r="101" spans="2:17" s="53" customFormat="1" ht="9">
      <c r="B101" s="56"/>
      <c r="C101" s="56"/>
      <c r="D101" s="56"/>
      <c r="E101" s="56"/>
      <c r="F101" s="56"/>
      <c r="G101" s="56"/>
      <c r="H101" s="56"/>
      <c r="I101" s="57"/>
      <c r="J101" s="56"/>
      <c r="K101" s="56"/>
      <c r="L101" s="56"/>
      <c r="M101" s="56"/>
      <c r="N101" s="56"/>
      <c r="O101" s="197"/>
      <c r="P101" s="197"/>
      <c r="Q101" s="56"/>
    </row>
    <row r="102" spans="2:17" s="53" customFormat="1" ht="9">
      <c r="B102" s="56"/>
      <c r="C102" s="56"/>
      <c r="D102" s="56"/>
      <c r="E102" s="56"/>
      <c r="F102" s="56"/>
      <c r="G102" s="56"/>
      <c r="H102" s="56"/>
      <c r="I102" s="57"/>
      <c r="J102" s="56"/>
      <c r="K102" s="56"/>
      <c r="L102" s="56"/>
      <c r="M102" s="56"/>
      <c r="N102" s="56"/>
      <c r="O102" s="197"/>
      <c r="P102" s="197"/>
      <c r="Q102" s="56"/>
    </row>
    <row r="103" spans="2:17" s="53" customFormat="1" ht="9">
      <c r="B103" s="56"/>
      <c r="C103" s="56"/>
      <c r="D103" s="56"/>
      <c r="E103" s="56"/>
      <c r="F103" s="56"/>
      <c r="G103" s="56"/>
      <c r="H103" s="56"/>
      <c r="I103" s="57"/>
      <c r="J103" s="56"/>
      <c r="K103" s="56"/>
      <c r="L103" s="56"/>
      <c r="M103" s="56"/>
      <c r="N103" s="56"/>
      <c r="O103" s="197"/>
      <c r="P103" s="197"/>
      <c r="Q103" s="56"/>
    </row>
    <row r="104" spans="2:17" s="53" customFormat="1" ht="9">
      <c r="B104" s="56"/>
      <c r="C104" s="56"/>
      <c r="D104" s="56"/>
      <c r="E104" s="56"/>
      <c r="F104" s="56"/>
      <c r="G104" s="56"/>
      <c r="H104" s="56"/>
      <c r="I104" s="57"/>
      <c r="J104" s="56"/>
      <c r="K104" s="56"/>
      <c r="L104" s="56"/>
      <c r="M104" s="56"/>
      <c r="N104" s="56"/>
      <c r="O104" s="197"/>
      <c r="P104" s="197"/>
      <c r="Q104" s="56"/>
    </row>
    <row r="105" spans="2:17" s="53" customFormat="1" ht="9">
      <c r="B105" s="56"/>
      <c r="C105" s="56"/>
      <c r="D105" s="56"/>
      <c r="E105" s="56"/>
      <c r="F105" s="56"/>
      <c r="G105" s="56"/>
      <c r="H105" s="56"/>
      <c r="I105" s="57"/>
      <c r="J105" s="56"/>
      <c r="K105" s="56"/>
      <c r="L105" s="56"/>
      <c r="M105" s="56"/>
      <c r="N105" s="56"/>
      <c r="O105" s="197"/>
      <c r="P105" s="197"/>
      <c r="Q105" s="56"/>
    </row>
    <row r="106" spans="2:17" s="53" customFormat="1" ht="9">
      <c r="B106" s="56"/>
      <c r="C106" s="56"/>
      <c r="D106" s="56"/>
      <c r="E106" s="56"/>
      <c r="F106" s="56"/>
      <c r="G106" s="56"/>
      <c r="H106" s="56"/>
      <c r="I106" s="57"/>
      <c r="J106" s="56"/>
      <c r="K106" s="56"/>
      <c r="L106" s="56"/>
      <c r="M106" s="56"/>
      <c r="N106" s="56"/>
      <c r="O106" s="197"/>
      <c r="P106" s="197"/>
      <c r="Q106" s="56"/>
    </row>
    <row r="107" spans="2:17" s="53" customFormat="1" ht="9">
      <c r="B107" s="56"/>
      <c r="C107" s="56"/>
      <c r="D107" s="56"/>
      <c r="E107" s="56"/>
      <c r="F107" s="56"/>
      <c r="G107" s="56"/>
      <c r="H107" s="56"/>
      <c r="I107" s="57"/>
      <c r="J107" s="56"/>
      <c r="K107" s="56"/>
      <c r="L107" s="56"/>
      <c r="M107" s="56"/>
      <c r="N107" s="56"/>
      <c r="O107" s="197"/>
      <c r="P107" s="197"/>
      <c r="Q107" s="56"/>
    </row>
    <row r="108" spans="2:17" s="53" customFormat="1" ht="9">
      <c r="B108" s="56"/>
      <c r="C108" s="56"/>
      <c r="D108" s="56"/>
      <c r="E108" s="56"/>
      <c r="F108" s="56"/>
      <c r="G108" s="56"/>
      <c r="H108" s="56"/>
      <c r="I108" s="57"/>
      <c r="J108" s="56"/>
      <c r="K108" s="56"/>
      <c r="L108" s="56"/>
      <c r="M108" s="56"/>
      <c r="N108" s="56"/>
      <c r="O108" s="197"/>
      <c r="P108" s="197"/>
      <c r="Q108" s="56"/>
    </row>
    <row r="109" spans="2:17" s="53" customFormat="1" ht="9">
      <c r="B109" s="56"/>
      <c r="C109" s="56"/>
      <c r="D109" s="56"/>
      <c r="E109" s="56"/>
      <c r="F109" s="56"/>
      <c r="G109" s="56"/>
      <c r="H109" s="56"/>
      <c r="I109" s="57"/>
      <c r="J109" s="56"/>
      <c r="K109" s="56"/>
      <c r="L109" s="56"/>
      <c r="M109" s="56"/>
      <c r="N109" s="56"/>
      <c r="O109" s="197"/>
      <c r="P109" s="197"/>
      <c r="Q109" s="56"/>
    </row>
    <row r="110" spans="2:17" s="53" customFormat="1" ht="9">
      <c r="B110" s="56"/>
      <c r="C110" s="56"/>
      <c r="D110" s="56"/>
      <c r="E110" s="56"/>
      <c r="F110" s="56"/>
      <c r="G110" s="56"/>
      <c r="H110" s="56"/>
      <c r="I110" s="57"/>
      <c r="J110" s="56"/>
      <c r="K110" s="56"/>
      <c r="L110" s="56"/>
      <c r="M110" s="56"/>
      <c r="N110" s="56"/>
      <c r="O110" s="197"/>
      <c r="P110" s="197"/>
      <c r="Q110" s="56"/>
    </row>
    <row r="111" spans="2:17" s="53" customFormat="1" ht="9">
      <c r="B111" s="56"/>
      <c r="C111" s="56"/>
      <c r="D111" s="56"/>
      <c r="E111" s="56"/>
      <c r="F111" s="56"/>
      <c r="G111" s="56"/>
      <c r="H111" s="56"/>
      <c r="I111" s="57"/>
      <c r="J111" s="56"/>
      <c r="K111" s="56"/>
      <c r="L111" s="56"/>
      <c r="M111" s="56"/>
      <c r="N111" s="56"/>
      <c r="O111" s="197"/>
      <c r="P111" s="197"/>
      <c r="Q111" s="56"/>
    </row>
    <row r="112" spans="2:17" s="53" customFormat="1" ht="9">
      <c r="B112" s="56"/>
      <c r="C112" s="56"/>
      <c r="D112" s="56"/>
      <c r="E112" s="56"/>
      <c r="F112" s="56"/>
      <c r="G112" s="56"/>
      <c r="H112" s="56"/>
      <c r="I112" s="57"/>
      <c r="J112" s="56"/>
      <c r="K112" s="56"/>
      <c r="L112" s="56"/>
      <c r="M112" s="56"/>
      <c r="N112" s="56"/>
      <c r="O112" s="197"/>
      <c r="P112" s="197"/>
      <c r="Q112" s="56"/>
    </row>
    <row r="113" spans="2:18" s="53" customFormat="1" ht="9">
      <c r="B113" s="56"/>
      <c r="C113" s="56"/>
      <c r="D113" s="56"/>
      <c r="E113" s="56"/>
      <c r="F113" s="56"/>
      <c r="G113" s="56"/>
      <c r="H113" s="56"/>
      <c r="I113" s="57"/>
      <c r="J113" s="56"/>
      <c r="K113" s="56"/>
      <c r="L113" s="56"/>
      <c r="M113" s="56"/>
      <c r="N113" s="56"/>
      <c r="O113" s="197"/>
      <c r="P113" s="197"/>
      <c r="Q113" s="56"/>
    </row>
    <row r="114" spans="2:18" s="53" customFormat="1" ht="9">
      <c r="B114" s="56"/>
      <c r="C114" s="56"/>
      <c r="D114" s="56"/>
      <c r="E114" s="56"/>
      <c r="F114" s="56"/>
      <c r="G114" s="56"/>
      <c r="H114" s="56"/>
      <c r="I114" s="57"/>
      <c r="J114" s="56"/>
      <c r="K114" s="56"/>
      <c r="L114" s="56"/>
      <c r="M114" s="56"/>
      <c r="N114" s="56"/>
      <c r="O114" s="197"/>
      <c r="P114" s="197"/>
      <c r="Q114" s="56"/>
    </row>
    <row r="115" spans="2:18" s="53" customFormat="1" ht="9">
      <c r="B115" s="56"/>
      <c r="C115" s="56"/>
      <c r="D115" s="56"/>
      <c r="E115" s="56"/>
      <c r="F115" s="56"/>
      <c r="G115" s="56"/>
      <c r="H115" s="56"/>
      <c r="I115" s="57"/>
      <c r="J115" s="56"/>
      <c r="K115" s="56"/>
      <c r="L115" s="56"/>
      <c r="M115" s="56"/>
      <c r="N115" s="56"/>
      <c r="O115" s="197"/>
      <c r="P115" s="197"/>
      <c r="Q115" s="56"/>
    </row>
    <row r="116" spans="2:18" s="53" customFormat="1" ht="9">
      <c r="B116" s="56"/>
      <c r="C116" s="56"/>
      <c r="D116" s="56"/>
      <c r="E116" s="56"/>
      <c r="F116" s="56"/>
      <c r="G116" s="56"/>
      <c r="H116" s="56"/>
      <c r="I116" s="57"/>
      <c r="J116" s="56"/>
      <c r="K116" s="56"/>
      <c r="L116" s="56"/>
      <c r="M116" s="56"/>
      <c r="N116" s="56"/>
      <c r="O116" s="197"/>
      <c r="P116" s="197"/>
      <c r="Q116" s="56"/>
    </row>
    <row r="117" spans="2:18" s="53" customFormat="1" ht="9">
      <c r="B117" s="56"/>
      <c r="C117" s="56"/>
      <c r="D117" s="56"/>
      <c r="E117" s="56"/>
      <c r="F117" s="56"/>
      <c r="G117" s="56"/>
      <c r="H117" s="56"/>
      <c r="I117" s="57"/>
      <c r="J117" s="56"/>
      <c r="K117" s="56"/>
      <c r="L117" s="56"/>
      <c r="M117" s="56"/>
      <c r="N117" s="56"/>
      <c r="O117" s="197"/>
      <c r="P117" s="197"/>
      <c r="Q117" s="56"/>
    </row>
    <row r="118" spans="2:18" s="53" customFormat="1" ht="9">
      <c r="B118" s="56"/>
      <c r="C118" s="56"/>
      <c r="D118" s="56"/>
      <c r="E118" s="56"/>
      <c r="F118" s="56"/>
      <c r="G118" s="56"/>
      <c r="H118" s="56"/>
      <c r="I118" s="57"/>
      <c r="J118" s="56"/>
      <c r="K118" s="56"/>
      <c r="L118" s="56"/>
      <c r="M118" s="56"/>
      <c r="N118" s="56"/>
      <c r="O118" s="197"/>
      <c r="P118" s="197"/>
      <c r="Q118" s="56"/>
    </row>
    <row r="119" spans="2:18" s="53" customFormat="1" ht="9">
      <c r="B119" s="56"/>
      <c r="C119" s="56"/>
      <c r="D119" s="56"/>
      <c r="E119" s="56"/>
      <c r="F119" s="56"/>
      <c r="G119" s="56"/>
      <c r="H119" s="56"/>
      <c r="I119" s="57"/>
      <c r="J119" s="56"/>
      <c r="K119" s="56"/>
      <c r="L119" s="56"/>
      <c r="M119" s="56"/>
      <c r="N119" s="56"/>
      <c r="O119" s="197"/>
      <c r="P119" s="197"/>
      <c r="Q119" s="56"/>
    </row>
    <row r="120" spans="2:18" s="53" customFormat="1" ht="9">
      <c r="B120" s="56"/>
      <c r="C120" s="56"/>
      <c r="D120" s="56"/>
      <c r="E120" s="56"/>
      <c r="F120" s="56"/>
      <c r="G120" s="56"/>
      <c r="H120" s="56"/>
      <c r="I120" s="57"/>
      <c r="J120" s="56"/>
      <c r="K120" s="56"/>
      <c r="L120" s="56"/>
      <c r="M120" s="56"/>
      <c r="N120" s="56"/>
      <c r="O120" s="197"/>
      <c r="P120" s="197"/>
      <c r="Q120" s="56"/>
    </row>
    <row r="121" spans="2:18">
      <c r="R121" s="53"/>
    </row>
  </sheetData>
  <mergeCells count="7">
    <mergeCell ref="A72:O72"/>
    <mergeCell ref="A1:Q1"/>
    <mergeCell ref="A2:Q2"/>
    <mergeCell ref="A69:O69"/>
    <mergeCell ref="A68:O68"/>
    <mergeCell ref="A70:P70"/>
    <mergeCell ref="A71:P71"/>
  </mergeCells>
  <phoneticPr fontId="7" type="noConversion"/>
  <pageMargins left="0.25" right="0.25" top="0.5" bottom="0.75" header="0.5" footer="0.5"/>
  <pageSetup scale="56" orientation="landscape" r:id="rId1"/>
  <headerFooter alignWithMargins="0"/>
</worksheet>
</file>

<file path=xl/worksheets/sheet26.xml><?xml version="1.0" encoding="utf-8"?>
<worksheet xmlns="http://schemas.openxmlformats.org/spreadsheetml/2006/main" xmlns:r="http://schemas.openxmlformats.org/officeDocument/2006/relationships">
  <sheetPr>
    <pageSetUpPr fitToPage="1"/>
  </sheetPr>
  <dimension ref="A1:V120"/>
  <sheetViews>
    <sheetView zoomScale="110" zoomScaleNormal="110" workbookViewId="0">
      <pane xSplit="1" ySplit="3" topLeftCell="B39" activePane="bottomRight" state="frozen"/>
      <selection activeCell="P31" sqref="P31"/>
      <selection pane="topRight" activeCell="P31" sqref="P31"/>
      <selection pane="bottomLeft" activeCell="P31" sqref="P31"/>
      <selection pane="bottomRight" activeCell="Q39" sqref="Q39"/>
    </sheetView>
  </sheetViews>
  <sheetFormatPr defaultRowHeight="11.25"/>
  <cols>
    <col min="1" max="1" width="36.5703125" style="114" customWidth="1"/>
    <col min="2" max="2" width="8.85546875" style="54" bestFit="1" customWidth="1"/>
    <col min="3" max="3" width="8" style="54" hidden="1" customWidth="1"/>
    <col min="4" max="4" width="8.42578125" style="54" bestFit="1" customWidth="1"/>
    <col min="5" max="5" width="8.85546875" style="54" bestFit="1" customWidth="1"/>
    <col min="6" max="6" width="7.85546875" style="54" bestFit="1" customWidth="1"/>
    <col min="7" max="7" width="9.28515625" style="54" bestFit="1" customWidth="1"/>
    <col min="8" max="8" width="7.85546875" style="54" bestFit="1" customWidth="1"/>
    <col min="9" max="9" width="9.42578125" style="55" bestFit="1" customWidth="1"/>
    <col min="10" max="11" width="6.85546875" style="54" bestFit="1" customWidth="1"/>
    <col min="12" max="12" width="8.85546875" style="54" bestFit="1" customWidth="1"/>
    <col min="13" max="13" width="7.85546875" style="54" hidden="1" customWidth="1"/>
    <col min="14" max="14" width="8.42578125" style="54" bestFit="1" customWidth="1"/>
    <col min="15" max="15" width="10.140625" style="196" bestFit="1" customWidth="1"/>
    <col min="16" max="16" width="7.85546875" style="196" customWidth="1"/>
    <col min="17" max="17" width="4" style="54" bestFit="1" customWidth="1"/>
    <col min="18" max="19" width="9.140625" style="114" hidden="1" customWidth="1"/>
    <col min="20" max="20" width="11.140625" style="114" customWidth="1"/>
    <col min="21" max="21" width="8.5703125" style="114" customWidth="1"/>
    <col min="22" max="16384" width="9.140625" style="114"/>
  </cols>
  <sheetData>
    <row r="1" spans="1:21">
      <c r="A1" s="410" t="s">
        <v>0</v>
      </c>
      <c r="B1" s="410"/>
      <c r="C1" s="410"/>
      <c r="D1" s="410"/>
      <c r="E1" s="410"/>
      <c r="F1" s="410"/>
      <c r="G1" s="410"/>
      <c r="H1" s="410"/>
      <c r="I1" s="410"/>
      <c r="J1" s="410"/>
      <c r="K1" s="410"/>
      <c r="L1" s="410"/>
      <c r="M1" s="410"/>
      <c r="N1" s="410"/>
      <c r="O1" s="410"/>
      <c r="P1" s="410"/>
      <c r="Q1" s="410"/>
    </row>
    <row r="2" spans="1:21">
      <c r="A2" s="411" t="s">
        <v>1</v>
      </c>
      <c r="B2" s="411"/>
      <c r="C2" s="411"/>
      <c r="D2" s="411"/>
      <c r="E2" s="411"/>
      <c r="F2" s="411"/>
      <c r="G2" s="411"/>
      <c r="H2" s="411"/>
      <c r="I2" s="411"/>
      <c r="J2" s="411"/>
      <c r="K2" s="411"/>
      <c r="L2" s="411"/>
      <c r="M2" s="411"/>
      <c r="N2" s="411"/>
      <c r="O2" s="411"/>
      <c r="P2" s="411"/>
      <c r="Q2" s="411"/>
    </row>
    <row r="3" spans="1:21" s="193" customFormat="1" ht="63">
      <c r="A3" s="45" t="s">
        <v>392</v>
      </c>
      <c r="B3" s="45" t="s">
        <v>393</v>
      </c>
      <c r="C3" s="45" t="s">
        <v>430</v>
      </c>
      <c r="D3" s="45" t="s">
        <v>4</v>
      </c>
      <c r="E3" s="45" t="s">
        <v>6</v>
      </c>
      <c r="F3" s="45" t="s">
        <v>5</v>
      </c>
      <c r="G3" s="45" t="s">
        <v>176</v>
      </c>
      <c r="H3" s="45" t="s">
        <v>459</v>
      </c>
      <c r="I3" s="60" t="s">
        <v>460</v>
      </c>
      <c r="J3" s="100" t="s">
        <v>462</v>
      </c>
      <c r="K3" s="100" t="s">
        <v>463</v>
      </c>
      <c r="L3" s="100" t="s">
        <v>461</v>
      </c>
      <c r="M3" s="45" t="s">
        <v>391</v>
      </c>
      <c r="N3" s="45" t="s">
        <v>8</v>
      </c>
      <c r="O3" s="100" t="s">
        <v>9</v>
      </c>
      <c r="P3" s="100" t="s">
        <v>175</v>
      </c>
      <c r="Q3" s="182" t="s">
        <v>394</v>
      </c>
      <c r="R3" s="193" t="s">
        <v>307</v>
      </c>
      <c r="S3" s="193" t="s">
        <v>308</v>
      </c>
    </row>
    <row r="4" spans="1:21" s="147" customFormat="1" ht="9">
      <c r="A4" s="178" t="s">
        <v>405</v>
      </c>
      <c r="B4" s="179" t="s">
        <v>433</v>
      </c>
      <c r="C4" s="179"/>
      <c r="D4" s="181"/>
      <c r="E4" s="181"/>
      <c r="F4" s="181"/>
      <c r="G4" s="179"/>
      <c r="H4" s="179"/>
      <c r="I4" s="183"/>
      <c r="J4" s="183"/>
      <c r="K4" s="183"/>
      <c r="L4" s="183"/>
      <c r="M4" s="179"/>
      <c r="N4" s="181"/>
      <c r="O4" s="181"/>
      <c r="P4" s="181"/>
      <c r="Q4" s="249"/>
    </row>
    <row r="5" spans="1:21" s="147" customFormat="1" ht="9">
      <c r="A5" s="142" t="s">
        <v>406</v>
      </c>
      <c r="B5" s="44" t="s">
        <v>433</v>
      </c>
      <c r="C5" s="44"/>
      <c r="D5" s="52"/>
      <c r="E5" s="52"/>
      <c r="F5" s="52"/>
      <c r="G5" s="44"/>
      <c r="H5" s="44"/>
      <c r="I5" s="92"/>
      <c r="J5" s="92"/>
      <c r="K5" s="92"/>
      <c r="L5" s="92"/>
      <c r="M5" s="44"/>
      <c r="N5" s="52"/>
      <c r="O5" s="52"/>
      <c r="P5" s="52"/>
      <c r="Q5" s="94"/>
    </row>
    <row r="6" spans="1:21" s="147" customFormat="1" ht="9">
      <c r="A6" s="142" t="s">
        <v>407</v>
      </c>
      <c r="B6" s="44"/>
      <c r="C6" s="44"/>
      <c r="D6" s="52"/>
      <c r="E6" s="52"/>
      <c r="F6" s="52"/>
      <c r="G6" s="44"/>
      <c r="H6" s="44"/>
      <c r="I6" s="92"/>
      <c r="J6" s="92"/>
      <c r="K6" s="92"/>
      <c r="L6" s="92"/>
      <c r="M6" s="44"/>
      <c r="N6" s="52"/>
      <c r="O6" s="52"/>
      <c r="P6" s="52"/>
      <c r="Q6" s="94"/>
    </row>
    <row r="7" spans="1:21" s="147" customFormat="1" ht="9">
      <c r="A7" s="143" t="s">
        <v>408</v>
      </c>
      <c r="B7" s="44">
        <v>40</v>
      </c>
      <c r="C7" s="44"/>
      <c r="D7" s="52">
        <v>0</v>
      </c>
      <c r="E7" s="52">
        <v>0</v>
      </c>
      <c r="F7" s="52">
        <v>0</v>
      </c>
      <c r="G7" s="44">
        <v>1</v>
      </c>
      <c r="H7" s="44">
        <f>B7*G7</f>
        <v>40</v>
      </c>
      <c r="I7" s="91">
        <v>0</v>
      </c>
      <c r="J7" s="92">
        <f>H7*I7</f>
        <v>0</v>
      </c>
      <c r="K7" s="92">
        <f>J7*0.1</f>
        <v>0</v>
      </c>
      <c r="L7" s="91">
        <f>J7*0.05</f>
        <v>0</v>
      </c>
      <c r="M7" s="44">
        <f>C7*G7*I7</f>
        <v>0</v>
      </c>
      <c r="N7" s="52">
        <f>(J7*'Base Data'!$C$5)+(K7*'Base Data'!$C$6)+(L7*'Base Data'!$C$7)</f>
        <v>0</v>
      </c>
      <c r="O7" s="52">
        <f>(D7+E7+F7)*G7*I7</f>
        <v>0</v>
      </c>
      <c r="P7" s="92">
        <v>0</v>
      </c>
      <c r="Q7" s="94" t="s">
        <v>387</v>
      </c>
    </row>
    <row r="8" spans="1:21" s="147" customFormat="1" ht="9">
      <c r="A8" s="142" t="s">
        <v>409</v>
      </c>
      <c r="B8" s="44"/>
      <c r="C8" s="44"/>
      <c r="D8" s="52"/>
      <c r="E8" s="52"/>
      <c r="F8" s="52"/>
      <c r="G8" s="44"/>
      <c r="H8" s="44"/>
      <c r="I8" s="92"/>
      <c r="J8" s="92"/>
      <c r="K8" s="92"/>
      <c r="L8" s="92"/>
      <c r="M8" s="44"/>
      <c r="N8" s="52"/>
      <c r="O8" s="52"/>
      <c r="P8" s="92"/>
      <c r="Q8" s="94"/>
      <c r="U8" s="195"/>
    </row>
    <row r="9" spans="1:21" s="147" customFormat="1" ht="9">
      <c r="A9" s="143" t="s">
        <v>486</v>
      </c>
      <c r="B9" s="44">
        <v>12</v>
      </c>
      <c r="C9" s="44"/>
      <c r="D9" s="52">
        <v>0</v>
      </c>
      <c r="E9" s="52">
        <f>'Testing Costs'!$B$13</f>
        <v>5000</v>
      </c>
      <c r="F9" s="52">
        <v>0</v>
      </c>
      <c r="G9" s="44">
        <v>1</v>
      </c>
      <c r="H9" s="44">
        <f t="shared" ref="H9:H21" si="0">B9*G9</f>
        <v>12</v>
      </c>
      <c r="I9" s="91">
        <v>0</v>
      </c>
      <c r="J9" s="92">
        <f t="shared" ref="J9:J21" si="1">H9*I9</f>
        <v>0</v>
      </c>
      <c r="K9" s="92">
        <f t="shared" ref="K9:K21" si="2">J9*0.1</f>
        <v>0</v>
      </c>
      <c r="L9" s="92">
        <f t="shared" ref="L9:L21" si="3">J9*0.05</f>
        <v>0</v>
      </c>
      <c r="M9" s="93"/>
      <c r="N9" s="52">
        <f>(J9*'Base Data'!$C$5)+(K9*'Base Data'!$C$6)+(L9*'Base Data'!$C$7)</f>
        <v>0</v>
      </c>
      <c r="O9" s="52">
        <f t="shared" ref="O9:O21" si="4">(D9+E9+F9)*G9*I9</f>
        <v>0</v>
      </c>
      <c r="P9" s="92">
        <v>0</v>
      </c>
      <c r="Q9" s="94" t="s">
        <v>389</v>
      </c>
      <c r="U9" s="195"/>
    </row>
    <row r="10" spans="1:21" s="147" customFormat="1" ht="9">
      <c r="A10" s="143" t="s">
        <v>133</v>
      </c>
      <c r="B10" s="44">
        <v>12</v>
      </c>
      <c r="C10" s="44"/>
      <c r="D10" s="52">
        <v>0</v>
      </c>
      <c r="E10" s="52">
        <f>'Testing Costs'!$B$17</f>
        <v>8000</v>
      </c>
      <c r="F10" s="52">
        <v>0</v>
      </c>
      <c r="G10" s="44">
        <v>1</v>
      </c>
      <c r="H10" s="44">
        <f t="shared" si="0"/>
        <v>12</v>
      </c>
      <c r="I10" s="91">
        <v>0</v>
      </c>
      <c r="J10" s="92">
        <f t="shared" si="1"/>
        <v>0</v>
      </c>
      <c r="K10" s="92">
        <f t="shared" si="2"/>
        <v>0</v>
      </c>
      <c r="L10" s="92">
        <f t="shared" si="3"/>
        <v>0</v>
      </c>
      <c r="M10" s="93"/>
      <c r="N10" s="52">
        <f>(J10*'Base Data'!$C$5)+(K10*'Base Data'!$C$6)+(L10*'Base Data'!$C$7)</f>
        <v>0</v>
      </c>
      <c r="O10" s="52">
        <f t="shared" si="4"/>
        <v>0</v>
      </c>
      <c r="P10" s="92">
        <v>0</v>
      </c>
      <c r="Q10" s="94" t="s">
        <v>389</v>
      </c>
      <c r="U10" s="195"/>
    </row>
    <row r="11" spans="1:21" s="147" customFormat="1" ht="9">
      <c r="A11" s="143" t="s">
        <v>134</v>
      </c>
      <c r="B11" s="44">
        <v>12</v>
      </c>
      <c r="C11" s="44"/>
      <c r="D11" s="52">
        <v>0</v>
      </c>
      <c r="E11" s="52">
        <f>'Testing Costs'!$B$15</f>
        <v>8000</v>
      </c>
      <c r="F11" s="52">
        <v>0</v>
      </c>
      <c r="G11" s="44">
        <v>1</v>
      </c>
      <c r="H11" s="44">
        <f t="shared" si="0"/>
        <v>12</v>
      </c>
      <c r="I11" s="91">
        <v>0</v>
      </c>
      <c r="J11" s="92">
        <f t="shared" si="1"/>
        <v>0</v>
      </c>
      <c r="K11" s="92">
        <f t="shared" si="2"/>
        <v>0</v>
      </c>
      <c r="L11" s="92">
        <f t="shared" si="3"/>
        <v>0</v>
      </c>
      <c r="M11" s="93"/>
      <c r="N11" s="52">
        <f>(J11*'Base Data'!$C$5)+(K11*'Base Data'!$C$6)+(L11*'Base Data'!$C$7)</f>
        <v>0</v>
      </c>
      <c r="O11" s="52">
        <f t="shared" si="4"/>
        <v>0</v>
      </c>
      <c r="P11" s="92">
        <v>0</v>
      </c>
      <c r="Q11" s="94" t="s">
        <v>389</v>
      </c>
      <c r="U11" s="195"/>
    </row>
    <row r="12" spans="1:21" s="147" customFormat="1" ht="9">
      <c r="A12" s="143" t="s">
        <v>135</v>
      </c>
      <c r="B12" s="44">
        <v>12</v>
      </c>
      <c r="C12" s="44"/>
      <c r="D12" s="52">
        <v>0</v>
      </c>
      <c r="E12" s="52">
        <f>'Testing Costs'!$B$14</f>
        <v>7000</v>
      </c>
      <c r="F12" s="52">
        <v>0</v>
      </c>
      <c r="G12" s="44">
        <v>1</v>
      </c>
      <c r="H12" s="44">
        <f t="shared" si="0"/>
        <v>12</v>
      </c>
      <c r="I12" s="91">
        <v>0</v>
      </c>
      <c r="J12" s="92">
        <f t="shared" si="1"/>
        <v>0</v>
      </c>
      <c r="K12" s="92">
        <f t="shared" si="2"/>
        <v>0</v>
      </c>
      <c r="L12" s="92">
        <f t="shared" si="3"/>
        <v>0</v>
      </c>
      <c r="M12" s="93"/>
      <c r="N12" s="52">
        <f>(J12*'Base Data'!$C$5)+(K12*'Base Data'!$C$6)+(L12*'Base Data'!$C$7)</f>
        <v>0</v>
      </c>
      <c r="O12" s="52">
        <f t="shared" si="4"/>
        <v>0</v>
      </c>
      <c r="P12" s="92">
        <v>0</v>
      </c>
      <c r="Q12" s="94" t="s">
        <v>389</v>
      </c>
      <c r="U12" s="195"/>
    </row>
    <row r="13" spans="1:21" s="147" customFormat="1" ht="9">
      <c r="A13" s="143" t="s">
        <v>136</v>
      </c>
      <c r="B13" s="44">
        <v>12</v>
      </c>
      <c r="C13" s="44"/>
      <c r="D13" s="52">
        <v>0</v>
      </c>
      <c r="E13" s="52">
        <f>'Testing Costs'!$B$16</f>
        <v>16000</v>
      </c>
      <c r="F13" s="52">
        <v>0</v>
      </c>
      <c r="G13" s="44">
        <v>1</v>
      </c>
      <c r="H13" s="44">
        <f t="shared" si="0"/>
        <v>12</v>
      </c>
      <c r="I13" s="91">
        <v>0</v>
      </c>
      <c r="J13" s="92">
        <f t="shared" si="1"/>
        <v>0</v>
      </c>
      <c r="K13" s="92">
        <f t="shared" si="2"/>
        <v>0</v>
      </c>
      <c r="L13" s="92">
        <f t="shared" si="3"/>
        <v>0</v>
      </c>
      <c r="M13" s="93"/>
      <c r="N13" s="52">
        <f>(J13*'Base Data'!$C$5)+(K13*'Base Data'!$C$6)+(L13*'Base Data'!$C$7)</f>
        <v>0</v>
      </c>
      <c r="O13" s="52">
        <f t="shared" si="4"/>
        <v>0</v>
      </c>
      <c r="P13" s="92">
        <v>0</v>
      </c>
      <c r="Q13" s="94" t="s">
        <v>389</v>
      </c>
      <c r="U13" s="195"/>
    </row>
    <row r="14" spans="1:21" s="147" customFormat="1" ht="9" customHeight="1">
      <c r="A14" s="143" t="s">
        <v>148</v>
      </c>
      <c r="B14" s="44">
        <v>12</v>
      </c>
      <c r="C14" s="44"/>
      <c r="D14" s="52">
        <v>0</v>
      </c>
      <c r="E14" s="52">
        <f>'Testing Costs'!$B$13</f>
        <v>5000</v>
      </c>
      <c r="F14" s="52">
        <v>0</v>
      </c>
      <c r="G14" s="44">
        <v>1</v>
      </c>
      <c r="H14" s="44">
        <f t="shared" si="0"/>
        <v>12</v>
      </c>
      <c r="I14" s="91">
        <f>'Fac-NewLrgGas-Yr2'!I9+'Fac-NewLrgGas-Yr2'!I14</f>
        <v>0</v>
      </c>
      <c r="J14" s="92">
        <f t="shared" si="1"/>
        <v>0</v>
      </c>
      <c r="K14" s="92">
        <f t="shared" si="2"/>
        <v>0</v>
      </c>
      <c r="L14" s="92">
        <f t="shared" si="3"/>
        <v>0</v>
      </c>
      <c r="M14" s="93"/>
      <c r="N14" s="52">
        <f>(J14*'Base Data'!$C$5)+(K14*'Base Data'!$C$6)+(L14*'Base Data'!$C$7)</f>
        <v>0</v>
      </c>
      <c r="O14" s="52">
        <f t="shared" si="4"/>
        <v>0</v>
      </c>
      <c r="P14" s="92">
        <v>0</v>
      </c>
      <c r="Q14" s="94" t="s">
        <v>387</v>
      </c>
      <c r="U14" s="195"/>
    </row>
    <row r="15" spans="1:21" s="147" customFormat="1" ht="9">
      <c r="A15" s="143" t="s">
        <v>149</v>
      </c>
      <c r="B15" s="44">
        <v>12</v>
      </c>
      <c r="C15" s="44"/>
      <c r="D15" s="52">
        <v>0</v>
      </c>
      <c r="E15" s="52">
        <f>'Testing Costs'!$B$17</f>
        <v>8000</v>
      </c>
      <c r="F15" s="52">
        <v>0</v>
      </c>
      <c r="G15" s="44">
        <v>1</v>
      </c>
      <c r="H15" s="44">
        <f t="shared" si="0"/>
        <v>12</v>
      </c>
      <c r="I15" s="91">
        <f>'Fac-NewLrgGas-Yr2'!I10+'Fac-NewLrgGas-Yr2'!I15</f>
        <v>0</v>
      </c>
      <c r="J15" s="92">
        <f t="shared" si="1"/>
        <v>0</v>
      </c>
      <c r="K15" s="92">
        <f t="shared" si="2"/>
        <v>0</v>
      </c>
      <c r="L15" s="92">
        <f t="shared" si="3"/>
        <v>0</v>
      </c>
      <c r="M15" s="93"/>
      <c r="N15" s="52">
        <f>(J15*'Base Data'!$C$5)+(K15*'Base Data'!$C$6)+(L15*'Base Data'!$C$7)</f>
        <v>0</v>
      </c>
      <c r="O15" s="52">
        <f t="shared" si="4"/>
        <v>0</v>
      </c>
      <c r="P15" s="92">
        <v>0</v>
      </c>
      <c r="Q15" s="94" t="s">
        <v>387</v>
      </c>
      <c r="U15" s="195"/>
    </row>
    <row r="16" spans="1:21" s="147" customFormat="1" ht="9">
      <c r="A16" s="143" t="s">
        <v>150</v>
      </c>
      <c r="B16" s="44">
        <v>12</v>
      </c>
      <c r="C16" s="44"/>
      <c r="D16" s="52">
        <v>0</v>
      </c>
      <c r="E16" s="52">
        <f>'Testing Costs'!$B$15</f>
        <v>8000</v>
      </c>
      <c r="F16" s="52">
        <v>0</v>
      </c>
      <c r="G16" s="44">
        <v>1</v>
      </c>
      <c r="H16" s="44">
        <f t="shared" si="0"/>
        <v>12</v>
      </c>
      <c r="I16" s="91">
        <f>'Fac-NewLrgGas-Yr2'!I11+'Fac-NewLrgGas-Yr2'!I16</f>
        <v>0</v>
      </c>
      <c r="J16" s="92">
        <f t="shared" si="1"/>
        <v>0</v>
      </c>
      <c r="K16" s="92">
        <f t="shared" si="2"/>
        <v>0</v>
      </c>
      <c r="L16" s="92">
        <f t="shared" si="3"/>
        <v>0</v>
      </c>
      <c r="M16" s="93"/>
      <c r="N16" s="52">
        <f>(J16*'Base Data'!$C$5)+(K16*'Base Data'!$C$6)+(L16*'Base Data'!$C$7)</f>
        <v>0</v>
      </c>
      <c r="O16" s="52">
        <f t="shared" si="4"/>
        <v>0</v>
      </c>
      <c r="P16" s="92">
        <v>0</v>
      </c>
      <c r="Q16" s="94" t="s">
        <v>387</v>
      </c>
      <c r="U16" s="195"/>
    </row>
    <row r="17" spans="1:21" s="147" customFormat="1" ht="9">
      <c r="A17" s="143" t="s">
        <v>151</v>
      </c>
      <c r="B17" s="44">
        <v>12</v>
      </c>
      <c r="C17" s="44"/>
      <c r="D17" s="52">
        <v>0</v>
      </c>
      <c r="E17" s="52">
        <f>'Testing Costs'!$B$14</f>
        <v>7000</v>
      </c>
      <c r="F17" s="52">
        <v>0</v>
      </c>
      <c r="G17" s="44">
        <v>1</v>
      </c>
      <c r="H17" s="44">
        <f t="shared" si="0"/>
        <v>12</v>
      </c>
      <c r="I17" s="91">
        <f>'Fac-NewLrgGas-Yr2'!I12+'Fac-NewLrgGas-Yr2'!I17</f>
        <v>0</v>
      </c>
      <c r="J17" s="92">
        <f t="shared" si="1"/>
        <v>0</v>
      </c>
      <c r="K17" s="92">
        <f t="shared" si="2"/>
        <v>0</v>
      </c>
      <c r="L17" s="92">
        <f t="shared" si="3"/>
        <v>0</v>
      </c>
      <c r="M17" s="93"/>
      <c r="N17" s="52">
        <f>(J17*'Base Data'!$C$5)+(K17*'Base Data'!$C$6)+(L17*'Base Data'!$C$7)</f>
        <v>0</v>
      </c>
      <c r="O17" s="52">
        <f t="shared" si="4"/>
        <v>0</v>
      </c>
      <c r="P17" s="92">
        <v>0</v>
      </c>
      <c r="Q17" s="94" t="s">
        <v>387</v>
      </c>
      <c r="U17" s="195"/>
    </row>
    <row r="18" spans="1:21" s="147" customFormat="1" ht="9">
      <c r="A18" s="143" t="s">
        <v>152</v>
      </c>
      <c r="B18" s="44">
        <v>12</v>
      </c>
      <c r="C18" s="44"/>
      <c r="D18" s="52">
        <v>0</v>
      </c>
      <c r="E18" s="52">
        <f>'Testing Costs'!$B$16</f>
        <v>16000</v>
      </c>
      <c r="F18" s="52">
        <v>0</v>
      </c>
      <c r="G18" s="44">
        <v>1</v>
      </c>
      <c r="H18" s="44">
        <f t="shared" si="0"/>
        <v>12</v>
      </c>
      <c r="I18" s="91">
        <f>'Fac-NewLrgGas-Yr2'!I13+'Fac-NewLrgGas-Yr2'!I18</f>
        <v>0</v>
      </c>
      <c r="J18" s="92">
        <f t="shared" si="1"/>
        <v>0</v>
      </c>
      <c r="K18" s="92">
        <f t="shared" si="2"/>
        <v>0</v>
      </c>
      <c r="L18" s="92">
        <f t="shared" si="3"/>
        <v>0</v>
      </c>
      <c r="M18" s="93"/>
      <c r="N18" s="52">
        <f>(J18*'Base Data'!$C$5)+(K18*'Base Data'!$C$6)+(L18*'Base Data'!$C$7)</f>
        <v>0</v>
      </c>
      <c r="O18" s="52">
        <f t="shared" si="4"/>
        <v>0</v>
      </c>
      <c r="P18" s="92">
        <v>0</v>
      </c>
      <c r="Q18" s="94" t="s">
        <v>387</v>
      </c>
      <c r="U18" s="195"/>
    </row>
    <row r="19" spans="1:21" s="147" customFormat="1" ht="18.75" customHeight="1">
      <c r="A19" s="332" t="s">
        <v>482</v>
      </c>
      <c r="B19" s="44">
        <v>24</v>
      </c>
      <c r="C19" s="331"/>
      <c r="D19" s="52">
        <v>0</v>
      </c>
      <c r="E19" s="52">
        <f>$E$13+$E$14</f>
        <v>21000</v>
      </c>
      <c r="F19" s="52">
        <v>0</v>
      </c>
      <c r="G19" s="44">
        <v>1</v>
      </c>
      <c r="H19" s="44">
        <f t="shared" si="0"/>
        <v>24</v>
      </c>
      <c r="I19" s="91">
        <v>0</v>
      </c>
      <c r="J19" s="92">
        <f t="shared" si="1"/>
        <v>0</v>
      </c>
      <c r="K19" s="92">
        <f t="shared" si="2"/>
        <v>0</v>
      </c>
      <c r="L19" s="92">
        <f t="shared" si="3"/>
        <v>0</v>
      </c>
      <c r="M19" s="93"/>
      <c r="N19" s="52">
        <f>(J19*'Base Data'!$C$5)+(K19*'Base Data'!$C$6)+(L19*'Base Data'!$C$7)</f>
        <v>0</v>
      </c>
      <c r="O19" s="52">
        <f t="shared" si="4"/>
        <v>0</v>
      </c>
      <c r="P19" s="92">
        <v>0</v>
      </c>
      <c r="Q19" s="94" t="s">
        <v>567</v>
      </c>
    </row>
    <row r="20" spans="1:21" s="147" customFormat="1" ht="9" customHeight="1">
      <c r="A20" s="143" t="s">
        <v>268</v>
      </c>
      <c r="B20" s="44">
        <v>5</v>
      </c>
      <c r="C20" s="44"/>
      <c r="D20" s="52">
        <v>0</v>
      </c>
      <c r="E20" s="52">
        <v>400</v>
      </c>
      <c r="F20" s="52">
        <v>0</v>
      </c>
      <c r="G20" s="44">
        <v>1</v>
      </c>
      <c r="H20" s="44">
        <f t="shared" si="0"/>
        <v>5</v>
      </c>
      <c r="I20" s="91">
        <v>0</v>
      </c>
      <c r="J20" s="92">
        <f t="shared" si="1"/>
        <v>0</v>
      </c>
      <c r="K20" s="92">
        <f t="shared" si="2"/>
        <v>0</v>
      </c>
      <c r="L20" s="92">
        <f t="shared" si="3"/>
        <v>0</v>
      </c>
      <c r="M20" s="93"/>
      <c r="N20" s="52">
        <f>(J20*'Base Data'!$C$5)+(K20*'Base Data'!$C$6)+(L20*'Base Data'!$C$7)</f>
        <v>0</v>
      </c>
      <c r="O20" s="52">
        <f t="shared" si="4"/>
        <v>0</v>
      </c>
      <c r="P20" s="92">
        <v>0</v>
      </c>
      <c r="Q20" s="94" t="s">
        <v>565</v>
      </c>
      <c r="U20" s="195"/>
    </row>
    <row r="21" spans="1:21" s="147" customFormat="1" ht="9" customHeight="1">
      <c r="A21" s="143" t="s">
        <v>269</v>
      </c>
      <c r="B21" s="44">
        <v>5</v>
      </c>
      <c r="C21" s="44"/>
      <c r="D21" s="52">
        <v>0</v>
      </c>
      <c r="E21" s="52">
        <v>400</v>
      </c>
      <c r="F21" s="52">
        <v>0</v>
      </c>
      <c r="G21" s="44">
        <v>12</v>
      </c>
      <c r="H21" s="44">
        <f t="shared" si="0"/>
        <v>60</v>
      </c>
      <c r="I21" s="91">
        <v>0</v>
      </c>
      <c r="J21" s="92">
        <f t="shared" si="1"/>
        <v>0</v>
      </c>
      <c r="K21" s="92">
        <f t="shared" si="2"/>
        <v>0</v>
      </c>
      <c r="L21" s="92">
        <f t="shared" si="3"/>
        <v>0</v>
      </c>
      <c r="M21" s="93"/>
      <c r="N21" s="52">
        <f>(J21*'Base Data'!$C$5)+(K21*'Base Data'!$C$6)+(L21*'Base Data'!$C$7)</f>
        <v>0</v>
      </c>
      <c r="O21" s="52">
        <f t="shared" si="4"/>
        <v>0</v>
      </c>
      <c r="P21" s="92">
        <v>0</v>
      </c>
      <c r="Q21" s="94" t="s">
        <v>565</v>
      </c>
      <c r="U21" s="195"/>
    </row>
    <row r="22" spans="1:21" s="147" customFormat="1" ht="9">
      <c r="A22" s="143" t="s">
        <v>270</v>
      </c>
      <c r="B22" s="44"/>
      <c r="C22" s="44"/>
      <c r="D22" s="52"/>
      <c r="E22" s="52"/>
      <c r="F22" s="52"/>
      <c r="G22" s="44"/>
      <c r="H22" s="44"/>
      <c r="I22" s="92"/>
      <c r="J22" s="92"/>
      <c r="K22" s="92"/>
      <c r="L22" s="92"/>
      <c r="M22" s="93"/>
      <c r="N22" s="52"/>
      <c r="O22" s="52"/>
      <c r="P22" s="92"/>
      <c r="Q22" s="94"/>
      <c r="U22" s="195"/>
    </row>
    <row r="23" spans="1:21" s="147" customFormat="1" ht="9">
      <c r="A23" s="143" t="s">
        <v>432</v>
      </c>
      <c r="B23" s="44">
        <v>40</v>
      </c>
      <c r="C23" s="44"/>
      <c r="D23" s="52">
        <v>0</v>
      </c>
      <c r="E23" s="52"/>
      <c r="F23" s="52">
        <v>0</v>
      </c>
      <c r="G23" s="44">
        <v>1</v>
      </c>
      <c r="H23" s="44">
        <f>B23*G23</f>
        <v>40</v>
      </c>
      <c r="I23" s="91">
        <v>0</v>
      </c>
      <c r="J23" s="92">
        <f>H23*I23</f>
        <v>0</v>
      </c>
      <c r="K23" s="92">
        <f>J23*0.1</f>
        <v>0</v>
      </c>
      <c r="L23" s="92">
        <f>J23*0.05</f>
        <v>0</v>
      </c>
      <c r="M23" s="93"/>
      <c r="N23" s="52">
        <f>(J23*'Base Data'!$C$5)+(K23*'Base Data'!$C$6)+(L23*'Base Data'!$C$7)</f>
        <v>0</v>
      </c>
      <c r="O23" s="52">
        <f>(D23+E23+F23)*G23*I23</f>
        <v>0</v>
      </c>
      <c r="P23" s="92">
        <v>0</v>
      </c>
      <c r="Q23" s="94" t="s">
        <v>387</v>
      </c>
      <c r="U23" s="195"/>
    </row>
    <row r="24" spans="1:21" s="147" customFormat="1" ht="9">
      <c r="A24" s="142" t="s">
        <v>410</v>
      </c>
      <c r="B24" s="44"/>
      <c r="C24" s="44"/>
      <c r="D24" s="52"/>
      <c r="E24" s="52"/>
      <c r="F24" s="52"/>
      <c r="G24" s="44"/>
      <c r="H24" s="44"/>
      <c r="I24" s="92"/>
      <c r="J24" s="92"/>
      <c r="K24" s="92"/>
      <c r="L24" s="92"/>
      <c r="M24" s="93"/>
      <c r="N24" s="52"/>
      <c r="O24" s="52"/>
      <c r="P24" s="92"/>
      <c r="Q24" s="94"/>
      <c r="U24" s="195"/>
    </row>
    <row r="25" spans="1:21" s="147" customFormat="1" ht="9">
      <c r="A25" s="142" t="s">
        <v>411</v>
      </c>
      <c r="B25" s="44">
        <v>10</v>
      </c>
      <c r="C25" s="44"/>
      <c r="D25" s="52">
        <v>0</v>
      </c>
      <c r="E25" s="52">
        <v>0</v>
      </c>
      <c r="F25" s="52">
        <v>43100</v>
      </c>
      <c r="G25" s="44">
        <v>1</v>
      </c>
      <c r="H25" s="44">
        <f>B25*G25</f>
        <v>10</v>
      </c>
      <c r="I25" s="91">
        <v>0</v>
      </c>
      <c r="J25" s="92">
        <f>H25*I25</f>
        <v>0</v>
      </c>
      <c r="K25" s="92">
        <f>J25*0.1</f>
        <v>0</v>
      </c>
      <c r="L25" s="92">
        <f>J25*0.05</f>
        <v>0</v>
      </c>
      <c r="M25" s="93"/>
      <c r="N25" s="52">
        <f>(J25*'Base Data'!$C$5)+(K25*'Base Data'!$C$6)+(L25*'Base Data'!$C$7)</f>
        <v>0</v>
      </c>
      <c r="O25" s="52">
        <f>(D25+E25+F25)*G25*I25</f>
        <v>0</v>
      </c>
      <c r="P25" s="92">
        <v>0</v>
      </c>
      <c r="Q25" s="94" t="s">
        <v>387</v>
      </c>
      <c r="U25" s="195"/>
    </row>
    <row r="26" spans="1:21" s="147" customFormat="1" ht="9">
      <c r="A26" s="142" t="s">
        <v>414</v>
      </c>
      <c r="B26" s="44">
        <v>10</v>
      </c>
      <c r="C26" s="44"/>
      <c r="D26" s="52">
        <v>0</v>
      </c>
      <c r="E26" s="52">
        <v>0</v>
      </c>
      <c r="F26" s="52">
        <v>14700</v>
      </c>
      <c r="G26" s="44">
        <v>1</v>
      </c>
      <c r="H26" s="44">
        <f>B26*G26</f>
        <v>10</v>
      </c>
      <c r="I26" s="91">
        <v>0</v>
      </c>
      <c r="J26" s="92">
        <f>H26*I26</f>
        <v>0</v>
      </c>
      <c r="K26" s="92">
        <f>J26*0.1</f>
        <v>0</v>
      </c>
      <c r="L26" s="92">
        <f>J26*0.05</f>
        <v>0</v>
      </c>
      <c r="M26" s="93"/>
      <c r="N26" s="52">
        <f>(J26*'Base Data'!$C$5)+(K26*'Base Data'!$C$6)+(L26*'Base Data'!$C$7)</f>
        <v>0</v>
      </c>
      <c r="O26" s="52">
        <f>(D26+E26+F26)*G26*I26</f>
        <v>0</v>
      </c>
      <c r="P26" s="92">
        <v>0</v>
      </c>
      <c r="Q26" s="94" t="s">
        <v>387</v>
      </c>
      <c r="U26" s="195"/>
    </row>
    <row r="27" spans="1:21" s="147" customFormat="1" ht="9">
      <c r="A27" s="142" t="s">
        <v>356</v>
      </c>
      <c r="B27" s="44"/>
      <c r="C27" s="44"/>
      <c r="D27" s="52"/>
      <c r="E27" s="52"/>
      <c r="F27" s="52"/>
      <c r="G27" s="44"/>
      <c r="H27" s="44"/>
      <c r="I27" s="92"/>
      <c r="J27" s="92"/>
      <c r="K27" s="92"/>
      <c r="L27" s="92"/>
      <c r="M27" s="93"/>
      <c r="N27" s="52"/>
      <c r="O27" s="52"/>
      <c r="P27" s="92"/>
      <c r="Q27" s="94"/>
      <c r="U27" s="195"/>
    </row>
    <row r="28" spans="1:21" s="147" customFormat="1" ht="9">
      <c r="A28" s="142" t="s">
        <v>411</v>
      </c>
      <c r="B28" s="44">
        <v>10</v>
      </c>
      <c r="C28" s="44"/>
      <c r="D28" s="52">
        <v>0</v>
      </c>
      <c r="E28" s="52">
        <v>0</v>
      </c>
      <c r="F28" s="52">
        <v>158000</v>
      </c>
      <c r="G28" s="44">
        <v>1</v>
      </c>
      <c r="H28" s="44">
        <f>B28*G28</f>
        <v>10</v>
      </c>
      <c r="I28" s="91">
        <v>0</v>
      </c>
      <c r="J28" s="92">
        <f>H28*I28</f>
        <v>0</v>
      </c>
      <c r="K28" s="92">
        <f>J28*0.1</f>
        <v>0</v>
      </c>
      <c r="L28" s="92">
        <f>J28*0.05</f>
        <v>0</v>
      </c>
      <c r="M28" s="93"/>
      <c r="N28" s="52">
        <f>(J28*'Base Data'!$C$5)+(K28*'Base Data'!$C$6)+(L28*'Base Data'!$C$7)</f>
        <v>0</v>
      </c>
      <c r="O28" s="52">
        <f>(D28+E28+F28)*G28*I28</f>
        <v>0</v>
      </c>
      <c r="P28" s="92">
        <v>0</v>
      </c>
      <c r="Q28" s="94" t="s">
        <v>387</v>
      </c>
      <c r="U28" s="195"/>
    </row>
    <row r="29" spans="1:21" s="147" customFormat="1" ht="9">
      <c r="A29" s="142" t="s">
        <v>414</v>
      </c>
      <c r="B29" s="44">
        <v>10</v>
      </c>
      <c r="C29" s="44"/>
      <c r="D29" s="52">
        <v>0</v>
      </c>
      <c r="E29" s="52">
        <v>0</v>
      </c>
      <c r="F29" s="52">
        <v>56100</v>
      </c>
      <c r="G29" s="44">
        <v>1</v>
      </c>
      <c r="H29" s="44">
        <f>B29*G29</f>
        <v>10</v>
      </c>
      <c r="I29" s="91">
        <v>0</v>
      </c>
      <c r="J29" s="92">
        <f>H29*I29</f>
        <v>0</v>
      </c>
      <c r="K29" s="92">
        <f>J29*0.1</f>
        <v>0</v>
      </c>
      <c r="L29" s="92">
        <f>J29*0.05</f>
        <v>0</v>
      </c>
      <c r="M29" s="93"/>
      <c r="N29" s="52">
        <f>(J29*'Base Data'!$C$5)+(K29*'Base Data'!$C$6)+(L29*'Base Data'!$C$7)</f>
        <v>0</v>
      </c>
      <c r="O29" s="52">
        <f>(D29+E29+F29)*G29*I29</f>
        <v>0</v>
      </c>
      <c r="P29" s="92">
        <v>0</v>
      </c>
      <c r="Q29" s="94" t="s">
        <v>387</v>
      </c>
      <c r="U29" s="195"/>
    </row>
    <row r="30" spans="1:21" s="147" customFormat="1" ht="9">
      <c r="A30" s="142" t="s">
        <v>522</v>
      </c>
      <c r="B30" s="44"/>
      <c r="C30" s="44"/>
      <c r="D30" s="52"/>
      <c r="E30" s="52"/>
      <c r="F30" s="52"/>
      <c r="G30" s="44"/>
      <c r="H30" s="44"/>
      <c r="I30" s="91"/>
      <c r="J30" s="92"/>
      <c r="K30" s="92"/>
      <c r="L30" s="92"/>
      <c r="M30" s="93"/>
      <c r="N30" s="52"/>
      <c r="O30" s="52"/>
      <c r="P30" s="92"/>
      <c r="Q30" s="94"/>
    </row>
    <row r="31" spans="1:21" s="147" customFormat="1" ht="9">
      <c r="A31" s="142" t="s">
        <v>411</v>
      </c>
      <c r="B31" s="44">
        <v>10</v>
      </c>
      <c r="C31" s="44"/>
      <c r="D31" s="52">
        <v>0</v>
      </c>
      <c r="E31" s="52">
        <v>0</v>
      </c>
      <c r="F31" s="52">
        <f>Monitors!$F$32</f>
        <v>8523</v>
      </c>
      <c r="G31" s="44">
        <v>1</v>
      </c>
      <c r="H31" s="44">
        <f t="shared" ref="H31:H32" si="5">B31*G31</f>
        <v>10</v>
      </c>
      <c r="I31" s="91">
        <v>0</v>
      </c>
      <c r="J31" s="92">
        <f t="shared" ref="J31:J32" si="6">H31*I31</f>
        <v>0</v>
      </c>
      <c r="K31" s="92">
        <f t="shared" ref="K31:K32" si="7">J31*0.1</f>
        <v>0</v>
      </c>
      <c r="L31" s="92">
        <f t="shared" ref="L31:L32" si="8">J31*0.05</f>
        <v>0</v>
      </c>
      <c r="M31" s="93"/>
      <c r="N31" s="52">
        <f>(J31*'Base Data'!$C$5)+(K31*'Base Data'!$C$6)+(L31*'Base Data'!$C$7)</f>
        <v>0</v>
      </c>
      <c r="O31" s="52">
        <f>(D31+E31+F31)*G31*I31</f>
        <v>0</v>
      </c>
      <c r="P31" s="92">
        <v>0</v>
      </c>
      <c r="Q31" s="94" t="s">
        <v>387</v>
      </c>
    </row>
    <row r="32" spans="1:21" s="147" customFormat="1" ht="9">
      <c r="A32" s="142" t="s">
        <v>414</v>
      </c>
      <c r="B32" s="44">
        <v>10</v>
      </c>
      <c r="C32" s="44"/>
      <c r="D32" s="52">
        <v>0</v>
      </c>
      <c r="E32" s="52">
        <v>0</v>
      </c>
      <c r="F32" s="52">
        <f>Monitors!$G$32</f>
        <v>1436</v>
      </c>
      <c r="G32" s="44">
        <v>1</v>
      </c>
      <c r="H32" s="44">
        <f t="shared" si="5"/>
        <v>10</v>
      </c>
      <c r="I32" s="91">
        <v>0</v>
      </c>
      <c r="J32" s="92">
        <f t="shared" si="6"/>
        <v>0</v>
      </c>
      <c r="K32" s="92">
        <f t="shared" si="7"/>
        <v>0</v>
      </c>
      <c r="L32" s="92">
        <f t="shared" si="8"/>
        <v>0</v>
      </c>
      <c r="M32" s="93"/>
      <c r="N32" s="52">
        <f>(J32*'Base Data'!$C$5)+(K32*'Base Data'!$C$6)+(L32*'Base Data'!$C$7)</f>
        <v>0</v>
      </c>
      <c r="O32" s="52">
        <f>(D32+E32+F32)*G32*I32</f>
        <v>0</v>
      </c>
      <c r="P32" s="92">
        <v>0</v>
      </c>
      <c r="Q32" s="94" t="s">
        <v>387</v>
      </c>
    </row>
    <row r="33" spans="1:22" s="147" customFormat="1" ht="18">
      <c r="A33" s="143" t="s">
        <v>173</v>
      </c>
      <c r="B33" s="44"/>
      <c r="C33" s="44"/>
      <c r="D33" s="52"/>
      <c r="E33" s="52"/>
      <c r="F33" s="95"/>
      <c r="G33" s="44"/>
      <c r="H33" s="44"/>
      <c r="I33" s="96"/>
      <c r="J33" s="92"/>
      <c r="K33" s="92"/>
      <c r="L33" s="92"/>
      <c r="M33" s="93"/>
      <c r="N33" s="52"/>
      <c r="O33" s="52"/>
      <c r="P33" s="92"/>
      <c r="Q33" s="94"/>
      <c r="V33" s="195"/>
    </row>
    <row r="34" spans="1:22" s="147" customFormat="1" ht="9">
      <c r="A34" s="142" t="s">
        <v>411</v>
      </c>
      <c r="B34" s="44">
        <v>10</v>
      </c>
      <c r="C34" s="44"/>
      <c r="D34" s="52">
        <v>0</v>
      </c>
      <c r="E34" s="52">
        <v>0</v>
      </c>
      <c r="F34" s="52">
        <v>24300</v>
      </c>
      <c r="G34" s="44">
        <v>1</v>
      </c>
      <c r="H34" s="44">
        <f>B34*G34</f>
        <v>10</v>
      </c>
      <c r="I34" s="91">
        <f>ROUND(Monitors!$D$27/3,0)+ROUND(Monitors!$D$25/3,0)</f>
        <v>0</v>
      </c>
      <c r="J34" s="92">
        <f>H34*I34</f>
        <v>0</v>
      </c>
      <c r="K34" s="92">
        <f>J34*0.1</f>
        <v>0</v>
      </c>
      <c r="L34" s="92">
        <f>J34*0.05</f>
        <v>0</v>
      </c>
      <c r="M34" s="93"/>
      <c r="N34" s="52">
        <f>(J34*'Base Data'!$C$5)+(K34*'Base Data'!$C$6)+(L34*'Base Data'!$C$7)</f>
        <v>0</v>
      </c>
      <c r="O34" s="52">
        <f>(D34+E34+F34)*G34*I34</f>
        <v>0</v>
      </c>
      <c r="P34" s="92">
        <v>0</v>
      </c>
      <c r="Q34" s="94" t="s">
        <v>387</v>
      </c>
      <c r="V34" s="195"/>
    </row>
    <row r="35" spans="1:22" s="147" customFormat="1" ht="9">
      <c r="A35" s="142" t="s">
        <v>414</v>
      </c>
      <c r="B35" s="44">
        <v>10</v>
      </c>
      <c r="C35" s="44"/>
      <c r="D35" s="52">
        <v>0</v>
      </c>
      <c r="E35" s="52">
        <v>0</v>
      </c>
      <c r="F35" s="52">
        <v>5600</v>
      </c>
      <c r="G35" s="44">
        <v>1</v>
      </c>
      <c r="H35" s="44">
        <f>B35*G35</f>
        <v>10</v>
      </c>
      <c r="I35" s="91">
        <f>'Fac-NewLrgGas-Yr2'!I34+I34</f>
        <v>0</v>
      </c>
      <c r="J35" s="92">
        <f>H35*I35</f>
        <v>0</v>
      </c>
      <c r="K35" s="92">
        <f>J35*0.1</f>
        <v>0</v>
      </c>
      <c r="L35" s="92">
        <f>J35*0.05</f>
        <v>0</v>
      </c>
      <c r="M35" s="93"/>
      <c r="N35" s="52">
        <f>(J35*'Base Data'!$C$5)+(K35*'Base Data'!$C$6)+(L35*'Base Data'!$C$7)</f>
        <v>0</v>
      </c>
      <c r="O35" s="52">
        <f>(D35+E35+F35)*G35*I35</f>
        <v>0</v>
      </c>
      <c r="P35" s="92">
        <v>0</v>
      </c>
      <c r="Q35" s="94" t="s">
        <v>387</v>
      </c>
      <c r="V35" s="195"/>
    </row>
    <row r="36" spans="1:22" s="147" customFormat="1" ht="18">
      <c r="A36" s="143" t="s">
        <v>475</v>
      </c>
      <c r="B36" s="44"/>
      <c r="C36" s="44"/>
      <c r="D36" s="52"/>
      <c r="E36" s="52"/>
      <c r="F36" s="52"/>
      <c r="G36" s="44"/>
      <c r="H36" s="44"/>
      <c r="I36" s="96"/>
      <c r="J36" s="92"/>
      <c r="K36" s="92"/>
      <c r="L36" s="92"/>
      <c r="M36" s="93"/>
      <c r="N36" s="52"/>
      <c r="O36" s="238"/>
      <c r="P36" s="92"/>
      <c r="Q36" s="94"/>
      <c r="V36" s="195"/>
    </row>
    <row r="37" spans="1:22" s="147" customFormat="1" ht="9">
      <c r="A37" s="142" t="s">
        <v>411</v>
      </c>
      <c r="B37" s="44">
        <v>10</v>
      </c>
      <c r="C37" s="44"/>
      <c r="D37" s="52">
        <v>0</v>
      </c>
      <c r="E37" s="52">
        <v>0</v>
      </c>
      <c r="F37" s="52">
        <f>25500</f>
        <v>25500</v>
      </c>
      <c r="G37" s="44">
        <v>1</v>
      </c>
      <c r="H37" s="44">
        <f>B37*G37</f>
        <v>10</v>
      </c>
      <c r="I37" s="91">
        <f>ROUND(Monitors!$B$27/3,0)+ROUND(Monitors!$B$25/3,0)</f>
        <v>0</v>
      </c>
      <c r="J37" s="92">
        <f>H37*I37</f>
        <v>0</v>
      </c>
      <c r="K37" s="92">
        <f>J37*0.1</f>
        <v>0</v>
      </c>
      <c r="L37" s="92">
        <f>J37*0.05</f>
        <v>0</v>
      </c>
      <c r="M37" s="93"/>
      <c r="N37" s="52">
        <f>(J37*'Base Data'!$C$5)+(K37*'Base Data'!$C$6)+(L37*'Base Data'!$C$7)</f>
        <v>0</v>
      </c>
      <c r="O37" s="52">
        <f>(D37+E37+F37)*G37*I37</f>
        <v>0</v>
      </c>
      <c r="P37" s="92">
        <v>0</v>
      </c>
      <c r="Q37" s="94" t="s">
        <v>387</v>
      </c>
      <c r="V37" s="195"/>
    </row>
    <row r="38" spans="1:22" s="147" customFormat="1" ht="9">
      <c r="A38" s="142" t="s">
        <v>414</v>
      </c>
      <c r="B38" s="44">
        <v>10</v>
      </c>
      <c r="C38" s="44"/>
      <c r="D38" s="52">
        <v>0</v>
      </c>
      <c r="E38" s="52">
        <v>0</v>
      </c>
      <c r="F38" s="52">
        <v>9700</v>
      </c>
      <c r="G38" s="44">
        <v>1</v>
      </c>
      <c r="H38" s="44">
        <f>B38*G38</f>
        <v>10</v>
      </c>
      <c r="I38" s="91">
        <f>'Fac-NewLrgGas-Yr2'!I37+I37</f>
        <v>0</v>
      </c>
      <c r="J38" s="92">
        <f>H38*I38</f>
        <v>0</v>
      </c>
      <c r="K38" s="92">
        <f>J38*0.1</f>
        <v>0</v>
      </c>
      <c r="L38" s="92">
        <f>J38*0.05</f>
        <v>0</v>
      </c>
      <c r="M38" s="93"/>
      <c r="N38" s="52">
        <f>(J38*'Base Data'!$C$5)+(K38*'Base Data'!$C$6)+(L38*'Base Data'!$C$7)</f>
        <v>0</v>
      </c>
      <c r="O38" s="52">
        <f>(D38+E38+F38)*G38*I38</f>
        <v>0</v>
      </c>
      <c r="P38" s="92">
        <v>0</v>
      </c>
      <c r="Q38" s="94" t="s">
        <v>387</v>
      </c>
      <c r="V38" s="195"/>
    </row>
    <row r="39" spans="1:22" s="147" customFormat="1" ht="9">
      <c r="A39" s="142" t="s">
        <v>279</v>
      </c>
      <c r="B39" s="44">
        <v>12</v>
      </c>
      <c r="C39" s="44"/>
      <c r="D39" s="52">
        <v>0</v>
      </c>
      <c r="E39" s="52">
        <v>2875</v>
      </c>
      <c r="F39" s="52">
        <v>0</v>
      </c>
      <c r="G39" s="44">
        <v>1</v>
      </c>
      <c r="H39" s="44">
        <f>B39*G39</f>
        <v>12</v>
      </c>
      <c r="I39" s="92">
        <f>'Fac-NewLrgGas-Yr2'!I39</f>
        <v>6</v>
      </c>
      <c r="J39" s="91">
        <f>H39*I39</f>
        <v>72</v>
      </c>
      <c r="K39" s="91">
        <f>J39*0.1</f>
        <v>7.2</v>
      </c>
      <c r="L39" s="91">
        <f>J39*0.05</f>
        <v>3.6</v>
      </c>
      <c r="M39" s="92"/>
      <c r="N39" s="52">
        <f>(J39*'Base Data'!$C$5)+(K39*'Base Data'!$C$6)+(L39*'Base Data'!$C$7)</f>
        <v>7831.9800000000005</v>
      </c>
      <c r="O39" s="52">
        <f>(D39+E39+F39)*G39*I39</f>
        <v>17250</v>
      </c>
      <c r="P39" s="92">
        <v>0</v>
      </c>
      <c r="Q39" s="94" t="s">
        <v>388</v>
      </c>
      <c r="U39" s="195"/>
    </row>
    <row r="40" spans="1:22" s="147" customFormat="1" ht="9">
      <c r="A40" s="142" t="s">
        <v>480</v>
      </c>
      <c r="B40" s="44">
        <v>10</v>
      </c>
      <c r="C40" s="44"/>
      <c r="D40" s="52">
        <v>0</v>
      </c>
      <c r="E40" s="52">
        <v>400</v>
      </c>
      <c r="F40" s="52">
        <v>0</v>
      </c>
      <c r="G40" s="44">
        <v>1</v>
      </c>
      <c r="H40" s="44">
        <f>B40*G40</f>
        <v>10</v>
      </c>
      <c r="I40" s="92">
        <v>0</v>
      </c>
      <c r="J40" s="91">
        <f>H40*I40</f>
        <v>0</v>
      </c>
      <c r="K40" s="91">
        <f>J40*0.1</f>
        <v>0</v>
      </c>
      <c r="L40" s="91">
        <f>J40*0.05</f>
        <v>0</v>
      </c>
      <c r="M40" s="92"/>
      <c r="N40" s="52">
        <f>(J40*'Base Data'!$C$5)+(K40*'Base Data'!$C$6)+(L40*'Base Data'!$C$7)</f>
        <v>0</v>
      </c>
      <c r="O40" s="52">
        <f>(D40+E40+F40)*G40*I40</f>
        <v>0</v>
      </c>
      <c r="P40" s="92">
        <v>0</v>
      </c>
      <c r="Q40" s="94" t="s">
        <v>78</v>
      </c>
    </row>
    <row r="41" spans="1:22" s="147" customFormat="1" ht="9">
      <c r="A41" s="142" t="s">
        <v>415</v>
      </c>
      <c r="B41" s="44" t="s">
        <v>433</v>
      </c>
      <c r="C41" s="44"/>
      <c r="D41" s="52"/>
      <c r="E41" s="52"/>
      <c r="F41" s="52"/>
      <c r="G41" s="44"/>
      <c r="H41" s="44"/>
      <c r="I41" s="92"/>
      <c r="J41" s="92"/>
      <c r="K41" s="92"/>
      <c r="L41" s="92"/>
      <c r="M41" s="44"/>
      <c r="N41" s="52"/>
      <c r="O41" s="52"/>
      <c r="P41" s="92"/>
      <c r="Q41" s="94"/>
      <c r="U41" s="195"/>
    </row>
    <row r="42" spans="1:22" s="147" customFormat="1" ht="9">
      <c r="A42" s="142" t="s">
        <v>416</v>
      </c>
      <c r="B42" s="44" t="s">
        <v>433</v>
      </c>
      <c r="C42" s="44"/>
      <c r="D42" s="52"/>
      <c r="E42" s="52"/>
      <c r="F42" s="52"/>
      <c r="G42" s="44"/>
      <c r="H42" s="44"/>
      <c r="I42" s="92"/>
      <c r="J42" s="92"/>
      <c r="K42" s="92"/>
      <c r="L42" s="92"/>
      <c r="M42" s="44"/>
      <c r="N42" s="52"/>
      <c r="O42" s="52"/>
      <c r="P42" s="92"/>
      <c r="Q42" s="94"/>
    </row>
    <row r="43" spans="1:22" s="147" customFormat="1" ht="9">
      <c r="A43" s="142" t="s">
        <v>417</v>
      </c>
      <c r="B43" s="44"/>
      <c r="C43" s="44"/>
      <c r="D43" s="52"/>
      <c r="E43" s="52"/>
      <c r="F43" s="52"/>
      <c r="G43" s="44"/>
      <c r="H43" s="44"/>
      <c r="I43" s="92"/>
      <c r="J43" s="92"/>
      <c r="K43" s="92"/>
      <c r="L43" s="92"/>
      <c r="M43" s="44"/>
      <c r="N43" s="52"/>
      <c r="O43" s="52"/>
      <c r="P43" s="92"/>
      <c r="Q43" s="94"/>
    </row>
    <row r="44" spans="1:22" s="147" customFormat="1" ht="9">
      <c r="A44" s="177" t="s">
        <v>435</v>
      </c>
      <c r="B44" s="44">
        <v>2</v>
      </c>
      <c r="C44" s="44"/>
      <c r="D44" s="52">
        <v>0</v>
      </c>
      <c r="E44" s="52">
        <v>0</v>
      </c>
      <c r="F44" s="52">
        <v>0</v>
      </c>
      <c r="G44" s="44">
        <v>1</v>
      </c>
      <c r="H44" s="44">
        <f>B44*G44</f>
        <v>2</v>
      </c>
      <c r="I44" s="91">
        <f>$I$7</f>
        <v>0</v>
      </c>
      <c r="J44" s="92">
        <f>H44*I44</f>
        <v>0</v>
      </c>
      <c r="K44" s="92">
        <f>J44*0.1</f>
        <v>0</v>
      </c>
      <c r="L44" s="92">
        <f>J44*0.05</f>
        <v>0</v>
      </c>
      <c r="M44" s="44">
        <f>C44*G44*I44</f>
        <v>0</v>
      </c>
      <c r="N44" s="52">
        <f>(J44*'Base Data'!$C$5)+(K44*'Base Data'!$C$6)+(L44*'Base Data'!$C$7)</f>
        <v>0</v>
      </c>
      <c r="O44" s="52">
        <f>(D44+E44+F44)*G44*I44</f>
        <v>0</v>
      </c>
      <c r="P44" s="92">
        <f>G44*I44</f>
        <v>0</v>
      </c>
      <c r="Q44" s="94" t="s">
        <v>387</v>
      </c>
    </row>
    <row r="45" spans="1:22" s="147" customFormat="1" ht="9" customHeight="1">
      <c r="A45" s="177" t="s">
        <v>377</v>
      </c>
      <c r="B45" s="44">
        <v>8</v>
      </c>
      <c r="C45" s="44"/>
      <c r="D45" s="52">
        <v>0</v>
      </c>
      <c r="E45" s="52">
        <v>0</v>
      </c>
      <c r="F45" s="52">
        <v>0</v>
      </c>
      <c r="G45" s="44">
        <v>1</v>
      </c>
      <c r="H45" s="44">
        <f>B45*G45</f>
        <v>8</v>
      </c>
      <c r="I45" s="91">
        <f>$I$7</f>
        <v>0</v>
      </c>
      <c r="J45" s="92">
        <f>H45*I45</f>
        <v>0</v>
      </c>
      <c r="K45" s="92">
        <f>J45*0.1</f>
        <v>0</v>
      </c>
      <c r="L45" s="92">
        <f>J45*0.05</f>
        <v>0</v>
      </c>
      <c r="M45" s="44">
        <f>C45*G45*I45</f>
        <v>0</v>
      </c>
      <c r="N45" s="52">
        <f>(J45*'Base Data'!$C$5)+(K45*'Base Data'!$C$6)+(L45*'Base Data'!$C$7)</f>
        <v>0</v>
      </c>
      <c r="O45" s="52">
        <f>(D45+E45+F45)*G45*I45</f>
        <v>0</v>
      </c>
      <c r="P45" s="92">
        <f>G45*I45</f>
        <v>0</v>
      </c>
      <c r="Q45" s="94" t="s">
        <v>387</v>
      </c>
    </row>
    <row r="46" spans="1:22" s="147" customFormat="1" ht="9">
      <c r="A46" s="144" t="s">
        <v>493</v>
      </c>
      <c r="B46" s="44">
        <v>20</v>
      </c>
      <c r="C46" s="44">
        <v>0</v>
      </c>
      <c r="D46" s="52">
        <v>0</v>
      </c>
      <c r="E46" s="52">
        <v>0</v>
      </c>
      <c r="F46" s="52">
        <v>0</v>
      </c>
      <c r="G46" s="44">
        <v>1</v>
      </c>
      <c r="H46" s="44">
        <f>B46*G46</f>
        <v>20</v>
      </c>
      <c r="I46" s="91">
        <f>$I$39</f>
        <v>6</v>
      </c>
      <c r="J46" s="92">
        <f>H46*I46</f>
        <v>120</v>
      </c>
      <c r="K46" s="92">
        <f>J46*0.1</f>
        <v>12</v>
      </c>
      <c r="L46" s="92">
        <f>J46*0.05</f>
        <v>6</v>
      </c>
      <c r="M46" s="92">
        <f>C46*G46*I46</f>
        <v>0</v>
      </c>
      <c r="N46" s="52">
        <f>(J46*'Base Data'!$C$5)+(K46*'Base Data'!$C$6)+(L46*'Base Data'!$C$7)</f>
        <v>13053.300000000001</v>
      </c>
      <c r="O46" s="52">
        <f>(D46+E46+F46)*G46*I46</f>
        <v>0</v>
      </c>
      <c r="P46" s="92">
        <f>G46*I46</f>
        <v>6</v>
      </c>
      <c r="Q46" s="94" t="s">
        <v>542</v>
      </c>
    </row>
    <row r="47" spans="1:22" s="147" customFormat="1" ht="9">
      <c r="A47" s="144" t="s">
        <v>456</v>
      </c>
      <c r="B47" s="44">
        <v>20</v>
      </c>
      <c r="C47" s="44">
        <v>0</v>
      </c>
      <c r="D47" s="52">
        <v>0</v>
      </c>
      <c r="E47" s="52">
        <v>0</v>
      </c>
      <c r="F47" s="52">
        <v>0</v>
      </c>
      <c r="G47" s="44">
        <v>2</v>
      </c>
      <c r="H47" s="44">
        <f>B47*G47</f>
        <v>40</v>
      </c>
      <c r="I47" s="91">
        <v>0</v>
      </c>
      <c r="J47" s="92">
        <f>H47*I47</f>
        <v>0</v>
      </c>
      <c r="K47" s="92">
        <f>J47*0.1</f>
        <v>0</v>
      </c>
      <c r="L47" s="92">
        <f>J47*0.05</f>
        <v>0</v>
      </c>
      <c r="M47" s="92">
        <f>C47*G47*I47</f>
        <v>0</v>
      </c>
      <c r="N47" s="52">
        <f>(J47*'Base Data'!$C$5)+(K47*'Base Data'!$C$6)+(L47*'Base Data'!$C$7)</f>
        <v>0</v>
      </c>
      <c r="O47" s="52">
        <f>(D47+E47+F47)*G47*I47</f>
        <v>0</v>
      </c>
      <c r="P47" s="92">
        <f>G47*I47</f>
        <v>0</v>
      </c>
      <c r="Q47" s="94" t="s">
        <v>542</v>
      </c>
      <c r="R47" s="150">
        <f>SUM(O6,O8:O20,O25,O28,O31,O34,O37,O39:O40)</f>
        <v>17250</v>
      </c>
      <c r="S47" s="149">
        <f>SUM(O25,O28,O31,O34,O37)</f>
        <v>0</v>
      </c>
    </row>
    <row r="48" spans="1:22" s="147" customFormat="1" ht="9">
      <c r="A48" s="144" t="s">
        <v>494</v>
      </c>
      <c r="B48" s="44">
        <v>5</v>
      </c>
      <c r="C48" s="44"/>
      <c r="D48" s="52">
        <v>0</v>
      </c>
      <c r="E48" s="52">
        <v>0</v>
      </c>
      <c r="F48" s="52">
        <v>0</v>
      </c>
      <c r="G48" s="44">
        <v>1</v>
      </c>
      <c r="H48" s="44">
        <f t="shared" ref="H48" si="9">B48*G48</f>
        <v>5</v>
      </c>
      <c r="I48" s="91">
        <v>0</v>
      </c>
      <c r="J48" s="92">
        <f t="shared" ref="J48" si="10">H48*I48</f>
        <v>0</v>
      </c>
      <c r="K48" s="92">
        <f t="shared" ref="K48" si="11">J48*0.1</f>
        <v>0</v>
      </c>
      <c r="L48" s="92">
        <f t="shared" ref="L48" si="12">J48*0.05</f>
        <v>0</v>
      </c>
      <c r="M48" s="92">
        <f t="shared" ref="M48" si="13">C48*G48*I48</f>
        <v>0</v>
      </c>
      <c r="N48" s="52">
        <f>(J48*'Base Data'!$C$5)+(K48*'Base Data'!$C$6)+(L48*'Base Data'!$C$7)</f>
        <v>0</v>
      </c>
      <c r="O48" s="52">
        <f t="shared" ref="O48" si="14">(D48+E48+F48)*G48*I48</f>
        <v>0</v>
      </c>
      <c r="P48" s="92">
        <f t="shared" ref="P48" si="15">G48*I48</f>
        <v>0</v>
      </c>
      <c r="Q48" s="94" t="s">
        <v>84</v>
      </c>
    </row>
    <row r="49" spans="1:18" s="147" customFormat="1" ht="9">
      <c r="A49" s="145" t="s">
        <v>7</v>
      </c>
      <c r="B49" s="44"/>
      <c r="C49" s="44"/>
      <c r="D49" s="52"/>
      <c r="E49" s="52"/>
      <c r="F49" s="52"/>
      <c r="G49" s="44"/>
      <c r="H49" s="44"/>
      <c r="I49" s="91"/>
      <c r="J49" s="92">
        <f t="shared" ref="J49:O49" si="16">SUM(J7:J47)</f>
        <v>192</v>
      </c>
      <c r="K49" s="92">
        <f t="shared" si="16"/>
        <v>19.2</v>
      </c>
      <c r="L49" s="92">
        <f t="shared" si="16"/>
        <v>9.6</v>
      </c>
      <c r="M49" s="92">
        <f t="shared" si="16"/>
        <v>0</v>
      </c>
      <c r="N49" s="52">
        <f t="shared" si="16"/>
        <v>20885.280000000002</v>
      </c>
      <c r="O49" s="52">
        <f t="shared" si="16"/>
        <v>17250</v>
      </c>
      <c r="P49" s="92">
        <f>SUM(P44:P47)</f>
        <v>6</v>
      </c>
      <c r="Q49" s="94"/>
    </row>
    <row r="50" spans="1:18" s="147" customFormat="1" ht="9">
      <c r="A50" s="142" t="s">
        <v>431</v>
      </c>
      <c r="B50" s="44"/>
      <c r="C50" s="44"/>
      <c r="D50" s="52"/>
      <c r="E50" s="52"/>
      <c r="F50" s="52"/>
      <c r="G50" s="44"/>
      <c r="H50" s="44"/>
      <c r="I50" s="92"/>
      <c r="J50" s="92"/>
      <c r="K50" s="92"/>
      <c r="L50" s="92"/>
      <c r="M50" s="44"/>
      <c r="N50" s="52"/>
      <c r="O50" s="52"/>
      <c r="P50" s="92"/>
      <c r="Q50" s="94"/>
    </row>
    <row r="51" spans="1:18" s="147" customFormat="1" ht="9">
      <c r="A51" s="142" t="s">
        <v>418</v>
      </c>
      <c r="B51" s="44" t="s">
        <v>422</v>
      </c>
      <c r="C51" s="44"/>
      <c r="D51" s="52"/>
      <c r="E51" s="52"/>
      <c r="F51" s="52"/>
      <c r="G51" s="44"/>
      <c r="H51" s="44"/>
      <c r="I51" s="92"/>
      <c r="J51" s="92"/>
      <c r="K51" s="92"/>
      <c r="L51" s="92"/>
      <c r="M51" s="44"/>
      <c r="N51" s="52"/>
      <c r="O51" s="52"/>
      <c r="P51" s="92"/>
      <c r="Q51" s="94"/>
    </row>
    <row r="52" spans="1:18" s="147" customFormat="1" ht="9">
      <c r="A52" s="142" t="s">
        <v>419</v>
      </c>
      <c r="B52" s="44" t="s">
        <v>433</v>
      </c>
      <c r="C52" s="44"/>
      <c r="D52" s="52"/>
      <c r="E52" s="52"/>
      <c r="F52" s="52"/>
      <c r="G52" s="44"/>
      <c r="H52" s="44"/>
      <c r="I52" s="92"/>
      <c r="J52" s="92"/>
      <c r="K52" s="92"/>
      <c r="L52" s="92"/>
      <c r="M52" s="44"/>
      <c r="N52" s="52"/>
      <c r="O52" s="52"/>
      <c r="P52" s="92"/>
      <c r="Q52" s="94"/>
    </row>
    <row r="53" spans="1:18" s="147" customFormat="1" ht="9">
      <c r="A53" s="142" t="s">
        <v>420</v>
      </c>
      <c r="B53" s="44" t="s">
        <v>433</v>
      </c>
      <c r="C53" s="44"/>
      <c r="D53" s="52"/>
      <c r="E53" s="52"/>
      <c r="F53" s="52"/>
      <c r="G53" s="44"/>
      <c r="H53" s="44"/>
      <c r="I53" s="92"/>
      <c r="J53" s="92"/>
      <c r="K53" s="92"/>
      <c r="L53" s="92"/>
      <c r="M53" s="44"/>
      <c r="N53" s="52"/>
      <c r="O53" s="52"/>
      <c r="P53" s="92"/>
      <c r="Q53" s="94" t="s">
        <v>272</v>
      </c>
    </row>
    <row r="54" spans="1:18" s="147" customFormat="1" ht="9">
      <c r="A54" s="142" t="s">
        <v>421</v>
      </c>
      <c r="B54" s="44"/>
      <c r="C54" s="44"/>
      <c r="D54" s="52"/>
      <c r="E54" s="52"/>
      <c r="F54" s="52"/>
      <c r="G54" s="44"/>
      <c r="H54" s="44"/>
      <c r="I54" s="92"/>
      <c r="J54" s="92"/>
      <c r="K54" s="92"/>
      <c r="L54" s="92"/>
      <c r="M54" s="44"/>
      <c r="N54" s="52"/>
      <c r="O54" s="52"/>
      <c r="P54" s="92"/>
      <c r="Q54" s="94"/>
    </row>
    <row r="55" spans="1:18" s="147" customFormat="1" ht="9.75" customHeight="1">
      <c r="A55" s="142" t="s">
        <v>429</v>
      </c>
      <c r="B55" s="44">
        <v>20</v>
      </c>
      <c r="C55" s="44"/>
      <c r="D55" s="52">
        <v>0</v>
      </c>
      <c r="E55" s="52">
        <v>0</v>
      </c>
      <c r="F55" s="52">
        <v>0</v>
      </c>
      <c r="G55" s="44">
        <v>1</v>
      </c>
      <c r="H55" s="44">
        <f t="shared" ref="H55:H63" si="17">B55*G55</f>
        <v>20</v>
      </c>
      <c r="I55" s="91">
        <f>$I$13+'Fac-NewLrgGas-Yr2'!$I55</f>
        <v>0</v>
      </c>
      <c r="J55" s="92">
        <f t="shared" ref="J55:J63" si="18">H55*I55</f>
        <v>0</v>
      </c>
      <c r="K55" s="92">
        <f t="shared" ref="K55:K63" si="19">J55*0.1</f>
        <v>0</v>
      </c>
      <c r="L55" s="92">
        <f t="shared" ref="L55:L63" si="20">J55*0.05</f>
        <v>0</v>
      </c>
      <c r="M55" s="44"/>
      <c r="N55" s="52">
        <f>(J55*'Base Data'!$C$5)+(K55*'Base Data'!$C$6)+(L55*'Base Data'!$C$7)</f>
        <v>0</v>
      </c>
      <c r="O55" s="52">
        <f t="shared" ref="O55:O63" si="21">(D55+E55+F55)*G55*I55</f>
        <v>0</v>
      </c>
      <c r="P55" s="92">
        <v>0</v>
      </c>
      <c r="Q55" s="94" t="s">
        <v>387</v>
      </c>
    </row>
    <row r="56" spans="1:18" s="147" customFormat="1" ht="9">
      <c r="A56" s="143" t="s">
        <v>425</v>
      </c>
      <c r="B56" s="44">
        <v>15</v>
      </c>
      <c r="C56" s="44">
        <v>0</v>
      </c>
      <c r="D56" s="52">
        <v>0</v>
      </c>
      <c r="E56" s="52">
        <v>0</v>
      </c>
      <c r="F56" s="52">
        <v>0</v>
      </c>
      <c r="G56" s="44">
        <v>1</v>
      </c>
      <c r="H56" s="44">
        <f t="shared" si="17"/>
        <v>15</v>
      </c>
      <c r="I56" s="91">
        <f>$I$13+'Fac-NewLrgGas-Yr2'!$I56</f>
        <v>0</v>
      </c>
      <c r="J56" s="92">
        <f t="shared" si="18"/>
        <v>0</v>
      </c>
      <c r="K56" s="92">
        <f t="shared" si="19"/>
        <v>0</v>
      </c>
      <c r="L56" s="92">
        <f t="shared" si="20"/>
        <v>0</v>
      </c>
      <c r="M56" s="44">
        <f>C56*G56*I56</f>
        <v>0</v>
      </c>
      <c r="N56" s="52">
        <f>(J56*'Base Data'!$C$5)+(K56*'Base Data'!$C$6)+(L56*'Base Data'!$C$7)</f>
        <v>0</v>
      </c>
      <c r="O56" s="52">
        <f t="shared" si="21"/>
        <v>0</v>
      </c>
      <c r="P56" s="92">
        <v>0</v>
      </c>
      <c r="Q56" s="94" t="s">
        <v>387</v>
      </c>
    </row>
    <row r="57" spans="1:18" s="147" customFormat="1" ht="9.75" customHeight="1">
      <c r="A57" s="142" t="s">
        <v>426</v>
      </c>
      <c r="B57" s="44">
        <v>2</v>
      </c>
      <c r="C57" s="44"/>
      <c r="D57" s="52">
        <v>0</v>
      </c>
      <c r="E57" s="52">
        <v>0</v>
      </c>
      <c r="F57" s="52">
        <v>0</v>
      </c>
      <c r="G57" s="44">
        <v>1</v>
      </c>
      <c r="H57" s="44">
        <f t="shared" si="17"/>
        <v>2</v>
      </c>
      <c r="I57" s="91">
        <f>$I$13+'Fac-NewLrgGas-Yr2'!$I57</f>
        <v>0</v>
      </c>
      <c r="J57" s="92">
        <f t="shared" si="18"/>
        <v>0</v>
      </c>
      <c r="K57" s="92">
        <f t="shared" si="19"/>
        <v>0</v>
      </c>
      <c r="L57" s="92">
        <f t="shared" si="20"/>
        <v>0</v>
      </c>
      <c r="M57" s="44"/>
      <c r="N57" s="52">
        <f>(J57*'Base Data'!$C$5)+(K57*'Base Data'!$C$6)+(L57*'Base Data'!$C$7)</f>
        <v>0</v>
      </c>
      <c r="O57" s="52">
        <f t="shared" si="21"/>
        <v>0</v>
      </c>
      <c r="P57" s="92">
        <v>0</v>
      </c>
      <c r="Q57" s="94" t="s">
        <v>387</v>
      </c>
    </row>
    <row r="58" spans="1:18" s="147" customFormat="1" ht="9">
      <c r="A58" s="143" t="s">
        <v>436</v>
      </c>
      <c r="B58" s="44">
        <v>2</v>
      </c>
      <c r="C58" s="44"/>
      <c r="D58" s="52">
        <v>0</v>
      </c>
      <c r="E58" s="52">
        <v>0</v>
      </c>
      <c r="F58" s="52">
        <v>0</v>
      </c>
      <c r="G58" s="44">
        <v>1</v>
      </c>
      <c r="H58" s="44">
        <f t="shared" si="17"/>
        <v>2</v>
      </c>
      <c r="I58" s="91">
        <f>$I$13+'Fac-NewLrgGas-Yr2'!$I58</f>
        <v>0</v>
      </c>
      <c r="J58" s="92">
        <f t="shared" si="18"/>
        <v>0</v>
      </c>
      <c r="K58" s="92">
        <f t="shared" si="19"/>
        <v>0</v>
      </c>
      <c r="L58" s="92">
        <f t="shared" si="20"/>
        <v>0</v>
      </c>
      <c r="M58" s="44"/>
      <c r="N58" s="52">
        <f>(J58*'Base Data'!$C$5)+(K58*'Base Data'!$C$6)+(L58*'Base Data'!$C$7)</f>
        <v>0</v>
      </c>
      <c r="O58" s="52">
        <f t="shared" si="21"/>
        <v>0</v>
      </c>
      <c r="P58" s="92">
        <v>0</v>
      </c>
      <c r="Q58" s="94" t="s">
        <v>387</v>
      </c>
    </row>
    <row r="59" spans="1:18" s="147" customFormat="1" ht="9" customHeight="1">
      <c r="A59" s="143" t="s">
        <v>241</v>
      </c>
      <c r="B59" s="44">
        <v>2</v>
      </c>
      <c r="C59" s="44">
        <v>0</v>
      </c>
      <c r="D59" s="52">
        <v>0</v>
      </c>
      <c r="E59" s="52">
        <v>0</v>
      </c>
      <c r="F59" s="52">
        <v>0</v>
      </c>
      <c r="G59" s="44">
        <v>2</v>
      </c>
      <c r="H59" s="44">
        <f>B59*G59</f>
        <v>4</v>
      </c>
      <c r="I59" s="91">
        <f>$I$39</f>
        <v>6</v>
      </c>
      <c r="J59" s="92">
        <f>H59*I59</f>
        <v>24</v>
      </c>
      <c r="K59" s="92">
        <f t="shared" si="19"/>
        <v>2.4000000000000004</v>
      </c>
      <c r="L59" s="92">
        <f>J59*0.05</f>
        <v>1.2000000000000002</v>
      </c>
      <c r="M59" s="44">
        <f>C59*G59*I59</f>
        <v>0</v>
      </c>
      <c r="N59" s="52">
        <f>(J59*'Base Data'!$C$5)+(K59*'Base Data'!$C$6)+(L59*'Base Data'!$C$7)</f>
        <v>2610.6600000000003</v>
      </c>
      <c r="O59" s="52">
        <f>(D59+E59+F59)*G59*I59</f>
        <v>0</v>
      </c>
      <c r="P59" s="92">
        <v>0</v>
      </c>
      <c r="Q59" s="94" t="s">
        <v>542</v>
      </c>
    </row>
    <row r="60" spans="1:18" s="147" customFormat="1" ht="18">
      <c r="A60" s="143" t="s">
        <v>489</v>
      </c>
      <c r="B60" s="44">
        <v>2</v>
      </c>
      <c r="C60" s="44">
        <v>0</v>
      </c>
      <c r="D60" s="52">
        <v>0</v>
      </c>
      <c r="E60" s="52">
        <v>0</v>
      </c>
      <c r="F60" s="52">
        <v>0</v>
      </c>
      <c r="G60" s="44">
        <v>2</v>
      </c>
      <c r="H60" s="44">
        <f t="shared" si="17"/>
        <v>4</v>
      </c>
      <c r="I60" s="91">
        <f>$I$13+'Fac-NewLrgGas-Yr2'!$I60</f>
        <v>0</v>
      </c>
      <c r="J60" s="92">
        <f t="shared" si="18"/>
        <v>0</v>
      </c>
      <c r="K60" s="92">
        <f t="shared" si="19"/>
        <v>0</v>
      </c>
      <c r="L60" s="92">
        <f t="shared" si="20"/>
        <v>0</v>
      </c>
      <c r="M60" s="44">
        <f>C60*G60*I60</f>
        <v>0</v>
      </c>
      <c r="N60" s="52">
        <f>(J60*'Base Data'!$C$5)+(K60*'Base Data'!$C$6)+(L60*'Base Data'!$C$7)</f>
        <v>0</v>
      </c>
      <c r="O60" s="52">
        <f t="shared" si="21"/>
        <v>0</v>
      </c>
      <c r="P60" s="92">
        <v>0</v>
      </c>
      <c r="Q60" s="94" t="s">
        <v>542</v>
      </c>
    </row>
    <row r="61" spans="1:18" s="147" customFormat="1" ht="9">
      <c r="A61" s="143" t="s">
        <v>246</v>
      </c>
      <c r="B61" s="44">
        <v>0.5</v>
      </c>
      <c r="C61" s="44"/>
      <c r="D61" s="52">
        <v>0</v>
      </c>
      <c r="E61" s="52">
        <v>0</v>
      </c>
      <c r="F61" s="52">
        <v>0</v>
      </c>
      <c r="G61" s="44">
        <v>12</v>
      </c>
      <c r="H61" s="44">
        <f t="shared" si="17"/>
        <v>6</v>
      </c>
      <c r="I61" s="91">
        <f>$I$39</f>
        <v>6</v>
      </c>
      <c r="J61" s="92">
        <f t="shared" si="18"/>
        <v>36</v>
      </c>
      <c r="K61" s="92">
        <f t="shared" si="19"/>
        <v>3.6</v>
      </c>
      <c r="L61" s="92">
        <f t="shared" si="20"/>
        <v>1.8</v>
      </c>
      <c r="M61" s="44"/>
      <c r="N61" s="52">
        <f>(J61*'Base Data'!$C$5)+(K61*'Base Data'!$C$6)+(L61*'Base Data'!$C$7)</f>
        <v>3915.9900000000002</v>
      </c>
      <c r="O61" s="52">
        <f t="shared" si="21"/>
        <v>0</v>
      </c>
      <c r="P61" s="92">
        <v>0</v>
      </c>
      <c r="Q61" s="94" t="s">
        <v>387</v>
      </c>
    </row>
    <row r="62" spans="1:18" s="147" customFormat="1" ht="9">
      <c r="A62" s="333" t="s">
        <v>490</v>
      </c>
      <c r="B62" s="44">
        <v>0.25</v>
      </c>
      <c r="C62" s="44"/>
      <c r="D62" s="52">
        <v>0</v>
      </c>
      <c r="E62" s="52">
        <v>0</v>
      </c>
      <c r="F62" s="52">
        <v>0</v>
      </c>
      <c r="G62" s="44">
        <v>1</v>
      </c>
      <c r="H62" s="44">
        <f>B62*G62</f>
        <v>0.25</v>
      </c>
      <c r="I62" s="91">
        <f>$I$39</f>
        <v>6</v>
      </c>
      <c r="J62" s="91">
        <f>H62*I62</f>
        <v>1.5</v>
      </c>
      <c r="K62" s="91">
        <f>J62*0.1</f>
        <v>0.15000000000000002</v>
      </c>
      <c r="L62" s="91">
        <f>J62*0.05</f>
        <v>7.5000000000000011E-2</v>
      </c>
      <c r="M62" s="44">
        <f>C62*G62*I62</f>
        <v>0</v>
      </c>
      <c r="N62" s="52">
        <f>(J62*'Base Data'!$C$5)+(K62*'Base Data'!$C$6)+(L62*'Base Data'!$C$7)</f>
        <v>163.16625000000002</v>
      </c>
      <c r="O62" s="52">
        <f>(D62+E62+F62)*G62*I62</f>
        <v>0</v>
      </c>
      <c r="P62" s="92">
        <f>G62*I62</f>
        <v>6</v>
      </c>
      <c r="Q62" s="94" t="s">
        <v>388</v>
      </c>
    </row>
    <row r="63" spans="1:18" s="147" customFormat="1" ht="9">
      <c r="A63" s="142" t="s">
        <v>427</v>
      </c>
      <c r="B63" s="44">
        <v>40</v>
      </c>
      <c r="C63" s="44"/>
      <c r="D63" s="52">
        <v>0</v>
      </c>
      <c r="E63" s="52">
        <v>0</v>
      </c>
      <c r="F63" s="52">
        <v>0</v>
      </c>
      <c r="G63" s="44">
        <v>1</v>
      </c>
      <c r="H63" s="44">
        <f t="shared" si="17"/>
        <v>40</v>
      </c>
      <c r="I63" s="91">
        <f>$I$7</f>
        <v>0</v>
      </c>
      <c r="J63" s="92">
        <f t="shared" si="18"/>
        <v>0</v>
      </c>
      <c r="K63" s="92">
        <f t="shared" si="19"/>
        <v>0</v>
      </c>
      <c r="L63" s="92">
        <f t="shared" si="20"/>
        <v>0</v>
      </c>
      <c r="M63" s="44"/>
      <c r="N63" s="52">
        <f>(J63*'Base Data'!$C$5)+(K63*'Base Data'!$C$6)+(L63*'Base Data'!$C$7)</f>
        <v>0</v>
      </c>
      <c r="O63" s="52">
        <f t="shared" si="21"/>
        <v>0</v>
      </c>
      <c r="P63" s="92">
        <v>0</v>
      </c>
      <c r="Q63" s="94" t="s">
        <v>69</v>
      </c>
    </row>
    <row r="64" spans="1:18" s="147" customFormat="1">
      <c r="A64" s="142" t="s">
        <v>428</v>
      </c>
      <c r="B64" s="44" t="s">
        <v>433</v>
      </c>
      <c r="C64" s="44"/>
      <c r="D64" s="52"/>
      <c r="E64" s="52"/>
      <c r="F64" s="52"/>
      <c r="G64" s="44"/>
      <c r="H64" s="44"/>
      <c r="I64" s="92"/>
      <c r="J64" s="92"/>
      <c r="K64" s="92"/>
      <c r="L64" s="92"/>
      <c r="M64" s="44"/>
      <c r="N64" s="52"/>
      <c r="O64" s="52"/>
      <c r="P64" s="92"/>
      <c r="Q64" s="94"/>
      <c r="R64" s="185"/>
    </row>
    <row r="65" spans="1:18" s="147" customFormat="1">
      <c r="A65" s="254" t="s">
        <v>27</v>
      </c>
      <c r="B65" s="239"/>
      <c r="C65" s="239"/>
      <c r="D65" s="240"/>
      <c r="E65" s="240"/>
      <c r="F65" s="240"/>
      <c r="G65" s="239"/>
      <c r="H65" s="239"/>
      <c r="I65" s="241"/>
      <c r="J65" s="241">
        <f t="shared" ref="J65:O65" si="22">SUM(J51:J64)</f>
        <v>61.5</v>
      </c>
      <c r="K65" s="241">
        <f t="shared" si="22"/>
        <v>6.15</v>
      </c>
      <c r="L65" s="241">
        <f t="shared" si="22"/>
        <v>3.0750000000000002</v>
      </c>
      <c r="M65" s="240">
        <f t="shared" si="22"/>
        <v>0</v>
      </c>
      <c r="N65" s="240">
        <f t="shared" si="22"/>
        <v>6689.8162500000008</v>
      </c>
      <c r="O65" s="240">
        <f t="shared" si="22"/>
        <v>0</v>
      </c>
      <c r="P65" s="241"/>
      <c r="Q65" s="242"/>
      <c r="R65" s="114"/>
    </row>
    <row r="66" spans="1:18" s="185" customFormat="1">
      <c r="A66" s="186" t="s">
        <v>400</v>
      </c>
      <c r="B66" s="187"/>
      <c r="C66" s="187"/>
      <c r="D66" s="187"/>
      <c r="E66" s="187"/>
      <c r="F66" s="188"/>
      <c r="G66" s="187"/>
      <c r="H66" s="187"/>
      <c r="I66" s="189"/>
      <c r="J66" s="190">
        <f t="shared" ref="J66:O66" si="23">J49+J65</f>
        <v>253.5</v>
      </c>
      <c r="K66" s="190">
        <f t="shared" si="23"/>
        <v>25.35</v>
      </c>
      <c r="L66" s="190">
        <f t="shared" si="23"/>
        <v>12.675000000000001</v>
      </c>
      <c r="M66" s="191">
        <f t="shared" si="23"/>
        <v>0</v>
      </c>
      <c r="N66" s="191">
        <f t="shared" si="23"/>
        <v>27575.096250000002</v>
      </c>
      <c r="O66" s="191">
        <f t="shared" si="23"/>
        <v>17250</v>
      </c>
      <c r="P66" s="190">
        <f>P49+P65</f>
        <v>6</v>
      </c>
      <c r="Q66" s="192"/>
      <c r="R66" s="53"/>
    </row>
    <row r="67" spans="1:18" ht="6" customHeight="1">
      <c r="R67" s="53"/>
    </row>
    <row r="68" spans="1:18" s="53" customFormat="1" ht="21" customHeight="1">
      <c r="A68" s="412" t="s">
        <v>541</v>
      </c>
      <c r="B68" s="412"/>
      <c r="C68" s="412"/>
      <c r="D68" s="412"/>
      <c r="E68" s="412"/>
      <c r="F68" s="412"/>
      <c r="G68" s="412"/>
      <c r="H68" s="412"/>
      <c r="I68" s="412"/>
      <c r="J68" s="412"/>
      <c r="K68" s="412"/>
      <c r="L68" s="412"/>
      <c r="M68" s="412"/>
      <c r="N68" s="412"/>
      <c r="O68" s="412"/>
      <c r="P68" s="375"/>
    </row>
    <row r="69" spans="1:18" s="53" customFormat="1" ht="9" customHeight="1">
      <c r="A69" s="409" t="s">
        <v>383</v>
      </c>
      <c r="B69" s="409"/>
      <c r="C69" s="409"/>
      <c r="D69" s="409"/>
      <c r="E69" s="409"/>
      <c r="F69" s="409"/>
      <c r="G69" s="409"/>
      <c r="H69" s="409"/>
      <c r="I69" s="409"/>
      <c r="J69" s="409"/>
      <c r="K69" s="409"/>
      <c r="L69" s="409"/>
      <c r="M69" s="409"/>
      <c r="N69" s="409"/>
      <c r="O69" s="409"/>
      <c r="P69" s="375"/>
    </row>
    <row r="70" spans="1:18" s="53" customFormat="1" ht="9">
      <c r="A70" s="409" t="s">
        <v>547</v>
      </c>
      <c r="B70" s="409"/>
      <c r="C70" s="409"/>
      <c r="D70" s="409"/>
      <c r="E70" s="409"/>
      <c r="F70" s="409"/>
      <c r="G70" s="409"/>
      <c r="H70" s="409"/>
      <c r="I70" s="409"/>
      <c r="J70" s="409"/>
      <c r="K70" s="409"/>
      <c r="L70" s="409"/>
      <c r="M70" s="409"/>
      <c r="N70" s="409"/>
      <c r="O70" s="409"/>
      <c r="P70" s="409"/>
    </row>
    <row r="71" spans="1:18" ht="12" customHeight="1">
      <c r="A71" s="409" t="s">
        <v>271</v>
      </c>
      <c r="B71" s="409"/>
      <c r="C71" s="409"/>
      <c r="D71" s="409"/>
      <c r="E71" s="409"/>
      <c r="F71" s="409"/>
      <c r="G71" s="409"/>
      <c r="H71" s="409"/>
      <c r="I71" s="409"/>
      <c r="J71" s="409"/>
      <c r="K71" s="409"/>
      <c r="L71" s="409"/>
      <c r="M71" s="409"/>
      <c r="N71" s="409"/>
      <c r="O71" s="409"/>
      <c r="P71" s="409"/>
      <c r="Q71" s="114"/>
      <c r="R71" s="53"/>
    </row>
    <row r="72" spans="1:18" s="53" customFormat="1" ht="9">
      <c r="A72" s="409" t="s">
        <v>566</v>
      </c>
      <c r="B72" s="409"/>
      <c r="C72" s="409"/>
      <c r="D72" s="409"/>
      <c r="E72" s="409"/>
      <c r="F72" s="409"/>
      <c r="G72" s="409"/>
      <c r="H72" s="409"/>
      <c r="I72" s="409"/>
      <c r="J72" s="409"/>
      <c r="K72" s="409"/>
      <c r="L72" s="409"/>
      <c r="M72" s="409"/>
      <c r="N72" s="409"/>
      <c r="O72" s="409"/>
      <c r="P72" s="378"/>
    </row>
    <row r="73" spans="1:18" s="53" customFormat="1" ht="9">
      <c r="A73" s="98" t="s">
        <v>543</v>
      </c>
      <c r="B73" s="378"/>
      <c r="C73" s="378"/>
      <c r="D73" s="378"/>
      <c r="E73" s="378"/>
      <c r="F73" s="378"/>
      <c r="G73" s="378"/>
      <c r="H73" s="378"/>
      <c r="I73" s="378"/>
      <c r="J73" s="378"/>
      <c r="K73" s="378"/>
      <c r="L73" s="378"/>
      <c r="M73" s="378"/>
      <c r="N73" s="378"/>
      <c r="O73" s="378"/>
      <c r="P73" s="378"/>
    </row>
    <row r="74" spans="1:18" s="53" customFormat="1" ht="9">
      <c r="A74" s="14" t="s">
        <v>568</v>
      </c>
      <c r="B74" s="56"/>
      <c r="C74" s="56"/>
      <c r="D74" s="56"/>
      <c r="E74" s="56"/>
      <c r="F74" s="56"/>
      <c r="G74" s="56"/>
      <c r="H74" s="56"/>
      <c r="I74" s="57"/>
      <c r="J74" s="56"/>
      <c r="K74" s="56"/>
      <c r="L74" s="56"/>
      <c r="M74" s="56"/>
      <c r="N74" s="56"/>
      <c r="O74" s="197"/>
      <c r="P74" s="197"/>
      <c r="Q74" s="56"/>
    </row>
    <row r="75" spans="1:18" s="53" customFormat="1" ht="9">
      <c r="A75" s="14" t="s">
        <v>575</v>
      </c>
      <c r="B75" s="111"/>
      <c r="C75" s="111"/>
      <c r="D75" s="111"/>
      <c r="E75" s="111"/>
      <c r="F75" s="111"/>
      <c r="G75" s="111"/>
      <c r="H75" s="56"/>
      <c r="I75" s="57"/>
      <c r="J75" s="56"/>
      <c r="K75" s="56"/>
      <c r="L75" s="56"/>
      <c r="M75" s="56"/>
      <c r="N75" s="56"/>
      <c r="O75" s="197"/>
      <c r="P75" s="197"/>
      <c r="Q75" s="119"/>
    </row>
    <row r="76" spans="1:18" s="53" customFormat="1" ht="9">
      <c r="A76" s="139" t="s">
        <v>576</v>
      </c>
      <c r="B76" s="56"/>
      <c r="C76" s="56"/>
      <c r="D76" s="56"/>
      <c r="E76" s="56"/>
      <c r="F76" s="56"/>
      <c r="G76" s="56"/>
      <c r="H76" s="56"/>
      <c r="I76" s="57"/>
      <c r="J76" s="56"/>
      <c r="K76" s="56"/>
      <c r="L76" s="56"/>
      <c r="M76" s="56"/>
      <c r="N76" s="56"/>
      <c r="O76" s="197"/>
      <c r="P76" s="197"/>
      <c r="Q76" s="56"/>
    </row>
    <row r="77" spans="1:18" s="53" customFormat="1" ht="9">
      <c r="B77" s="56"/>
      <c r="C77" s="56"/>
      <c r="D77" s="56"/>
      <c r="E77" s="56"/>
      <c r="F77" s="56"/>
      <c r="G77" s="56"/>
      <c r="H77" s="56"/>
      <c r="I77" s="57"/>
      <c r="J77" s="56"/>
      <c r="K77" s="56"/>
      <c r="L77" s="56"/>
      <c r="M77" s="56"/>
      <c r="N77" s="56"/>
      <c r="O77" s="197"/>
      <c r="P77" s="197"/>
      <c r="Q77" s="56"/>
    </row>
    <row r="78" spans="1:18" s="53" customFormat="1" ht="9">
      <c r="B78" s="56"/>
      <c r="C78" s="56"/>
      <c r="D78" s="56"/>
      <c r="E78" s="56"/>
      <c r="F78" s="56"/>
      <c r="G78" s="56"/>
      <c r="H78" s="56"/>
      <c r="I78" s="57"/>
      <c r="J78" s="56"/>
      <c r="K78" s="56"/>
      <c r="L78" s="56"/>
      <c r="M78" s="56"/>
      <c r="N78" s="56"/>
      <c r="O78" s="197"/>
      <c r="P78" s="197"/>
      <c r="Q78" s="56"/>
    </row>
    <row r="79" spans="1:18" s="53" customFormat="1" ht="9">
      <c r="B79" s="56"/>
      <c r="C79" s="56"/>
      <c r="D79" s="56"/>
      <c r="E79" s="56"/>
      <c r="F79" s="56"/>
      <c r="G79" s="56"/>
      <c r="H79" s="56"/>
      <c r="I79" s="57"/>
      <c r="J79" s="56"/>
      <c r="K79" s="56"/>
      <c r="L79" s="56"/>
      <c r="M79" s="56"/>
      <c r="N79" s="56"/>
      <c r="O79" s="197"/>
      <c r="P79" s="197"/>
      <c r="Q79" s="56"/>
    </row>
    <row r="80" spans="1:18" s="53" customFormat="1" ht="9">
      <c r="B80" s="56"/>
      <c r="C80" s="56"/>
      <c r="D80" s="56"/>
      <c r="E80" s="56"/>
      <c r="F80" s="56"/>
      <c r="G80" s="56"/>
      <c r="H80" s="56"/>
      <c r="I80" s="57"/>
      <c r="J80" s="56"/>
      <c r="K80" s="56"/>
      <c r="L80" s="56"/>
      <c r="M80" s="56"/>
      <c r="N80" s="56"/>
      <c r="O80" s="197"/>
      <c r="P80" s="197"/>
      <c r="Q80" s="56"/>
    </row>
    <row r="81" spans="2:17" s="53" customFormat="1" ht="9">
      <c r="B81" s="56"/>
      <c r="C81" s="56"/>
      <c r="D81" s="56"/>
      <c r="E81" s="56"/>
      <c r="F81" s="56"/>
      <c r="G81" s="56"/>
      <c r="H81" s="56"/>
      <c r="I81" s="57"/>
      <c r="J81" s="56"/>
      <c r="K81" s="56"/>
      <c r="L81" s="56"/>
      <c r="M81" s="56"/>
      <c r="N81" s="56"/>
      <c r="O81" s="197"/>
      <c r="P81" s="197"/>
      <c r="Q81" s="56"/>
    </row>
    <row r="82" spans="2:17" s="53" customFormat="1" ht="9">
      <c r="B82" s="56"/>
      <c r="C82" s="56"/>
      <c r="D82" s="56"/>
      <c r="E82" s="56"/>
      <c r="F82" s="56"/>
      <c r="G82" s="56"/>
      <c r="H82" s="56"/>
      <c r="I82" s="57"/>
      <c r="J82" s="56"/>
      <c r="K82" s="56"/>
      <c r="L82" s="56"/>
      <c r="M82" s="56"/>
      <c r="N82" s="56"/>
      <c r="O82" s="197"/>
      <c r="P82" s="197"/>
      <c r="Q82" s="56"/>
    </row>
    <row r="83" spans="2:17" s="53" customFormat="1" ht="9">
      <c r="B83" s="56"/>
      <c r="C83" s="56"/>
      <c r="D83" s="56"/>
      <c r="E83" s="56"/>
      <c r="F83" s="56"/>
      <c r="G83" s="56"/>
      <c r="H83" s="56"/>
      <c r="I83" s="57"/>
      <c r="J83" s="56"/>
      <c r="K83" s="56"/>
      <c r="L83" s="56"/>
      <c r="M83" s="56"/>
      <c r="N83" s="56"/>
      <c r="O83" s="197"/>
      <c r="P83" s="197"/>
      <c r="Q83" s="56"/>
    </row>
    <row r="84" spans="2:17" s="53" customFormat="1" ht="9">
      <c r="B84" s="56"/>
      <c r="C84" s="56"/>
      <c r="D84" s="56"/>
      <c r="E84" s="56"/>
      <c r="F84" s="56"/>
      <c r="G84" s="56"/>
      <c r="H84" s="56"/>
      <c r="I84" s="57"/>
      <c r="J84" s="56"/>
      <c r="K84" s="56"/>
      <c r="L84" s="56"/>
      <c r="M84" s="56"/>
      <c r="N84" s="56"/>
      <c r="O84" s="197"/>
      <c r="P84" s="197"/>
      <c r="Q84" s="56"/>
    </row>
    <row r="85" spans="2:17" s="53" customFormat="1" ht="9">
      <c r="B85" s="56"/>
      <c r="C85" s="56"/>
      <c r="D85" s="56"/>
      <c r="E85" s="56"/>
      <c r="F85" s="56"/>
      <c r="G85" s="56"/>
      <c r="H85" s="56"/>
      <c r="I85" s="57"/>
      <c r="J85" s="56"/>
      <c r="K85" s="56"/>
      <c r="L85" s="56"/>
      <c r="M85" s="56"/>
      <c r="N85" s="56"/>
      <c r="O85" s="197"/>
      <c r="P85" s="197"/>
      <c r="Q85" s="56"/>
    </row>
    <row r="86" spans="2:17" s="53" customFormat="1" ht="9">
      <c r="B86" s="56"/>
      <c r="C86" s="56"/>
      <c r="D86" s="56"/>
      <c r="E86" s="56"/>
      <c r="F86" s="56"/>
      <c r="G86" s="56"/>
      <c r="H86" s="56"/>
      <c r="I86" s="57"/>
      <c r="J86" s="56"/>
      <c r="K86" s="56"/>
      <c r="L86" s="56"/>
      <c r="M86" s="56"/>
      <c r="N86" s="56"/>
      <c r="O86" s="197"/>
      <c r="P86" s="197"/>
      <c r="Q86" s="56"/>
    </row>
    <row r="87" spans="2:17" s="53" customFormat="1" ht="9">
      <c r="B87" s="56"/>
      <c r="C87" s="56"/>
      <c r="D87" s="56"/>
      <c r="E87" s="56"/>
      <c r="F87" s="56"/>
      <c r="G87" s="56"/>
      <c r="H87" s="56"/>
      <c r="I87" s="57"/>
      <c r="J87" s="56"/>
      <c r="K87" s="56"/>
      <c r="L87" s="56"/>
      <c r="M87" s="56"/>
      <c r="N87" s="56"/>
      <c r="O87" s="197"/>
      <c r="P87" s="197"/>
      <c r="Q87" s="56"/>
    </row>
    <row r="88" spans="2:17" s="53" customFormat="1" ht="9">
      <c r="B88" s="56"/>
      <c r="C88" s="56"/>
      <c r="D88" s="56"/>
      <c r="E88" s="56"/>
      <c r="F88" s="56"/>
      <c r="G88" s="56"/>
      <c r="H88" s="56"/>
      <c r="I88" s="57"/>
      <c r="J88" s="56"/>
      <c r="K88" s="56"/>
      <c r="L88" s="56"/>
      <c r="M88" s="56"/>
      <c r="N88" s="56"/>
      <c r="O88" s="197"/>
      <c r="P88" s="197"/>
      <c r="Q88" s="56"/>
    </row>
    <row r="89" spans="2:17" s="53" customFormat="1" ht="9">
      <c r="B89" s="56"/>
      <c r="C89" s="56"/>
      <c r="D89" s="56"/>
      <c r="E89" s="56"/>
      <c r="F89" s="56"/>
      <c r="G89" s="56"/>
      <c r="H89" s="56"/>
      <c r="I89" s="57"/>
      <c r="J89" s="56"/>
      <c r="K89" s="56"/>
      <c r="L89" s="56"/>
      <c r="M89" s="56"/>
      <c r="N89" s="56"/>
      <c r="O89" s="197"/>
      <c r="P89" s="197"/>
      <c r="Q89" s="56"/>
    </row>
    <row r="90" spans="2:17" s="53" customFormat="1" ht="9">
      <c r="B90" s="56"/>
      <c r="C90" s="56"/>
      <c r="D90" s="56"/>
      <c r="E90" s="56"/>
      <c r="F90" s="56"/>
      <c r="G90" s="56"/>
      <c r="H90" s="56"/>
      <c r="I90" s="57"/>
      <c r="J90" s="56"/>
      <c r="K90" s="56"/>
      <c r="L90" s="56"/>
      <c r="M90" s="56"/>
      <c r="N90" s="56"/>
      <c r="O90" s="197"/>
      <c r="P90" s="197"/>
      <c r="Q90" s="56"/>
    </row>
    <row r="91" spans="2:17" s="53" customFormat="1" ht="9">
      <c r="B91" s="56"/>
      <c r="C91" s="56"/>
      <c r="D91" s="56"/>
      <c r="E91" s="56"/>
      <c r="F91" s="56"/>
      <c r="G91" s="56"/>
      <c r="H91" s="56"/>
      <c r="I91" s="57"/>
      <c r="J91" s="56"/>
      <c r="K91" s="56"/>
      <c r="L91" s="56"/>
      <c r="M91" s="56"/>
      <c r="N91" s="56"/>
      <c r="O91" s="197"/>
      <c r="P91" s="197"/>
      <c r="Q91" s="56"/>
    </row>
    <row r="92" spans="2:17" s="53" customFormat="1" ht="9">
      <c r="B92" s="56"/>
      <c r="C92" s="56"/>
      <c r="D92" s="56"/>
      <c r="E92" s="56"/>
      <c r="F92" s="56"/>
      <c r="G92" s="56"/>
      <c r="H92" s="56"/>
      <c r="I92" s="57"/>
      <c r="J92" s="56"/>
      <c r="K92" s="56"/>
      <c r="L92" s="56"/>
      <c r="M92" s="56"/>
      <c r="N92" s="56"/>
      <c r="O92" s="197"/>
      <c r="P92" s="197"/>
      <c r="Q92" s="56"/>
    </row>
    <row r="93" spans="2:17" s="53" customFormat="1" ht="9">
      <c r="B93" s="56"/>
      <c r="C93" s="56"/>
      <c r="D93" s="56"/>
      <c r="E93" s="56"/>
      <c r="F93" s="56"/>
      <c r="G93" s="56"/>
      <c r="H93" s="56"/>
      <c r="I93" s="57"/>
      <c r="J93" s="56"/>
      <c r="K93" s="56"/>
      <c r="L93" s="56"/>
      <c r="M93" s="56"/>
      <c r="N93" s="56"/>
      <c r="O93" s="197"/>
      <c r="P93" s="197"/>
      <c r="Q93" s="56"/>
    </row>
    <row r="94" spans="2:17" s="53" customFormat="1" ht="9">
      <c r="B94" s="56"/>
      <c r="C94" s="56"/>
      <c r="D94" s="56"/>
      <c r="E94" s="56"/>
      <c r="F94" s="56"/>
      <c r="G94" s="56"/>
      <c r="H94" s="56"/>
      <c r="I94" s="57"/>
      <c r="J94" s="56"/>
      <c r="K94" s="56"/>
      <c r="L94" s="56"/>
      <c r="M94" s="56"/>
      <c r="N94" s="56"/>
      <c r="O94" s="197"/>
      <c r="P94" s="197"/>
      <c r="Q94" s="56"/>
    </row>
    <row r="95" spans="2:17" s="53" customFormat="1" ht="9">
      <c r="B95" s="56"/>
      <c r="C95" s="56"/>
      <c r="D95" s="56"/>
      <c r="E95" s="56"/>
      <c r="F95" s="56"/>
      <c r="G95" s="56"/>
      <c r="H95" s="56"/>
      <c r="I95" s="57"/>
      <c r="J95" s="56"/>
      <c r="K95" s="56"/>
      <c r="L95" s="56"/>
      <c r="M95" s="56"/>
      <c r="N95" s="56"/>
      <c r="O95" s="197"/>
      <c r="P95" s="197"/>
      <c r="Q95" s="56"/>
    </row>
    <row r="96" spans="2:17" s="53" customFormat="1" ht="9">
      <c r="B96" s="56"/>
      <c r="C96" s="56"/>
      <c r="D96" s="56"/>
      <c r="E96" s="56"/>
      <c r="F96" s="56"/>
      <c r="G96" s="56"/>
      <c r="H96" s="56"/>
      <c r="I96" s="57"/>
      <c r="J96" s="56"/>
      <c r="K96" s="56"/>
      <c r="L96" s="56"/>
      <c r="M96" s="56"/>
      <c r="N96" s="56"/>
      <c r="O96" s="197"/>
      <c r="P96" s="197"/>
      <c r="Q96" s="56"/>
    </row>
    <row r="97" spans="2:17" s="53" customFormat="1" ht="9">
      <c r="B97" s="56"/>
      <c r="C97" s="56"/>
      <c r="D97" s="56"/>
      <c r="E97" s="56"/>
      <c r="F97" s="56"/>
      <c r="G97" s="56"/>
      <c r="H97" s="56"/>
      <c r="I97" s="57"/>
      <c r="J97" s="56"/>
      <c r="K97" s="56"/>
      <c r="L97" s="56"/>
      <c r="M97" s="56"/>
      <c r="N97" s="56"/>
      <c r="O97" s="197"/>
      <c r="P97" s="197"/>
      <c r="Q97" s="56"/>
    </row>
    <row r="98" spans="2:17" s="53" customFormat="1" ht="9">
      <c r="B98" s="56"/>
      <c r="C98" s="56"/>
      <c r="D98" s="56"/>
      <c r="E98" s="56"/>
      <c r="F98" s="56"/>
      <c r="G98" s="56"/>
      <c r="H98" s="56"/>
      <c r="I98" s="57"/>
      <c r="J98" s="56"/>
      <c r="K98" s="56"/>
      <c r="L98" s="56"/>
      <c r="M98" s="56"/>
      <c r="N98" s="56"/>
      <c r="O98" s="197"/>
      <c r="P98" s="197"/>
      <c r="Q98" s="56"/>
    </row>
    <row r="99" spans="2:17" s="53" customFormat="1" ht="9">
      <c r="B99" s="56"/>
      <c r="C99" s="56"/>
      <c r="D99" s="56"/>
      <c r="E99" s="56"/>
      <c r="F99" s="56"/>
      <c r="G99" s="56"/>
      <c r="H99" s="56"/>
      <c r="I99" s="57"/>
      <c r="J99" s="56"/>
      <c r="K99" s="56"/>
      <c r="L99" s="56"/>
      <c r="M99" s="56"/>
      <c r="N99" s="56"/>
      <c r="O99" s="197"/>
      <c r="P99" s="197"/>
      <c r="Q99" s="56"/>
    </row>
    <row r="100" spans="2:17" s="53" customFormat="1" ht="9">
      <c r="B100" s="56"/>
      <c r="C100" s="56"/>
      <c r="D100" s="56"/>
      <c r="E100" s="56"/>
      <c r="F100" s="56"/>
      <c r="G100" s="56"/>
      <c r="H100" s="56"/>
      <c r="I100" s="57"/>
      <c r="J100" s="56"/>
      <c r="K100" s="56"/>
      <c r="L100" s="56"/>
      <c r="M100" s="56"/>
      <c r="N100" s="56"/>
      <c r="O100" s="197"/>
      <c r="P100" s="197"/>
      <c r="Q100" s="56"/>
    </row>
    <row r="101" spans="2:17" s="53" customFormat="1" ht="9">
      <c r="B101" s="56"/>
      <c r="C101" s="56"/>
      <c r="D101" s="56"/>
      <c r="E101" s="56"/>
      <c r="F101" s="56"/>
      <c r="G101" s="56"/>
      <c r="H101" s="56"/>
      <c r="I101" s="57"/>
      <c r="J101" s="56"/>
      <c r="K101" s="56"/>
      <c r="L101" s="56"/>
      <c r="M101" s="56"/>
      <c r="N101" s="56"/>
      <c r="O101" s="197"/>
      <c r="P101" s="197"/>
      <c r="Q101" s="56"/>
    </row>
    <row r="102" spans="2:17" s="53" customFormat="1" ht="9">
      <c r="B102" s="56"/>
      <c r="C102" s="56"/>
      <c r="D102" s="56"/>
      <c r="E102" s="56"/>
      <c r="F102" s="56"/>
      <c r="G102" s="56"/>
      <c r="H102" s="56"/>
      <c r="I102" s="57"/>
      <c r="J102" s="56"/>
      <c r="K102" s="56"/>
      <c r="L102" s="56"/>
      <c r="M102" s="56"/>
      <c r="N102" s="56"/>
      <c r="O102" s="197"/>
      <c r="P102" s="197"/>
      <c r="Q102" s="56"/>
    </row>
    <row r="103" spans="2:17" s="53" customFormat="1" ht="9">
      <c r="B103" s="56"/>
      <c r="C103" s="56"/>
      <c r="D103" s="56"/>
      <c r="E103" s="56"/>
      <c r="F103" s="56"/>
      <c r="G103" s="56"/>
      <c r="H103" s="56"/>
      <c r="I103" s="57"/>
      <c r="J103" s="56"/>
      <c r="K103" s="56"/>
      <c r="L103" s="56"/>
      <c r="M103" s="56"/>
      <c r="N103" s="56"/>
      <c r="O103" s="197"/>
      <c r="P103" s="197"/>
      <c r="Q103" s="56"/>
    </row>
    <row r="104" spans="2:17" s="53" customFormat="1" ht="9">
      <c r="B104" s="56"/>
      <c r="C104" s="56"/>
      <c r="D104" s="56"/>
      <c r="E104" s="56"/>
      <c r="F104" s="56"/>
      <c r="G104" s="56"/>
      <c r="H104" s="56"/>
      <c r="I104" s="57"/>
      <c r="J104" s="56"/>
      <c r="K104" s="56"/>
      <c r="L104" s="56"/>
      <c r="M104" s="56"/>
      <c r="N104" s="56"/>
      <c r="O104" s="197"/>
      <c r="P104" s="197"/>
      <c r="Q104" s="56"/>
    </row>
    <row r="105" spans="2:17" s="53" customFormat="1" ht="9">
      <c r="B105" s="56"/>
      <c r="C105" s="56"/>
      <c r="D105" s="56"/>
      <c r="E105" s="56"/>
      <c r="F105" s="56"/>
      <c r="G105" s="56"/>
      <c r="H105" s="56"/>
      <c r="I105" s="57"/>
      <c r="J105" s="56"/>
      <c r="K105" s="56"/>
      <c r="L105" s="56"/>
      <c r="M105" s="56"/>
      <c r="N105" s="56"/>
      <c r="O105" s="197"/>
      <c r="P105" s="197"/>
      <c r="Q105" s="56"/>
    </row>
    <row r="106" spans="2:17" s="53" customFormat="1" ht="9">
      <c r="B106" s="56"/>
      <c r="C106" s="56"/>
      <c r="D106" s="56"/>
      <c r="E106" s="56"/>
      <c r="F106" s="56"/>
      <c r="G106" s="56"/>
      <c r="H106" s="56"/>
      <c r="I106" s="57"/>
      <c r="J106" s="56"/>
      <c r="K106" s="56"/>
      <c r="L106" s="56"/>
      <c r="M106" s="56"/>
      <c r="N106" s="56"/>
      <c r="O106" s="197"/>
      <c r="P106" s="197"/>
      <c r="Q106" s="56"/>
    </row>
    <row r="107" spans="2:17" s="53" customFormat="1" ht="9">
      <c r="B107" s="56"/>
      <c r="C107" s="56"/>
      <c r="D107" s="56"/>
      <c r="E107" s="56"/>
      <c r="F107" s="56"/>
      <c r="G107" s="56"/>
      <c r="H107" s="56"/>
      <c r="I107" s="57"/>
      <c r="J107" s="56"/>
      <c r="K107" s="56"/>
      <c r="L107" s="56"/>
      <c r="M107" s="56"/>
      <c r="N107" s="56"/>
      <c r="O107" s="197"/>
      <c r="P107" s="197"/>
      <c r="Q107" s="56"/>
    </row>
    <row r="108" spans="2:17" s="53" customFormat="1" ht="9">
      <c r="B108" s="56"/>
      <c r="C108" s="56"/>
      <c r="D108" s="56"/>
      <c r="E108" s="56"/>
      <c r="F108" s="56"/>
      <c r="G108" s="56"/>
      <c r="H108" s="56"/>
      <c r="I108" s="57"/>
      <c r="J108" s="56"/>
      <c r="K108" s="56"/>
      <c r="L108" s="56"/>
      <c r="M108" s="56"/>
      <c r="N108" s="56"/>
      <c r="O108" s="197"/>
      <c r="P108" s="197"/>
      <c r="Q108" s="56"/>
    </row>
    <row r="109" spans="2:17" s="53" customFormat="1" ht="9">
      <c r="B109" s="56"/>
      <c r="C109" s="56"/>
      <c r="D109" s="56"/>
      <c r="E109" s="56"/>
      <c r="F109" s="56"/>
      <c r="G109" s="56"/>
      <c r="H109" s="56"/>
      <c r="I109" s="57"/>
      <c r="J109" s="56"/>
      <c r="K109" s="56"/>
      <c r="L109" s="56"/>
      <c r="M109" s="56"/>
      <c r="N109" s="56"/>
      <c r="O109" s="197"/>
      <c r="P109" s="197"/>
      <c r="Q109" s="56"/>
    </row>
    <row r="110" spans="2:17" s="53" customFormat="1" ht="9">
      <c r="B110" s="56"/>
      <c r="C110" s="56"/>
      <c r="D110" s="56"/>
      <c r="E110" s="56"/>
      <c r="F110" s="56"/>
      <c r="G110" s="56"/>
      <c r="H110" s="56"/>
      <c r="I110" s="57"/>
      <c r="J110" s="56"/>
      <c r="K110" s="56"/>
      <c r="L110" s="56"/>
      <c r="M110" s="56"/>
      <c r="N110" s="56"/>
      <c r="O110" s="197"/>
      <c r="P110" s="197"/>
      <c r="Q110" s="56"/>
    </row>
    <row r="111" spans="2:17" s="53" customFormat="1" ht="9">
      <c r="B111" s="56"/>
      <c r="C111" s="56"/>
      <c r="D111" s="56"/>
      <c r="E111" s="56"/>
      <c r="F111" s="56"/>
      <c r="G111" s="56"/>
      <c r="H111" s="56"/>
      <c r="I111" s="57"/>
      <c r="J111" s="56"/>
      <c r="K111" s="56"/>
      <c r="L111" s="56"/>
      <c r="M111" s="56"/>
      <c r="N111" s="56"/>
      <c r="O111" s="197"/>
      <c r="P111" s="197"/>
      <c r="Q111" s="56"/>
    </row>
    <row r="112" spans="2:17" s="53" customFormat="1" ht="9">
      <c r="B112" s="56"/>
      <c r="C112" s="56"/>
      <c r="D112" s="56"/>
      <c r="E112" s="56"/>
      <c r="F112" s="56"/>
      <c r="G112" s="56"/>
      <c r="H112" s="56"/>
      <c r="I112" s="57"/>
      <c r="J112" s="56"/>
      <c r="K112" s="56"/>
      <c r="L112" s="56"/>
      <c r="M112" s="56"/>
      <c r="N112" s="56"/>
      <c r="O112" s="197"/>
      <c r="P112" s="197"/>
      <c r="Q112" s="56"/>
    </row>
    <row r="113" spans="2:18" s="53" customFormat="1" ht="9">
      <c r="B113" s="56"/>
      <c r="C113" s="56"/>
      <c r="D113" s="56"/>
      <c r="E113" s="56"/>
      <c r="F113" s="56"/>
      <c r="G113" s="56"/>
      <c r="H113" s="56"/>
      <c r="I113" s="57"/>
      <c r="J113" s="56"/>
      <c r="K113" s="56"/>
      <c r="L113" s="56"/>
      <c r="M113" s="56"/>
      <c r="N113" s="56"/>
      <c r="O113" s="197"/>
      <c r="P113" s="197"/>
      <c r="Q113" s="56"/>
    </row>
    <row r="114" spans="2:18" s="53" customFormat="1" ht="9">
      <c r="B114" s="56"/>
      <c r="C114" s="56"/>
      <c r="D114" s="56"/>
      <c r="E114" s="56"/>
      <c r="F114" s="56"/>
      <c r="G114" s="56"/>
      <c r="H114" s="56"/>
      <c r="I114" s="57"/>
      <c r="J114" s="56"/>
      <c r="K114" s="56"/>
      <c r="L114" s="56"/>
      <c r="M114" s="56"/>
      <c r="N114" s="56"/>
      <c r="O114" s="197"/>
      <c r="P114" s="197"/>
      <c r="Q114" s="56"/>
    </row>
    <row r="115" spans="2:18" s="53" customFormat="1" ht="9">
      <c r="B115" s="56"/>
      <c r="C115" s="56"/>
      <c r="D115" s="56"/>
      <c r="E115" s="56"/>
      <c r="F115" s="56"/>
      <c r="G115" s="56"/>
      <c r="H115" s="56"/>
      <c r="I115" s="57"/>
      <c r="J115" s="56"/>
      <c r="K115" s="56"/>
      <c r="L115" s="56"/>
      <c r="M115" s="56"/>
      <c r="N115" s="56"/>
      <c r="O115" s="197"/>
      <c r="P115" s="197"/>
      <c r="Q115" s="56"/>
    </row>
    <row r="116" spans="2:18" s="53" customFormat="1" ht="9">
      <c r="B116" s="56"/>
      <c r="C116" s="56"/>
      <c r="D116" s="56"/>
      <c r="E116" s="56"/>
      <c r="F116" s="56"/>
      <c r="G116" s="56"/>
      <c r="H116" s="56"/>
      <c r="I116" s="57"/>
      <c r="J116" s="56"/>
      <c r="K116" s="56"/>
      <c r="L116" s="56"/>
      <c r="M116" s="56"/>
      <c r="N116" s="56"/>
      <c r="O116" s="197"/>
      <c r="P116" s="197"/>
      <c r="Q116" s="56"/>
    </row>
    <row r="117" spans="2:18" s="53" customFormat="1" ht="9">
      <c r="B117" s="56"/>
      <c r="C117" s="56"/>
      <c r="D117" s="56"/>
      <c r="E117" s="56"/>
      <c r="F117" s="56"/>
      <c r="G117" s="56"/>
      <c r="H117" s="56"/>
      <c r="I117" s="57"/>
      <c r="J117" s="56"/>
      <c r="K117" s="56"/>
      <c r="L117" s="56"/>
      <c r="M117" s="56"/>
      <c r="N117" s="56"/>
      <c r="O117" s="197"/>
      <c r="P117" s="197"/>
      <c r="Q117" s="56"/>
    </row>
    <row r="118" spans="2:18">
      <c r="Q118" s="56"/>
      <c r="R118" s="53"/>
    </row>
    <row r="119" spans="2:18">
      <c r="Q119" s="56"/>
      <c r="R119" s="53"/>
    </row>
    <row r="120" spans="2:18">
      <c r="Q120" s="56"/>
    </row>
  </sheetData>
  <mergeCells count="7">
    <mergeCell ref="A72:O72"/>
    <mergeCell ref="A70:P70"/>
    <mergeCell ref="A71:P71"/>
    <mergeCell ref="A1:Q1"/>
    <mergeCell ref="A2:Q2"/>
    <mergeCell ref="A69:O69"/>
    <mergeCell ref="A68:O68"/>
  </mergeCells>
  <phoneticPr fontId="7" type="noConversion"/>
  <pageMargins left="0.25" right="0.25" top="0.5" bottom="0.75" header="0.5" footer="0.5"/>
  <pageSetup scale="56" orientation="landscape" r:id="rId1"/>
  <headerFooter alignWithMargins="0"/>
</worksheet>
</file>

<file path=xl/worksheets/sheet27.xml><?xml version="1.0" encoding="utf-8"?>
<worksheet xmlns="http://schemas.openxmlformats.org/spreadsheetml/2006/main" xmlns:r="http://schemas.openxmlformats.org/officeDocument/2006/relationships">
  <sheetPr>
    <pageSetUpPr fitToPage="1"/>
  </sheetPr>
  <dimension ref="A1:V41"/>
  <sheetViews>
    <sheetView zoomScaleNormal="100" workbookViewId="0">
      <pane xSplit="1" ySplit="3" topLeftCell="B6" activePane="bottomRight" state="frozen"/>
      <selection activeCell="P31" sqref="P31"/>
      <selection pane="topRight" activeCell="P31" sqref="P31"/>
      <selection pane="bottomLeft" activeCell="P31" sqref="P31"/>
      <selection pane="bottomRight" activeCell="A39" sqref="A39:A40"/>
    </sheetView>
  </sheetViews>
  <sheetFormatPr defaultRowHeight="11.25"/>
  <cols>
    <col min="1" max="1" width="30.5703125" style="1" customWidth="1"/>
    <col min="2" max="2" width="8.85546875" style="7" bestFit="1" customWidth="1"/>
    <col min="3" max="3" width="8" style="7" hidden="1" customWidth="1"/>
    <col min="4" max="4" width="8.42578125" style="7" bestFit="1" customWidth="1"/>
    <col min="5" max="5" width="9.28515625" style="7" bestFit="1" customWidth="1"/>
    <col min="6" max="6" width="7.85546875" style="7" bestFit="1" customWidth="1"/>
    <col min="7" max="7" width="9.28515625" style="7" bestFit="1" customWidth="1"/>
    <col min="8" max="8" width="8.7109375" style="7" bestFit="1" customWidth="1"/>
    <col min="9" max="9" width="9.42578125" style="8" bestFit="1" customWidth="1"/>
    <col min="10" max="10" width="7.7109375" style="8" customWidth="1"/>
    <col min="11" max="11" width="5.85546875" style="8" bestFit="1" customWidth="1"/>
    <col min="12" max="12" width="8.7109375" style="8" customWidth="1"/>
    <col min="13" max="13" width="9" style="8" hidden="1" customWidth="1"/>
    <col min="14" max="14" width="8.42578125" style="7" bestFit="1" customWidth="1"/>
    <col min="15" max="15" width="6.42578125" style="1" bestFit="1" customWidth="1"/>
    <col min="16" max="16" width="7.7109375" style="1" customWidth="1"/>
    <col min="17" max="17" width="4" style="1" bestFit="1" customWidth="1"/>
    <col min="18" max="19" width="0" style="1" hidden="1" customWidth="1"/>
    <col min="20" max="16384" width="9.140625" style="1"/>
  </cols>
  <sheetData>
    <row r="1" spans="1:22">
      <c r="A1" s="395" t="s">
        <v>231</v>
      </c>
      <c r="B1" s="395"/>
      <c r="C1" s="395"/>
      <c r="D1" s="395"/>
      <c r="E1" s="395"/>
      <c r="F1" s="395"/>
      <c r="G1" s="395"/>
      <c r="H1" s="395"/>
      <c r="I1" s="395"/>
      <c r="J1" s="395"/>
      <c r="K1" s="395"/>
      <c r="L1" s="395"/>
      <c r="M1" s="395"/>
      <c r="N1" s="395"/>
      <c r="O1" s="395"/>
      <c r="P1" s="395"/>
      <c r="Q1" s="395"/>
    </row>
    <row r="2" spans="1:22">
      <c r="A2" s="407" t="s">
        <v>527</v>
      </c>
      <c r="B2" s="407"/>
      <c r="C2" s="407"/>
      <c r="D2" s="407"/>
      <c r="E2" s="407"/>
      <c r="F2" s="407"/>
      <c r="G2" s="407"/>
      <c r="H2" s="407"/>
      <c r="I2" s="407"/>
      <c r="J2" s="407"/>
      <c r="K2" s="407"/>
      <c r="L2" s="407"/>
      <c r="M2" s="407"/>
      <c r="N2" s="407"/>
      <c r="O2" s="407"/>
      <c r="P2" s="407"/>
      <c r="Q2" s="407"/>
    </row>
    <row r="3" spans="1:22" s="3" customFormat="1" ht="72">
      <c r="A3" s="45" t="s">
        <v>392</v>
      </c>
      <c r="B3" s="45" t="s">
        <v>393</v>
      </c>
      <c r="C3" s="45" t="s">
        <v>430</v>
      </c>
      <c r="D3" s="45" t="s">
        <v>4</v>
      </c>
      <c r="E3" s="45" t="s">
        <v>94</v>
      </c>
      <c r="F3" s="45" t="s">
        <v>5</v>
      </c>
      <c r="G3" s="12" t="s">
        <v>176</v>
      </c>
      <c r="H3" s="45" t="s">
        <v>459</v>
      </c>
      <c r="I3" s="60" t="s">
        <v>460</v>
      </c>
      <c r="J3" s="100" t="s">
        <v>462</v>
      </c>
      <c r="K3" s="100" t="s">
        <v>463</v>
      </c>
      <c r="L3" s="100" t="s">
        <v>461</v>
      </c>
      <c r="M3" s="45" t="s">
        <v>391</v>
      </c>
      <c r="N3" s="45" t="s">
        <v>8</v>
      </c>
      <c r="O3" s="100" t="s">
        <v>96</v>
      </c>
      <c r="P3" s="100" t="s">
        <v>175</v>
      </c>
      <c r="Q3" s="182" t="s">
        <v>394</v>
      </c>
      <c r="R3" s="193" t="s">
        <v>307</v>
      </c>
      <c r="S3" s="193" t="s">
        <v>308</v>
      </c>
      <c r="T3" s="193"/>
    </row>
    <row r="4" spans="1:22" s="6" customFormat="1" ht="9">
      <c r="A4" s="194" t="s">
        <v>405</v>
      </c>
      <c r="B4" s="179" t="s">
        <v>433</v>
      </c>
      <c r="C4" s="179"/>
      <c r="D4" s="181"/>
      <c r="E4" s="181"/>
      <c r="F4" s="181"/>
      <c r="G4" s="179"/>
      <c r="H4" s="179"/>
      <c r="I4" s="183"/>
      <c r="J4" s="179"/>
      <c r="K4" s="179"/>
      <c r="L4" s="179"/>
      <c r="M4" s="179"/>
      <c r="N4" s="181"/>
      <c r="O4" s="181"/>
      <c r="P4" s="181"/>
      <c r="Q4" s="249"/>
      <c r="R4" s="147"/>
      <c r="S4" s="147"/>
      <c r="T4" s="147"/>
    </row>
    <row r="5" spans="1:22" s="6" customFormat="1" ht="9">
      <c r="A5" s="143" t="s">
        <v>406</v>
      </c>
      <c r="B5" s="44" t="s">
        <v>433</v>
      </c>
      <c r="C5" s="44"/>
      <c r="D5" s="52"/>
      <c r="E5" s="52"/>
      <c r="F5" s="52"/>
      <c r="G5" s="44"/>
      <c r="H5" s="44"/>
      <c r="I5" s="92"/>
      <c r="J5" s="44"/>
      <c r="K5" s="44"/>
      <c r="L5" s="44"/>
      <c r="M5" s="44"/>
      <c r="N5" s="52"/>
      <c r="O5" s="52"/>
      <c r="P5" s="52"/>
      <c r="Q5" s="94"/>
      <c r="R5" s="147"/>
      <c r="S5" s="147"/>
      <c r="T5" s="147"/>
    </row>
    <row r="6" spans="1:22" s="6" customFormat="1" ht="9">
      <c r="A6" s="143" t="s">
        <v>407</v>
      </c>
      <c r="B6" s="44"/>
      <c r="C6" s="44"/>
      <c r="D6" s="52"/>
      <c r="E6" s="52"/>
      <c r="F6" s="52"/>
      <c r="G6" s="44"/>
      <c r="H6" s="44"/>
      <c r="I6" s="92"/>
      <c r="J6" s="44"/>
      <c r="K6" s="44"/>
      <c r="L6" s="44"/>
      <c r="M6" s="44"/>
      <c r="N6" s="52"/>
      <c r="O6" s="52"/>
      <c r="P6" s="52"/>
      <c r="Q6" s="94"/>
      <c r="R6" s="147"/>
      <c r="S6" s="147"/>
      <c r="T6" s="147"/>
    </row>
    <row r="7" spans="1:22" s="6" customFormat="1" ht="9">
      <c r="A7" s="143" t="s">
        <v>408</v>
      </c>
      <c r="B7" s="44">
        <v>40</v>
      </c>
      <c r="C7" s="44"/>
      <c r="D7" s="52">
        <v>0</v>
      </c>
      <c r="E7" s="52">
        <v>0</v>
      </c>
      <c r="F7" s="52">
        <v>0</v>
      </c>
      <c r="G7" s="44">
        <v>1</v>
      </c>
      <c r="H7" s="44">
        <f>B7*G7</f>
        <v>40</v>
      </c>
      <c r="I7" s="91">
        <f>SUM('Base Data'!$H$16:$H$17,'Base Data'!$H$21:$H$22)</f>
        <v>4</v>
      </c>
      <c r="J7" s="91">
        <f>H7*I7</f>
        <v>160</v>
      </c>
      <c r="K7" s="91">
        <f>J7*0.1</f>
        <v>16</v>
      </c>
      <c r="L7" s="91">
        <f>J7*0.05</f>
        <v>8</v>
      </c>
      <c r="M7" s="44">
        <f>C7*G7*I7</f>
        <v>0</v>
      </c>
      <c r="N7" s="52">
        <f>(J7*'Base Data'!$C$5)+(K7*'Base Data'!$C$6)+(L7*'Base Data'!$C$7)</f>
        <v>17404.399999999998</v>
      </c>
      <c r="O7" s="52">
        <f>(D7+E7+F7)*G7*I7</f>
        <v>0</v>
      </c>
      <c r="P7" s="92">
        <v>0</v>
      </c>
      <c r="Q7" s="94" t="s">
        <v>387</v>
      </c>
      <c r="R7" s="147"/>
      <c r="S7" s="147"/>
      <c r="T7" s="147"/>
    </row>
    <row r="8" spans="1:22" s="6" customFormat="1" ht="9">
      <c r="A8" s="143" t="s">
        <v>409</v>
      </c>
      <c r="B8" s="44"/>
      <c r="C8" s="44"/>
      <c r="D8" s="52"/>
      <c r="E8" s="52"/>
      <c r="F8" s="52"/>
      <c r="G8" s="44"/>
      <c r="H8" s="44"/>
      <c r="I8" s="92"/>
      <c r="J8" s="44"/>
      <c r="K8" s="44"/>
      <c r="L8" s="44"/>
      <c r="M8" s="44"/>
      <c r="N8" s="52"/>
      <c r="O8" s="52"/>
      <c r="P8" s="92"/>
      <c r="Q8" s="94"/>
      <c r="R8" s="147"/>
      <c r="S8" s="147"/>
      <c r="T8" s="147"/>
    </row>
    <row r="9" spans="1:22" s="6" customFormat="1" ht="9">
      <c r="A9" s="143" t="s">
        <v>423</v>
      </c>
      <c r="B9" s="44"/>
      <c r="C9" s="44"/>
      <c r="D9" s="95"/>
      <c r="E9" s="52"/>
      <c r="F9" s="52"/>
      <c r="G9" s="44"/>
      <c r="H9" s="44"/>
      <c r="I9" s="91"/>
      <c r="J9" s="92"/>
      <c r="K9" s="92"/>
      <c r="L9" s="92"/>
      <c r="M9" s="93"/>
      <c r="N9" s="52"/>
      <c r="O9" s="52"/>
      <c r="P9" s="92"/>
      <c r="Q9" s="94"/>
      <c r="R9" s="94"/>
      <c r="S9" s="147"/>
      <c r="T9" s="147"/>
      <c r="V9" s="30"/>
    </row>
    <row r="10" spans="1:22" s="6" customFormat="1" ht="9">
      <c r="A10" s="142" t="s">
        <v>274</v>
      </c>
      <c r="B10" s="44">
        <v>20</v>
      </c>
      <c r="C10" s="44"/>
      <c r="D10" s="52">
        <v>854</v>
      </c>
      <c r="E10" s="52">
        <v>0</v>
      </c>
      <c r="F10" s="52">
        <v>0</v>
      </c>
      <c r="G10" s="44">
        <v>1</v>
      </c>
      <c r="H10" s="44">
        <f>B10*G10</f>
        <v>20</v>
      </c>
      <c r="I10" s="91">
        <v>0</v>
      </c>
      <c r="J10" s="92">
        <f>H10*I10</f>
        <v>0</v>
      </c>
      <c r="K10" s="92">
        <f>J10*0.1</f>
        <v>0</v>
      </c>
      <c r="L10" s="92">
        <f>J10*0.05</f>
        <v>0</v>
      </c>
      <c r="M10" s="93">
        <f>C10*G10*I10</f>
        <v>0</v>
      </c>
      <c r="N10" s="52">
        <f>(J10*'Base Data'!$C$5)+(K10*'Base Data'!$C$6)+(L10*'Base Data'!$C$7)</f>
        <v>0</v>
      </c>
      <c r="O10" s="52">
        <f>(D10+E10+F10)*G10*I10</f>
        <v>0</v>
      </c>
      <c r="P10" s="92">
        <v>0</v>
      </c>
      <c r="Q10" s="94" t="s">
        <v>544</v>
      </c>
      <c r="R10" s="94"/>
      <c r="S10" s="147"/>
      <c r="T10" s="147"/>
      <c r="V10" s="30"/>
    </row>
    <row r="11" spans="1:22" s="6" customFormat="1" ht="9">
      <c r="A11" s="142" t="s">
        <v>276</v>
      </c>
      <c r="B11" s="44">
        <v>20</v>
      </c>
      <c r="C11" s="44"/>
      <c r="D11" s="52">
        <v>18292</v>
      </c>
      <c r="E11" s="52">
        <v>0</v>
      </c>
      <c r="F11" s="52">
        <v>0</v>
      </c>
      <c r="G11" s="44">
        <v>1</v>
      </c>
      <c r="H11" s="44">
        <f>B11*G11</f>
        <v>20</v>
      </c>
      <c r="I11" s="91">
        <v>0</v>
      </c>
      <c r="J11" s="92">
        <f>H11*I11</f>
        <v>0</v>
      </c>
      <c r="K11" s="92">
        <f>J11*0.1</f>
        <v>0</v>
      </c>
      <c r="L11" s="92">
        <f>J11*0.05</f>
        <v>0</v>
      </c>
      <c r="M11" s="93">
        <f>C11*G11*I11</f>
        <v>0</v>
      </c>
      <c r="N11" s="52">
        <f>(J11*'Base Data'!$C$5)+(K11*'Base Data'!$C$6)+(L11*'Base Data'!$C$7)</f>
        <v>0</v>
      </c>
      <c r="O11" s="52">
        <f>(D11+E11+F11)*G11*I11</f>
        <v>0</v>
      </c>
      <c r="P11" s="92">
        <v>0</v>
      </c>
      <c r="Q11" s="94" t="s">
        <v>544</v>
      </c>
      <c r="R11" s="94"/>
      <c r="S11" s="147"/>
      <c r="T11" s="147"/>
      <c r="V11" s="30"/>
    </row>
    <row r="12" spans="1:22" s="6" customFormat="1" ht="9">
      <c r="A12" s="143" t="s">
        <v>249</v>
      </c>
      <c r="B12" s="44">
        <v>12</v>
      </c>
      <c r="C12" s="44"/>
      <c r="D12" s="52">
        <v>0</v>
      </c>
      <c r="E12" s="52">
        <v>2228</v>
      </c>
      <c r="F12" s="52">
        <v>0</v>
      </c>
      <c r="G12" s="44">
        <v>0.5</v>
      </c>
      <c r="H12" s="44">
        <f>B12*G12</f>
        <v>6</v>
      </c>
      <c r="I12" s="92">
        <v>0</v>
      </c>
      <c r="J12" s="91">
        <f>H12*I12</f>
        <v>0</v>
      </c>
      <c r="K12" s="91">
        <f>J12*0.1</f>
        <v>0</v>
      </c>
      <c r="L12" s="91">
        <f>J12*0.05</f>
        <v>0</v>
      </c>
      <c r="M12" s="92"/>
      <c r="N12" s="52">
        <f>(J12*'Base Data'!$C$5)+(K12*'Base Data'!$C$6)+(L12*'Base Data'!$C$7)</f>
        <v>0</v>
      </c>
      <c r="O12" s="52">
        <f>(D12+E12+F12)*I12</f>
        <v>0</v>
      </c>
      <c r="P12" s="92">
        <v>0</v>
      </c>
      <c r="Q12" s="94" t="s">
        <v>388</v>
      </c>
      <c r="R12" s="147"/>
      <c r="S12" s="147"/>
      <c r="T12" s="147"/>
    </row>
    <row r="13" spans="1:22" s="6" customFormat="1" ht="9">
      <c r="A13" s="143" t="s">
        <v>415</v>
      </c>
      <c r="B13" s="44" t="s">
        <v>433</v>
      </c>
      <c r="C13" s="44"/>
      <c r="D13" s="52"/>
      <c r="E13" s="52"/>
      <c r="F13" s="52"/>
      <c r="G13" s="44"/>
      <c r="H13" s="44"/>
      <c r="I13" s="92"/>
      <c r="J13" s="44"/>
      <c r="K13" s="44"/>
      <c r="L13" s="44"/>
      <c r="M13" s="44"/>
      <c r="N13" s="52"/>
      <c r="O13" s="52"/>
      <c r="P13" s="92"/>
      <c r="Q13" s="94"/>
      <c r="R13" s="147"/>
      <c r="S13" s="147"/>
      <c r="T13" s="147"/>
    </row>
    <row r="14" spans="1:22" s="6" customFormat="1" ht="9">
      <c r="A14" s="143" t="s">
        <v>416</v>
      </c>
      <c r="B14" s="44" t="s">
        <v>433</v>
      </c>
      <c r="C14" s="44"/>
      <c r="D14" s="52"/>
      <c r="E14" s="52"/>
      <c r="F14" s="52"/>
      <c r="G14" s="44"/>
      <c r="H14" s="44"/>
      <c r="I14" s="92"/>
      <c r="J14" s="44"/>
      <c r="K14" s="44"/>
      <c r="L14" s="44"/>
      <c r="M14" s="44"/>
      <c r="N14" s="52"/>
      <c r="O14" s="52"/>
      <c r="P14" s="92"/>
      <c r="Q14" s="94"/>
      <c r="R14" s="147"/>
      <c r="S14" s="147"/>
      <c r="T14" s="147"/>
    </row>
    <row r="15" spans="1:22" s="6" customFormat="1" ht="9">
      <c r="A15" s="143" t="s">
        <v>417</v>
      </c>
      <c r="B15" s="44"/>
      <c r="C15" s="44"/>
      <c r="D15" s="52"/>
      <c r="E15" s="52"/>
      <c r="F15" s="52"/>
      <c r="G15" s="44"/>
      <c r="H15" s="44"/>
      <c r="I15" s="92"/>
      <c r="J15" s="44"/>
      <c r="K15" s="44"/>
      <c r="L15" s="44"/>
      <c r="M15" s="44"/>
      <c r="N15" s="52"/>
      <c r="O15" s="52"/>
      <c r="P15" s="92"/>
      <c r="Q15" s="94"/>
      <c r="R15" s="147"/>
      <c r="S15" s="147"/>
      <c r="T15" s="147"/>
    </row>
    <row r="16" spans="1:22" s="6" customFormat="1" ht="9">
      <c r="A16" s="177" t="s">
        <v>435</v>
      </c>
      <c r="B16" s="44">
        <v>2</v>
      </c>
      <c r="C16" s="44"/>
      <c r="D16" s="52">
        <v>0</v>
      </c>
      <c r="E16" s="52">
        <v>0</v>
      </c>
      <c r="F16" s="52">
        <v>0</v>
      </c>
      <c r="G16" s="44">
        <v>1</v>
      </c>
      <c r="H16" s="44">
        <f>B16*G16</f>
        <v>2</v>
      </c>
      <c r="I16" s="91">
        <f>SUM('Base Data'!$H$16:$H$17,'Base Data'!$H$21:$H$22)</f>
        <v>4</v>
      </c>
      <c r="J16" s="91">
        <f>H16*I16</f>
        <v>8</v>
      </c>
      <c r="K16" s="91">
        <f>J16*0.1</f>
        <v>0.8</v>
      </c>
      <c r="L16" s="91">
        <f>J16*0.05</f>
        <v>0.4</v>
      </c>
      <c r="M16" s="44">
        <f>C16*G16*I16</f>
        <v>0</v>
      </c>
      <c r="N16" s="52">
        <f>(J16*'Base Data'!$C$5)+(K16*'Base Data'!$C$6)+(L16*'Base Data'!$C$7)</f>
        <v>870.22</v>
      </c>
      <c r="O16" s="52">
        <f>(D16+E16+F16)*G16*I16</f>
        <v>0</v>
      </c>
      <c r="P16" s="92">
        <f>G16*I16</f>
        <v>4</v>
      </c>
      <c r="Q16" s="94" t="s">
        <v>387</v>
      </c>
      <c r="R16" s="147"/>
      <c r="S16" s="147"/>
      <c r="T16" s="147"/>
    </row>
    <row r="17" spans="1:20" s="6" customFormat="1" ht="9">
      <c r="A17" s="177" t="s">
        <v>377</v>
      </c>
      <c r="B17" s="44">
        <v>8</v>
      </c>
      <c r="C17" s="44"/>
      <c r="D17" s="52">
        <v>0</v>
      </c>
      <c r="E17" s="52">
        <v>0</v>
      </c>
      <c r="F17" s="52">
        <v>0</v>
      </c>
      <c r="G17" s="44">
        <v>1</v>
      </c>
      <c r="H17" s="44">
        <f>B17*G17</f>
        <v>8</v>
      </c>
      <c r="I17" s="92">
        <v>0</v>
      </c>
      <c r="J17" s="91">
        <f>H17*I17</f>
        <v>0</v>
      </c>
      <c r="K17" s="91">
        <f>J17*0.1</f>
        <v>0</v>
      </c>
      <c r="L17" s="91">
        <f>J17*0.05</f>
        <v>0</v>
      </c>
      <c r="M17" s="44">
        <f>C17*G17*I17</f>
        <v>0</v>
      </c>
      <c r="N17" s="52">
        <f>(J17*'Base Data'!$C$5)+(K17*'Base Data'!$C$6)+(L17*'Base Data'!$C$7)</f>
        <v>0</v>
      </c>
      <c r="O17" s="52">
        <f>(D17+E17+F17)*G17*I17</f>
        <v>0</v>
      </c>
      <c r="P17" s="92">
        <f>G17*I17</f>
        <v>0</v>
      </c>
      <c r="Q17" s="94" t="s">
        <v>388</v>
      </c>
      <c r="R17" s="147"/>
      <c r="S17" s="147"/>
      <c r="T17" s="147"/>
    </row>
    <row r="18" spans="1:20" s="6" customFormat="1" ht="9">
      <c r="A18" s="144" t="s">
        <v>248</v>
      </c>
      <c r="B18" s="44">
        <v>5</v>
      </c>
      <c r="C18" s="44"/>
      <c r="D18" s="52">
        <v>0</v>
      </c>
      <c r="E18" s="52">
        <v>0</v>
      </c>
      <c r="F18" s="52">
        <v>0</v>
      </c>
      <c r="G18" s="44">
        <v>0.5</v>
      </c>
      <c r="H18" s="44">
        <f>B18*G18</f>
        <v>2.5</v>
      </c>
      <c r="I18" s="91">
        <v>0</v>
      </c>
      <c r="J18" s="91">
        <f>H18*I18</f>
        <v>0</v>
      </c>
      <c r="K18" s="91">
        <f>J18*0.1</f>
        <v>0</v>
      </c>
      <c r="L18" s="91">
        <f>J18*0.05</f>
        <v>0</v>
      </c>
      <c r="M18" s="44">
        <f>C18*G18*I18</f>
        <v>0</v>
      </c>
      <c r="N18" s="52">
        <f>(J18*'Base Data'!$C$5)+(K18*'Base Data'!$C$6)+(L18*'Base Data'!$C$7)</f>
        <v>0</v>
      </c>
      <c r="O18" s="52">
        <f>(D18+E18+F18)*G18*I18</f>
        <v>0</v>
      </c>
      <c r="P18" s="92">
        <f>G18*I18</f>
        <v>0</v>
      </c>
      <c r="Q18" s="94" t="s">
        <v>273</v>
      </c>
      <c r="R18" s="147"/>
      <c r="S18" s="147"/>
      <c r="T18" s="147"/>
    </row>
    <row r="19" spans="1:20" s="6" customFormat="1" ht="9">
      <c r="A19" s="177" t="s">
        <v>505</v>
      </c>
      <c r="B19" s="44">
        <v>5</v>
      </c>
      <c r="C19" s="18"/>
      <c r="D19" s="39">
        <v>0</v>
      </c>
      <c r="E19" s="39">
        <v>0</v>
      </c>
      <c r="F19" s="39">
        <v>0</v>
      </c>
      <c r="G19" s="18">
        <v>1</v>
      </c>
      <c r="H19" s="18">
        <f>B19*G19</f>
        <v>5</v>
      </c>
      <c r="I19" s="51">
        <v>0</v>
      </c>
      <c r="J19" s="19">
        <f>H19*I19</f>
        <v>0</v>
      </c>
      <c r="K19" s="19">
        <f>J19*0.1</f>
        <v>0</v>
      </c>
      <c r="L19" s="19">
        <f>J19*0.05</f>
        <v>0</v>
      </c>
      <c r="M19" s="18">
        <f>C19*G19*I19</f>
        <v>0</v>
      </c>
      <c r="N19" s="39">
        <f>(J19*'Base Data'!$C$5)+(K19*'Base Data'!$C$6)+(L19*'Base Data'!$C$7)</f>
        <v>0</v>
      </c>
      <c r="O19" s="39">
        <f>(D19+E19+F19)*G19*I19</f>
        <v>0</v>
      </c>
      <c r="P19" s="19">
        <f>G19*I19</f>
        <v>0</v>
      </c>
      <c r="Q19" s="29" t="s">
        <v>388</v>
      </c>
    </row>
    <row r="20" spans="1:20" s="6" customFormat="1" ht="9">
      <c r="A20" s="148" t="s">
        <v>7</v>
      </c>
      <c r="B20" s="44"/>
      <c r="C20" s="44"/>
      <c r="D20" s="52"/>
      <c r="E20" s="52"/>
      <c r="F20" s="52"/>
      <c r="G20" s="44"/>
      <c r="H20" s="44"/>
      <c r="I20" s="92"/>
      <c r="J20" s="92">
        <f>SUM(J7:J19)</f>
        <v>168</v>
      </c>
      <c r="K20" s="92">
        <f t="shared" ref="K20:P20" si="0">SUM(K7:K19)</f>
        <v>16.8</v>
      </c>
      <c r="L20" s="92">
        <f t="shared" si="0"/>
        <v>8.4</v>
      </c>
      <c r="M20" s="92">
        <f t="shared" si="0"/>
        <v>0</v>
      </c>
      <c r="N20" s="39">
        <f t="shared" si="0"/>
        <v>18274.62</v>
      </c>
      <c r="O20" s="39">
        <f t="shared" si="0"/>
        <v>0</v>
      </c>
      <c r="P20" s="92">
        <f t="shared" si="0"/>
        <v>4</v>
      </c>
      <c r="Q20" s="94"/>
      <c r="R20" s="149">
        <f>SUM(O7:O12)</f>
        <v>0</v>
      </c>
      <c r="S20" s="147">
        <f>0</f>
        <v>0</v>
      </c>
      <c r="T20" s="147"/>
    </row>
    <row r="21" spans="1:20" s="6" customFormat="1" ht="9">
      <c r="A21" s="143" t="s">
        <v>431</v>
      </c>
      <c r="B21" s="44"/>
      <c r="C21" s="44"/>
      <c r="D21" s="52"/>
      <c r="E21" s="52"/>
      <c r="F21" s="52"/>
      <c r="G21" s="44"/>
      <c r="H21" s="44"/>
      <c r="I21" s="92"/>
      <c r="J21" s="44"/>
      <c r="K21" s="44"/>
      <c r="L21" s="44"/>
      <c r="M21" s="44"/>
      <c r="N21" s="52"/>
      <c r="O21" s="52"/>
      <c r="P21" s="92"/>
      <c r="Q21" s="94"/>
      <c r="R21" s="147"/>
      <c r="S21" s="147"/>
      <c r="T21" s="147"/>
    </row>
    <row r="22" spans="1:20" s="6" customFormat="1" ht="9">
      <c r="A22" s="143" t="s">
        <v>418</v>
      </c>
      <c r="B22" s="44" t="s">
        <v>422</v>
      </c>
      <c r="C22" s="44"/>
      <c r="D22" s="52"/>
      <c r="E22" s="52"/>
      <c r="F22" s="52"/>
      <c r="G22" s="44"/>
      <c r="H22" s="44"/>
      <c r="I22" s="92"/>
      <c r="J22" s="44"/>
      <c r="K22" s="44"/>
      <c r="L22" s="44"/>
      <c r="M22" s="44"/>
      <c r="N22" s="52"/>
      <c r="O22" s="52"/>
      <c r="P22" s="92"/>
      <c r="Q22" s="94"/>
      <c r="R22" s="147"/>
      <c r="S22" s="147"/>
      <c r="T22" s="147"/>
    </row>
    <row r="23" spans="1:20" s="6" customFormat="1" ht="9">
      <c r="A23" s="143" t="s">
        <v>419</v>
      </c>
      <c r="B23" s="44" t="s">
        <v>433</v>
      </c>
      <c r="C23" s="44"/>
      <c r="D23" s="52"/>
      <c r="E23" s="52"/>
      <c r="F23" s="52"/>
      <c r="G23" s="44"/>
      <c r="H23" s="44"/>
      <c r="I23" s="92"/>
      <c r="J23" s="44"/>
      <c r="K23" s="44"/>
      <c r="L23" s="44"/>
      <c r="M23" s="44"/>
      <c r="N23" s="52"/>
      <c r="O23" s="52"/>
      <c r="P23" s="92"/>
      <c r="Q23" s="94"/>
      <c r="R23" s="147"/>
      <c r="S23" s="147"/>
      <c r="T23" s="147"/>
    </row>
    <row r="24" spans="1:20" s="6" customFormat="1" ht="9">
      <c r="A24" s="143" t="s">
        <v>420</v>
      </c>
      <c r="B24" s="44" t="s">
        <v>433</v>
      </c>
      <c r="C24" s="44"/>
      <c r="D24" s="52"/>
      <c r="E24" s="52"/>
      <c r="F24" s="52"/>
      <c r="G24" s="44"/>
      <c r="H24" s="44"/>
      <c r="I24" s="92"/>
      <c r="J24" s="44"/>
      <c r="K24" s="44"/>
      <c r="L24" s="44"/>
      <c r="M24" s="44"/>
      <c r="N24" s="52"/>
      <c r="O24" s="52"/>
      <c r="P24" s="92"/>
      <c r="Q24" s="94" t="s">
        <v>389</v>
      </c>
      <c r="R24" s="147"/>
      <c r="S24" s="147"/>
      <c r="T24" s="147"/>
    </row>
    <row r="25" spans="1:20" s="6" customFormat="1" ht="9">
      <c r="A25" s="143" t="s">
        <v>421</v>
      </c>
      <c r="B25" s="44"/>
      <c r="C25" s="44"/>
      <c r="D25" s="52"/>
      <c r="E25" s="52"/>
      <c r="F25" s="52"/>
      <c r="G25" s="44"/>
      <c r="H25" s="44"/>
      <c r="I25" s="92"/>
      <c r="J25" s="44"/>
      <c r="K25" s="44"/>
      <c r="L25" s="44"/>
      <c r="M25" s="44"/>
      <c r="N25" s="52"/>
      <c r="O25" s="52"/>
      <c r="P25" s="92"/>
      <c r="Q25" s="94"/>
      <c r="R25" s="147"/>
      <c r="S25" s="147"/>
      <c r="T25" s="147"/>
    </row>
    <row r="26" spans="1:20" s="6" customFormat="1" ht="19.5" customHeight="1">
      <c r="A26" s="177" t="s">
        <v>375</v>
      </c>
      <c r="B26" s="44">
        <v>2</v>
      </c>
      <c r="C26" s="44">
        <v>0</v>
      </c>
      <c r="D26" s="52">
        <v>0</v>
      </c>
      <c r="E26" s="52">
        <v>0</v>
      </c>
      <c r="F26" s="52">
        <v>0</v>
      </c>
      <c r="G26" s="44">
        <v>0.5</v>
      </c>
      <c r="H26" s="44">
        <f>B26*G26</f>
        <v>1</v>
      </c>
      <c r="I26" s="92">
        <v>0</v>
      </c>
      <c r="J26" s="91">
        <f>H26*I26</f>
        <v>0</v>
      </c>
      <c r="K26" s="91">
        <f>J26*0.1</f>
        <v>0</v>
      </c>
      <c r="L26" s="91">
        <f>J26*0.05</f>
        <v>0</v>
      </c>
      <c r="M26" s="44">
        <f>C26*G26*I26</f>
        <v>0</v>
      </c>
      <c r="N26" s="52">
        <f>(J26*'Base Data'!$C$5)+(K26*'Base Data'!$C$6)+(L26*'Base Data'!$C$7)</f>
        <v>0</v>
      </c>
      <c r="O26" s="52">
        <f>(D26+E26+F26)*G26*I26</f>
        <v>0</v>
      </c>
      <c r="P26" s="92">
        <v>0</v>
      </c>
      <c r="Q26" s="94" t="s">
        <v>388</v>
      </c>
      <c r="R26" s="147"/>
      <c r="S26" s="147"/>
      <c r="T26" s="147"/>
    </row>
    <row r="27" spans="1:20" s="6" customFormat="1" ht="18">
      <c r="A27" s="177" t="s">
        <v>376</v>
      </c>
      <c r="B27" s="44">
        <v>15</v>
      </c>
      <c r="C27" s="44">
        <v>0</v>
      </c>
      <c r="D27" s="52">
        <v>0</v>
      </c>
      <c r="E27" s="52">
        <v>0</v>
      </c>
      <c r="F27" s="52">
        <v>0</v>
      </c>
      <c r="G27" s="44">
        <v>1</v>
      </c>
      <c r="H27" s="44">
        <f>B27*G27</f>
        <v>15</v>
      </c>
      <c r="I27" s="92">
        <v>0</v>
      </c>
      <c r="J27" s="91">
        <f>H27*I27</f>
        <v>0</v>
      </c>
      <c r="K27" s="91">
        <f>J27*0.1</f>
        <v>0</v>
      </c>
      <c r="L27" s="91">
        <f>J27*0.05</f>
        <v>0</v>
      </c>
      <c r="M27" s="44">
        <f>C27*G27*I27</f>
        <v>0</v>
      </c>
      <c r="N27" s="52">
        <f>(J27*'Base Data'!$C$5)+(K27*'Base Data'!$C$6)+(L27*'Base Data'!$C$7)</f>
        <v>0</v>
      </c>
      <c r="O27" s="52">
        <f>(D27+E27+F27)*G27*I27</f>
        <v>0</v>
      </c>
      <c r="P27" s="92">
        <v>0</v>
      </c>
      <c r="Q27" s="94" t="s">
        <v>69</v>
      </c>
      <c r="R27" s="147"/>
      <c r="S27" s="147"/>
      <c r="T27" s="147"/>
    </row>
    <row r="28" spans="1:20" s="6" customFormat="1" ht="9">
      <c r="A28" s="177" t="s">
        <v>251</v>
      </c>
      <c r="B28" s="44">
        <v>0.5</v>
      </c>
      <c r="C28" s="44"/>
      <c r="D28" s="52">
        <v>0</v>
      </c>
      <c r="E28" s="52">
        <v>0</v>
      </c>
      <c r="F28" s="52">
        <v>0</v>
      </c>
      <c r="G28" s="44">
        <v>0.5</v>
      </c>
      <c r="H28" s="44">
        <f>B28*G28</f>
        <v>0.25</v>
      </c>
      <c r="I28" s="92">
        <v>0</v>
      </c>
      <c r="J28" s="91">
        <f>H28*I28</f>
        <v>0</v>
      </c>
      <c r="K28" s="91">
        <f>J28*0.1</f>
        <v>0</v>
      </c>
      <c r="L28" s="91">
        <f>J28*0.05</f>
        <v>0</v>
      </c>
      <c r="M28" s="44">
        <f>C28*G28*I28</f>
        <v>0</v>
      </c>
      <c r="N28" s="52">
        <f>(J28*'Base Data'!$C$5)+(K28*'Base Data'!$C$6)+(L28*'Base Data'!$C$7)</f>
        <v>0</v>
      </c>
      <c r="O28" s="52">
        <f>(D28+E28+F28)*G28*I28</f>
        <v>0</v>
      </c>
      <c r="P28" s="92">
        <v>0</v>
      </c>
      <c r="Q28" s="94" t="s">
        <v>388</v>
      </c>
      <c r="R28" s="147"/>
      <c r="S28" s="147"/>
      <c r="T28" s="147"/>
    </row>
    <row r="29" spans="1:20" s="6" customFormat="1" ht="9">
      <c r="A29" s="142" t="s">
        <v>427</v>
      </c>
      <c r="B29" s="44">
        <v>40</v>
      </c>
      <c r="C29" s="18"/>
      <c r="D29" s="39">
        <v>0</v>
      </c>
      <c r="E29" s="39">
        <v>0</v>
      </c>
      <c r="F29" s="39">
        <v>0</v>
      </c>
      <c r="G29" s="18">
        <v>1</v>
      </c>
      <c r="H29" s="18">
        <f t="shared" ref="H29" si="1">B29*G29</f>
        <v>40</v>
      </c>
      <c r="I29" s="91">
        <v>0</v>
      </c>
      <c r="J29" s="19">
        <f t="shared" ref="J29" si="2">H29*I29</f>
        <v>0</v>
      </c>
      <c r="K29" s="19">
        <f t="shared" ref="K29" si="3">J29*0.1</f>
        <v>0</v>
      </c>
      <c r="L29" s="19">
        <f t="shared" ref="L29" si="4">J29*0.05</f>
        <v>0</v>
      </c>
      <c r="M29" s="18"/>
      <c r="N29" s="39">
        <f>(J29*'Base Data'!$C$5)+(K29*'Base Data'!$C$6)+(L29*'Base Data'!$C$7)</f>
        <v>0</v>
      </c>
      <c r="O29" s="39">
        <f t="shared" ref="O29" si="5">(D29+E29+F29)*G29*I29</f>
        <v>0</v>
      </c>
      <c r="P29" s="92">
        <v>0</v>
      </c>
      <c r="Q29" s="29" t="s">
        <v>78</v>
      </c>
    </row>
    <row r="30" spans="1:20" s="6" customFormat="1" ht="9">
      <c r="A30" s="143" t="s">
        <v>428</v>
      </c>
      <c r="B30" s="44" t="s">
        <v>433</v>
      </c>
      <c r="C30" s="44"/>
      <c r="D30" s="52"/>
      <c r="E30" s="52"/>
      <c r="F30" s="52"/>
      <c r="G30" s="44"/>
      <c r="H30" s="44"/>
      <c r="I30" s="92"/>
      <c r="J30" s="44"/>
      <c r="K30" s="44"/>
      <c r="L30" s="44"/>
      <c r="M30" s="44"/>
      <c r="N30" s="52"/>
      <c r="O30" s="52"/>
      <c r="P30" s="92"/>
      <c r="Q30" s="94"/>
      <c r="R30" s="147"/>
      <c r="S30" s="147"/>
      <c r="T30" s="147"/>
    </row>
    <row r="31" spans="1:20" s="6" customFormat="1" ht="9">
      <c r="A31" s="256" t="s">
        <v>27</v>
      </c>
      <c r="B31" s="239"/>
      <c r="C31" s="239"/>
      <c r="D31" s="240"/>
      <c r="E31" s="240"/>
      <c r="F31" s="240"/>
      <c r="G31" s="239"/>
      <c r="H31" s="239"/>
      <c r="I31" s="241"/>
      <c r="J31" s="239">
        <f t="shared" ref="J31:O31" si="6">SUM(J22:J30)</f>
        <v>0</v>
      </c>
      <c r="K31" s="239">
        <f t="shared" si="6"/>
        <v>0</v>
      </c>
      <c r="L31" s="239">
        <f t="shared" si="6"/>
        <v>0</v>
      </c>
      <c r="M31" s="239">
        <f t="shared" si="6"/>
        <v>0</v>
      </c>
      <c r="N31" s="240">
        <f t="shared" si="6"/>
        <v>0</v>
      </c>
      <c r="O31" s="240">
        <f t="shared" si="6"/>
        <v>0</v>
      </c>
      <c r="P31" s="241">
        <f>SUM(P22:P30)</f>
        <v>0</v>
      </c>
      <c r="Q31" s="242"/>
      <c r="R31" s="149">
        <f>SUM(O22:O31)</f>
        <v>0</v>
      </c>
      <c r="S31" s="147"/>
      <c r="T31" s="147"/>
    </row>
    <row r="32" spans="1:20" s="6" customFormat="1">
      <c r="A32" s="24" t="s">
        <v>400</v>
      </c>
      <c r="B32" s="25"/>
      <c r="C32" s="25"/>
      <c r="D32" s="25"/>
      <c r="E32" s="25"/>
      <c r="F32" s="25"/>
      <c r="G32" s="25"/>
      <c r="H32" s="25"/>
      <c r="I32" s="26"/>
      <c r="J32" s="27">
        <f t="shared" ref="J32:P32" si="7">SUM(J20,J31)</f>
        <v>168</v>
      </c>
      <c r="K32" s="27">
        <f t="shared" si="7"/>
        <v>16.8</v>
      </c>
      <c r="L32" s="27">
        <f t="shared" si="7"/>
        <v>8.4</v>
      </c>
      <c r="M32" s="27">
        <f t="shared" si="7"/>
        <v>0</v>
      </c>
      <c r="N32" s="40">
        <f t="shared" si="7"/>
        <v>18274.62</v>
      </c>
      <c r="O32" s="40">
        <f t="shared" si="7"/>
        <v>0</v>
      </c>
      <c r="P32" s="27">
        <f t="shared" si="7"/>
        <v>4</v>
      </c>
      <c r="Q32" s="47"/>
    </row>
    <row r="33" spans="1:17" s="6" customFormat="1">
      <c r="A33" s="1"/>
      <c r="B33" s="7"/>
      <c r="C33" s="7"/>
      <c r="D33" s="7"/>
      <c r="E33" s="7"/>
      <c r="F33" s="7"/>
      <c r="G33" s="7"/>
      <c r="H33" s="7"/>
      <c r="I33" s="11"/>
      <c r="J33" s="7"/>
      <c r="K33" s="7"/>
      <c r="L33" s="7"/>
      <c r="M33" s="7"/>
      <c r="N33" s="7"/>
      <c r="O33" s="8"/>
      <c r="P33" s="8"/>
      <c r="Q33" s="7"/>
    </row>
    <row r="34" spans="1:17" s="6" customFormat="1" ht="9">
      <c r="A34" s="53" t="s">
        <v>496</v>
      </c>
      <c r="B34" s="15"/>
      <c r="C34" s="15"/>
      <c r="D34" s="15"/>
      <c r="E34" s="15"/>
      <c r="F34" s="15"/>
      <c r="G34" s="15"/>
      <c r="H34" s="15"/>
      <c r="I34" s="16"/>
      <c r="J34" s="15"/>
      <c r="K34" s="15"/>
      <c r="L34" s="15"/>
      <c r="M34" s="15"/>
      <c r="N34" s="15"/>
      <c r="O34" s="17"/>
      <c r="P34" s="17"/>
      <c r="Q34" s="15"/>
    </row>
    <row r="35" spans="1:17" s="14" customFormat="1" ht="30.75" customHeight="1">
      <c r="A35" s="408" t="s">
        <v>277</v>
      </c>
      <c r="B35" s="408"/>
      <c r="C35" s="408"/>
      <c r="D35" s="408"/>
      <c r="E35" s="408"/>
      <c r="F35" s="408"/>
      <c r="G35" s="408"/>
      <c r="H35" s="408"/>
      <c r="I35" s="408"/>
      <c r="J35" s="408"/>
      <c r="K35" s="408"/>
      <c r="L35" s="408"/>
      <c r="M35" s="408"/>
      <c r="N35" s="408"/>
      <c r="O35" s="408"/>
      <c r="P35" s="62"/>
      <c r="Q35" s="15"/>
    </row>
    <row r="36" spans="1:17" s="14" customFormat="1" ht="16.5" customHeight="1">
      <c r="A36" s="408" t="s">
        <v>374</v>
      </c>
      <c r="B36" s="408"/>
      <c r="C36" s="408"/>
      <c r="D36" s="408"/>
      <c r="E36" s="408"/>
      <c r="F36" s="408"/>
      <c r="G36" s="408"/>
      <c r="H36" s="408"/>
      <c r="I36" s="408"/>
      <c r="J36" s="408"/>
      <c r="K36" s="408"/>
      <c r="L36" s="408"/>
      <c r="M36" s="408"/>
      <c r="N36" s="408"/>
      <c r="O36" s="408"/>
      <c r="P36" s="62"/>
      <c r="Q36" s="15"/>
    </row>
    <row r="37" spans="1:17" s="14" customFormat="1" ht="25.5" customHeight="1">
      <c r="A37" s="409" t="s">
        <v>569</v>
      </c>
      <c r="B37" s="409"/>
      <c r="C37" s="409"/>
      <c r="D37" s="409"/>
      <c r="E37" s="409"/>
      <c r="F37" s="409"/>
      <c r="G37" s="409"/>
      <c r="H37" s="409"/>
      <c r="I37" s="409"/>
      <c r="J37" s="409"/>
      <c r="K37" s="409"/>
      <c r="L37" s="409"/>
      <c r="M37" s="409"/>
      <c r="N37" s="409"/>
      <c r="O37" s="409"/>
      <c r="P37" s="409"/>
      <c r="Q37" s="409"/>
    </row>
    <row r="38" spans="1:17" s="14" customFormat="1" ht="10.5" customHeight="1">
      <c r="A38" s="53" t="s">
        <v>441</v>
      </c>
      <c r="B38" s="56"/>
      <c r="C38" s="56"/>
      <c r="D38" s="56"/>
      <c r="E38" s="56"/>
      <c r="F38" s="56"/>
      <c r="G38" s="56"/>
      <c r="H38" s="56"/>
      <c r="I38" s="57"/>
      <c r="J38" s="56"/>
      <c r="K38" s="56"/>
      <c r="L38" s="56"/>
      <c r="M38" s="56"/>
      <c r="N38" s="56"/>
      <c r="O38" s="197"/>
      <c r="P38" s="197"/>
      <c r="Q38" s="56"/>
    </row>
    <row r="39" spans="1:17">
      <c r="A39" s="53" t="s">
        <v>572</v>
      </c>
      <c r="B39" s="54"/>
      <c r="C39" s="54"/>
      <c r="D39" s="54"/>
      <c r="E39" s="54"/>
      <c r="F39" s="54"/>
      <c r="G39" s="54"/>
      <c r="H39" s="54"/>
      <c r="I39" s="196"/>
      <c r="J39" s="196"/>
      <c r="K39" s="196"/>
      <c r="L39" s="196"/>
      <c r="M39" s="196"/>
      <c r="N39" s="54"/>
      <c r="O39" s="114"/>
      <c r="P39" s="114"/>
      <c r="Q39" s="114"/>
    </row>
    <row r="40" spans="1:17">
      <c r="A40" s="53" t="s">
        <v>571</v>
      </c>
      <c r="B40" s="54"/>
      <c r="C40" s="54"/>
      <c r="D40" s="54"/>
      <c r="E40" s="54"/>
      <c r="F40" s="54"/>
      <c r="G40" s="54"/>
      <c r="H40" s="54"/>
      <c r="I40" s="196"/>
      <c r="J40" s="196"/>
      <c r="K40" s="196"/>
      <c r="L40" s="196"/>
      <c r="M40" s="196"/>
      <c r="N40" s="54"/>
      <c r="O40" s="114"/>
      <c r="P40" s="114"/>
      <c r="Q40" s="114"/>
    </row>
    <row r="41" spans="1:17">
      <c r="A41" s="14" t="s">
        <v>570</v>
      </c>
      <c r="B41" s="54"/>
      <c r="C41" s="54"/>
      <c r="D41" s="54"/>
      <c r="E41" s="54"/>
      <c r="F41" s="54"/>
      <c r="G41" s="54"/>
      <c r="H41" s="54"/>
      <c r="I41" s="196"/>
      <c r="J41" s="196"/>
      <c r="K41" s="196"/>
      <c r="L41" s="196"/>
      <c r="M41" s="196"/>
      <c r="N41" s="54"/>
      <c r="O41" s="114"/>
      <c r="P41" s="114"/>
      <c r="Q41" s="114"/>
    </row>
  </sheetData>
  <mergeCells count="5">
    <mergeCell ref="A37:Q37"/>
    <mergeCell ref="A1:Q1"/>
    <mergeCell ref="A2:Q2"/>
    <mergeCell ref="A35:O35"/>
    <mergeCell ref="A36:O36"/>
  </mergeCells>
  <phoneticPr fontId="7" type="noConversion"/>
  <printOptions horizontalCentered="1"/>
  <pageMargins left="0.25" right="0.25" top="0.5" bottom="0.5" header="0.5" footer="0.5"/>
  <pageSetup scale="89" orientation="landscape" r:id="rId1"/>
  <headerFooter alignWithMargins="0"/>
</worksheet>
</file>

<file path=xl/worksheets/sheet28.xml><?xml version="1.0" encoding="utf-8"?>
<worksheet xmlns="http://schemas.openxmlformats.org/spreadsheetml/2006/main" xmlns:r="http://schemas.openxmlformats.org/officeDocument/2006/relationships">
  <sheetPr>
    <pageSetUpPr fitToPage="1"/>
  </sheetPr>
  <dimension ref="A1:V41"/>
  <sheetViews>
    <sheetView zoomScaleNormal="100" workbookViewId="0">
      <pane xSplit="1" ySplit="3" topLeftCell="B10" activePane="bottomRight" state="frozen"/>
      <selection activeCell="P31" sqref="P31"/>
      <selection pane="topRight" activeCell="P31" sqref="P31"/>
      <selection pane="bottomLeft" activeCell="P31" sqref="P31"/>
      <selection pane="bottomRight" activeCell="A39" sqref="A39:A40"/>
    </sheetView>
  </sheetViews>
  <sheetFormatPr defaultRowHeight="11.25"/>
  <cols>
    <col min="1" max="1" width="30.42578125" style="1" customWidth="1"/>
    <col min="2" max="2" width="8.85546875" style="7" bestFit="1" customWidth="1"/>
    <col min="3" max="3" width="8" style="7" hidden="1" customWidth="1"/>
    <col min="4" max="4" width="8.42578125" style="7" bestFit="1" customWidth="1"/>
    <col min="5" max="5" width="9.28515625" style="7" bestFit="1" customWidth="1"/>
    <col min="6" max="6" width="7.85546875" style="7" bestFit="1" customWidth="1"/>
    <col min="7" max="7" width="9.28515625" style="7" bestFit="1" customWidth="1"/>
    <col min="8" max="8" width="8.7109375" style="7" bestFit="1" customWidth="1"/>
    <col min="9" max="9" width="9.42578125" style="8" bestFit="1" customWidth="1"/>
    <col min="10" max="10" width="7.7109375" style="8" customWidth="1"/>
    <col min="11" max="11" width="5.85546875" style="8" bestFit="1" customWidth="1"/>
    <col min="12" max="12" width="8.7109375" style="8" customWidth="1"/>
    <col min="13" max="13" width="9" style="8" hidden="1" customWidth="1"/>
    <col min="14" max="14" width="8.42578125" style="7" bestFit="1" customWidth="1"/>
    <col min="15" max="15" width="7" style="1" bestFit="1" customWidth="1"/>
    <col min="16" max="16" width="7.28515625" style="1" bestFit="1" customWidth="1"/>
    <col min="17" max="17" width="4.42578125" style="1" customWidth="1"/>
    <col min="18" max="19" width="0" style="1" hidden="1" customWidth="1"/>
    <col min="20" max="16384" width="9.140625" style="1"/>
  </cols>
  <sheetData>
    <row r="1" spans="1:22">
      <c r="A1" s="395" t="s">
        <v>232</v>
      </c>
      <c r="B1" s="395"/>
      <c r="C1" s="395"/>
      <c r="D1" s="395"/>
      <c r="E1" s="395"/>
      <c r="F1" s="395"/>
      <c r="G1" s="395"/>
      <c r="H1" s="395"/>
      <c r="I1" s="395"/>
      <c r="J1" s="395"/>
      <c r="K1" s="395"/>
      <c r="L1" s="395"/>
      <c r="M1" s="395"/>
      <c r="N1" s="395"/>
      <c r="O1" s="395"/>
      <c r="P1" s="395"/>
      <c r="Q1" s="395"/>
    </row>
    <row r="2" spans="1:22">
      <c r="A2" s="407" t="s">
        <v>528</v>
      </c>
      <c r="B2" s="407"/>
      <c r="C2" s="407"/>
      <c r="D2" s="407"/>
      <c r="E2" s="407"/>
      <c r="F2" s="407"/>
      <c r="G2" s="407"/>
      <c r="H2" s="407"/>
      <c r="I2" s="407"/>
      <c r="J2" s="407"/>
      <c r="K2" s="407"/>
      <c r="L2" s="407"/>
      <c r="M2" s="407"/>
      <c r="N2" s="407"/>
      <c r="O2" s="407"/>
      <c r="P2" s="407"/>
      <c r="Q2" s="407"/>
    </row>
    <row r="3" spans="1:22" s="3" customFormat="1" ht="72">
      <c r="A3" s="45" t="s">
        <v>392</v>
      </c>
      <c r="B3" s="45" t="s">
        <v>393</v>
      </c>
      <c r="C3" s="45" t="s">
        <v>430</v>
      </c>
      <c r="D3" s="45" t="s">
        <v>4</v>
      </c>
      <c r="E3" s="45" t="s">
        <v>94</v>
      </c>
      <c r="F3" s="45" t="s">
        <v>5</v>
      </c>
      <c r="G3" s="12" t="s">
        <v>176</v>
      </c>
      <c r="H3" s="45" t="s">
        <v>459</v>
      </c>
      <c r="I3" s="60" t="s">
        <v>460</v>
      </c>
      <c r="J3" s="100" t="s">
        <v>462</v>
      </c>
      <c r="K3" s="100" t="s">
        <v>463</v>
      </c>
      <c r="L3" s="100" t="s">
        <v>461</v>
      </c>
      <c r="M3" s="45" t="s">
        <v>391</v>
      </c>
      <c r="N3" s="45" t="s">
        <v>8</v>
      </c>
      <c r="O3" s="100" t="s">
        <v>96</v>
      </c>
      <c r="P3" s="100" t="s">
        <v>175</v>
      </c>
      <c r="Q3" s="182" t="s">
        <v>394</v>
      </c>
      <c r="R3" s="193" t="s">
        <v>307</v>
      </c>
      <c r="S3" s="193" t="s">
        <v>308</v>
      </c>
      <c r="T3" s="193"/>
      <c r="U3" s="193"/>
      <c r="V3" s="193"/>
    </row>
    <row r="4" spans="1:22" s="6" customFormat="1" ht="9">
      <c r="A4" s="194" t="s">
        <v>405</v>
      </c>
      <c r="B4" s="179" t="s">
        <v>433</v>
      </c>
      <c r="C4" s="179"/>
      <c r="D4" s="181"/>
      <c r="E4" s="181"/>
      <c r="F4" s="181"/>
      <c r="G4" s="179"/>
      <c r="H4" s="179"/>
      <c r="I4" s="183"/>
      <c r="J4" s="179"/>
      <c r="K4" s="179"/>
      <c r="L4" s="179"/>
      <c r="M4" s="179"/>
      <c r="N4" s="181"/>
      <c r="O4" s="181"/>
      <c r="P4" s="181"/>
      <c r="Q4" s="249"/>
      <c r="R4" s="147"/>
      <c r="S4" s="147"/>
      <c r="T4" s="147"/>
      <c r="U4" s="147"/>
      <c r="V4" s="147"/>
    </row>
    <row r="5" spans="1:22" s="6" customFormat="1" ht="9">
      <c r="A5" s="143" t="s">
        <v>406</v>
      </c>
      <c r="B5" s="44" t="s">
        <v>433</v>
      </c>
      <c r="C5" s="44"/>
      <c r="D5" s="52"/>
      <c r="E5" s="52"/>
      <c r="F5" s="52"/>
      <c r="G5" s="44"/>
      <c r="H5" s="44"/>
      <c r="I5" s="92"/>
      <c r="J5" s="44"/>
      <c r="K5" s="44"/>
      <c r="L5" s="44"/>
      <c r="M5" s="44"/>
      <c r="N5" s="52"/>
      <c r="O5" s="52"/>
      <c r="P5" s="52"/>
      <c r="Q5" s="94"/>
      <c r="R5" s="147"/>
      <c r="S5" s="147"/>
      <c r="T5" s="147"/>
      <c r="U5" s="147"/>
      <c r="V5" s="147"/>
    </row>
    <row r="6" spans="1:22" s="6" customFormat="1" ht="9">
      <c r="A6" s="143" t="s">
        <v>407</v>
      </c>
      <c r="B6" s="44"/>
      <c r="C6" s="44"/>
      <c r="D6" s="52"/>
      <c r="E6" s="52"/>
      <c r="F6" s="52"/>
      <c r="G6" s="44"/>
      <c r="H6" s="44"/>
      <c r="I6" s="92"/>
      <c r="J6" s="44"/>
      <c r="K6" s="44"/>
      <c r="L6" s="44"/>
      <c r="M6" s="44"/>
      <c r="N6" s="52"/>
      <c r="O6" s="52"/>
      <c r="P6" s="52"/>
      <c r="Q6" s="94"/>
      <c r="R6" s="147"/>
      <c r="S6" s="147"/>
      <c r="T6" s="147"/>
      <c r="U6" s="147"/>
      <c r="V6" s="147"/>
    </row>
    <row r="7" spans="1:22" s="6" customFormat="1" ht="9">
      <c r="A7" s="143" t="s">
        <v>408</v>
      </c>
      <c r="B7" s="44">
        <v>40</v>
      </c>
      <c r="C7" s="44"/>
      <c r="D7" s="52">
        <v>0</v>
      </c>
      <c r="E7" s="52">
        <v>0</v>
      </c>
      <c r="F7" s="52">
        <v>0</v>
      </c>
      <c r="G7" s="44">
        <v>1</v>
      </c>
      <c r="H7" s="44">
        <f>B7*G7</f>
        <v>40</v>
      </c>
      <c r="I7" s="91">
        <v>0</v>
      </c>
      <c r="J7" s="91">
        <f>H7*I7</f>
        <v>0</v>
      </c>
      <c r="K7" s="91">
        <f>J7*0.1</f>
        <v>0</v>
      </c>
      <c r="L7" s="91">
        <f>J7*0.05</f>
        <v>0</v>
      </c>
      <c r="M7" s="44">
        <f>C7*G7*I7</f>
        <v>0</v>
      </c>
      <c r="N7" s="52">
        <f>(J7*'Base Data'!$C$5)+(K7*'Base Data'!$C$6)+(L7*'Base Data'!$C$7)</f>
        <v>0</v>
      </c>
      <c r="O7" s="52">
        <f>(D7+E7+F7)*G7*I7</f>
        <v>0</v>
      </c>
      <c r="P7" s="92">
        <v>0</v>
      </c>
      <c r="Q7" s="94" t="s">
        <v>387</v>
      </c>
      <c r="R7" s="147"/>
      <c r="S7" s="147"/>
      <c r="T7" s="147"/>
      <c r="U7" s="147"/>
      <c r="V7" s="147"/>
    </row>
    <row r="8" spans="1:22" s="6" customFormat="1" ht="9">
      <c r="A8" s="143" t="s">
        <v>409</v>
      </c>
      <c r="B8" s="44"/>
      <c r="C8" s="44"/>
      <c r="D8" s="52"/>
      <c r="E8" s="52"/>
      <c r="F8" s="52"/>
      <c r="G8" s="44"/>
      <c r="H8" s="44"/>
      <c r="I8" s="92"/>
      <c r="J8" s="44"/>
      <c r="K8" s="44"/>
      <c r="L8" s="44"/>
      <c r="M8" s="44"/>
      <c r="N8" s="52"/>
      <c r="O8" s="52"/>
      <c r="P8" s="92"/>
      <c r="Q8" s="94"/>
      <c r="R8" s="147"/>
      <c r="S8" s="147"/>
      <c r="T8" s="147"/>
      <c r="U8" s="147"/>
      <c r="V8" s="147"/>
    </row>
    <row r="9" spans="1:22" s="6" customFormat="1" ht="9">
      <c r="A9" s="143" t="s">
        <v>423</v>
      </c>
      <c r="B9" s="44"/>
      <c r="C9" s="44"/>
      <c r="D9" s="95"/>
      <c r="E9" s="52"/>
      <c r="F9" s="52"/>
      <c r="G9" s="44"/>
      <c r="H9" s="44"/>
      <c r="I9" s="91"/>
      <c r="J9" s="92"/>
      <c r="K9" s="92"/>
      <c r="L9" s="92"/>
      <c r="M9" s="93"/>
      <c r="N9" s="52"/>
      <c r="O9" s="52"/>
      <c r="P9" s="92"/>
      <c r="Q9" s="94"/>
      <c r="R9" s="94"/>
      <c r="S9" s="147"/>
      <c r="T9" s="147"/>
      <c r="U9" s="147"/>
      <c r="V9" s="195"/>
    </row>
    <row r="10" spans="1:22" s="6" customFormat="1" ht="9">
      <c r="A10" s="142" t="s">
        <v>274</v>
      </c>
      <c r="B10" s="44">
        <v>20</v>
      </c>
      <c r="C10" s="44"/>
      <c r="D10" s="52">
        <v>854</v>
      </c>
      <c r="E10" s="52">
        <v>0</v>
      </c>
      <c r="F10" s="52">
        <v>0</v>
      </c>
      <c r="G10" s="44">
        <v>1</v>
      </c>
      <c r="H10" s="44">
        <f>B10*G10</f>
        <v>20</v>
      </c>
      <c r="I10" s="91">
        <f>ROUND('Testing Costs'!$C$22*(SUM('Base Data'!$H$16:$H$17,'Base Data'!$H$21:$H$22)/2),0)</f>
        <v>0</v>
      </c>
      <c r="J10" s="92">
        <f>H10*I10</f>
        <v>0</v>
      </c>
      <c r="K10" s="92">
        <f>J10*0.1</f>
        <v>0</v>
      </c>
      <c r="L10" s="92">
        <f>J10*0.05</f>
        <v>0</v>
      </c>
      <c r="M10" s="93">
        <f>C10*G10*I10</f>
        <v>0</v>
      </c>
      <c r="N10" s="52">
        <f>(J10*'Base Data'!$C$5)+(K10*'Base Data'!$C$6)+(L10*'Base Data'!$C$7)</f>
        <v>0</v>
      </c>
      <c r="O10" s="52">
        <f>(D10+E10+F10)*G10*I10</f>
        <v>0</v>
      </c>
      <c r="P10" s="92">
        <v>0</v>
      </c>
      <c r="Q10" s="94" t="s">
        <v>544</v>
      </c>
      <c r="R10" s="94"/>
      <c r="S10" s="147"/>
      <c r="T10" s="147"/>
      <c r="U10" s="147"/>
      <c r="V10" s="195"/>
    </row>
    <row r="11" spans="1:22" s="6" customFormat="1" ht="9">
      <c r="A11" s="142" t="s">
        <v>276</v>
      </c>
      <c r="B11" s="44">
        <v>20</v>
      </c>
      <c r="C11" s="44"/>
      <c r="D11" s="52">
        <v>18292</v>
      </c>
      <c r="E11" s="52">
        <v>0</v>
      </c>
      <c r="F11" s="52">
        <v>0</v>
      </c>
      <c r="G11" s="44">
        <v>1</v>
      </c>
      <c r="H11" s="44">
        <f>B11*G11</f>
        <v>20</v>
      </c>
      <c r="I11" s="91">
        <f>ROUND('Testing Costs'!$C$23*(SUM('Base Data'!$H$16:$H$17,'Base Data'!$H$21:$H$22)/2),0)</f>
        <v>2</v>
      </c>
      <c r="J11" s="92">
        <f>H11*I11</f>
        <v>40</v>
      </c>
      <c r="K11" s="92">
        <f>J11*0.1</f>
        <v>4</v>
      </c>
      <c r="L11" s="92">
        <f>J11*0.05</f>
        <v>2</v>
      </c>
      <c r="M11" s="93">
        <f>C11*G11*I11</f>
        <v>0</v>
      </c>
      <c r="N11" s="52">
        <f>(J11*'Base Data'!$C$5)+(K11*'Base Data'!$C$6)+(L11*'Base Data'!$C$7)</f>
        <v>4351.0999999999995</v>
      </c>
      <c r="O11" s="52">
        <f>(D11+E11+F11)*G11*I11</f>
        <v>36584</v>
      </c>
      <c r="P11" s="92">
        <v>0</v>
      </c>
      <c r="Q11" s="94" t="s">
        <v>544</v>
      </c>
      <c r="R11" s="94"/>
      <c r="S11" s="147"/>
      <c r="T11" s="147"/>
      <c r="U11" s="147"/>
      <c r="V11" s="195"/>
    </row>
    <row r="12" spans="1:22" s="6" customFormat="1" ht="9">
      <c r="A12" s="143" t="s">
        <v>249</v>
      </c>
      <c r="B12" s="44">
        <v>12</v>
      </c>
      <c r="C12" s="44"/>
      <c r="D12" s="52">
        <v>0</v>
      </c>
      <c r="E12" s="52">
        <v>2228</v>
      </c>
      <c r="F12" s="52">
        <v>0</v>
      </c>
      <c r="G12" s="44">
        <v>0.5</v>
      </c>
      <c r="H12" s="44">
        <f>B12*G12</f>
        <v>6</v>
      </c>
      <c r="I12" s="91">
        <f>ROUNDUP(SUM('Base Data'!$D$16:$D$17,'Base Data'!$D$21:$D$22)/2,0)</f>
        <v>18</v>
      </c>
      <c r="J12" s="91">
        <f>H12*I12</f>
        <v>108</v>
      </c>
      <c r="K12" s="91">
        <f>J12*0.1</f>
        <v>10.8</v>
      </c>
      <c r="L12" s="91">
        <f>J12*0.05</f>
        <v>5.4</v>
      </c>
      <c r="M12" s="92"/>
      <c r="N12" s="52">
        <f>(J12*'Base Data'!$C$5)+(K12*'Base Data'!$C$6)+(L12*'Base Data'!$C$7)</f>
        <v>11747.97</v>
      </c>
      <c r="O12" s="52">
        <f>(D12+E12+F12)*I12</f>
        <v>40104</v>
      </c>
      <c r="P12" s="92">
        <v>0</v>
      </c>
      <c r="Q12" s="94" t="s">
        <v>388</v>
      </c>
      <c r="R12" s="147"/>
      <c r="S12" s="147"/>
      <c r="T12" s="147"/>
      <c r="U12" s="147"/>
      <c r="V12" s="147"/>
    </row>
    <row r="13" spans="1:22" s="6" customFormat="1" ht="9">
      <c r="A13" s="143" t="s">
        <v>415</v>
      </c>
      <c r="B13" s="44" t="s">
        <v>433</v>
      </c>
      <c r="C13" s="44"/>
      <c r="D13" s="52"/>
      <c r="E13" s="52"/>
      <c r="F13" s="52"/>
      <c r="G13" s="44"/>
      <c r="H13" s="44"/>
      <c r="I13" s="92"/>
      <c r="J13" s="44"/>
      <c r="K13" s="44"/>
      <c r="L13" s="44"/>
      <c r="M13" s="44"/>
      <c r="N13" s="52"/>
      <c r="O13" s="52"/>
      <c r="P13" s="92"/>
      <c r="Q13" s="94"/>
      <c r="R13" s="147"/>
      <c r="S13" s="147"/>
      <c r="T13" s="147"/>
      <c r="U13" s="147"/>
      <c r="V13" s="147"/>
    </row>
    <row r="14" spans="1:22" s="6" customFormat="1" ht="9">
      <c r="A14" s="143" t="s">
        <v>416</v>
      </c>
      <c r="B14" s="44" t="s">
        <v>433</v>
      </c>
      <c r="C14" s="44"/>
      <c r="D14" s="52"/>
      <c r="E14" s="52"/>
      <c r="F14" s="52"/>
      <c r="G14" s="44"/>
      <c r="H14" s="44"/>
      <c r="I14" s="92"/>
      <c r="J14" s="44"/>
      <c r="K14" s="44"/>
      <c r="L14" s="44"/>
      <c r="M14" s="44"/>
      <c r="N14" s="52"/>
      <c r="O14" s="52"/>
      <c r="P14" s="92"/>
      <c r="Q14" s="94"/>
      <c r="R14" s="147"/>
      <c r="S14" s="147"/>
      <c r="T14" s="147"/>
      <c r="U14" s="147"/>
      <c r="V14" s="147"/>
    </row>
    <row r="15" spans="1:22" s="6" customFormat="1" ht="9">
      <c r="A15" s="143" t="s">
        <v>417</v>
      </c>
      <c r="B15" s="44"/>
      <c r="C15" s="44"/>
      <c r="D15" s="52"/>
      <c r="E15" s="52"/>
      <c r="F15" s="52"/>
      <c r="G15" s="44"/>
      <c r="H15" s="44"/>
      <c r="I15" s="92"/>
      <c r="J15" s="44"/>
      <c r="K15" s="44"/>
      <c r="L15" s="44"/>
      <c r="M15" s="44"/>
      <c r="N15" s="52"/>
      <c r="O15" s="52"/>
      <c r="P15" s="92"/>
      <c r="Q15" s="94"/>
      <c r="R15" s="147"/>
      <c r="S15" s="147"/>
      <c r="T15" s="147"/>
      <c r="U15" s="147"/>
      <c r="V15" s="147"/>
    </row>
    <row r="16" spans="1:22" s="6" customFormat="1" ht="9">
      <c r="A16" s="177" t="s">
        <v>435</v>
      </c>
      <c r="B16" s="44">
        <v>2</v>
      </c>
      <c r="C16" s="44"/>
      <c r="D16" s="52">
        <v>0</v>
      </c>
      <c r="E16" s="52">
        <v>0</v>
      </c>
      <c r="F16" s="52">
        <v>0</v>
      </c>
      <c r="G16" s="44">
        <v>1</v>
      </c>
      <c r="H16" s="44">
        <f>B16*G16</f>
        <v>2</v>
      </c>
      <c r="I16" s="91">
        <v>0</v>
      </c>
      <c r="J16" s="91">
        <f>H16*I16</f>
        <v>0</v>
      </c>
      <c r="K16" s="91">
        <f>J16*0.1</f>
        <v>0</v>
      </c>
      <c r="L16" s="91">
        <f>J16*0.05</f>
        <v>0</v>
      </c>
      <c r="M16" s="44">
        <f>C16*G16*I16</f>
        <v>0</v>
      </c>
      <c r="N16" s="52">
        <f>(J16*'Base Data'!$C$5)+(K16*'Base Data'!$C$6)+(L16*'Base Data'!$C$7)</f>
        <v>0</v>
      </c>
      <c r="O16" s="52">
        <f>(D16+E16+F16)*G16*I16</f>
        <v>0</v>
      </c>
      <c r="P16" s="92">
        <f>G16*I16</f>
        <v>0</v>
      </c>
      <c r="Q16" s="94" t="s">
        <v>387</v>
      </c>
      <c r="R16" s="147"/>
      <c r="S16" s="147"/>
      <c r="T16" s="147"/>
      <c r="U16" s="147"/>
      <c r="V16" s="147"/>
    </row>
    <row r="17" spans="1:22" s="6" customFormat="1" ht="9">
      <c r="A17" s="177" t="s">
        <v>377</v>
      </c>
      <c r="B17" s="44">
        <v>8</v>
      </c>
      <c r="C17" s="44"/>
      <c r="D17" s="52">
        <v>0</v>
      </c>
      <c r="E17" s="52">
        <v>0</v>
      </c>
      <c r="F17" s="52">
        <v>0</v>
      </c>
      <c r="G17" s="44">
        <v>1</v>
      </c>
      <c r="H17" s="44">
        <f>B17*G17</f>
        <v>8</v>
      </c>
      <c r="I17" s="92">
        <v>0</v>
      </c>
      <c r="J17" s="91">
        <f>H17*I17</f>
        <v>0</v>
      </c>
      <c r="K17" s="91">
        <f>J17*0.1</f>
        <v>0</v>
      </c>
      <c r="L17" s="91">
        <f>J17*0.05</f>
        <v>0</v>
      </c>
      <c r="M17" s="44">
        <f>C17*G17*I17</f>
        <v>0</v>
      </c>
      <c r="N17" s="52">
        <f>(J17*'Base Data'!$C$5)+(K17*'Base Data'!$C$6)+(L17*'Base Data'!$C$7)</f>
        <v>0</v>
      </c>
      <c r="O17" s="52">
        <f>(D17+E17+F17)*G17*I17</f>
        <v>0</v>
      </c>
      <c r="P17" s="92">
        <f>G17*I17</f>
        <v>0</v>
      </c>
      <c r="Q17" s="94" t="s">
        <v>388</v>
      </c>
      <c r="R17" s="147"/>
      <c r="S17" s="147"/>
      <c r="T17" s="147"/>
      <c r="U17" s="147"/>
      <c r="V17" s="147"/>
    </row>
    <row r="18" spans="1:22" s="6" customFormat="1" ht="9">
      <c r="A18" s="144" t="s">
        <v>248</v>
      </c>
      <c r="B18" s="44">
        <v>5</v>
      </c>
      <c r="C18" s="44"/>
      <c r="D18" s="52">
        <v>0</v>
      </c>
      <c r="E18" s="52">
        <v>0</v>
      </c>
      <c r="F18" s="52">
        <v>0</v>
      </c>
      <c r="G18" s="44">
        <v>0.5</v>
      </c>
      <c r="H18" s="44">
        <f>B18*G18</f>
        <v>2.5</v>
      </c>
      <c r="I18" s="91">
        <v>0</v>
      </c>
      <c r="J18" s="91">
        <f>H18*I18</f>
        <v>0</v>
      </c>
      <c r="K18" s="91">
        <f>J18*0.1</f>
        <v>0</v>
      </c>
      <c r="L18" s="91">
        <f>J18*0.05</f>
        <v>0</v>
      </c>
      <c r="M18" s="44">
        <f>C18*G18*I18</f>
        <v>0</v>
      </c>
      <c r="N18" s="52">
        <f>(J18*'Base Data'!$C$5)+(K18*'Base Data'!$C$6)+(L18*'Base Data'!$C$7)</f>
        <v>0</v>
      </c>
      <c r="O18" s="52">
        <f>(D18+E18+F18)*G18*I18</f>
        <v>0</v>
      </c>
      <c r="P18" s="92">
        <f>G18*I18</f>
        <v>0</v>
      </c>
      <c r="Q18" s="94" t="s">
        <v>273</v>
      </c>
      <c r="R18" s="147"/>
      <c r="S18" s="147"/>
      <c r="T18" s="147"/>
      <c r="U18" s="147"/>
      <c r="V18" s="147"/>
    </row>
    <row r="19" spans="1:22" s="6" customFormat="1" ht="9">
      <c r="A19" s="177" t="s">
        <v>505</v>
      </c>
      <c r="B19" s="44">
        <v>5</v>
      </c>
      <c r="C19" s="18"/>
      <c r="D19" s="39">
        <v>0</v>
      </c>
      <c r="E19" s="39">
        <v>0</v>
      </c>
      <c r="F19" s="39">
        <v>0</v>
      </c>
      <c r="G19" s="18">
        <v>1</v>
      </c>
      <c r="H19" s="18">
        <f>B19*G19</f>
        <v>5</v>
      </c>
      <c r="I19" s="91">
        <v>0</v>
      </c>
      <c r="J19" s="19">
        <f>H19*I19</f>
        <v>0</v>
      </c>
      <c r="K19" s="19">
        <f>J19*0.1</f>
        <v>0</v>
      </c>
      <c r="L19" s="19">
        <f>J19*0.05</f>
        <v>0</v>
      </c>
      <c r="M19" s="18">
        <f>C19*G19*I19</f>
        <v>0</v>
      </c>
      <c r="N19" s="39">
        <f>(J19*'Base Data'!$C$5)+(K19*'Base Data'!$C$6)+(L19*'Base Data'!$C$7)</f>
        <v>0</v>
      </c>
      <c r="O19" s="39">
        <f>(D19+E19+F19)*G19*I19</f>
        <v>0</v>
      </c>
      <c r="P19" s="19">
        <f>G19*I19</f>
        <v>0</v>
      </c>
      <c r="Q19" s="29" t="s">
        <v>388</v>
      </c>
    </row>
    <row r="20" spans="1:22" s="6" customFormat="1" ht="9">
      <c r="A20" s="148" t="s">
        <v>7</v>
      </c>
      <c r="B20" s="44"/>
      <c r="C20" s="44"/>
      <c r="D20" s="52"/>
      <c r="E20" s="52"/>
      <c r="F20" s="52"/>
      <c r="G20" s="44"/>
      <c r="H20" s="44"/>
      <c r="I20" s="92"/>
      <c r="J20" s="92">
        <f>SUM(J7:J19)</f>
        <v>148</v>
      </c>
      <c r="K20" s="92">
        <f t="shared" ref="K20:P20" si="0">SUM(K7:K19)</f>
        <v>14.8</v>
      </c>
      <c r="L20" s="92">
        <f t="shared" si="0"/>
        <v>7.4</v>
      </c>
      <c r="M20" s="92">
        <f t="shared" si="0"/>
        <v>0</v>
      </c>
      <c r="N20" s="39">
        <f t="shared" si="0"/>
        <v>16099.07</v>
      </c>
      <c r="O20" s="39">
        <f t="shared" si="0"/>
        <v>76688</v>
      </c>
      <c r="P20" s="92">
        <f t="shared" si="0"/>
        <v>0</v>
      </c>
      <c r="Q20" s="94"/>
      <c r="R20" s="149">
        <f>SUM(O7:O12)</f>
        <v>76688</v>
      </c>
      <c r="S20" s="147">
        <f>0</f>
        <v>0</v>
      </c>
      <c r="T20" s="147"/>
      <c r="U20" s="147"/>
      <c r="V20" s="147"/>
    </row>
    <row r="21" spans="1:22" s="6" customFormat="1" ht="9">
      <c r="A21" s="143" t="s">
        <v>431</v>
      </c>
      <c r="B21" s="44"/>
      <c r="C21" s="44"/>
      <c r="D21" s="52"/>
      <c r="E21" s="52"/>
      <c r="F21" s="52"/>
      <c r="G21" s="44"/>
      <c r="H21" s="44"/>
      <c r="I21" s="92"/>
      <c r="J21" s="44"/>
      <c r="K21" s="44"/>
      <c r="L21" s="44"/>
      <c r="M21" s="44"/>
      <c r="N21" s="52"/>
      <c r="O21" s="52"/>
      <c r="P21" s="92"/>
      <c r="Q21" s="94"/>
      <c r="R21" s="147"/>
      <c r="S21" s="147"/>
      <c r="T21" s="147"/>
      <c r="U21" s="147"/>
      <c r="V21" s="147"/>
    </row>
    <row r="22" spans="1:22" s="6" customFormat="1" ht="9">
      <c r="A22" s="143" t="s">
        <v>418</v>
      </c>
      <c r="B22" s="44" t="s">
        <v>422</v>
      </c>
      <c r="C22" s="44"/>
      <c r="D22" s="52"/>
      <c r="E22" s="52"/>
      <c r="F22" s="52"/>
      <c r="G22" s="44"/>
      <c r="H22" s="44"/>
      <c r="I22" s="92"/>
      <c r="J22" s="44"/>
      <c r="K22" s="44"/>
      <c r="L22" s="44"/>
      <c r="M22" s="44"/>
      <c r="N22" s="52"/>
      <c r="O22" s="52"/>
      <c r="P22" s="92"/>
      <c r="Q22" s="94"/>
      <c r="R22" s="147"/>
      <c r="S22" s="147"/>
      <c r="T22" s="147"/>
      <c r="U22" s="147"/>
      <c r="V22" s="147"/>
    </row>
    <row r="23" spans="1:22" s="6" customFormat="1" ht="9">
      <c r="A23" s="143" t="s">
        <v>419</v>
      </c>
      <c r="B23" s="44" t="s">
        <v>433</v>
      </c>
      <c r="C23" s="44"/>
      <c r="D23" s="52"/>
      <c r="E23" s="52"/>
      <c r="F23" s="52"/>
      <c r="G23" s="44"/>
      <c r="H23" s="44"/>
      <c r="I23" s="92"/>
      <c r="J23" s="44"/>
      <c r="K23" s="44"/>
      <c r="L23" s="44"/>
      <c r="M23" s="44"/>
      <c r="N23" s="52"/>
      <c r="O23" s="52"/>
      <c r="P23" s="92"/>
      <c r="Q23" s="94"/>
      <c r="R23" s="147"/>
      <c r="S23" s="147"/>
      <c r="T23" s="147"/>
      <c r="U23" s="147"/>
      <c r="V23" s="147"/>
    </row>
    <row r="24" spans="1:22" s="6" customFormat="1" ht="9">
      <c r="A24" s="143" t="s">
        <v>420</v>
      </c>
      <c r="B24" s="44" t="s">
        <v>433</v>
      </c>
      <c r="C24" s="44"/>
      <c r="D24" s="52"/>
      <c r="E24" s="52"/>
      <c r="F24" s="52"/>
      <c r="G24" s="44"/>
      <c r="H24" s="44"/>
      <c r="I24" s="92"/>
      <c r="J24" s="44"/>
      <c r="K24" s="44"/>
      <c r="L24" s="44"/>
      <c r="M24" s="44"/>
      <c r="N24" s="52"/>
      <c r="O24" s="52"/>
      <c r="P24" s="92"/>
      <c r="Q24" s="94" t="s">
        <v>389</v>
      </c>
      <c r="R24" s="147"/>
      <c r="S24" s="147"/>
      <c r="T24" s="147"/>
      <c r="U24" s="147"/>
      <c r="V24" s="147"/>
    </row>
    <row r="25" spans="1:22" s="6" customFormat="1" ht="9">
      <c r="A25" s="143" t="s">
        <v>421</v>
      </c>
      <c r="B25" s="44"/>
      <c r="C25" s="44"/>
      <c r="D25" s="52"/>
      <c r="E25" s="52"/>
      <c r="F25" s="52"/>
      <c r="G25" s="44"/>
      <c r="H25" s="44"/>
      <c r="I25" s="92"/>
      <c r="J25" s="44"/>
      <c r="K25" s="44"/>
      <c r="L25" s="44"/>
      <c r="M25" s="44"/>
      <c r="N25" s="52"/>
      <c r="O25" s="52"/>
      <c r="P25" s="92"/>
      <c r="Q25" s="94"/>
      <c r="R25" s="147"/>
      <c r="S25" s="147"/>
      <c r="T25" s="147"/>
      <c r="U25" s="147"/>
      <c r="V25" s="147"/>
    </row>
    <row r="26" spans="1:22" s="6" customFormat="1" ht="19.5" customHeight="1">
      <c r="A26" s="177" t="s">
        <v>375</v>
      </c>
      <c r="B26" s="44">
        <v>2</v>
      </c>
      <c r="C26" s="44">
        <v>0</v>
      </c>
      <c r="D26" s="52">
        <v>0</v>
      </c>
      <c r="E26" s="52">
        <v>0</v>
      </c>
      <c r="F26" s="52">
        <v>0</v>
      </c>
      <c r="G26" s="44">
        <v>0.5</v>
      </c>
      <c r="H26" s="44">
        <f>B26*G26</f>
        <v>1</v>
      </c>
      <c r="I26" s="92">
        <v>0</v>
      </c>
      <c r="J26" s="91">
        <f>H26*I26</f>
        <v>0</v>
      </c>
      <c r="K26" s="91">
        <f>J26*0.1</f>
        <v>0</v>
      </c>
      <c r="L26" s="91">
        <f>J26*0.05</f>
        <v>0</v>
      </c>
      <c r="M26" s="44">
        <f>C26*G26*I26</f>
        <v>0</v>
      </c>
      <c r="N26" s="52">
        <f>(J26*'Base Data'!$C$5)+(K26*'Base Data'!$C$6)+(L26*'Base Data'!$C$7)</f>
        <v>0</v>
      </c>
      <c r="O26" s="52">
        <f>(D26+E26+F26)*G26*I26</f>
        <v>0</v>
      </c>
      <c r="P26" s="92">
        <v>0</v>
      </c>
      <c r="Q26" s="94" t="s">
        <v>388</v>
      </c>
      <c r="R26" s="147"/>
      <c r="S26" s="147"/>
      <c r="T26" s="147"/>
      <c r="U26" s="147"/>
      <c r="V26" s="147"/>
    </row>
    <row r="27" spans="1:22" s="6" customFormat="1" ht="18">
      <c r="A27" s="177" t="s">
        <v>376</v>
      </c>
      <c r="B27" s="44">
        <v>15</v>
      </c>
      <c r="C27" s="44">
        <v>0</v>
      </c>
      <c r="D27" s="52">
        <v>0</v>
      </c>
      <c r="E27" s="52">
        <v>0</v>
      </c>
      <c r="F27" s="52">
        <v>0</v>
      </c>
      <c r="G27" s="44">
        <v>1</v>
      </c>
      <c r="H27" s="44">
        <f>B27*G27</f>
        <v>15</v>
      </c>
      <c r="I27" s="92">
        <v>0</v>
      </c>
      <c r="J27" s="91">
        <f>H27*I27</f>
        <v>0</v>
      </c>
      <c r="K27" s="91">
        <f>J27*0.1</f>
        <v>0</v>
      </c>
      <c r="L27" s="91">
        <f>J27*0.05</f>
        <v>0</v>
      </c>
      <c r="M27" s="44">
        <f>C27*G27*I27</f>
        <v>0</v>
      </c>
      <c r="N27" s="52">
        <f>(J27*'Base Data'!$C$5)+(K27*'Base Data'!$C$6)+(L27*'Base Data'!$C$7)</f>
        <v>0</v>
      </c>
      <c r="O27" s="52">
        <f>(D27+E27+F27)*G27*I27</f>
        <v>0</v>
      </c>
      <c r="P27" s="92">
        <v>0</v>
      </c>
      <c r="Q27" s="94" t="s">
        <v>69</v>
      </c>
      <c r="R27" s="147"/>
      <c r="S27" s="147"/>
      <c r="T27" s="147"/>
      <c r="U27" s="147"/>
      <c r="V27" s="147"/>
    </row>
    <row r="28" spans="1:22" s="6" customFormat="1" ht="9">
      <c r="A28" s="177" t="s">
        <v>251</v>
      </c>
      <c r="B28" s="44">
        <v>0.5</v>
      </c>
      <c r="C28" s="44"/>
      <c r="D28" s="52">
        <v>0</v>
      </c>
      <c r="E28" s="52">
        <v>0</v>
      </c>
      <c r="F28" s="52">
        <v>0</v>
      </c>
      <c r="G28" s="44">
        <v>0.5</v>
      </c>
      <c r="H28" s="44">
        <f>B28*G28</f>
        <v>0.25</v>
      </c>
      <c r="I28" s="91">
        <v>0</v>
      </c>
      <c r="J28" s="91">
        <f>H28*I28</f>
        <v>0</v>
      </c>
      <c r="K28" s="91">
        <f>J28*0.1</f>
        <v>0</v>
      </c>
      <c r="L28" s="91">
        <f>J28*0.05</f>
        <v>0</v>
      </c>
      <c r="M28" s="44">
        <f>C28*G28*I28</f>
        <v>0</v>
      </c>
      <c r="N28" s="52">
        <f>(J28*'Base Data'!$C$5)+(K28*'Base Data'!$C$6)+(L28*'Base Data'!$C$7)</f>
        <v>0</v>
      </c>
      <c r="O28" s="52">
        <f>(D28+E28+F28)*G28*I28</f>
        <v>0</v>
      </c>
      <c r="P28" s="92">
        <v>0</v>
      </c>
      <c r="Q28" s="94" t="s">
        <v>388</v>
      </c>
      <c r="R28" s="147"/>
      <c r="S28" s="147"/>
      <c r="T28" s="147"/>
      <c r="U28" s="147"/>
      <c r="V28" s="147"/>
    </row>
    <row r="29" spans="1:22" s="6" customFormat="1" ht="9">
      <c r="A29" s="142" t="s">
        <v>427</v>
      </c>
      <c r="B29" s="44">
        <v>40</v>
      </c>
      <c r="C29" s="18"/>
      <c r="D29" s="39">
        <v>0</v>
      </c>
      <c r="E29" s="39">
        <v>0</v>
      </c>
      <c r="F29" s="39">
        <v>0</v>
      </c>
      <c r="G29" s="18">
        <v>1</v>
      </c>
      <c r="H29" s="18">
        <f t="shared" ref="H29" si="1">B29*G29</f>
        <v>40</v>
      </c>
      <c r="I29" s="91">
        <f>ROUND(SUM('Base Data'!$H$16:$H$17,'Base Data'!$H$21:$H$22)/2,0)</f>
        <v>2</v>
      </c>
      <c r="J29" s="19">
        <f t="shared" ref="J29" si="2">H29*I29</f>
        <v>80</v>
      </c>
      <c r="K29" s="19">
        <f t="shared" ref="K29" si="3">J29*0.1</f>
        <v>8</v>
      </c>
      <c r="L29" s="19">
        <f t="shared" ref="L29" si="4">J29*0.05</f>
        <v>4</v>
      </c>
      <c r="M29" s="18"/>
      <c r="N29" s="39">
        <f>(J29*'Base Data'!$C$5)+(K29*'Base Data'!$C$6)+(L29*'Base Data'!$C$7)</f>
        <v>8702.1999999999989</v>
      </c>
      <c r="O29" s="39">
        <f t="shared" ref="O29" si="5">(D29+E29+F29)*G29*I29</f>
        <v>0</v>
      </c>
      <c r="P29" s="92">
        <v>0</v>
      </c>
      <c r="Q29" s="29" t="s">
        <v>78</v>
      </c>
    </row>
    <row r="30" spans="1:22" s="6" customFormat="1" ht="9">
      <c r="A30" s="143" t="s">
        <v>428</v>
      </c>
      <c r="B30" s="44" t="s">
        <v>433</v>
      </c>
      <c r="C30" s="44"/>
      <c r="D30" s="52"/>
      <c r="E30" s="52"/>
      <c r="F30" s="52"/>
      <c r="G30" s="44"/>
      <c r="H30" s="44"/>
      <c r="I30" s="92"/>
      <c r="J30" s="44"/>
      <c r="K30" s="44"/>
      <c r="L30" s="44"/>
      <c r="M30" s="44"/>
      <c r="N30" s="52"/>
      <c r="O30" s="52"/>
      <c r="P30" s="92"/>
      <c r="Q30" s="94"/>
      <c r="R30" s="147"/>
      <c r="S30" s="147"/>
      <c r="T30" s="147"/>
      <c r="U30" s="147"/>
      <c r="V30" s="147"/>
    </row>
    <row r="31" spans="1:22" s="6" customFormat="1" ht="9">
      <c r="A31" s="256" t="s">
        <v>27</v>
      </c>
      <c r="B31" s="239"/>
      <c r="C31" s="239"/>
      <c r="D31" s="240"/>
      <c r="E31" s="240"/>
      <c r="F31" s="240"/>
      <c r="G31" s="239"/>
      <c r="H31" s="239"/>
      <c r="I31" s="241"/>
      <c r="J31" s="239">
        <f t="shared" ref="J31:O31" si="6">SUM(J22:J30)</f>
        <v>80</v>
      </c>
      <c r="K31" s="239">
        <f t="shared" si="6"/>
        <v>8</v>
      </c>
      <c r="L31" s="239">
        <f t="shared" si="6"/>
        <v>4</v>
      </c>
      <c r="M31" s="239">
        <f t="shared" si="6"/>
        <v>0</v>
      </c>
      <c r="N31" s="240">
        <f t="shared" si="6"/>
        <v>8702.1999999999989</v>
      </c>
      <c r="O31" s="240">
        <f t="shared" si="6"/>
        <v>0</v>
      </c>
      <c r="P31" s="241">
        <f>SUM(P22:P30)</f>
        <v>0</v>
      </c>
      <c r="Q31" s="242"/>
      <c r="R31" s="149">
        <f>SUM(O22:O31)</f>
        <v>0</v>
      </c>
      <c r="S31" s="147"/>
      <c r="T31" s="147"/>
      <c r="U31" s="147"/>
      <c r="V31" s="147"/>
    </row>
    <row r="32" spans="1:22" s="6" customFormat="1">
      <c r="A32" s="186" t="s">
        <v>400</v>
      </c>
      <c r="B32" s="187"/>
      <c r="C32" s="187"/>
      <c r="D32" s="187"/>
      <c r="E32" s="187"/>
      <c r="F32" s="187"/>
      <c r="G32" s="187"/>
      <c r="H32" s="187"/>
      <c r="I32" s="189"/>
      <c r="J32" s="190">
        <f t="shared" ref="J32:P32" si="7">SUM(J20,J31)</f>
        <v>228</v>
      </c>
      <c r="K32" s="190">
        <f t="shared" si="7"/>
        <v>22.8</v>
      </c>
      <c r="L32" s="190">
        <f t="shared" si="7"/>
        <v>11.4</v>
      </c>
      <c r="M32" s="190">
        <f t="shared" si="7"/>
        <v>0</v>
      </c>
      <c r="N32" s="191">
        <f t="shared" si="7"/>
        <v>24801.269999999997</v>
      </c>
      <c r="O32" s="191">
        <f t="shared" si="7"/>
        <v>76688</v>
      </c>
      <c r="P32" s="27">
        <f t="shared" si="7"/>
        <v>0</v>
      </c>
      <c r="Q32" s="192"/>
      <c r="R32" s="147"/>
      <c r="S32" s="147"/>
      <c r="T32" s="147"/>
      <c r="U32" s="147"/>
      <c r="V32" s="147"/>
    </row>
    <row r="33" spans="1:22" s="6" customFormat="1">
      <c r="A33" s="114"/>
      <c r="B33" s="54"/>
      <c r="C33" s="54"/>
      <c r="D33" s="54"/>
      <c r="E33" s="54"/>
      <c r="F33" s="54"/>
      <c r="G33" s="54"/>
      <c r="H33" s="54"/>
      <c r="I33" s="55"/>
      <c r="J33" s="54"/>
      <c r="K33" s="54"/>
      <c r="L33" s="54"/>
      <c r="M33" s="54"/>
      <c r="N33" s="54"/>
      <c r="O33" s="196"/>
      <c r="P33" s="8"/>
      <c r="Q33" s="54"/>
      <c r="R33" s="147"/>
      <c r="S33" s="147"/>
      <c r="T33" s="147"/>
      <c r="U33" s="147"/>
      <c r="V33" s="147"/>
    </row>
    <row r="34" spans="1:22" s="6" customFormat="1" ht="17.25" customHeight="1">
      <c r="A34" s="409" t="s">
        <v>497</v>
      </c>
      <c r="B34" s="409"/>
      <c r="C34" s="409"/>
      <c r="D34" s="409"/>
      <c r="E34" s="409"/>
      <c r="F34" s="409"/>
      <c r="G34" s="409"/>
      <c r="H34" s="409"/>
      <c r="I34" s="409"/>
      <c r="J34" s="409"/>
      <c r="K34" s="409"/>
      <c r="L34" s="409"/>
      <c r="M34" s="409"/>
      <c r="N34" s="409"/>
      <c r="O34" s="409"/>
      <c r="P34" s="409"/>
      <c r="Q34" s="409"/>
      <c r="R34" s="147"/>
      <c r="S34" s="147"/>
      <c r="T34" s="147"/>
      <c r="U34" s="147"/>
      <c r="V34" s="147"/>
    </row>
    <row r="35" spans="1:22" s="14" customFormat="1" ht="29.25" customHeight="1">
      <c r="A35" s="409" t="s">
        <v>278</v>
      </c>
      <c r="B35" s="409"/>
      <c r="C35" s="409"/>
      <c r="D35" s="409"/>
      <c r="E35" s="409"/>
      <c r="F35" s="409"/>
      <c r="G35" s="409"/>
      <c r="H35" s="409"/>
      <c r="I35" s="409"/>
      <c r="J35" s="409"/>
      <c r="K35" s="409"/>
      <c r="L35" s="409"/>
      <c r="M35" s="409"/>
      <c r="N35" s="409"/>
      <c r="O35" s="409"/>
      <c r="P35" s="330"/>
      <c r="Q35" s="56"/>
      <c r="R35" s="53"/>
      <c r="S35" s="53"/>
      <c r="T35" s="53"/>
      <c r="U35" s="53"/>
      <c r="V35" s="53"/>
    </row>
    <row r="36" spans="1:22" s="14" customFormat="1" ht="29.25" customHeight="1">
      <c r="A36" s="408" t="s">
        <v>250</v>
      </c>
      <c r="B36" s="408"/>
      <c r="C36" s="408"/>
      <c r="D36" s="408"/>
      <c r="E36" s="408"/>
      <c r="F36" s="408"/>
      <c r="G36" s="408"/>
      <c r="H36" s="408"/>
      <c r="I36" s="408"/>
      <c r="J36" s="408"/>
      <c r="K36" s="408"/>
      <c r="L36" s="408"/>
      <c r="M36" s="408"/>
      <c r="N36" s="408"/>
      <c r="O36" s="408"/>
      <c r="P36" s="330"/>
      <c r="Q36" s="7"/>
    </row>
    <row r="37" spans="1:22" s="14" customFormat="1" ht="21.75" customHeight="1">
      <c r="A37" s="409" t="s">
        <v>569</v>
      </c>
      <c r="B37" s="409"/>
      <c r="C37" s="409"/>
      <c r="D37" s="409"/>
      <c r="E37" s="409"/>
      <c r="F37" s="409"/>
      <c r="G37" s="409"/>
      <c r="H37" s="409"/>
      <c r="I37" s="409"/>
      <c r="J37" s="409"/>
      <c r="K37" s="409"/>
      <c r="L37" s="409"/>
      <c r="M37" s="409"/>
      <c r="N37" s="409"/>
      <c r="O37" s="409"/>
      <c r="P37" s="409"/>
      <c r="Q37" s="409"/>
    </row>
    <row r="38" spans="1:22" s="14" customFormat="1" ht="10.5" customHeight="1">
      <c r="A38" s="14" t="s">
        <v>441</v>
      </c>
      <c r="B38" s="15"/>
      <c r="C38" s="15"/>
      <c r="D38" s="15"/>
      <c r="E38" s="15"/>
      <c r="F38" s="15"/>
      <c r="G38" s="15"/>
      <c r="H38" s="16"/>
      <c r="I38" s="15"/>
      <c r="J38" s="15"/>
      <c r="K38" s="15"/>
      <c r="L38" s="15"/>
      <c r="M38" s="15"/>
      <c r="N38" s="15"/>
      <c r="O38" s="17"/>
      <c r="P38" s="197"/>
      <c r="Q38" s="15"/>
    </row>
    <row r="39" spans="1:22">
      <c r="A39" s="53" t="s">
        <v>572</v>
      </c>
      <c r="P39" s="114"/>
    </row>
    <row r="40" spans="1:22">
      <c r="A40" s="53" t="s">
        <v>571</v>
      </c>
      <c r="P40" s="114"/>
    </row>
    <row r="41" spans="1:22">
      <c r="A41" s="14" t="s">
        <v>570</v>
      </c>
      <c r="P41" s="114"/>
    </row>
  </sheetData>
  <mergeCells count="6">
    <mergeCell ref="A37:Q37"/>
    <mergeCell ref="A1:Q1"/>
    <mergeCell ref="A2:Q2"/>
    <mergeCell ref="A35:O35"/>
    <mergeCell ref="A36:O36"/>
    <mergeCell ref="A34:Q34"/>
  </mergeCells>
  <phoneticPr fontId="7" type="noConversion"/>
  <printOptions horizontalCentered="1"/>
  <pageMargins left="0.25" right="0.25" top="0.5" bottom="0.5" header="0.5" footer="0.5"/>
  <pageSetup scale="86" orientation="landscape" r:id="rId1"/>
  <headerFooter alignWithMargins="0"/>
</worksheet>
</file>

<file path=xl/worksheets/sheet29.xml><?xml version="1.0" encoding="utf-8"?>
<worksheet xmlns="http://schemas.openxmlformats.org/spreadsheetml/2006/main" xmlns:r="http://schemas.openxmlformats.org/officeDocument/2006/relationships">
  <sheetPr>
    <pageSetUpPr fitToPage="1"/>
  </sheetPr>
  <dimension ref="A1:S41"/>
  <sheetViews>
    <sheetView zoomScaleNormal="100" workbookViewId="0">
      <pane xSplit="1" ySplit="3" topLeftCell="B13" activePane="bottomRight" state="frozen"/>
      <selection activeCell="P31" sqref="P31"/>
      <selection pane="topRight" activeCell="P31" sqref="P31"/>
      <selection pane="bottomLeft" activeCell="P31" sqref="P31"/>
      <selection pane="bottomRight" activeCell="A39" sqref="A39:A40"/>
    </sheetView>
  </sheetViews>
  <sheetFormatPr defaultRowHeight="11.25"/>
  <cols>
    <col min="1" max="1" width="30.7109375" style="114" customWidth="1"/>
    <col min="2" max="2" width="9.140625" style="54"/>
    <col min="3" max="3" width="8" style="54" hidden="1" customWidth="1"/>
    <col min="4" max="5" width="9.7109375" style="54" customWidth="1"/>
    <col min="6" max="6" width="9" style="54" customWidth="1"/>
    <col min="7" max="7" width="10.28515625" style="54" customWidth="1"/>
    <col min="8" max="8" width="9" style="54" customWidth="1"/>
    <col min="9" max="9" width="10.28515625" style="196" customWidth="1"/>
    <col min="10" max="10" width="7.7109375" style="196" customWidth="1"/>
    <col min="11" max="11" width="6.140625" style="196" customWidth="1"/>
    <col min="12" max="12" width="8.7109375" style="196" customWidth="1"/>
    <col min="13" max="13" width="9" style="196" hidden="1" customWidth="1"/>
    <col min="14" max="14" width="10" style="54" customWidth="1"/>
    <col min="15" max="15" width="6.7109375" style="114" customWidth="1"/>
    <col min="16" max="16" width="7.7109375" style="1" customWidth="1"/>
    <col min="17" max="17" width="4.42578125" style="114" customWidth="1"/>
    <col min="18" max="19" width="9.140625" style="114" hidden="1" customWidth="1"/>
    <col min="20" max="16384" width="9.140625" style="114"/>
  </cols>
  <sheetData>
    <row r="1" spans="1:19">
      <c r="A1" s="410" t="s">
        <v>233</v>
      </c>
      <c r="B1" s="410"/>
      <c r="C1" s="410"/>
      <c r="D1" s="410"/>
      <c r="E1" s="410"/>
      <c r="F1" s="410"/>
      <c r="G1" s="410"/>
      <c r="H1" s="410"/>
      <c r="I1" s="410"/>
      <c r="J1" s="410"/>
      <c r="K1" s="410"/>
      <c r="L1" s="410"/>
      <c r="M1" s="410"/>
      <c r="N1" s="410"/>
      <c r="O1" s="410"/>
      <c r="P1" s="410"/>
      <c r="Q1" s="410"/>
    </row>
    <row r="2" spans="1:19">
      <c r="A2" s="411" t="s">
        <v>529</v>
      </c>
      <c r="B2" s="411"/>
      <c r="C2" s="411"/>
      <c r="D2" s="411"/>
      <c r="E2" s="411"/>
      <c r="F2" s="411"/>
      <c r="G2" s="411"/>
      <c r="H2" s="411"/>
      <c r="I2" s="411"/>
      <c r="J2" s="411"/>
      <c r="K2" s="411"/>
      <c r="L2" s="411"/>
      <c r="M2" s="411"/>
      <c r="N2" s="411"/>
      <c r="O2" s="411"/>
      <c r="P2" s="411"/>
      <c r="Q2" s="411"/>
    </row>
    <row r="3" spans="1:19" s="193" customFormat="1" ht="72">
      <c r="A3" s="45" t="s">
        <v>392</v>
      </c>
      <c r="B3" s="45" t="s">
        <v>393</v>
      </c>
      <c r="C3" s="45" t="s">
        <v>430</v>
      </c>
      <c r="D3" s="45" t="s">
        <v>4</v>
      </c>
      <c r="E3" s="45" t="s">
        <v>94</v>
      </c>
      <c r="F3" s="45" t="s">
        <v>5</v>
      </c>
      <c r="G3" s="12" t="s">
        <v>176</v>
      </c>
      <c r="H3" s="45" t="s">
        <v>459</v>
      </c>
      <c r="I3" s="60" t="s">
        <v>460</v>
      </c>
      <c r="J3" s="100" t="s">
        <v>462</v>
      </c>
      <c r="K3" s="100" t="s">
        <v>463</v>
      </c>
      <c r="L3" s="100" t="s">
        <v>461</v>
      </c>
      <c r="M3" s="45" t="s">
        <v>391</v>
      </c>
      <c r="N3" s="45" t="s">
        <v>8</v>
      </c>
      <c r="O3" s="100" t="s">
        <v>96</v>
      </c>
      <c r="P3" s="100" t="s">
        <v>175</v>
      </c>
      <c r="Q3" s="182" t="s">
        <v>394</v>
      </c>
      <c r="R3" s="193" t="s">
        <v>307</v>
      </c>
      <c r="S3" s="193" t="s">
        <v>308</v>
      </c>
    </row>
    <row r="4" spans="1:19" s="147" customFormat="1" ht="9">
      <c r="A4" s="194" t="s">
        <v>405</v>
      </c>
      <c r="B4" s="179" t="s">
        <v>433</v>
      </c>
      <c r="C4" s="179"/>
      <c r="D4" s="181"/>
      <c r="E4" s="181"/>
      <c r="F4" s="181"/>
      <c r="G4" s="179"/>
      <c r="H4" s="179"/>
      <c r="I4" s="183"/>
      <c r="J4" s="179"/>
      <c r="K4" s="179"/>
      <c r="L4" s="179"/>
      <c r="M4" s="179"/>
      <c r="N4" s="181"/>
      <c r="O4" s="181"/>
      <c r="P4" s="181"/>
      <c r="Q4" s="249"/>
    </row>
    <row r="5" spans="1:19" s="147" customFormat="1" ht="9">
      <c r="A5" s="143" t="s">
        <v>406</v>
      </c>
      <c r="B5" s="44" t="s">
        <v>433</v>
      </c>
      <c r="C5" s="44"/>
      <c r="D5" s="52"/>
      <c r="E5" s="52"/>
      <c r="F5" s="52"/>
      <c r="G5" s="44"/>
      <c r="H5" s="44"/>
      <c r="I5" s="92"/>
      <c r="J5" s="44"/>
      <c r="K5" s="44"/>
      <c r="L5" s="44"/>
      <c r="M5" s="44"/>
      <c r="N5" s="52"/>
      <c r="O5" s="52"/>
      <c r="P5" s="52"/>
      <c r="Q5" s="94"/>
    </row>
    <row r="6" spans="1:19" s="147" customFormat="1" ht="9">
      <c r="A6" s="143" t="s">
        <v>407</v>
      </c>
      <c r="B6" s="44"/>
      <c r="C6" s="44"/>
      <c r="D6" s="52"/>
      <c r="E6" s="52"/>
      <c r="F6" s="52"/>
      <c r="G6" s="44"/>
      <c r="H6" s="44"/>
      <c r="I6" s="92"/>
      <c r="J6" s="44"/>
      <c r="K6" s="44"/>
      <c r="L6" s="44"/>
      <c r="M6" s="44"/>
      <c r="N6" s="52"/>
      <c r="O6" s="52"/>
      <c r="P6" s="52"/>
      <c r="Q6" s="94"/>
    </row>
    <row r="7" spans="1:19" s="147" customFormat="1" ht="9">
      <c r="A7" s="143" t="s">
        <v>408</v>
      </c>
      <c r="B7" s="44">
        <v>40</v>
      </c>
      <c r="C7" s="44"/>
      <c r="D7" s="52">
        <v>0</v>
      </c>
      <c r="E7" s="52">
        <v>0</v>
      </c>
      <c r="F7" s="52">
        <v>0</v>
      </c>
      <c r="G7" s="44">
        <v>1</v>
      </c>
      <c r="H7" s="44">
        <f>B7*G7</f>
        <v>40</v>
      </c>
      <c r="I7" s="91">
        <v>0</v>
      </c>
      <c r="J7" s="91">
        <f>H7*I7</f>
        <v>0</v>
      </c>
      <c r="K7" s="91">
        <f>J7*0.1</f>
        <v>0</v>
      </c>
      <c r="L7" s="91">
        <f>J7*0.05</f>
        <v>0</v>
      </c>
      <c r="M7" s="44">
        <f>C7*G7*I7</f>
        <v>0</v>
      </c>
      <c r="N7" s="52">
        <f>(J7*'Base Data'!$C$5)+(K7*'Base Data'!$C$6)+(L7*'Base Data'!$C$7)</f>
        <v>0</v>
      </c>
      <c r="O7" s="52">
        <f>(D7+E7+F7)*G7*I7</f>
        <v>0</v>
      </c>
      <c r="P7" s="92">
        <v>0</v>
      </c>
      <c r="Q7" s="94" t="s">
        <v>387</v>
      </c>
    </row>
    <row r="8" spans="1:19" s="147" customFormat="1" ht="9">
      <c r="A8" s="143" t="s">
        <v>409</v>
      </c>
      <c r="B8" s="44"/>
      <c r="C8" s="44"/>
      <c r="D8" s="52"/>
      <c r="E8" s="52"/>
      <c r="F8" s="52"/>
      <c r="G8" s="44"/>
      <c r="H8" s="44"/>
      <c r="I8" s="92"/>
      <c r="J8" s="44"/>
      <c r="K8" s="44"/>
      <c r="L8" s="44"/>
      <c r="M8" s="44"/>
      <c r="N8" s="52"/>
      <c r="O8" s="52"/>
      <c r="P8" s="92"/>
      <c r="Q8" s="94"/>
    </row>
    <row r="9" spans="1:19" s="147" customFormat="1" ht="9">
      <c r="A9" s="143" t="s">
        <v>423</v>
      </c>
      <c r="B9" s="44"/>
      <c r="C9" s="44"/>
      <c r="D9" s="95"/>
      <c r="E9" s="52"/>
      <c r="F9" s="52"/>
      <c r="G9" s="44"/>
      <c r="H9" s="44"/>
      <c r="I9" s="91"/>
      <c r="J9" s="92"/>
      <c r="K9" s="92"/>
      <c r="L9" s="92"/>
      <c r="M9" s="93"/>
      <c r="N9" s="52"/>
      <c r="O9" s="52"/>
      <c r="P9" s="92"/>
      <c r="Q9" s="94"/>
      <c r="R9" s="94"/>
    </row>
    <row r="10" spans="1:19" s="147" customFormat="1" ht="9">
      <c r="A10" s="142" t="s">
        <v>274</v>
      </c>
      <c r="B10" s="44">
        <v>20</v>
      </c>
      <c r="C10" s="44"/>
      <c r="D10" s="52">
        <v>854</v>
      </c>
      <c r="E10" s="52">
        <v>0</v>
      </c>
      <c r="F10" s="52">
        <v>0</v>
      </c>
      <c r="G10" s="44">
        <v>1</v>
      </c>
      <c r="H10" s="44">
        <f>B10*G10</f>
        <v>20</v>
      </c>
      <c r="I10" s="91">
        <f>ROUND('Testing Costs'!$C$22*(SUM('Base Data'!$H$16:$H$17,'Base Data'!$H$21:$H$22)/2),0)</f>
        <v>0</v>
      </c>
      <c r="J10" s="92">
        <f>H10*I10</f>
        <v>0</v>
      </c>
      <c r="K10" s="92">
        <f>J10*0.1</f>
        <v>0</v>
      </c>
      <c r="L10" s="92">
        <f>J10*0.05</f>
        <v>0</v>
      </c>
      <c r="M10" s="93">
        <f>C10*G10*I10</f>
        <v>0</v>
      </c>
      <c r="N10" s="52">
        <f>(J10*'Base Data'!$C$5)+(K10*'Base Data'!$C$6)+(L10*'Base Data'!$C$7)</f>
        <v>0</v>
      </c>
      <c r="O10" s="52">
        <f>(D10+E10+F10)*G10*I10</f>
        <v>0</v>
      </c>
      <c r="P10" s="92">
        <v>0</v>
      </c>
      <c r="Q10" s="94" t="s">
        <v>544</v>
      </c>
      <c r="R10" s="94"/>
    </row>
    <row r="11" spans="1:19" s="147" customFormat="1" ht="9">
      <c r="A11" s="142" t="s">
        <v>276</v>
      </c>
      <c r="B11" s="44">
        <v>20</v>
      </c>
      <c r="C11" s="44"/>
      <c r="D11" s="52">
        <v>18292</v>
      </c>
      <c r="E11" s="52">
        <v>0</v>
      </c>
      <c r="F11" s="52">
        <v>0</v>
      </c>
      <c r="G11" s="44">
        <v>1</v>
      </c>
      <c r="H11" s="44">
        <f>B11*G11</f>
        <v>20</v>
      </c>
      <c r="I11" s="91">
        <f>ROUND('Testing Costs'!$C$23*(SUM('Base Data'!$H$16:$H$17,'Base Data'!$H$21:$H$22)/2),0)</f>
        <v>2</v>
      </c>
      <c r="J11" s="92">
        <f>H11*I11</f>
        <v>40</v>
      </c>
      <c r="K11" s="92">
        <f>J11*0.1</f>
        <v>4</v>
      </c>
      <c r="L11" s="92">
        <f>J11*0.05</f>
        <v>2</v>
      </c>
      <c r="M11" s="93">
        <f>C11*G11*I11</f>
        <v>0</v>
      </c>
      <c r="N11" s="52">
        <f>(J11*'Base Data'!$C$5)+(K11*'Base Data'!$C$6)+(L11*'Base Data'!$C$7)</f>
        <v>4351.0999999999995</v>
      </c>
      <c r="O11" s="52">
        <f>(D11+E11+F11)*G11*I11</f>
        <v>36584</v>
      </c>
      <c r="P11" s="92">
        <v>0</v>
      </c>
      <c r="Q11" s="94" t="s">
        <v>544</v>
      </c>
      <c r="R11" s="94"/>
    </row>
    <row r="12" spans="1:19" s="147" customFormat="1" ht="9">
      <c r="A12" s="143" t="s">
        <v>249</v>
      </c>
      <c r="B12" s="44">
        <v>12</v>
      </c>
      <c r="C12" s="44"/>
      <c r="D12" s="52">
        <v>0</v>
      </c>
      <c r="E12" s="52">
        <v>2228</v>
      </c>
      <c r="F12" s="52">
        <v>0</v>
      </c>
      <c r="G12" s="44">
        <v>0.5</v>
      </c>
      <c r="H12" s="44">
        <f>B12*G12</f>
        <v>6</v>
      </c>
      <c r="I12" s="91">
        <f>ROUNDDOWN(SUM('Base Data'!$D$16:$D$17,'Base Data'!$D$21:$D$22)/2,0)</f>
        <v>18</v>
      </c>
      <c r="J12" s="91">
        <f>H12*I12</f>
        <v>108</v>
      </c>
      <c r="K12" s="91">
        <f>J12*0.1</f>
        <v>10.8</v>
      </c>
      <c r="L12" s="91">
        <f>J12*0.05</f>
        <v>5.4</v>
      </c>
      <c r="M12" s="92"/>
      <c r="N12" s="52">
        <f>(J12*'Base Data'!$C$5)+(K12*'Base Data'!$C$6)+(L12*'Base Data'!$C$7)</f>
        <v>11747.97</v>
      </c>
      <c r="O12" s="52">
        <f>(D12+E12+F12)*I12</f>
        <v>40104</v>
      </c>
      <c r="P12" s="92">
        <v>0</v>
      </c>
      <c r="Q12" s="94" t="s">
        <v>388</v>
      </c>
    </row>
    <row r="13" spans="1:19" s="147" customFormat="1" ht="9">
      <c r="A13" s="143" t="s">
        <v>415</v>
      </c>
      <c r="B13" s="44" t="s">
        <v>433</v>
      </c>
      <c r="C13" s="44"/>
      <c r="D13" s="52"/>
      <c r="E13" s="52"/>
      <c r="F13" s="52"/>
      <c r="G13" s="44"/>
      <c r="H13" s="44"/>
      <c r="I13" s="92"/>
      <c r="J13" s="44"/>
      <c r="K13" s="44"/>
      <c r="L13" s="44"/>
      <c r="M13" s="44"/>
      <c r="N13" s="52"/>
      <c r="O13" s="52"/>
      <c r="P13" s="92"/>
      <c r="Q13" s="94"/>
    </row>
    <row r="14" spans="1:19" s="147" customFormat="1" ht="9">
      <c r="A14" s="143" t="s">
        <v>416</v>
      </c>
      <c r="B14" s="44" t="s">
        <v>433</v>
      </c>
      <c r="C14" s="44"/>
      <c r="D14" s="52"/>
      <c r="E14" s="52"/>
      <c r="F14" s="52"/>
      <c r="G14" s="44"/>
      <c r="H14" s="44"/>
      <c r="I14" s="92"/>
      <c r="J14" s="44"/>
      <c r="K14" s="44"/>
      <c r="L14" s="44"/>
      <c r="M14" s="44"/>
      <c r="N14" s="52"/>
      <c r="O14" s="52"/>
      <c r="P14" s="92"/>
      <c r="Q14" s="94"/>
    </row>
    <row r="15" spans="1:19" s="147" customFormat="1" ht="9">
      <c r="A15" s="143" t="s">
        <v>417</v>
      </c>
      <c r="B15" s="44"/>
      <c r="C15" s="44"/>
      <c r="D15" s="52"/>
      <c r="E15" s="52"/>
      <c r="F15" s="52"/>
      <c r="G15" s="44"/>
      <c r="H15" s="44"/>
      <c r="I15" s="92"/>
      <c r="J15" s="44"/>
      <c r="K15" s="44"/>
      <c r="L15" s="44"/>
      <c r="M15" s="44"/>
      <c r="N15" s="52"/>
      <c r="O15" s="52"/>
      <c r="P15" s="92"/>
      <c r="Q15" s="94"/>
    </row>
    <row r="16" spans="1:19" s="147" customFormat="1" ht="9">
      <c r="A16" s="177" t="s">
        <v>435</v>
      </c>
      <c r="B16" s="44">
        <v>2</v>
      </c>
      <c r="C16" s="44"/>
      <c r="D16" s="52">
        <v>0</v>
      </c>
      <c r="E16" s="52">
        <v>0</v>
      </c>
      <c r="F16" s="52">
        <v>0</v>
      </c>
      <c r="G16" s="44">
        <v>1</v>
      </c>
      <c r="H16" s="44">
        <f>B16*G16</f>
        <v>2</v>
      </c>
      <c r="I16" s="91">
        <v>0</v>
      </c>
      <c r="J16" s="91">
        <f>H16*I16</f>
        <v>0</v>
      </c>
      <c r="K16" s="91">
        <f>J16*0.1</f>
        <v>0</v>
      </c>
      <c r="L16" s="91">
        <f>J16*0.05</f>
        <v>0</v>
      </c>
      <c r="M16" s="44">
        <f>C16*G16*I16</f>
        <v>0</v>
      </c>
      <c r="N16" s="52">
        <f>(J16*'Base Data'!$C$5)+(K16*'Base Data'!$C$6)+(L16*'Base Data'!$C$7)</f>
        <v>0</v>
      </c>
      <c r="O16" s="52">
        <f>(D16+E16+F16)*G16*I16</f>
        <v>0</v>
      </c>
      <c r="P16" s="92">
        <f>G16*I16</f>
        <v>0</v>
      </c>
      <c r="Q16" s="94" t="s">
        <v>387</v>
      </c>
    </row>
    <row r="17" spans="1:19" s="147" customFormat="1" ht="9">
      <c r="A17" s="177" t="s">
        <v>377</v>
      </c>
      <c r="B17" s="44">
        <v>8</v>
      </c>
      <c r="C17" s="44"/>
      <c r="D17" s="52">
        <v>0</v>
      </c>
      <c r="E17" s="52">
        <v>0</v>
      </c>
      <c r="F17" s="52">
        <v>0</v>
      </c>
      <c r="G17" s="44">
        <v>1</v>
      </c>
      <c r="H17" s="44">
        <f>B17*G17</f>
        <v>8</v>
      </c>
      <c r="I17" s="91">
        <f>'Fac - ExistSmlSolid-Yr1'!$I$7</f>
        <v>4</v>
      </c>
      <c r="J17" s="91">
        <f>H17*I17</f>
        <v>32</v>
      </c>
      <c r="K17" s="91">
        <f>J17*0.1</f>
        <v>3.2</v>
      </c>
      <c r="L17" s="91">
        <f>J17*0.05</f>
        <v>1.6</v>
      </c>
      <c r="M17" s="44">
        <f>C17*G17*I17</f>
        <v>0</v>
      </c>
      <c r="N17" s="52">
        <f>(J17*'Base Data'!$C$5)+(K17*'Base Data'!$C$6)+(L17*'Base Data'!$C$7)</f>
        <v>3480.88</v>
      </c>
      <c r="O17" s="52">
        <f>(D17+E17+F17)*G17*I17</f>
        <v>0</v>
      </c>
      <c r="P17" s="92">
        <f>G17*I17</f>
        <v>4</v>
      </c>
      <c r="Q17" s="94" t="s">
        <v>388</v>
      </c>
    </row>
    <row r="18" spans="1:19" s="147" customFormat="1" ht="9">
      <c r="A18" s="144" t="s">
        <v>248</v>
      </c>
      <c r="B18" s="44">
        <v>5</v>
      </c>
      <c r="C18" s="44"/>
      <c r="D18" s="52">
        <v>0</v>
      </c>
      <c r="E18" s="52">
        <v>0</v>
      </c>
      <c r="F18" s="52">
        <v>0</v>
      </c>
      <c r="G18" s="44">
        <v>0.5</v>
      </c>
      <c r="H18" s="44">
        <f>B18*G18</f>
        <v>2.5</v>
      </c>
      <c r="I18" s="91">
        <f>'Fac - ExistSmlSolid-Yr1'!$I$7</f>
        <v>4</v>
      </c>
      <c r="J18" s="91">
        <f>H18*I18</f>
        <v>10</v>
      </c>
      <c r="K18" s="91">
        <f>J18*0.1</f>
        <v>1</v>
      </c>
      <c r="L18" s="91">
        <f>J18*0.05</f>
        <v>0.5</v>
      </c>
      <c r="M18" s="44">
        <f>C18*G18*I18</f>
        <v>0</v>
      </c>
      <c r="N18" s="52">
        <f>(J18*'Base Data'!$C$5)+(K18*'Base Data'!$C$6)+(L18*'Base Data'!$C$7)</f>
        <v>1087.7749999999999</v>
      </c>
      <c r="O18" s="52">
        <f>(D18+E18+F18)*G18*I18</f>
        <v>0</v>
      </c>
      <c r="P18" s="92">
        <f>G18*I18</f>
        <v>2</v>
      </c>
      <c r="Q18" s="94" t="s">
        <v>273</v>
      </c>
    </row>
    <row r="19" spans="1:19" s="6" customFormat="1" ht="9">
      <c r="A19" s="177" t="s">
        <v>505</v>
      </c>
      <c r="B19" s="44">
        <v>5</v>
      </c>
      <c r="C19" s="18"/>
      <c r="D19" s="39">
        <v>0</v>
      </c>
      <c r="E19" s="39">
        <v>0</v>
      </c>
      <c r="F19" s="39">
        <v>0</v>
      </c>
      <c r="G19" s="18">
        <v>1</v>
      </c>
      <c r="H19" s="18">
        <f>B19*G19</f>
        <v>5</v>
      </c>
      <c r="I19" s="91">
        <f>'Fac - ExistSmlSolid-Yr1'!$I$7</f>
        <v>4</v>
      </c>
      <c r="J19" s="19">
        <f>H19*I19</f>
        <v>20</v>
      </c>
      <c r="K19" s="19">
        <f>J19*0.1</f>
        <v>2</v>
      </c>
      <c r="L19" s="19">
        <f>J19*0.05</f>
        <v>1</v>
      </c>
      <c r="M19" s="18">
        <f>C19*G19*I19</f>
        <v>0</v>
      </c>
      <c r="N19" s="39">
        <f>(J19*'Base Data'!$C$5)+(K19*'Base Data'!$C$6)+(L19*'Base Data'!$C$7)</f>
        <v>2175.5499999999997</v>
      </c>
      <c r="O19" s="39">
        <f>(D19+E19+F19)*G19*I19</f>
        <v>0</v>
      </c>
      <c r="P19" s="19">
        <f>G19*I19</f>
        <v>4</v>
      </c>
      <c r="Q19" s="29" t="s">
        <v>388</v>
      </c>
    </row>
    <row r="20" spans="1:19" s="147" customFormat="1" ht="9">
      <c r="A20" s="148" t="s">
        <v>7</v>
      </c>
      <c r="B20" s="44"/>
      <c r="C20" s="44"/>
      <c r="D20" s="52"/>
      <c r="E20" s="52"/>
      <c r="F20" s="52"/>
      <c r="G20" s="44"/>
      <c r="H20" s="44"/>
      <c r="I20" s="92"/>
      <c r="J20" s="92">
        <f>SUM(J7:J19)</f>
        <v>210</v>
      </c>
      <c r="K20" s="92">
        <f t="shared" ref="K20:P20" si="0">SUM(K7:K19)</f>
        <v>21</v>
      </c>
      <c r="L20" s="92">
        <f t="shared" si="0"/>
        <v>10.5</v>
      </c>
      <c r="M20" s="92">
        <f t="shared" si="0"/>
        <v>0</v>
      </c>
      <c r="N20" s="39">
        <f t="shared" si="0"/>
        <v>22843.275000000001</v>
      </c>
      <c r="O20" s="39">
        <f t="shared" si="0"/>
        <v>76688</v>
      </c>
      <c r="P20" s="92">
        <f t="shared" si="0"/>
        <v>10</v>
      </c>
      <c r="Q20" s="94"/>
      <c r="R20" s="149">
        <f>SUM(O7:O12)</f>
        <v>76688</v>
      </c>
    </row>
    <row r="21" spans="1:19" s="147" customFormat="1" ht="9">
      <c r="A21" s="143" t="s">
        <v>431</v>
      </c>
      <c r="B21" s="44"/>
      <c r="C21" s="44"/>
      <c r="D21" s="52"/>
      <c r="E21" s="52"/>
      <c r="F21" s="52"/>
      <c r="G21" s="44"/>
      <c r="H21" s="44"/>
      <c r="I21" s="92"/>
      <c r="J21" s="44"/>
      <c r="K21" s="44"/>
      <c r="L21" s="44"/>
      <c r="M21" s="44"/>
      <c r="N21" s="52"/>
      <c r="O21" s="52"/>
      <c r="P21" s="92"/>
      <c r="Q21" s="94"/>
      <c r="S21" s="147">
        <f>0</f>
        <v>0</v>
      </c>
    </row>
    <row r="22" spans="1:19" s="147" customFormat="1" ht="9">
      <c r="A22" s="143" t="s">
        <v>418</v>
      </c>
      <c r="B22" s="44" t="s">
        <v>422</v>
      </c>
      <c r="C22" s="44"/>
      <c r="D22" s="52"/>
      <c r="E22" s="52"/>
      <c r="F22" s="52"/>
      <c r="G22" s="44"/>
      <c r="H22" s="44"/>
      <c r="I22" s="92"/>
      <c r="J22" s="44"/>
      <c r="K22" s="44"/>
      <c r="L22" s="44"/>
      <c r="M22" s="44"/>
      <c r="N22" s="52"/>
      <c r="O22" s="52"/>
      <c r="P22" s="92"/>
      <c r="Q22" s="94"/>
    </row>
    <row r="23" spans="1:19" s="147" customFormat="1" ht="9">
      <c r="A23" s="143" t="s">
        <v>419</v>
      </c>
      <c r="B23" s="44" t="s">
        <v>433</v>
      </c>
      <c r="C23" s="44"/>
      <c r="D23" s="52"/>
      <c r="E23" s="52"/>
      <c r="F23" s="52"/>
      <c r="G23" s="44"/>
      <c r="H23" s="44"/>
      <c r="I23" s="92"/>
      <c r="J23" s="44"/>
      <c r="K23" s="44"/>
      <c r="L23" s="44"/>
      <c r="M23" s="44"/>
      <c r="N23" s="52"/>
      <c r="O23" s="52"/>
      <c r="P23" s="92"/>
      <c r="Q23" s="94"/>
    </row>
    <row r="24" spans="1:19" s="147" customFormat="1" ht="9">
      <c r="A24" s="143" t="s">
        <v>420</v>
      </c>
      <c r="B24" s="44" t="s">
        <v>433</v>
      </c>
      <c r="C24" s="44"/>
      <c r="D24" s="52"/>
      <c r="E24" s="52"/>
      <c r="F24" s="52"/>
      <c r="G24" s="44"/>
      <c r="H24" s="44"/>
      <c r="I24" s="92"/>
      <c r="J24" s="44"/>
      <c r="K24" s="44"/>
      <c r="L24" s="44"/>
      <c r="M24" s="44"/>
      <c r="N24" s="52"/>
      <c r="O24" s="52"/>
      <c r="P24" s="92"/>
      <c r="Q24" s="94" t="s">
        <v>389</v>
      </c>
    </row>
    <row r="25" spans="1:19" s="147" customFormat="1" ht="9">
      <c r="A25" s="143" t="s">
        <v>421</v>
      </c>
      <c r="B25" s="44"/>
      <c r="C25" s="44"/>
      <c r="D25" s="52"/>
      <c r="E25" s="52"/>
      <c r="F25" s="52"/>
      <c r="G25" s="44"/>
      <c r="H25" s="44"/>
      <c r="I25" s="92"/>
      <c r="J25" s="44"/>
      <c r="K25" s="44"/>
      <c r="L25" s="44"/>
      <c r="M25" s="44"/>
      <c r="N25" s="52"/>
      <c r="O25" s="52"/>
      <c r="P25" s="92"/>
      <c r="Q25" s="94"/>
    </row>
    <row r="26" spans="1:19" s="147" customFormat="1" ht="19.5" customHeight="1">
      <c r="A26" s="177" t="s">
        <v>375</v>
      </c>
      <c r="B26" s="44">
        <v>2</v>
      </c>
      <c r="C26" s="44">
        <v>0</v>
      </c>
      <c r="D26" s="52">
        <v>0</v>
      </c>
      <c r="E26" s="52">
        <v>0</v>
      </c>
      <c r="F26" s="52">
        <v>0</v>
      </c>
      <c r="G26" s="44">
        <v>0.5</v>
      </c>
      <c r="H26" s="44">
        <f>B26*G26</f>
        <v>1</v>
      </c>
      <c r="I26" s="91">
        <f>SUM('Base Data'!$D$16:$D$17,'Base Data'!$D$21:$D$22)</f>
        <v>36</v>
      </c>
      <c r="J26" s="91">
        <f>H26*I26</f>
        <v>36</v>
      </c>
      <c r="K26" s="91">
        <f>J26*0.1</f>
        <v>3.6</v>
      </c>
      <c r="L26" s="91">
        <f>J26*0.05</f>
        <v>1.8</v>
      </c>
      <c r="M26" s="44">
        <f>C26*G26*I26</f>
        <v>0</v>
      </c>
      <c r="N26" s="52">
        <f>(J26*'Base Data'!$C$5)+(K26*'Base Data'!$C$6)+(L26*'Base Data'!$C$7)</f>
        <v>3915.9900000000002</v>
      </c>
      <c r="O26" s="52">
        <f>(D26+E26+F26)*G26*I26</f>
        <v>0</v>
      </c>
      <c r="P26" s="92">
        <v>0</v>
      </c>
      <c r="Q26" s="94" t="s">
        <v>388</v>
      </c>
    </row>
    <row r="27" spans="1:19" s="147" customFormat="1" ht="18">
      <c r="A27" s="177" t="s">
        <v>376</v>
      </c>
      <c r="B27" s="44">
        <v>15</v>
      </c>
      <c r="C27" s="44">
        <v>0</v>
      </c>
      <c r="D27" s="52">
        <v>0</v>
      </c>
      <c r="E27" s="52">
        <v>0</v>
      </c>
      <c r="F27" s="52">
        <v>0</v>
      </c>
      <c r="G27" s="44">
        <v>1</v>
      </c>
      <c r="H27" s="44">
        <f>B27*G27</f>
        <v>15</v>
      </c>
      <c r="I27" s="91">
        <v>0</v>
      </c>
      <c r="J27" s="91">
        <f>H27*I27</f>
        <v>0</v>
      </c>
      <c r="K27" s="91">
        <f>J27*0.1</f>
        <v>0</v>
      </c>
      <c r="L27" s="91">
        <f>J27*0.05</f>
        <v>0</v>
      </c>
      <c r="M27" s="44">
        <f>C27*G27*I27</f>
        <v>0</v>
      </c>
      <c r="N27" s="52">
        <f>(J27*'Base Data'!$C$5)+(K27*'Base Data'!$C$6)+(L27*'Base Data'!$C$7)</f>
        <v>0</v>
      </c>
      <c r="O27" s="52">
        <f>(D27+E27+F27)*G27*I27</f>
        <v>0</v>
      </c>
      <c r="P27" s="92">
        <v>0</v>
      </c>
      <c r="Q27" s="94" t="s">
        <v>69</v>
      </c>
    </row>
    <row r="28" spans="1:19" s="147" customFormat="1" ht="9">
      <c r="A28" s="177" t="s">
        <v>251</v>
      </c>
      <c r="B28" s="44">
        <v>0.5</v>
      </c>
      <c r="C28" s="44"/>
      <c r="D28" s="52">
        <v>0</v>
      </c>
      <c r="E28" s="52">
        <v>0</v>
      </c>
      <c r="F28" s="52">
        <v>0</v>
      </c>
      <c r="G28" s="44">
        <v>0.5</v>
      </c>
      <c r="H28" s="44">
        <f>B28*G28</f>
        <v>0.25</v>
      </c>
      <c r="I28" s="91">
        <f>SUM('Base Data'!$D$16:$D$17,'Base Data'!$D$21:$D$22)</f>
        <v>36</v>
      </c>
      <c r="J28" s="91">
        <f>H28*I28</f>
        <v>9</v>
      </c>
      <c r="K28" s="91">
        <f>J28*0.1</f>
        <v>0.9</v>
      </c>
      <c r="L28" s="91">
        <f>J28*0.05</f>
        <v>0.45</v>
      </c>
      <c r="M28" s="44">
        <f>C28*G28*I28</f>
        <v>0</v>
      </c>
      <c r="N28" s="52">
        <f>(J28*'Base Data'!$C$5)+(K28*'Base Data'!$C$6)+(L28*'Base Data'!$C$7)</f>
        <v>978.99750000000006</v>
      </c>
      <c r="O28" s="52">
        <f>(D28+E28+F28)*G28*I28</f>
        <v>0</v>
      </c>
      <c r="P28" s="92">
        <v>0</v>
      </c>
      <c r="Q28" s="94" t="s">
        <v>388</v>
      </c>
    </row>
    <row r="29" spans="1:19" s="6" customFormat="1" ht="9">
      <c r="A29" s="142" t="s">
        <v>427</v>
      </c>
      <c r="B29" s="44">
        <v>40</v>
      </c>
      <c r="C29" s="18"/>
      <c r="D29" s="39">
        <v>0</v>
      </c>
      <c r="E29" s="39">
        <v>0</v>
      </c>
      <c r="F29" s="39">
        <v>0</v>
      </c>
      <c r="G29" s="18">
        <v>1</v>
      </c>
      <c r="H29" s="18">
        <f t="shared" ref="H29" si="1">B29*G29</f>
        <v>40</v>
      </c>
      <c r="I29" s="91">
        <f>ROUNDDOWN(SUM('Base Data'!$H$16:$H$17,'Base Data'!$H$21:$H$22)/2,0)</f>
        <v>2</v>
      </c>
      <c r="J29" s="19">
        <f t="shared" ref="J29" si="2">H29*I29</f>
        <v>80</v>
      </c>
      <c r="K29" s="19">
        <f t="shared" ref="K29" si="3">J29*0.1</f>
        <v>8</v>
      </c>
      <c r="L29" s="19">
        <f t="shared" ref="L29" si="4">J29*0.05</f>
        <v>4</v>
      </c>
      <c r="M29" s="18"/>
      <c r="N29" s="39">
        <f>(J29*'Base Data'!$C$5)+(K29*'Base Data'!$C$6)+(L29*'Base Data'!$C$7)</f>
        <v>8702.1999999999989</v>
      </c>
      <c r="O29" s="39">
        <f t="shared" ref="O29" si="5">(D29+E29+F29)*G29*I29</f>
        <v>0</v>
      </c>
      <c r="P29" s="92">
        <v>0</v>
      </c>
      <c r="Q29" s="29" t="s">
        <v>78</v>
      </c>
    </row>
    <row r="30" spans="1:19" s="147" customFormat="1" ht="9">
      <c r="A30" s="143" t="s">
        <v>428</v>
      </c>
      <c r="B30" s="44" t="s">
        <v>433</v>
      </c>
      <c r="C30" s="44"/>
      <c r="D30" s="52"/>
      <c r="E30" s="52"/>
      <c r="F30" s="52"/>
      <c r="G30" s="44"/>
      <c r="H30" s="44"/>
      <c r="I30" s="92"/>
      <c r="J30" s="44"/>
      <c r="K30" s="44"/>
      <c r="L30" s="44"/>
      <c r="M30" s="44"/>
      <c r="N30" s="52"/>
      <c r="O30" s="52"/>
      <c r="P30" s="92"/>
      <c r="Q30" s="94"/>
    </row>
    <row r="31" spans="1:19" s="147" customFormat="1" ht="9">
      <c r="A31" s="256" t="s">
        <v>27</v>
      </c>
      <c r="B31" s="239"/>
      <c r="C31" s="239"/>
      <c r="D31" s="240"/>
      <c r="E31" s="240"/>
      <c r="F31" s="240"/>
      <c r="G31" s="239"/>
      <c r="H31" s="239"/>
      <c r="I31" s="241"/>
      <c r="J31" s="239">
        <f t="shared" ref="J31:O31" si="6">SUM(J22:J30)</f>
        <v>125</v>
      </c>
      <c r="K31" s="239">
        <f t="shared" si="6"/>
        <v>12.5</v>
      </c>
      <c r="L31" s="239">
        <f t="shared" si="6"/>
        <v>6.25</v>
      </c>
      <c r="M31" s="239">
        <f t="shared" si="6"/>
        <v>0</v>
      </c>
      <c r="N31" s="240">
        <f t="shared" si="6"/>
        <v>13597.1875</v>
      </c>
      <c r="O31" s="240">
        <f t="shared" si="6"/>
        <v>0</v>
      </c>
      <c r="P31" s="241">
        <f>SUM(P22:P30)</f>
        <v>0</v>
      </c>
      <c r="Q31" s="242"/>
      <c r="R31" s="149">
        <f>SUM(O22:O31)</f>
        <v>0</v>
      </c>
    </row>
    <row r="32" spans="1:19" s="147" customFormat="1">
      <c r="A32" s="186" t="s">
        <v>400</v>
      </c>
      <c r="B32" s="187"/>
      <c r="C32" s="187"/>
      <c r="D32" s="187"/>
      <c r="E32" s="187"/>
      <c r="F32" s="187"/>
      <c r="G32" s="187"/>
      <c r="H32" s="187"/>
      <c r="I32" s="189"/>
      <c r="J32" s="190">
        <f t="shared" ref="J32:P32" si="7">SUM(J20,J31)</f>
        <v>335</v>
      </c>
      <c r="K32" s="190">
        <f t="shared" si="7"/>
        <v>33.5</v>
      </c>
      <c r="L32" s="190">
        <f t="shared" si="7"/>
        <v>16.75</v>
      </c>
      <c r="M32" s="190">
        <f t="shared" si="7"/>
        <v>0</v>
      </c>
      <c r="N32" s="191">
        <f t="shared" si="7"/>
        <v>36440.462500000001</v>
      </c>
      <c r="O32" s="191">
        <f t="shared" si="7"/>
        <v>76688</v>
      </c>
      <c r="P32" s="27">
        <f t="shared" si="7"/>
        <v>10</v>
      </c>
      <c r="Q32" s="192"/>
    </row>
    <row r="33" spans="1:19" s="147" customFormat="1">
      <c r="A33" s="114"/>
      <c r="B33" s="54"/>
      <c r="C33" s="54"/>
      <c r="D33" s="54"/>
      <c r="E33" s="54"/>
      <c r="F33" s="54"/>
      <c r="G33" s="54"/>
      <c r="H33" s="54"/>
      <c r="I33" s="55"/>
      <c r="J33" s="54"/>
      <c r="K33" s="54"/>
      <c r="L33" s="54"/>
      <c r="M33" s="54"/>
      <c r="N33" s="54"/>
      <c r="O33" s="196"/>
      <c r="P33" s="8"/>
      <c r="Q33" s="54"/>
    </row>
    <row r="34" spans="1:19" s="147" customFormat="1" ht="11.25" customHeight="1">
      <c r="A34" s="53" t="s">
        <v>390</v>
      </c>
      <c r="B34" s="56"/>
      <c r="C34" s="56"/>
      <c r="D34" s="56"/>
      <c r="E34" s="56"/>
      <c r="F34" s="56"/>
      <c r="G34" s="56"/>
      <c r="H34" s="57"/>
      <c r="I34" s="56"/>
      <c r="J34" s="56"/>
      <c r="K34" s="56"/>
      <c r="L34" s="56"/>
      <c r="M34" s="56"/>
      <c r="N34" s="56"/>
      <c r="O34" s="197"/>
      <c r="P34" s="17"/>
      <c r="Q34" s="56"/>
    </row>
    <row r="35" spans="1:19" s="53" customFormat="1" ht="30.75" customHeight="1">
      <c r="A35" s="409" t="s">
        <v>495</v>
      </c>
      <c r="B35" s="409"/>
      <c r="C35" s="409"/>
      <c r="D35" s="409"/>
      <c r="E35" s="409"/>
      <c r="F35" s="409"/>
      <c r="G35" s="409"/>
      <c r="H35" s="409"/>
      <c r="I35" s="409"/>
      <c r="J35" s="409"/>
      <c r="K35" s="409"/>
      <c r="L35" s="409"/>
      <c r="M35" s="409"/>
      <c r="N35" s="409"/>
      <c r="O35" s="409"/>
      <c r="P35" s="330"/>
      <c r="Q35" s="56"/>
    </row>
    <row r="36" spans="1:19" s="53" customFormat="1" ht="28.5" customHeight="1">
      <c r="A36" s="409" t="s">
        <v>2</v>
      </c>
      <c r="B36" s="409"/>
      <c r="C36" s="409"/>
      <c r="D36" s="409"/>
      <c r="E36" s="409"/>
      <c r="F36" s="409"/>
      <c r="G36" s="409"/>
      <c r="H36" s="409"/>
      <c r="I36" s="409"/>
      <c r="J36" s="409"/>
      <c r="K36" s="409"/>
      <c r="L36" s="409"/>
      <c r="M36" s="409"/>
      <c r="N36" s="409"/>
      <c r="O36" s="409"/>
      <c r="P36" s="330"/>
      <c r="Q36" s="54"/>
    </row>
    <row r="37" spans="1:19" s="53" customFormat="1" ht="24" customHeight="1">
      <c r="A37" s="409" t="s">
        <v>569</v>
      </c>
      <c r="B37" s="409"/>
      <c r="C37" s="409"/>
      <c r="D37" s="409"/>
      <c r="E37" s="409"/>
      <c r="F37" s="409"/>
      <c r="G37" s="409"/>
      <c r="H37" s="409"/>
      <c r="I37" s="409"/>
      <c r="J37" s="409"/>
      <c r="K37" s="409"/>
      <c r="L37" s="409"/>
      <c r="M37" s="409"/>
      <c r="N37" s="409"/>
      <c r="O37" s="409"/>
      <c r="P37" s="409"/>
      <c r="Q37" s="409"/>
      <c r="S37" s="119"/>
    </row>
    <row r="38" spans="1:19" s="53" customFormat="1" ht="10.5" customHeight="1">
      <c r="A38" s="53" t="s">
        <v>441</v>
      </c>
      <c r="B38" s="56"/>
      <c r="C38" s="56"/>
      <c r="D38" s="56"/>
      <c r="E38" s="56"/>
      <c r="F38" s="56"/>
      <c r="G38" s="56"/>
      <c r="H38" s="57"/>
      <c r="I38" s="56"/>
      <c r="J38" s="56"/>
      <c r="K38" s="56"/>
      <c r="L38" s="56"/>
      <c r="M38" s="56"/>
      <c r="N38" s="56"/>
      <c r="O38" s="197"/>
      <c r="P38" s="197"/>
      <c r="Q38" s="56"/>
    </row>
    <row r="39" spans="1:19">
      <c r="A39" s="53" t="s">
        <v>572</v>
      </c>
      <c r="P39" s="114"/>
    </row>
    <row r="40" spans="1:19">
      <c r="A40" s="53" t="s">
        <v>571</v>
      </c>
      <c r="P40" s="114"/>
    </row>
    <row r="41" spans="1:19">
      <c r="A41" s="14" t="s">
        <v>570</v>
      </c>
      <c r="P41" s="114"/>
    </row>
  </sheetData>
  <mergeCells count="5">
    <mergeCell ref="A37:Q37"/>
    <mergeCell ref="A1:Q1"/>
    <mergeCell ref="A2:Q2"/>
    <mergeCell ref="A35:O35"/>
    <mergeCell ref="A36:O36"/>
  </mergeCells>
  <phoneticPr fontId="7" type="noConversion"/>
  <printOptions horizontalCentered="1"/>
  <pageMargins left="0.25" right="0.25" top="0.5" bottom="0.5" header="0.5" footer="0.5"/>
  <pageSetup scale="88"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34"/>
  <sheetViews>
    <sheetView tabSelected="1" zoomScale="85" zoomScaleNormal="85" workbookViewId="0">
      <selection activeCell="A15" sqref="A15"/>
    </sheetView>
  </sheetViews>
  <sheetFormatPr defaultRowHeight="11.25"/>
  <cols>
    <col min="1" max="1" width="38.28515625" style="80" customWidth="1"/>
    <col min="2" max="3" width="19.42578125" style="80" customWidth="1"/>
    <col min="4" max="4" width="21.5703125" style="80" customWidth="1"/>
    <col min="5" max="6" width="23.5703125" style="80" customWidth="1"/>
    <col min="7" max="7" width="9.140625" style="80"/>
    <col min="8" max="8" width="12.140625" style="80" bestFit="1" customWidth="1"/>
    <col min="9" max="9" width="9.85546875" style="80" bestFit="1" customWidth="1"/>
    <col min="10" max="16384" width="9.140625" style="80"/>
  </cols>
  <sheetData>
    <row r="1" spans="1:9" ht="13.5" thickBot="1">
      <c r="A1" s="390" t="s">
        <v>364</v>
      </c>
      <c r="B1" s="387" t="s">
        <v>26</v>
      </c>
      <c r="C1" s="388"/>
      <c r="D1" s="389"/>
      <c r="E1" s="387" t="s">
        <v>208</v>
      </c>
      <c r="F1" s="389"/>
    </row>
    <row r="2" spans="1:9" ht="23.25" thickBot="1">
      <c r="A2" s="391"/>
      <c r="B2" s="170" t="s">
        <v>286</v>
      </c>
      <c r="C2" s="171" t="s">
        <v>202</v>
      </c>
      <c r="D2" s="172" t="s">
        <v>285</v>
      </c>
      <c r="E2" s="173" t="s">
        <v>284</v>
      </c>
      <c r="F2" s="174" t="s">
        <v>286</v>
      </c>
      <c r="G2" s="138"/>
    </row>
    <row r="3" spans="1:9">
      <c r="A3" s="121" t="s">
        <v>397</v>
      </c>
      <c r="B3" s="363">
        <f>SUM('Fac-ExistLrgSolid-Yr1'!J52:L52)+SUM('Fac-ExistLrgLiquid-Yr1'!J52:L52)+SUM('Fac-ExistLrgGas-Yr1'!J53:L53)+SUM('Fac-NewLrgSolid-Yr1'!J48:L48)+SUM('Fac-NewLrgLiquid-Yr1'!J48:L48)+SUM('Fac-NewLrgGas-Yr1'!J49:L49)+SUM('Fac - ExistSmlSolid-Yr1'!J20:L20)+SUM('Fac - ExistSmlLiquid-Yr1'!J20:L20)+SUM('Fac - ExistSmlGas-Yr1'!J20:L20)+SUM('Fac-NewSmlSolid-Yr1'!J16:L16)+SUM('Fac-NewSmlLiquid-Yr1'!J16:L16)+SUM('Fac-NewSmlGas-Yr1'!J16:L16)</f>
        <v>80458.599999999991</v>
      </c>
      <c r="C3" s="364">
        <f>'Fac-ExistLrgSolid-Yr1'!I7+'Fac-ExistLrgLiquid-Yr1'!I7+'Fac-ExistLrgGas-Yr1'!I7+'Fac-NewLrgSolid-Yr1'!I7+'Fac-NewLrgLiquid-Yr1'!I7+'Fac-NewLrgGas-Yr1'!I7+'Fac - ExistSmlSolid-Yr1'!I7+'Fac - ExistSmlLiquid-Yr1'!I7+'Fac - ExistSmlGas-Yr1'!I7+'Fac-NewSmlSolid-Yr1'!I7+'Fac-NewSmlLiquid-Yr1'!I7+'Fac-NewSmlGas-Yr1'!I7</f>
        <v>1646</v>
      </c>
      <c r="D3" s="365">
        <f>'Fac-ExistLrgSolid-Yr1'!P52+'Fac-ExistLrgLiquid-Yr1'!P52+'Fac-ExistLrgGas-Yr1'!P53+'Fac-NewLrgSolid-Yr1'!P48+'Fac-NewLrgLiquid-Yr1'!P48+'Fac-NewLrgGas-Yr1'!P49+'Fac - ExistSmlSolid-Yr1'!P20+'Fac - ExistSmlLiquid-Yr1'!P20+'Fac - ExistSmlGas-Yr1'!P20+'Fac-NewSmlSolid-Yr1'!P16+'Fac-NewSmlLiquid-Yr1'!P16+'Fac-NewSmlGas-Yr1'!P16</f>
        <v>1662.5</v>
      </c>
      <c r="E3" s="226">
        <f>'Fac-ExistLrgSolid-Yr1'!R52+'Fac-ExistLrgLiquid-Yr1'!R52+'Fac-ExistLrgGas-Yr1'!R53+'Fac-NewLrgSolid-Yr1'!R48+'Fac-NewLrgLiquid-Yr1'!R48+'Fac-NewLrgGas-Yr1'!R47+'Fac - ExistSmlSolid-Yr1'!R20+'Fac - ExistSmlLiquid-Yr1'!R20+'Fac - ExistSmlGas-Yr1'!R20+'Fac-NewSmlSolid-Yr1'!R16+'Fac-NewSmlLiquid-Yr1'!R16+'Fac-NewSmlGas-Yr1'!R16</f>
        <v>278933</v>
      </c>
      <c r="F3" s="222">
        <f>SUM('Fac-ExistLrgSolid-Yr1'!J66:L66)+SUM('Fac-ExistLrgLiquid-Yr1'!J66:L66)+SUM('Fac-ExistLrgGas-Yr1'!J69:L69)+SUM('Fac-NewLrgSolid-Yr1'!J62:L62)+SUM('Fac-NewLrgLiquid-Yr1'!J62:L62)+SUM('Fac-NewLrgGas-Yr1'!J65:L65)+SUM('Fac - ExistSmlSolid-Yr1'!J31:L31)+SUM('Fac - ExistSmlLiquid-Yr1'!J31:L31)+SUM('Fac - ExistSmlGas-Yr1'!J31:L31)+SUM('Fac-NewSmlSolid-Yr1'!J26:L26)+SUM('Fac-NewSmlLiquid-Yr1'!J26:L26)+SUM('Fac-NewSmlGas-Yr1'!J26:L26)</f>
        <v>601.45000000000005</v>
      </c>
    </row>
    <row r="4" spans="1:9">
      <c r="A4" s="121" t="s">
        <v>398</v>
      </c>
      <c r="B4" s="366">
        <f>SUM('Fac-ExistLrgSolid-Yr2'!J52:L52)+SUM('Fac-ExistLrgLiquid-Yr2'!J52:L52)+SUM('Fac-ExistLrgGas-Yr2'!J53:L53)+SUM('Fac-NewLrgSolid-Yr2'!J48:L48)+SUM('Fac-NewLrgLiquid-Yr2'!J48:L48)+SUM('Fac-NewLrgGas-Yr2'!J49:L49)+SUM('Fac - ExistSmlSolid-Yr2'!J20:L20)+SUM('Fac - ExistSmlLiquid-Yr2'!J20:L20)+SUM('Fac - ExistSmlGas-Yr2'!J20:L20)+SUM('Fac-NewSmlSolid-Yr2'!J16:L16)+SUM('Fac-NewSmlLiquid-Yr2'!J16:L16)+SUM('Fac-NewSmlGas-Yr2'!J16:L16)</f>
        <v>189708.02499999999</v>
      </c>
      <c r="C4" s="367">
        <f>SUM('Fac-ExistLrgSolid-Yr2'!I10:I11)+SUM('Fac-ExistLrgLiquid-Yr2'!I10:I11)+SUM('Fac-ExistLrgGas-Yr2'!I10:I11)+'Fac-NewLrgSolid-Yr2'!I47+'Fac-NewLrgLiquid-Yr2'!I47+'Fac-NewLrgGas-Yr2'!I46+'Fac-NewLrgGas-Yr2'!I47+SUM('Fac - ExistSmlSolid-Yr2'!I10:I11)+SUM('Fac - ExistSmlLiquid-Yr2'!I10:I11)+SUM('Fac - ExistSmlGas-Yr2'!I10:I11)+'Fac-NewSmlSolid-Yr2'!I15+'Fac-NewSmlLiquid-Yr2'!I15+'Fac-NewSmlGas-Yr2'!I15</f>
        <v>835</v>
      </c>
      <c r="D4" s="368">
        <f>'Fac-ExistLrgSolid-Yr2'!P52+'Fac-ExistLrgLiquid-Yr2'!P52+'Fac-ExistLrgGas-Yr2'!P53+'Fac-NewLrgSolid-Yr2'!P48+'Fac-NewLrgLiquid-Yr2'!P48+'Fac-NewLrgGas-Yr2'!P49+'Fac - ExistSmlSolid-Yr2'!P20+'Fac - ExistSmlLiquid-Yr2'!P20+'Fac - ExistSmlGas-Yr2'!P20+'Fac-NewSmlSolid-Yr2'!P16+'Fac-NewSmlLiquid-Yr2'!P16+'Fac-NewSmlGas-Yr2'!P16</f>
        <v>32</v>
      </c>
      <c r="E4" s="227">
        <f>'Fac-ExistLrgSolid-Yr2'!R52+'Fac-ExistLrgLiquid-Yr2'!R52+'Fac-ExistLrgGas-Yr2'!R53+'Fac-NewLrgSolid-Yr2'!R48+'Fac-NewLrgLiquid-Yr2'!R48+'Fac-NewLrgGas-Yr2'!R47+'Fac - ExistSmlSolid-Yr2'!R20+'Fac - ExistSmlLiquid-Yr2'!R20+'Fac - ExistSmlGas-Yr2'!R20+'Fac-NewSmlSolid-Yr2'!R16+'Fac-NewSmlLiquid-Yr2'!R16+'Fac-NewSmlGas-Yr2'!R16</f>
        <v>84601482</v>
      </c>
      <c r="F4" s="223">
        <f>SUM('Fac-ExistLrgSolid-Yr2'!J66:L66)+SUM('Fac-ExistLrgLiquid-Yr2'!J66:L66)+SUM('Fac-ExistLrgGas-Yr2'!J69:L69)+SUM('Fac-NewLrgSolid-Yr2'!J62:L62)+SUM('Fac-NewLrgLiquid-Yr2'!J62:L62)+SUM('Fac-NewLrgGas-Yr2'!J65:L65)+SUM('Fac - ExistSmlSolid-Yr2'!J31:L31)+SUM('Fac - ExistSmlLiquid-Yr2'!J31:L31)+SUM('Fac - ExistSmlGas-Yr2'!J31:L31)+SUM('Fac-NewSmlSolid-Yr2'!J26:L26)+SUM('Fac-NewSmlLiquid-Yr2'!J26:L26)+SUM('Fac-NewSmlGas-Yr2'!J26:L26)</f>
        <v>38492.800000000003</v>
      </c>
    </row>
    <row r="5" spans="1:9">
      <c r="A5" s="121" t="s">
        <v>399</v>
      </c>
      <c r="B5" s="366">
        <f>SUM('Fac-ExistLrgSolid-Yr3'!J52:L52)+SUM('Fac-ExistLrgLiquid-Yr3'!J52:L52)+SUM('Fac-ExistLrgGas-Yr3'!J53:L53)+SUM('Fac-NewLrgSolid-Yr3'!J48:L48)+SUM('Fac-NewLrgLiquid-Yr3'!J48:L48)+SUM('Fac-NewLrgGas-Yr3'!J49:L49)+SUM('Fac - ExistSmlSolid-Yr3'!J20:L20)+SUM('Fac - ExistSmlLiquid-Yr3'!J20:L20)+SUM('Fac - ExistSmlGas-Yr3'!J20:L20)+SUM('Fac-NewSmlSolid-Yr3'!J16:L16)+SUM('Fac-NewSmlLiquid-Yr3'!J16:L16)+SUM('Fac-NewSmlGas-Yr3'!J16:L16)</f>
        <v>351973.62299999996</v>
      </c>
      <c r="C5" s="367">
        <f>'Base Data'!H46+'Base Data'!H82</f>
        <v>1655</v>
      </c>
      <c r="D5" s="368">
        <f>'Fac-ExistLrgSolid-Yr3'!P52+'Fac-ExistLrgLiquid-Yr3'!P52+'Fac-ExistLrgGas-Yr3'!P53+'Fac-NewLrgSolid-Yr3'!P48+'Fac-NewLrgLiquid-Yr3'!P48+'Fac-NewLrgGas-Yr3'!P49+'Fac - ExistSmlSolid-Yr3'!P20+'Fac - ExistSmlLiquid-Yr3'!P20+'Fac - ExistSmlGas-Yr3'!P20+'Fac-NewSmlSolid-Yr3'!P16+'Fac-NewSmlLiquid-Yr3'!P16+'Fac-NewSmlGas-Yr3'!P16</f>
        <v>5444</v>
      </c>
      <c r="E5" s="227">
        <f>'Fac-ExistLrgSolid-Yr3'!R52+'Fac-ExistLrgLiquid-Yr3'!R52+'Fac-ExistLrgGas-Yr3'!R53+'Fac-NewLrgSolid-Yr3'!R48+'Fac-NewLrgLiquid-Yr3'!R48+'Fac-NewLrgGas-Yr3'!R47+'Fac - ExistSmlSolid-Yr3'!R20+'Fac - ExistSmlLiquid-Yr3'!R20+'Fac - ExistSmlGas-Yr3'!R20+'Fac-NewSmlSolid-Yr3'!R16+'Fac-NewSmlLiquid-Yr3'!R16+'Fac-NewSmlGas-Yr3'!R16</f>
        <v>123090411.31999999</v>
      </c>
      <c r="F5" s="223">
        <f>SUM('Fac-ExistLrgSolid-Yr3'!J66:L66)+SUM('Fac-ExistLrgLiquid-Yr3'!J66:L66)+SUM('Fac-ExistLrgGas-Yr3'!J69:L69)+SUM('Fac-NewLrgSolid-Yr3'!J62:L62)+SUM('Fac-NewLrgLiquid-Yr3'!J62:L62)+SUM('Fac-NewLrgGas-Yr3'!J65:L65)+SUM('Fac - ExistSmlSolid-Yr3'!J31:L31)+SUM('Fac - ExistSmlLiquid-Yr3'!J31:L31)+SUM('Fac - ExistSmlGas-Yr3'!J31:L31)+SUM('Fac-NewSmlSolid-Yr3'!J26:L26)+SUM('Fac-NewSmlLiquid-Yr3'!J26:L26)+SUM('Fac-NewSmlGas-Yr3'!J26:L26)</f>
        <v>180141.46249999999</v>
      </c>
      <c r="H5" s="1"/>
      <c r="I5" s="1"/>
    </row>
    <row r="6" spans="1:9" ht="12" thickBot="1">
      <c r="A6" s="122" t="s">
        <v>287</v>
      </c>
      <c r="B6" s="129">
        <f>AVERAGE(B3:B5)</f>
        <v>207380.08266666663</v>
      </c>
      <c r="C6" s="127">
        <f>AVERAGE(C3:C5)</f>
        <v>1378.6666666666667</v>
      </c>
      <c r="D6" s="128">
        <f>AVERAGE(D3:D5)</f>
        <v>2379.5</v>
      </c>
      <c r="E6" s="228">
        <f>AVERAGE(E3:E5)</f>
        <v>69323608.773333326</v>
      </c>
      <c r="F6" s="224">
        <f>AVERAGE(F3:F5)</f>
        <v>73078.570833333331</v>
      </c>
      <c r="H6" s="418"/>
      <c r="I6" s="418"/>
    </row>
    <row r="7" spans="1:9">
      <c r="A7" s="232" t="s">
        <v>288</v>
      </c>
      <c r="B7" s="212"/>
      <c r="C7" s="213"/>
      <c r="D7" s="214"/>
      <c r="E7" s="221">
        <f>E6/D6</f>
        <v>29133.687234012745</v>
      </c>
      <c r="F7" s="214"/>
      <c r="H7" s="418"/>
      <c r="I7" s="418"/>
    </row>
    <row r="8" spans="1:9" ht="12" thickBot="1">
      <c r="A8" s="233" t="s">
        <v>289</v>
      </c>
      <c r="B8" s="215"/>
      <c r="C8" s="216"/>
      <c r="D8" s="217"/>
      <c r="E8" s="225">
        <f>(B6+F6)/D6</f>
        <v>117.86453183441898</v>
      </c>
      <c r="F8" s="218"/>
      <c r="H8" s="418"/>
    </row>
    <row r="9" spans="1:9" ht="12" thickBot="1">
      <c r="D9" s="80">
        <f>B6/D6</f>
        <v>87.152797926735289</v>
      </c>
    </row>
    <row r="10" spans="1:9" ht="13.5" thickBot="1">
      <c r="A10" s="231" t="s">
        <v>209</v>
      </c>
      <c r="B10" s="229" t="s">
        <v>31</v>
      </c>
      <c r="C10" s="230" t="s">
        <v>32</v>
      </c>
      <c r="D10" s="306" t="s">
        <v>118</v>
      </c>
      <c r="E10" s="307" t="s">
        <v>126</v>
      </c>
    </row>
    <row r="11" spans="1:9">
      <c r="A11" s="121" t="s">
        <v>30</v>
      </c>
      <c r="B11" s="296">
        <f>SUM(B3:B5,F3:F5)</f>
        <v>841375.96049999993</v>
      </c>
      <c r="C11" s="385">
        <f>B11/3</f>
        <v>280458.65349999996</v>
      </c>
      <c r="D11" s="126">
        <f>C11*'Base Data'!$D$101</f>
        <v>17691.269423005564</v>
      </c>
      <c r="E11" s="386">
        <f>C11*'Base Data'!$D$100</f>
        <v>262767.38407699438</v>
      </c>
      <c r="H11" s="418"/>
    </row>
    <row r="12" spans="1:9">
      <c r="A12" s="121" t="s">
        <v>34</v>
      </c>
      <c r="B12" s="297">
        <f>SUM(E3:E5)</f>
        <v>207970826.31999999</v>
      </c>
      <c r="C12" s="220">
        <f>B12/3</f>
        <v>69323608.773333326</v>
      </c>
      <c r="D12" s="219">
        <f>C12*'Base Data'!$D$101</f>
        <v>4372917.8075943105</v>
      </c>
      <c r="E12" s="220">
        <f>C12*'Base Data'!$D$100</f>
        <v>64950690.965739019</v>
      </c>
      <c r="H12" s="418"/>
    </row>
    <row r="13" spans="1:9">
      <c r="A13" s="121" t="s">
        <v>33</v>
      </c>
      <c r="B13" s="297">
        <f>'Fac-ExistLrgSolid-Yr1'!N67+'Fac-ExistLrgSolid-Yr2'!N67+'Fac-ExistLrgSolid-Yr3'!N67+'Fac-ExistLrgLiquid-Yr1'!N67+'Fac-ExistLrgLiquid-Yr2'!N67+'Fac-ExistLrgLiquid-Yr3'!N67+'Fac-ExistLrgGas-Yr1'!N70+'Fac-ExistLrgGas-Yr2'!N70+'Fac-ExistLrgGas-Yr3'!N70+'Fac-NewLrgSolid-Yr1'!N63+'Fac-NewLrgSolid-Yr2'!N63+'Fac-NewLrgSolid-Yr3'!N63+'Fac-NewLrgLiquid-Yr1'!N63+'Fac-NewLrgLiquid-Yr2'!N63+'Fac-NewLrgLiquid-Yr3'!N63+'Fac-NewLrgGas-Yr1'!N66+'Fac-NewLrgGas-Yr2'!N66+'Fac-NewLrgGas-Yr3'!N66+'Fac - ExistSmlSolid-Yr1'!N32+'Fac - ExistSmlSolid-Yr2'!N32+'Fac - ExistSmlSolid-Yr3'!N32+'Fac - ExistSmlLiquid-Yr1'!N32+'Fac - ExistSmlLiquid-Yr2'!N32+'Fac - ExistSmlLiquid-Yr3'!N32+'Fac - ExistSmlGas-Yr1'!N32+'Fac - ExistSmlGas-Yr2'!N32+'Fac - ExistSmlGas-Yr3'!N32+'Fac-NewSmlSolid-Yr1'!N27+'Fac-NewSmlSolid-Yr2'!N27+'Fac-NewSmlSolid-Yr3'!N27+'Fac-NewSmlLiquid-Yr1'!N27+'Fac-NewSmlLiquid-Yr2'!N27+'Fac-NewSmlLiquid-Yr3'!N27+'Fac-NewSmlGas-Yr1'!N27+'Fac-NewSmlGas-Yr2'!N27+'Fac-NewSmlGas-Yr3'!N27</f>
        <v>79585020.472424969</v>
      </c>
      <c r="C13" s="220">
        <f>B13/3</f>
        <v>26528340.157474991</v>
      </c>
      <c r="D13" s="219">
        <f>C13*'Base Data'!$D$101</f>
        <v>1673401.7910095542</v>
      </c>
      <c r="E13" s="220">
        <f>C13*'Base Data'!$D$100</f>
        <v>24854938.366465438</v>
      </c>
      <c r="H13" s="418"/>
    </row>
    <row r="14" spans="1:9" ht="12" thickBot="1">
      <c r="A14" s="122" t="s">
        <v>35</v>
      </c>
      <c r="B14" s="298">
        <f>SUM(B12:B13)</f>
        <v>287555846.79242498</v>
      </c>
      <c r="C14" s="124">
        <f>SUM(C12:C13)</f>
        <v>95851948.930808321</v>
      </c>
      <c r="D14" s="123">
        <f>C14*'Base Data'!$D$101</f>
        <v>6046319.5986038651</v>
      </c>
      <c r="E14" s="124">
        <f>C14*'Base Data'!$D$100</f>
        <v>89805629.332204461</v>
      </c>
    </row>
    <row r="15" spans="1:9">
      <c r="B15" s="299"/>
      <c r="C15" s="300" t="s">
        <v>412</v>
      </c>
      <c r="D15" s="301">
        <f>C6*'Base Data'!$F$107*'Base Data'!$D$101</f>
        <v>11.93650793650794</v>
      </c>
      <c r="E15" s="302">
        <f>C6*'Base Data'!$D$100*'Base Data'!$F$106</f>
        <v>113.39682539682541</v>
      </c>
    </row>
    <row r="16" spans="1:9" ht="12" thickBot="1">
      <c r="B16" s="122"/>
      <c r="C16" s="303" t="s">
        <v>413</v>
      </c>
      <c r="D16" s="304">
        <f>ROUND(C6*'Base Data'!$D$101,0)</f>
        <v>87</v>
      </c>
      <c r="E16" s="305">
        <f>ROUND(C6*'Base Data'!$D$100,0)</f>
        <v>1292</v>
      </c>
      <c r="F16" s="418"/>
    </row>
    <row r="18" spans="1:5" ht="12" thickBot="1"/>
    <row r="19" spans="1:5" ht="13.5" thickBot="1">
      <c r="A19" s="231" t="s">
        <v>360</v>
      </c>
      <c r="B19" s="229" t="s">
        <v>31</v>
      </c>
      <c r="C19" s="230" t="s">
        <v>32</v>
      </c>
    </row>
    <row r="20" spans="1:5">
      <c r="A20" s="121" t="s">
        <v>361</v>
      </c>
      <c r="B20" s="102">
        <f>SUM(AgencyYR1!L24,AgencyYR2!L24,AgencyYR3!L24)</f>
        <v>292689.94999999995</v>
      </c>
      <c r="C20" s="103">
        <f>B20/3</f>
        <v>97563.316666666651</v>
      </c>
    </row>
    <row r="21" spans="1:5" ht="12" thickBot="1">
      <c r="A21" s="122" t="s">
        <v>362</v>
      </c>
      <c r="B21" s="123">
        <f>SUM(AgencyYR1!M23,AgencyYR2!M23,AgencyYR3!M23)</f>
        <v>15626536.968499999</v>
      </c>
      <c r="C21" s="124">
        <f>B21/3</f>
        <v>5208845.6561666662</v>
      </c>
    </row>
    <row r="26" spans="1:5">
      <c r="C26" s="337"/>
    </row>
    <row r="28" spans="1:5">
      <c r="D28" s="345"/>
      <c r="E28" s="344"/>
    </row>
    <row r="29" spans="1:5">
      <c r="B29" s="1"/>
    </row>
    <row r="30" spans="1:5">
      <c r="B30" s="1"/>
    </row>
    <row r="31" spans="1:5">
      <c r="B31" s="1"/>
    </row>
    <row r="34" spans="4:4">
      <c r="D34" s="126"/>
    </row>
  </sheetData>
  <mergeCells count="3">
    <mergeCell ref="B1:D1"/>
    <mergeCell ref="E1:F1"/>
    <mergeCell ref="A1:A2"/>
  </mergeCells>
  <phoneticPr fontId="7" type="noConversion"/>
  <pageMargins left="0.75" right="0.75" top="1" bottom="1" header="0.5" footer="0.5"/>
  <pageSetup scale="85" orientation="landscape" horizontalDpi="300" verticalDpi="300" r:id="rId1"/>
  <headerFooter alignWithMargins="0"/>
</worksheet>
</file>

<file path=xl/worksheets/sheet30.xml><?xml version="1.0" encoding="utf-8"?>
<worksheet xmlns="http://schemas.openxmlformats.org/spreadsheetml/2006/main" xmlns:r="http://schemas.openxmlformats.org/officeDocument/2006/relationships">
  <sheetPr>
    <pageSetUpPr fitToPage="1"/>
  </sheetPr>
  <dimension ref="A1:S41"/>
  <sheetViews>
    <sheetView zoomScaleNormal="100" workbookViewId="0">
      <pane xSplit="1" ySplit="3" topLeftCell="B4" activePane="bottomRight" state="frozen"/>
      <selection activeCell="P31" sqref="P31"/>
      <selection pane="topRight" activeCell="P31" sqref="P31"/>
      <selection pane="bottomLeft" activeCell="P31" sqref="P31"/>
      <selection pane="bottomRight" activeCell="A39" sqref="A39:A40"/>
    </sheetView>
  </sheetViews>
  <sheetFormatPr defaultRowHeight="11.25"/>
  <cols>
    <col min="1" max="1" width="30.28515625" style="114" customWidth="1"/>
    <col min="2" max="2" width="8.85546875" style="54" bestFit="1" customWidth="1"/>
    <col min="3" max="3" width="8" style="54" hidden="1" customWidth="1"/>
    <col min="4" max="4" width="8.42578125" style="54" bestFit="1" customWidth="1"/>
    <col min="5" max="5" width="9.28515625" style="54" bestFit="1" customWidth="1"/>
    <col min="6" max="6" width="7.85546875" style="54" bestFit="1" customWidth="1"/>
    <col min="7" max="7" width="9.28515625" style="54" bestFit="1" customWidth="1"/>
    <col min="8" max="8" width="8.7109375" style="54" bestFit="1" customWidth="1"/>
    <col min="9" max="9" width="9.42578125" style="196" bestFit="1" customWidth="1"/>
    <col min="10" max="10" width="7.7109375" style="196" bestFit="1" customWidth="1"/>
    <col min="11" max="11" width="6.85546875" style="196" bestFit="1" customWidth="1"/>
    <col min="12" max="12" width="8.85546875" style="196" customWidth="1"/>
    <col min="13" max="13" width="9" style="196" hidden="1" customWidth="1"/>
    <col min="14" max="14" width="8.42578125" style="54" bestFit="1" customWidth="1"/>
    <col min="15" max="15" width="8.5703125" style="114" customWidth="1"/>
    <col min="16" max="16" width="8.5703125" style="114" bestFit="1" customWidth="1"/>
    <col min="17" max="17" width="4.28515625" style="114" bestFit="1" customWidth="1"/>
    <col min="18" max="19" width="0" style="114" hidden="1" customWidth="1"/>
    <col min="20" max="16384" width="9.140625" style="114"/>
  </cols>
  <sheetData>
    <row r="1" spans="1:19">
      <c r="A1" s="410" t="s">
        <v>234</v>
      </c>
      <c r="B1" s="410"/>
      <c r="C1" s="410"/>
      <c r="D1" s="410"/>
      <c r="E1" s="410"/>
      <c r="F1" s="410"/>
      <c r="G1" s="410"/>
      <c r="H1" s="410"/>
      <c r="I1" s="410"/>
      <c r="J1" s="410"/>
      <c r="K1" s="410"/>
      <c r="L1" s="410"/>
      <c r="M1" s="410"/>
      <c r="N1" s="410"/>
      <c r="O1" s="410"/>
      <c r="P1" s="410"/>
      <c r="Q1" s="410"/>
    </row>
    <row r="2" spans="1:19">
      <c r="A2" s="411" t="s">
        <v>530</v>
      </c>
      <c r="B2" s="411"/>
      <c r="C2" s="411"/>
      <c r="D2" s="411"/>
      <c r="E2" s="411"/>
      <c r="F2" s="411"/>
      <c r="G2" s="411"/>
      <c r="H2" s="411"/>
      <c r="I2" s="411"/>
      <c r="J2" s="411"/>
      <c r="K2" s="411"/>
      <c r="L2" s="411"/>
      <c r="M2" s="411"/>
      <c r="N2" s="411"/>
      <c r="O2" s="411"/>
      <c r="P2" s="411"/>
      <c r="Q2" s="411"/>
    </row>
    <row r="3" spans="1:19" s="193" customFormat="1" ht="60.75" customHeight="1">
      <c r="A3" s="45" t="s">
        <v>392</v>
      </c>
      <c r="B3" s="45" t="s">
        <v>393</v>
      </c>
      <c r="C3" s="45" t="s">
        <v>430</v>
      </c>
      <c r="D3" s="45" t="s">
        <v>4</v>
      </c>
      <c r="E3" s="45" t="s">
        <v>94</v>
      </c>
      <c r="F3" s="45" t="s">
        <v>5</v>
      </c>
      <c r="G3" s="12" t="s">
        <v>176</v>
      </c>
      <c r="H3" s="45" t="s">
        <v>459</v>
      </c>
      <c r="I3" s="60" t="s">
        <v>460</v>
      </c>
      <c r="J3" s="100" t="s">
        <v>462</v>
      </c>
      <c r="K3" s="100" t="s">
        <v>463</v>
      </c>
      <c r="L3" s="100" t="s">
        <v>461</v>
      </c>
      <c r="M3" s="45" t="s">
        <v>391</v>
      </c>
      <c r="N3" s="45" t="s">
        <v>8</v>
      </c>
      <c r="O3" s="100" t="s">
        <v>96</v>
      </c>
      <c r="P3" s="100" t="s">
        <v>175</v>
      </c>
      <c r="Q3" s="182" t="s">
        <v>394</v>
      </c>
      <c r="R3" s="193" t="s">
        <v>307</v>
      </c>
      <c r="S3" s="193" t="s">
        <v>308</v>
      </c>
    </row>
    <row r="4" spans="1:19" s="147" customFormat="1" ht="9">
      <c r="A4" s="194" t="s">
        <v>405</v>
      </c>
      <c r="B4" s="179" t="s">
        <v>433</v>
      </c>
      <c r="C4" s="179"/>
      <c r="D4" s="181"/>
      <c r="E4" s="181"/>
      <c r="F4" s="181"/>
      <c r="G4" s="179"/>
      <c r="H4" s="179"/>
      <c r="I4" s="183"/>
      <c r="J4" s="179"/>
      <c r="K4" s="179"/>
      <c r="L4" s="179"/>
      <c r="M4" s="179"/>
      <c r="N4" s="181"/>
      <c r="O4" s="181"/>
      <c r="P4" s="181"/>
      <c r="Q4" s="249"/>
    </row>
    <row r="5" spans="1:19" s="147" customFormat="1" ht="9">
      <c r="A5" s="143" t="s">
        <v>406</v>
      </c>
      <c r="B5" s="44" t="s">
        <v>433</v>
      </c>
      <c r="C5" s="44"/>
      <c r="D5" s="52"/>
      <c r="E5" s="52"/>
      <c r="F5" s="52"/>
      <c r="G5" s="44"/>
      <c r="H5" s="44"/>
      <c r="I5" s="92"/>
      <c r="J5" s="44"/>
      <c r="K5" s="44"/>
      <c r="L5" s="44"/>
      <c r="M5" s="44"/>
      <c r="N5" s="52"/>
      <c r="O5" s="52"/>
      <c r="P5" s="52"/>
      <c r="Q5" s="94"/>
    </row>
    <row r="6" spans="1:19" s="147" customFormat="1" ht="9">
      <c r="A6" s="143" t="s">
        <v>407</v>
      </c>
      <c r="B6" s="44"/>
      <c r="C6" s="44"/>
      <c r="D6" s="52"/>
      <c r="E6" s="52"/>
      <c r="F6" s="52"/>
      <c r="G6" s="44"/>
      <c r="H6" s="44"/>
      <c r="I6" s="92"/>
      <c r="J6" s="44"/>
      <c r="K6" s="44"/>
      <c r="L6" s="44"/>
      <c r="M6" s="44"/>
      <c r="N6" s="52"/>
      <c r="O6" s="52"/>
      <c r="P6" s="52"/>
      <c r="Q6" s="94"/>
    </row>
    <row r="7" spans="1:19" s="147" customFormat="1" ht="9">
      <c r="A7" s="143" t="s">
        <v>408</v>
      </c>
      <c r="B7" s="44">
        <v>40</v>
      </c>
      <c r="C7" s="44"/>
      <c r="D7" s="52">
        <v>0</v>
      </c>
      <c r="E7" s="52">
        <v>0</v>
      </c>
      <c r="F7" s="52">
        <v>0</v>
      </c>
      <c r="G7" s="44">
        <v>1</v>
      </c>
      <c r="H7" s="44">
        <f>B7*G7</f>
        <v>40</v>
      </c>
      <c r="I7" s="91">
        <f>'Base Data'!$H$42+'Base Data'!$H$41</f>
        <v>42</v>
      </c>
      <c r="J7" s="91">
        <f>H7*I7</f>
        <v>1680</v>
      </c>
      <c r="K7" s="91">
        <f>J7*0.1</f>
        <v>168</v>
      </c>
      <c r="L7" s="91">
        <f>J7*0.05</f>
        <v>84</v>
      </c>
      <c r="M7" s="44">
        <f>C7*G7*I7</f>
        <v>0</v>
      </c>
      <c r="N7" s="52">
        <f>(J7*'Base Data'!$C$5)+(K7*'Base Data'!$C$6)+(L7*'Base Data'!$C$7)</f>
        <v>182746.2</v>
      </c>
      <c r="O7" s="52">
        <f>(D7+E7+F7)*G7*I7</f>
        <v>0</v>
      </c>
      <c r="P7" s="92">
        <v>0</v>
      </c>
      <c r="Q7" s="94" t="s">
        <v>387</v>
      </c>
    </row>
    <row r="8" spans="1:19" s="147" customFormat="1" ht="9">
      <c r="A8" s="143" t="s">
        <v>409</v>
      </c>
      <c r="B8" s="44"/>
      <c r="C8" s="44"/>
      <c r="D8" s="52"/>
      <c r="E8" s="52"/>
      <c r="F8" s="52"/>
      <c r="G8" s="44"/>
      <c r="H8" s="44"/>
      <c r="I8" s="92"/>
      <c r="J8" s="44"/>
      <c r="K8" s="44"/>
      <c r="L8" s="44"/>
      <c r="M8" s="44"/>
      <c r="N8" s="52"/>
      <c r="O8" s="52"/>
      <c r="P8" s="92"/>
      <c r="Q8" s="94"/>
    </row>
    <row r="9" spans="1:19" s="147" customFormat="1" ht="9">
      <c r="A9" s="143" t="s">
        <v>423</v>
      </c>
      <c r="B9" s="44"/>
      <c r="C9" s="44"/>
      <c r="D9" s="95"/>
      <c r="E9" s="52"/>
      <c r="F9" s="52"/>
      <c r="G9" s="44"/>
      <c r="H9" s="44"/>
      <c r="I9" s="92"/>
      <c r="J9" s="91"/>
      <c r="K9" s="91"/>
      <c r="L9" s="91"/>
      <c r="M9" s="93"/>
      <c r="N9" s="52"/>
      <c r="O9" s="52"/>
      <c r="P9" s="92"/>
      <c r="Q9" s="94"/>
      <c r="R9" s="94"/>
    </row>
    <row r="10" spans="1:19" s="147" customFormat="1" ht="9">
      <c r="A10" s="142" t="s">
        <v>274</v>
      </c>
      <c r="B10" s="44">
        <v>20</v>
      </c>
      <c r="C10" s="44"/>
      <c r="D10" s="52">
        <v>854</v>
      </c>
      <c r="E10" s="52">
        <v>0</v>
      </c>
      <c r="F10" s="52">
        <v>0</v>
      </c>
      <c r="G10" s="44">
        <v>1</v>
      </c>
      <c r="H10" s="44">
        <f>B10*G10</f>
        <v>20</v>
      </c>
      <c r="I10" s="92">
        <v>0</v>
      </c>
      <c r="J10" s="92">
        <f>H10*I10</f>
        <v>0</v>
      </c>
      <c r="K10" s="92">
        <f>J10*0.1</f>
        <v>0</v>
      </c>
      <c r="L10" s="92">
        <f>J10*0.05</f>
        <v>0</v>
      </c>
      <c r="M10" s="93">
        <f>C10*G10*I10</f>
        <v>0</v>
      </c>
      <c r="N10" s="52">
        <f>(J10*'Base Data'!$C$5)+(K10*'Base Data'!$C$6)+(L10*'Base Data'!$C$7)</f>
        <v>0</v>
      </c>
      <c r="O10" s="52">
        <f>(D10+E10+F10)*G10*I10</f>
        <v>0</v>
      </c>
      <c r="P10" s="92">
        <v>0</v>
      </c>
      <c r="Q10" s="94" t="s">
        <v>440</v>
      </c>
      <c r="R10" s="94"/>
    </row>
    <row r="11" spans="1:19" s="147" customFormat="1" ht="9">
      <c r="A11" s="142" t="s">
        <v>276</v>
      </c>
      <c r="B11" s="44">
        <v>20</v>
      </c>
      <c r="C11" s="44"/>
      <c r="D11" s="52">
        <v>18292</v>
      </c>
      <c r="E11" s="52">
        <v>0</v>
      </c>
      <c r="F11" s="52">
        <v>0</v>
      </c>
      <c r="G11" s="44">
        <v>1</v>
      </c>
      <c r="H11" s="44">
        <f>B11*G11</f>
        <v>20</v>
      </c>
      <c r="I11" s="92">
        <v>0</v>
      </c>
      <c r="J11" s="92">
        <f>H11*I11</f>
        <v>0</v>
      </c>
      <c r="K11" s="92">
        <f>J11*0.1</f>
        <v>0</v>
      </c>
      <c r="L11" s="92">
        <f>J11*0.05</f>
        <v>0</v>
      </c>
      <c r="M11" s="93">
        <f>C11*G11*I11</f>
        <v>0</v>
      </c>
      <c r="N11" s="52">
        <f>(J11*'Base Data'!$C$5)+(K11*'Base Data'!$C$6)+(L11*'Base Data'!$C$7)</f>
        <v>0</v>
      </c>
      <c r="O11" s="52">
        <f>(D11+E11+F11)*G11*I11</f>
        <v>0</v>
      </c>
      <c r="P11" s="92">
        <v>0</v>
      </c>
      <c r="Q11" s="94" t="s">
        <v>440</v>
      </c>
      <c r="R11" s="94"/>
    </row>
    <row r="12" spans="1:19" s="147" customFormat="1" ht="9">
      <c r="A12" s="143" t="s">
        <v>249</v>
      </c>
      <c r="B12" s="44">
        <v>12</v>
      </c>
      <c r="C12" s="44"/>
      <c r="D12" s="52">
        <v>0</v>
      </c>
      <c r="E12" s="52">
        <v>2228</v>
      </c>
      <c r="F12" s="52">
        <v>0</v>
      </c>
      <c r="G12" s="44">
        <v>0.5</v>
      </c>
      <c r="H12" s="44">
        <f>B12*G12</f>
        <v>6</v>
      </c>
      <c r="I12" s="92">
        <v>0</v>
      </c>
      <c r="J12" s="91">
        <f>H12*I12</f>
        <v>0</v>
      </c>
      <c r="K12" s="91">
        <f>J12*0.1</f>
        <v>0</v>
      </c>
      <c r="L12" s="91">
        <f>J12*0.05</f>
        <v>0</v>
      </c>
      <c r="M12" s="92"/>
      <c r="N12" s="52">
        <f>(J12*'Base Data'!$C$5)+(K12*'Base Data'!$C$6)+(L12*'Base Data'!$C$7)</f>
        <v>0</v>
      </c>
      <c r="O12" s="52">
        <f>(D12+E12+F12)*I12</f>
        <v>0</v>
      </c>
      <c r="P12" s="92">
        <v>0</v>
      </c>
      <c r="Q12" s="94" t="s">
        <v>12</v>
      </c>
    </row>
    <row r="13" spans="1:19" s="147" customFormat="1" ht="9">
      <c r="A13" s="143" t="s">
        <v>415</v>
      </c>
      <c r="B13" s="44" t="s">
        <v>433</v>
      </c>
      <c r="C13" s="44"/>
      <c r="D13" s="52"/>
      <c r="E13" s="52"/>
      <c r="F13" s="52"/>
      <c r="G13" s="44"/>
      <c r="H13" s="44"/>
      <c r="I13" s="92"/>
      <c r="J13" s="44"/>
      <c r="K13" s="44"/>
      <c r="L13" s="44"/>
      <c r="M13" s="44"/>
      <c r="N13" s="52"/>
      <c r="O13" s="52"/>
      <c r="P13" s="92"/>
      <c r="Q13" s="94"/>
    </row>
    <row r="14" spans="1:19" s="147" customFormat="1" ht="9">
      <c r="A14" s="143" t="s">
        <v>416</v>
      </c>
      <c r="B14" s="44" t="s">
        <v>433</v>
      </c>
      <c r="C14" s="44"/>
      <c r="D14" s="52"/>
      <c r="E14" s="52"/>
      <c r="F14" s="52"/>
      <c r="G14" s="44"/>
      <c r="H14" s="44"/>
      <c r="I14" s="92"/>
      <c r="J14" s="44"/>
      <c r="K14" s="44"/>
      <c r="L14" s="44"/>
      <c r="M14" s="44"/>
      <c r="N14" s="52"/>
      <c r="O14" s="52"/>
      <c r="P14" s="92"/>
      <c r="Q14" s="94"/>
    </row>
    <row r="15" spans="1:19" s="147" customFormat="1" ht="9">
      <c r="A15" s="143" t="s">
        <v>417</v>
      </c>
      <c r="B15" s="44"/>
      <c r="C15" s="44"/>
      <c r="D15" s="52"/>
      <c r="E15" s="52"/>
      <c r="F15" s="52"/>
      <c r="G15" s="44"/>
      <c r="H15" s="44"/>
      <c r="I15" s="92"/>
      <c r="J15" s="44"/>
      <c r="K15" s="44"/>
      <c r="L15" s="44"/>
      <c r="M15" s="44"/>
      <c r="N15" s="52"/>
      <c r="O15" s="52"/>
      <c r="P15" s="92"/>
      <c r="Q15" s="94"/>
    </row>
    <row r="16" spans="1:19" s="147" customFormat="1" ht="9">
      <c r="A16" s="177" t="s">
        <v>435</v>
      </c>
      <c r="B16" s="44">
        <v>2</v>
      </c>
      <c r="C16" s="44"/>
      <c r="D16" s="52">
        <v>0</v>
      </c>
      <c r="E16" s="52">
        <v>0</v>
      </c>
      <c r="F16" s="52">
        <v>0</v>
      </c>
      <c r="G16" s="44">
        <v>1</v>
      </c>
      <c r="H16" s="44">
        <f>B16*G16</f>
        <v>2</v>
      </c>
      <c r="I16" s="91">
        <f>'Base Data'!$H$42+'Base Data'!$H$41</f>
        <v>42</v>
      </c>
      <c r="J16" s="91">
        <f>H16*I16</f>
        <v>84</v>
      </c>
      <c r="K16" s="91">
        <f>J16*0.1</f>
        <v>8.4</v>
      </c>
      <c r="L16" s="91">
        <f>J16*0.05</f>
        <v>4.2</v>
      </c>
      <c r="M16" s="44">
        <f>C16*G16*I16</f>
        <v>0</v>
      </c>
      <c r="N16" s="52">
        <f>(J16*'Base Data'!$C$5)+(K16*'Base Data'!$C$6)+(L16*'Base Data'!$C$7)</f>
        <v>9137.3100000000013</v>
      </c>
      <c r="O16" s="52">
        <f>(D16+E16+F16)*G16*I16</f>
        <v>0</v>
      </c>
      <c r="P16" s="92">
        <f>G16*I16</f>
        <v>42</v>
      </c>
      <c r="Q16" s="94" t="s">
        <v>387</v>
      </c>
    </row>
    <row r="17" spans="1:19" s="147" customFormat="1" ht="9">
      <c r="A17" s="177" t="s">
        <v>377</v>
      </c>
      <c r="B17" s="44">
        <v>8</v>
      </c>
      <c r="C17" s="44"/>
      <c r="D17" s="52">
        <v>0</v>
      </c>
      <c r="E17" s="52">
        <v>0</v>
      </c>
      <c r="F17" s="52">
        <v>0</v>
      </c>
      <c r="G17" s="44">
        <v>1</v>
      </c>
      <c r="H17" s="44">
        <f>B17*G17</f>
        <v>8</v>
      </c>
      <c r="I17" s="92">
        <v>0</v>
      </c>
      <c r="J17" s="91">
        <f>H17*I17</f>
        <v>0</v>
      </c>
      <c r="K17" s="91">
        <f>J17*0.1</f>
        <v>0</v>
      </c>
      <c r="L17" s="91">
        <f>J17*0.05</f>
        <v>0</v>
      </c>
      <c r="M17" s="44">
        <f>C17*G17*I17</f>
        <v>0</v>
      </c>
      <c r="N17" s="52">
        <f>(J17*'Base Data'!$C$5)+(K17*'Base Data'!$C$6)+(L17*'Base Data'!$C$7)</f>
        <v>0</v>
      </c>
      <c r="O17" s="52">
        <f>(D17+E17+F17)*G17*I17</f>
        <v>0</v>
      </c>
      <c r="P17" s="92">
        <f>G17*I17</f>
        <v>0</v>
      </c>
      <c r="Q17" s="94" t="s">
        <v>388</v>
      </c>
    </row>
    <row r="18" spans="1:19" s="147" customFormat="1" ht="9">
      <c r="A18" s="144" t="s">
        <v>248</v>
      </c>
      <c r="B18" s="44">
        <v>5</v>
      </c>
      <c r="C18" s="44"/>
      <c r="D18" s="52">
        <v>0</v>
      </c>
      <c r="E18" s="52">
        <v>0</v>
      </c>
      <c r="F18" s="52">
        <v>0</v>
      </c>
      <c r="G18" s="44">
        <v>0.5</v>
      </c>
      <c r="H18" s="44">
        <f>B18*G18</f>
        <v>2.5</v>
      </c>
      <c r="I18" s="92">
        <v>0</v>
      </c>
      <c r="J18" s="91">
        <f>H18*I18</f>
        <v>0</v>
      </c>
      <c r="K18" s="91">
        <f>J18*0.1</f>
        <v>0</v>
      </c>
      <c r="L18" s="91">
        <f>J18*0.05</f>
        <v>0</v>
      </c>
      <c r="M18" s="44">
        <f>C18*G18*I18</f>
        <v>0</v>
      </c>
      <c r="N18" s="52">
        <f>(J18*'Base Data'!$C$5)+(K18*'Base Data'!$C$6)+(L18*'Base Data'!$C$7)</f>
        <v>0</v>
      </c>
      <c r="O18" s="52">
        <f>(D18+E18+F18)*G18*I18</f>
        <v>0</v>
      </c>
      <c r="P18" s="92">
        <f>G18*I18</f>
        <v>0</v>
      </c>
      <c r="Q18" s="94" t="s">
        <v>12</v>
      </c>
    </row>
    <row r="19" spans="1:19" s="6" customFormat="1" ht="9">
      <c r="A19" s="177" t="s">
        <v>505</v>
      </c>
      <c r="B19" s="44">
        <v>5</v>
      </c>
      <c r="C19" s="18"/>
      <c r="D19" s="39">
        <v>0</v>
      </c>
      <c r="E19" s="39">
        <v>0</v>
      </c>
      <c r="F19" s="39">
        <v>0</v>
      </c>
      <c r="G19" s="18">
        <v>1</v>
      </c>
      <c r="H19" s="18">
        <f>B19*G19</f>
        <v>5</v>
      </c>
      <c r="I19" s="51">
        <v>0</v>
      </c>
      <c r="J19" s="19">
        <f>H19*I19</f>
        <v>0</v>
      </c>
      <c r="K19" s="19">
        <f>J19*0.1</f>
        <v>0</v>
      </c>
      <c r="L19" s="19">
        <f>J19*0.05</f>
        <v>0</v>
      </c>
      <c r="M19" s="18">
        <f>C19*G19*I19</f>
        <v>0</v>
      </c>
      <c r="N19" s="39">
        <f>(J19*'Base Data'!$C$5)+(K19*'Base Data'!$C$6)+(L19*'Base Data'!$C$7)</f>
        <v>0</v>
      </c>
      <c r="O19" s="39">
        <f>(D19+E19+F19)*G19*I19</f>
        <v>0</v>
      </c>
      <c r="P19" s="19">
        <f>G19*I19</f>
        <v>0</v>
      </c>
      <c r="Q19" s="29" t="s">
        <v>388</v>
      </c>
    </row>
    <row r="20" spans="1:19" s="147" customFormat="1" ht="9">
      <c r="A20" s="148" t="s">
        <v>7</v>
      </c>
      <c r="B20" s="44"/>
      <c r="C20" s="44"/>
      <c r="D20" s="52"/>
      <c r="E20" s="52"/>
      <c r="F20" s="52"/>
      <c r="G20" s="44"/>
      <c r="H20" s="44"/>
      <c r="I20" s="92"/>
      <c r="J20" s="92">
        <f>SUM(J7:J19)</f>
        <v>1764</v>
      </c>
      <c r="K20" s="92">
        <f t="shared" ref="K20:P20" si="0">SUM(K7:K19)</f>
        <v>176.4</v>
      </c>
      <c r="L20" s="92">
        <f t="shared" si="0"/>
        <v>88.2</v>
      </c>
      <c r="M20" s="92">
        <f t="shared" si="0"/>
        <v>0</v>
      </c>
      <c r="N20" s="52">
        <f t="shared" si="0"/>
        <v>191883.51</v>
      </c>
      <c r="O20" s="52">
        <f t="shared" si="0"/>
        <v>0</v>
      </c>
      <c r="P20" s="92">
        <f t="shared" si="0"/>
        <v>42</v>
      </c>
      <c r="Q20" s="94"/>
      <c r="R20" s="149">
        <f>SUM(O7:O12)</f>
        <v>0</v>
      </c>
      <c r="S20" s="147">
        <f>0</f>
        <v>0</v>
      </c>
    </row>
    <row r="21" spans="1:19" s="147" customFormat="1" ht="9">
      <c r="A21" s="143" t="s">
        <v>431</v>
      </c>
      <c r="B21" s="44"/>
      <c r="C21" s="44"/>
      <c r="D21" s="52"/>
      <c r="E21" s="52"/>
      <c r="F21" s="52"/>
      <c r="G21" s="44"/>
      <c r="H21" s="44"/>
      <c r="I21" s="92"/>
      <c r="J21" s="44"/>
      <c r="K21" s="44"/>
      <c r="L21" s="44"/>
      <c r="M21" s="44"/>
      <c r="N21" s="52"/>
      <c r="O21" s="52"/>
      <c r="P21" s="92"/>
      <c r="Q21" s="94"/>
    </row>
    <row r="22" spans="1:19" s="147" customFormat="1" ht="9">
      <c r="A22" s="143" t="s">
        <v>418</v>
      </c>
      <c r="B22" s="44" t="s">
        <v>422</v>
      </c>
      <c r="C22" s="44"/>
      <c r="D22" s="52"/>
      <c r="E22" s="52"/>
      <c r="F22" s="52"/>
      <c r="G22" s="44"/>
      <c r="H22" s="44"/>
      <c r="I22" s="92"/>
      <c r="J22" s="44"/>
      <c r="K22" s="44"/>
      <c r="L22" s="44"/>
      <c r="M22" s="44"/>
      <c r="N22" s="52"/>
      <c r="O22" s="52"/>
      <c r="P22" s="92"/>
      <c r="Q22" s="94"/>
    </row>
    <row r="23" spans="1:19" s="147" customFormat="1" ht="9">
      <c r="A23" s="143" t="s">
        <v>419</v>
      </c>
      <c r="B23" s="44" t="s">
        <v>433</v>
      </c>
      <c r="C23" s="44"/>
      <c r="D23" s="52"/>
      <c r="E23" s="52"/>
      <c r="F23" s="52"/>
      <c r="G23" s="44"/>
      <c r="H23" s="44"/>
      <c r="I23" s="92"/>
      <c r="J23" s="44"/>
      <c r="K23" s="44"/>
      <c r="L23" s="44"/>
      <c r="M23" s="44"/>
      <c r="N23" s="52"/>
      <c r="O23" s="52"/>
      <c r="P23" s="92"/>
      <c r="Q23" s="94"/>
    </row>
    <row r="24" spans="1:19" s="147" customFormat="1" ht="9">
      <c r="A24" s="143" t="s">
        <v>420</v>
      </c>
      <c r="B24" s="44" t="s">
        <v>433</v>
      </c>
      <c r="C24" s="44"/>
      <c r="D24" s="52"/>
      <c r="E24" s="52"/>
      <c r="F24" s="52"/>
      <c r="G24" s="44"/>
      <c r="H24" s="44"/>
      <c r="I24" s="92"/>
      <c r="J24" s="44"/>
      <c r="K24" s="44"/>
      <c r="L24" s="44"/>
      <c r="M24" s="44"/>
      <c r="N24" s="52"/>
      <c r="O24" s="52"/>
      <c r="P24" s="92"/>
      <c r="Q24" s="94" t="s">
        <v>389</v>
      </c>
    </row>
    <row r="25" spans="1:19" s="147" customFormat="1" ht="9">
      <c r="A25" s="143" t="s">
        <v>421</v>
      </c>
      <c r="B25" s="44"/>
      <c r="C25" s="44"/>
      <c r="D25" s="52"/>
      <c r="E25" s="52"/>
      <c r="F25" s="52"/>
      <c r="G25" s="44"/>
      <c r="H25" s="44"/>
      <c r="I25" s="92"/>
      <c r="J25" s="44"/>
      <c r="K25" s="44"/>
      <c r="L25" s="44"/>
      <c r="M25" s="44"/>
      <c r="N25" s="52"/>
      <c r="O25" s="52"/>
      <c r="P25" s="92"/>
      <c r="Q25" s="94"/>
    </row>
    <row r="26" spans="1:19" s="147" customFormat="1" ht="19.5" customHeight="1">
      <c r="A26" s="177" t="s">
        <v>375</v>
      </c>
      <c r="B26" s="44">
        <v>2</v>
      </c>
      <c r="C26" s="44">
        <v>0</v>
      </c>
      <c r="D26" s="52">
        <v>0</v>
      </c>
      <c r="E26" s="52">
        <v>0</v>
      </c>
      <c r="F26" s="52">
        <v>0</v>
      </c>
      <c r="G26" s="44">
        <v>0.5</v>
      </c>
      <c r="H26" s="44">
        <f>B26*G26</f>
        <v>1</v>
      </c>
      <c r="I26" s="92">
        <v>0</v>
      </c>
      <c r="J26" s="91">
        <f>H26*I26</f>
        <v>0</v>
      </c>
      <c r="K26" s="91">
        <f>J26*0.1</f>
        <v>0</v>
      </c>
      <c r="L26" s="91">
        <f>J26*0.05</f>
        <v>0</v>
      </c>
      <c r="M26" s="44">
        <f>C26*G26*I26</f>
        <v>0</v>
      </c>
      <c r="N26" s="52">
        <f>(J26*'Base Data'!$C$5)+(K26*'Base Data'!$C$6)+(L26*'Base Data'!$C$7)</f>
        <v>0</v>
      </c>
      <c r="O26" s="52">
        <f>(D26+E26+F26)*G26*I26</f>
        <v>0</v>
      </c>
      <c r="P26" s="92">
        <v>0</v>
      </c>
      <c r="Q26" s="94" t="s">
        <v>388</v>
      </c>
    </row>
    <row r="27" spans="1:19" s="147" customFormat="1" ht="18">
      <c r="A27" s="177" t="s">
        <v>376</v>
      </c>
      <c r="B27" s="44">
        <v>15</v>
      </c>
      <c r="C27" s="44">
        <v>0</v>
      </c>
      <c r="D27" s="52">
        <v>0</v>
      </c>
      <c r="E27" s="52">
        <v>0</v>
      </c>
      <c r="F27" s="52">
        <v>0</v>
      </c>
      <c r="G27" s="44">
        <v>1</v>
      </c>
      <c r="H27" s="44">
        <f>B27*G27</f>
        <v>15</v>
      </c>
      <c r="I27" s="92">
        <v>0</v>
      </c>
      <c r="J27" s="91">
        <f>H27*I27</f>
        <v>0</v>
      </c>
      <c r="K27" s="91">
        <f>J27*0.1</f>
        <v>0</v>
      </c>
      <c r="L27" s="91">
        <f>J27*0.05</f>
        <v>0</v>
      </c>
      <c r="M27" s="44">
        <f>C27*G27*I27</f>
        <v>0</v>
      </c>
      <c r="N27" s="52">
        <f>(J27*'Base Data'!$C$5)+(K27*'Base Data'!$C$6)+(L27*'Base Data'!$C$7)</f>
        <v>0</v>
      </c>
      <c r="O27" s="52">
        <f>(D27+E27+F27)*G27*I27</f>
        <v>0</v>
      </c>
      <c r="P27" s="92">
        <v>0</v>
      </c>
      <c r="Q27" s="94" t="s">
        <v>13</v>
      </c>
    </row>
    <row r="28" spans="1:19" s="147" customFormat="1" ht="9">
      <c r="A28" s="177" t="s">
        <v>251</v>
      </c>
      <c r="B28" s="44">
        <v>0.5</v>
      </c>
      <c r="C28" s="44"/>
      <c r="D28" s="52">
        <v>0</v>
      </c>
      <c r="E28" s="52">
        <v>0</v>
      </c>
      <c r="F28" s="52">
        <v>0</v>
      </c>
      <c r="G28" s="44">
        <v>0.5</v>
      </c>
      <c r="H28" s="44">
        <f>B28*G28</f>
        <v>0.25</v>
      </c>
      <c r="I28" s="92">
        <v>0</v>
      </c>
      <c r="J28" s="91">
        <f>H28*I28</f>
        <v>0</v>
      </c>
      <c r="K28" s="91">
        <f>J28*0.1</f>
        <v>0</v>
      </c>
      <c r="L28" s="91">
        <f>J28*0.05</f>
        <v>0</v>
      </c>
      <c r="M28" s="44">
        <f>C28*G28*I28</f>
        <v>0</v>
      </c>
      <c r="N28" s="52">
        <f>(J28*'Base Data'!$C$5)+(K28*'Base Data'!$C$6)+(L28*'Base Data'!$C$7)</f>
        <v>0</v>
      </c>
      <c r="O28" s="52">
        <f>(D28+E28+F28)*G28*I28</f>
        <v>0</v>
      </c>
      <c r="P28" s="92">
        <v>0</v>
      </c>
      <c r="Q28" s="94" t="s">
        <v>12</v>
      </c>
    </row>
    <row r="29" spans="1:19" s="6" customFormat="1" ht="9">
      <c r="A29" s="142" t="s">
        <v>427</v>
      </c>
      <c r="B29" s="44">
        <v>40</v>
      </c>
      <c r="C29" s="18"/>
      <c r="D29" s="39">
        <v>0</v>
      </c>
      <c r="E29" s="39">
        <v>0</v>
      </c>
      <c r="F29" s="39">
        <v>0</v>
      </c>
      <c r="G29" s="18">
        <v>1</v>
      </c>
      <c r="H29" s="18">
        <f t="shared" ref="H29" si="1">B29*G29</f>
        <v>40</v>
      </c>
      <c r="I29" s="91">
        <v>0</v>
      </c>
      <c r="J29" s="19">
        <f t="shared" ref="J29" si="2">H29*I29</f>
        <v>0</v>
      </c>
      <c r="K29" s="19">
        <f t="shared" ref="K29" si="3">J29*0.1</f>
        <v>0</v>
      </c>
      <c r="L29" s="19">
        <f t="shared" ref="L29" si="4">J29*0.05</f>
        <v>0</v>
      </c>
      <c r="M29" s="18"/>
      <c r="N29" s="39">
        <f>(J29*'Base Data'!$C$5)+(K29*'Base Data'!$C$6)+(L29*'Base Data'!$C$7)</f>
        <v>0</v>
      </c>
      <c r="O29" s="39">
        <f t="shared" ref="O29" si="5">(D29+E29+F29)*G29*I29</f>
        <v>0</v>
      </c>
      <c r="P29" s="92">
        <v>0</v>
      </c>
      <c r="Q29" s="29" t="s">
        <v>78</v>
      </c>
    </row>
    <row r="30" spans="1:19" s="147" customFormat="1" ht="9">
      <c r="A30" s="143" t="s">
        <v>428</v>
      </c>
      <c r="B30" s="44" t="s">
        <v>433</v>
      </c>
      <c r="C30" s="44"/>
      <c r="D30" s="52"/>
      <c r="E30" s="52"/>
      <c r="F30" s="52"/>
      <c r="G30" s="44"/>
      <c r="H30" s="44"/>
      <c r="I30" s="92"/>
      <c r="J30" s="44"/>
      <c r="K30" s="44"/>
      <c r="L30" s="44"/>
      <c r="M30" s="44"/>
      <c r="N30" s="52"/>
      <c r="O30" s="52"/>
      <c r="P30" s="92"/>
      <c r="Q30" s="94"/>
    </row>
    <row r="31" spans="1:19" s="147" customFormat="1" ht="9">
      <c r="A31" s="256" t="s">
        <v>27</v>
      </c>
      <c r="B31" s="239"/>
      <c r="C31" s="239"/>
      <c r="D31" s="240"/>
      <c r="E31" s="240"/>
      <c r="F31" s="240"/>
      <c r="G31" s="239"/>
      <c r="H31" s="239"/>
      <c r="I31" s="241"/>
      <c r="J31" s="239">
        <f t="shared" ref="J31:P31" si="6">SUM(J22:J30)</f>
        <v>0</v>
      </c>
      <c r="K31" s="239">
        <f t="shared" si="6"/>
        <v>0</v>
      </c>
      <c r="L31" s="239">
        <f t="shared" si="6"/>
        <v>0</v>
      </c>
      <c r="M31" s="239">
        <f t="shared" si="6"/>
        <v>0</v>
      </c>
      <c r="N31" s="240">
        <f t="shared" si="6"/>
        <v>0</v>
      </c>
      <c r="O31" s="240">
        <f t="shared" si="6"/>
        <v>0</v>
      </c>
      <c r="P31" s="241">
        <f t="shared" si="6"/>
        <v>0</v>
      </c>
      <c r="Q31" s="242"/>
      <c r="R31" s="149">
        <f>SUM(O22:O31)</f>
        <v>0</v>
      </c>
    </row>
    <row r="32" spans="1:19" s="147" customFormat="1">
      <c r="A32" s="186" t="s">
        <v>400</v>
      </c>
      <c r="B32" s="187"/>
      <c r="C32" s="187"/>
      <c r="D32" s="187"/>
      <c r="E32" s="187"/>
      <c r="F32" s="187"/>
      <c r="G32" s="187"/>
      <c r="H32" s="187"/>
      <c r="I32" s="189"/>
      <c r="J32" s="190">
        <f t="shared" ref="J32:P32" si="7">SUM(J20,J31)</f>
        <v>1764</v>
      </c>
      <c r="K32" s="190">
        <f t="shared" si="7"/>
        <v>176.4</v>
      </c>
      <c r="L32" s="190">
        <f t="shared" si="7"/>
        <v>88.2</v>
      </c>
      <c r="M32" s="190">
        <f t="shared" si="7"/>
        <v>0</v>
      </c>
      <c r="N32" s="191">
        <f t="shared" si="7"/>
        <v>191883.51</v>
      </c>
      <c r="O32" s="191">
        <f t="shared" si="7"/>
        <v>0</v>
      </c>
      <c r="P32" s="190">
        <f t="shared" si="7"/>
        <v>42</v>
      </c>
      <c r="Q32" s="192"/>
    </row>
    <row r="33" spans="1:17" s="147" customFormat="1">
      <c r="A33" s="114"/>
      <c r="B33" s="54"/>
      <c r="C33" s="54"/>
      <c r="D33" s="54"/>
      <c r="E33" s="54"/>
      <c r="F33" s="54"/>
      <c r="G33" s="54"/>
      <c r="H33" s="54"/>
      <c r="I33" s="55"/>
      <c r="J33" s="54"/>
      <c r="K33" s="54"/>
      <c r="L33" s="54"/>
      <c r="M33" s="54"/>
      <c r="N33" s="54"/>
      <c r="O33" s="196"/>
      <c r="P33" s="196"/>
      <c r="Q33" s="54"/>
    </row>
    <row r="34" spans="1:17" s="147" customFormat="1" ht="9">
      <c r="A34" s="53" t="s">
        <v>498</v>
      </c>
      <c r="B34" s="56"/>
      <c r="C34" s="56"/>
      <c r="D34" s="56"/>
      <c r="E34" s="56"/>
      <c r="F34" s="56"/>
      <c r="G34" s="56"/>
      <c r="H34" s="56"/>
      <c r="I34" s="57"/>
      <c r="J34" s="56"/>
      <c r="K34" s="56"/>
      <c r="L34" s="56"/>
      <c r="M34" s="56"/>
      <c r="N34" s="56"/>
      <c r="O34" s="197"/>
      <c r="P34" s="197"/>
      <c r="Q34" s="56"/>
    </row>
    <row r="35" spans="1:17" s="53" customFormat="1" ht="28.5" customHeight="1">
      <c r="A35" s="409" t="s">
        <v>165</v>
      </c>
      <c r="B35" s="409"/>
      <c r="C35" s="409"/>
      <c r="D35" s="409"/>
      <c r="E35" s="409"/>
      <c r="F35" s="409"/>
      <c r="G35" s="409"/>
      <c r="H35" s="409"/>
      <c r="I35" s="409"/>
      <c r="J35" s="409"/>
      <c r="K35" s="409"/>
      <c r="L35" s="409"/>
      <c r="M35" s="409"/>
      <c r="N35" s="409"/>
      <c r="O35" s="409"/>
      <c r="P35" s="175"/>
      <c r="Q35" s="56"/>
    </row>
    <row r="36" spans="1:17" s="53" customFormat="1" ht="16.5" customHeight="1">
      <c r="A36" s="409" t="s">
        <v>374</v>
      </c>
      <c r="B36" s="409"/>
      <c r="C36" s="409"/>
      <c r="D36" s="409"/>
      <c r="E36" s="409"/>
      <c r="F36" s="409"/>
      <c r="G36" s="409"/>
      <c r="H36" s="409"/>
      <c r="I36" s="409"/>
      <c r="J36" s="409"/>
      <c r="K36" s="409"/>
      <c r="L36" s="409"/>
      <c r="M36" s="409"/>
      <c r="N36" s="409"/>
      <c r="O36" s="409"/>
      <c r="P36" s="175"/>
      <c r="Q36" s="56"/>
    </row>
    <row r="37" spans="1:17" s="53" customFormat="1" ht="18.75" customHeight="1">
      <c r="A37" s="409" t="s">
        <v>95</v>
      </c>
      <c r="B37" s="409"/>
      <c r="C37" s="409"/>
      <c r="D37" s="409"/>
      <c r="E37" s="409"/>
      <c r="F37" s="409"/>
      <c r="G37" s="409"/>
      <c r="H37" s="409"/>
      <c r="I37" s="409"/>
      <c r="J37" s="409"/>
      <c r="K37" s="409"/>
      <c r="L37" s="409"/>
      <c r="M37" s="409"/>
      <c r="N37" s="409"/>
      <c r="O37" s="409"/>
      <c r="P37" s="409"/>
      <c r="Q37" s="409"/>
    </row>
    <row r="38" spans="1:17" s="53" customFormat="1" ht="10.5" customHeight="1">
      <c r="A38" s="53" t="s">
        <v>441</v>
      </c>
      <c r="B38" s="56"/>
      <c r="C38" s="56"/>
      <c r="D38" s="56"/>
      <c r="E38" s="56"/>
      <c r="F38" s="56"/>
      <c r="G38" s="56"/>
      <c r="H38" s="56"/>
      <c r="I38" s="57"/>
      <c r="J38" s="56"/>
      <c r="K38" s="56"/>
      <c r="L38" s="56"/>
      <c r="M38" s="56"/>
      <c r="N38" s="56"/>
      <c r="O38" s="197"/>
      <c r="P38" s="197"/>
      <c r="Q38" s="56"/>
    </row>
    <row r="39" spans="1:17">
      <c r="A39" s="53" t="s">
        <v>572</v>
      </c>
    </row>
    <row r="40" spans="1:17">
      <c r="A40" s="53" t="s">
        <v>571</v>
      </c>
    </row>
    <row r="41" spans="1:17">
      <c r="A41" s="14" t="s">
        <v>570</v>
      </c>
    </row>
  </sheetData>
  <mergeCells count="5">
    <mergeCell ref="A37:Q37"/>
    <mergeCell ref="A1:Q1"/>
    <mergeCell ref="A2:Q2"/>
    <mergeCell ref="A35:O35"/>
    <mergeCell ref="A36:O36"/>
  </mergeCells>
  <phoneticPr fontId="7" type="noConversion"/>
  <printOptions horizontalCentered="1"/>
  <pageMargins left="0.25" right="0.25" top="0.5" bottom="0.5" header="0.5" footer="0.5"/>
  <pageSetup scale="90" orientation="landscape" r:id="rId1"/>
  <headerFooter alignWithMargins="0"/>
</worksheet>
</file>

<file path=xl/worksheets/sheet31.xml><?xml version="1.0" encoding="utf-8"?>
<worksheet xmlns="http://schemas.openxmlformats.org/spreadsheetml/2006/main" xmlns:r="http://schemas.openxmlformats.org/officeDocument/2006/relationships">
  <sheetPr>
    <pageSetUpPr fitToPage="1"/>
  </sheetPr>
  <dimension ref="A1:S41"/>
  <sheetViews>
    <sheetView zoomScaleNormal="100" workbookViewId="0">
      <pane xSplit="1" ySplit="3" topLeftCell="B4" activePane="bottomRight" state="frozen"/>
      <selection activeCell="P31" sqref="P31"/>
      <selection pane="topRight" activeCell="P31" sqref="P31"/>
      <selection pane="bottomLeft" activeCell="P31" sqref="P31"/>
      <selection pane="bottomRight" activeCell="A39" sqref="A39:A40"/>
    </sheetView>
  </sheetViews>
  <sheetFormatPr defaultRowHeight="11.25"/>
  <cols>
    <col min="1" max="1" width="30.28515625" style="114" customWidth="1"/>
    <col min="2" max="2" width="8.85546875" style="54" bestFit="1" customWidth="1"/>
    <col min="3" max="3" width="8" style="54" hidden="1" customWidth="1"/>
    <col min="4" max="4" width="8.42578125" style="54" bestFit="1" customWidth="1"/>
    <col min="5" max="5" width="9.28515625" style="54" bestFit="1" customWidth="1"/>
    <col min="6" max="6" width="7.85546875" style="54" bestFit="1" customWidth="1"/>
    <col min="7" max="7" width="9.28515625" style="54" bestFit="1" customWidth="1"/>
    <col min="8" max="8" width="8.7109375" style="54" bestFit="1" customWidth="1"/>
    <col min="9" max="9" width="9.42578125" style="196" bestFit="1" customWidth="1"/>
    <col min="10" max="10" width="7.7109375" style="196" customWidth="1"/>
    <col min="11" max="11" width="6.85546875" style="196" bestFit="1" customWidth="1"/>
    <col min="12" max="12" width="8.7109375" style="196" customWidth="1"/>
    <col min="13" max="13" width="9" style="196" hidden="1" customWidth="1"/>
    <col min="14" max="14" width="10.140625" style="54" bestFit="1" customWidth="1"/>
    <col min="15" max="15" width="8.85546875" style="114" bestFit="1" customWidth="1"/>
    <col min="16" max="16" width="8.5703125" style="114" bestFit="1" customWidth="1"/>
    <col min="17" max="17" width="4.42578125" style="114" customWidth="1"/>
    <col min="18" max="19" width="0" style="114" hidden="1" customWidth="1"/>
    <col min="20" max="16384" width="9.140625" style="114"/>
  </cols>
  <sheetData>
    <row r="1" spans="1:19">
      <c r="A1" s="410" t="s">
        <v>235</v>
      </c>
      <c r="B1" s="410"/>
      <c r="C1" s="410"/>
      <c r="D1" s="410"/>
      <c r="E1" s="410"/>
      <c r="F1" s="410"/>
      <c r="G1" s="410"/>
      <c r="H1" s="410"/>
      <c r="I1" s="410"/>
      <c r="J1" s="410"/>
      <c r="K1" s="410"/>
      <c r="L1" s="410"/>
      <c r="M1" s="410"/>
      <c r="N1" s="410"/>
      <c r="O1" s="410"/>
      <c r="P1" s="410"/>
      <c r="Q1" s="410"/>
    </row>
    <row r="2" spans="1:19">
      <c r="A2" s="411" t="s">
        <v>531</v>
      </c>
      <c r="B2" s="411"/>
      <c r="C2" s="411"/>
      <c r="D2" s="411"/>
      <c r="E2" s="411"/>
      <c r="F2" s="411"/>
      <c r="G2" s="411"/>
      <c r="H2" s="411"/>
      <c r="I2" s="411"/>
      <c r="J2" s="411"/>
      <c r="K2" s="411"/>
      <c r="L2" s="411"/>
      <c r="M2" s="411"/>
      <c r="N2" s="411"/>
      <c r="O2" s="411"/>
      <c r="P2" s="411"/>
      <c r="Q2" s="411"/>
    </row>
    <row r="3" spans="1:19" s="193" customFormat="1" ht="54">
      <c r="A3" s="45" t="s">
        <v>392</v>
      </c>
      <c r="B3" s="45" t="s">
        <v>393</v>
      </c>
      <c r="C3" s="45" t="s">
        <v>430</v>
      </c>
      <c r="D3" s="45" t="s">
        <v>4</v>
      </c>
      <c r="E3" s="45" t="s">
        <v>94</v>
      </c>
      <c r="F3" s="45" t="s">
        <v>5</v>
      </c>
      <c r="G3" s="12" t="s">
        <v>176</v>
      </c>
      <c r="H3" s="45" t="s">
        <v>459</v>
      </c>
      <c r="I3" s="60" t="s">
        <v>460</v>
      </c>
      <c r="J3" s="100" t="s">
        <v>462</v>
      </c>
      <c r="K3" s="100" t="s">
        <v>463</v>
      </c>
      <c r="L3" s="100" t="s">
        <v>461</v>
      </c>
      <c r="M3" s="45" t="s">
        <v>391</v>
      </c>
      <c r="N3" s="45" t="s">
        <v>8</v>
      </c>
      <c r="O3" s="100" t="s">
        <v>96</v>
      </c>
      <c r="P3" s="100" t="s">
        <v>175</v>
      </c>
      <c r="Q3" s="182" t="s">
        <v>394</v>
      </c>
      <c r="R3" s="193" t="s">
        <v>307</v>
      </c>
      <c r="S3" s="193" t="s">
        <v>308</v>
      </c>
    </row>
    <row r="4" spans="1:19" s="147" customFormat="1" ht="9">
      <c r="A4" s="194" t="s">
        <v>405</v>
      </c>
      <c r="B4" s="179" t="s">
        <v>433</v>
      </c>
      <c r="C4" s="179"/>
      <c r="D4" s="181"/>
      <c r="E4" s="181"/>
      <c r="F4" s="181"/>
      <c r="G4" s="179"/>
      <c r="H4" s="179"/>
      <c r="I4" s="183"/>
      <c r="J4" s="179"/>
      <c r="K4" s="179"/>
      <c r="L4" s="179"/>
      <c r="M4" s="179"/>
      <c r="N4" s="181"/>
      <c r="O4" s="181"/>
      <c r="P4" s="181"/>
      <c r="Q4" s="249"/>
    </row>
    <row r="5" spans="1:19" s="147" customFormat="1" ht="9">
      <c r="A5" s="143" t="s">
        <v>406</v>
      </c>
      <c r="B5" s="44" t="s">
        <v>433</v>
      </c>
      <c r="C5" s="44"/>
      <c r="D5" s="52"/>
      <c r="E5" s="52"/>
      <c r="F5" s="52"/>
      <c r="G5" s="44"/>
      <c r="H5" s="44"/>
      <c r="I5" s="92"/>
      <c r="J5" s="44"/>
      <c r="K5" s="44"/>
      <c r="L5" s="44"/>
      <c r="M5" s="44"/>
      <c r="N5" s="52"/>
      <c r="O5" s="52"/>
      <c r="P5" s="52"/>
      <c r="Q5" s="94"/>
    </row>
    <row r="6" spans="1:19" s="147" customFormat="1" ht="9">
      <c r="A6" s="143" t="s">
        <v>407</v>
      </c>
      <c r="B6" s="44"/>
      <c r="C6" s="44"/>
      <c r="D6" s="52"/>
      <c r="E6" s="52"/>
      <c r="F6" s="52"/>
      <c r="G6" s="44"/>
      <c r="H6" s="44"/>
      <c r="I6" s="92"/>
      <c r="J6" s="44"/>
      <c r="K6" s="44"/>
      <c r="L6" s="44"/>
      <c r="M6" s="44"/>
      <c r="N6" s="52"/>
      <c r="O6" s="52"/>
      <c r="P6" s="52"/>
      <c r="Q6" s="94"/>
    </row>
    <row r="7" spans="1:19" s="147" customFormat="1" ht="9">
      <c r="A7" s="143" t="s">
        <v>408</v>
      </c>
      <c r="B7" s="44">
        <v>40</v>
      </c>
      <c r="C7" s="44"/>
      <c r="D7" s="52">
        <v>0</v>
      </c>
      <c r="E7" s="52">
        <v>0</v>
      </c>
      <c r="F7" s="52">
        <v>0</v>
      </c>
      <c r="G7" s="44">
        <v>1</v>
      </c>
      <c r="H7" s="44">
        <f>B7*G7</f>
        <v>40</v>
      </c>
      <c r="I7" s="91">
        <v>0</v>
      </c>
      <c r="J7" s="91">
        <f>H7*I7</f>
        <v>0</v>
      </c>
      <c r="K7" s="91">
        <f>J7*0.1</f>
        <v>0</v>
      </c>
      <c r="L7" s="91">
        <f>J7*0.05</f>
        <v>0</v>
      </c>
      <c r="M7" s="44">
        <f>C7*G7*I7</f>
        <v>0</v>
      </c>
      <c r="N7" s="52">
        <f>(J7*'Base Data'!$C$5)+(K7*'Base Data'!$C$6)+(L7*'Base Data'!$C$7)</f>
        <v>0</v>
      </c>
      <c r="O7" s="52">
        <f>(D7+E7+F7)*G7*I7</f>
        <v>0</v>
      </c>
      <c r="P7" s="92">
        <v>0</v>
      </c>
      <c r="Q7" s="94" t="s">
        <v>387</v>
      </c>
    </row>
    <row r="8" spans="1:19" s="147" customFormat="1" ht="9">
      <c r="A8" s="143" t="s">
        <v>409</v>
      </c>
      <c r="B8" s="44"/>
      <c r="C8" s="44"/>
      <c r="D8" s="52"/>
      <c r="E8" s="52"/>
      <c r="F8" s="52"/>
      <c r="G8" s="44"/>
      <c r="H8" s="44"/>
      <c r="I8" s="92"/>
      <c r="J8" s="44"/>
      <c r="K8" s="44"/>
      <c r="L8" s="44"/>
      <c r="M8" s="44"/>
      <c r="N8" s="52"/>
      <c r="O8" s="52"/>
      <c r="P8" s="92"/>
      <c r="Q8" s="94"/>
    </row>
    <row r="9" spans="1:19" s="147" customFormat="1" ht="9">
      <c r="A9" s="143" t="s">
        <v>423</v>
      </c>
      <c r="B9" s="44"/>
      <c r="C9" s="44"/>
      <c r="D9" s="95"/>
      <c r="E9" s="52"/>
      <c r="F9" s="52"/>
      <c r="G9" s="44"/>
      <c r="H9" s="44"/>
      <c r="I9" s="91"/>
      <c r="J9" s="91"/>
      <c r="K9" s="91"/>
      <c r="L9" s="91"/>
      <c r="M9" s="93"/>
      <c r="N9" s="52"/>
      <c r="O9" s="52"/>
      <c r="P9" s="92"/>
      <c r="Q9" s="94"/>
      <c r="R9" s="94"/>
    </row>
    <row r="10" spans="1:19" s="147" customFormat="1" ht="9">
      <c r="A10" s="142" t="s">
        <v>274</v>
      </c>
      <c r="B10" s="44">
        <v>20</v>
      </c>
      <c r="C10" s="44"/>
      <c r="D10" s="52">
        <v>854</v>
      </c>
      <c r="E10" s="52">
        <v>0</v>
      </c>
      <c r="F10" s="52">
        <v>0</v>
      </c>
      <c r="G10" s="44">
        <v>1</v>
      </c>
      <c r="H10" s="44">
        <f>B10*G10</f>
        <v>20</v>
      </c>
      <c r="I10" s="91">
        <f>ROUND((('Base Data'!$H$42+'Base Data'!$H$41)/2)*'Testing Costs'!$C$22,0)</f>
        <v>3</v>
      </c>
      <c r="J10" s="92">
        <f>H10*I10</f>
        <v>60</v>
      </c>
      <c r="K10" s="92">
        <f>J10*0.1</f>
        <v>6</v>
      </c>
      <c r="L10" s="92">
        <f>J10*0.05</f>
        <v>3</v>
      </c>
      <c r="M10" s="93">
        <f>C10*G10*I10</f>
        <v>0</v>
      </c>
      <c r="N10" s="52">
        <f>(J10*'Base Data'!$C$5)+(K10*'Base Data'!$C$6)+(L10*'Base Data'!$C$7)</f>
        <v>6526.6500000000005</v>
      </c>
      <c r="O10" s="52">
        <f>(D10+E10+F10)*G10*I10</f>
        <v>2562</v>
      </c>
      <c r="P10" s="92">
        <v>0</v>
      </c>
      <c r="Q10" s="94" t="s">
        <v>440</v>
      </c>
      <c r="R10" s="94"/>
    </row>
    <row r="11" spans="1:19" s="147" customFormat="1" ht="9">
      <c r="A11" s="142" t="s">
        <v>276</v>
      </c>
      <c r="B11" s="44">
        <v>20</v>
      </c>
      <c r="C11" s="44"/>
      <c r="D11" s="52">
        <v>18292</v>
      </c>
      <c r="E11" s="52">
        <v>0</v>
      </c>
      <c r="F11" s="52">
        <v>0</v>
      </c>
      <c r="G11" s="44">
        <v>1</v>
      </c>
      <c r="H11" s="44">
        <f>B11*G11</f>
        <v>20</v>
      </c>
      <c r="I11" s="91">
        <f>ROUND((('Base Data'!$H$42+'Base Data'!$H$41)/2)*'Testing Costs'!$C$23,0)</f>
        <v>18</v>
      </c>
      <c r="J11" s="92">
        <f>H11*I11</f>
        <v>360</v>
      </c>
      <c r="K11" s="92">
        <f>J11*0.1</f>
        <v>36</v>
      </c>
      <c r="L11" s="92">
        <f>J11*0.05</f>
        <v>18</v>
      </c>
      <c r="M11" s="93">
        <f>C11*G11*I11</f>
        <v>0</v>
      </c>
      <c r="N11" s="52">
        <f>(J11*'Base Data'!$C$5)+(K11*'Base Data'!$C$6)+(L11*'Base Data'!$C$7)</f>
        <v>39159.9</v>
      </c>
      <c r="O11" s="52">
        <f>(D11+E11+F11)*G11*I11</f>
        <v>329256</v>
      </c>
      <c r="P11" s="92">
        <v>0</v>
      </c>
      <c r="Q11" s="94" t="s">
        <v>440</v>
      </c>
      <c r="R11" s="94"/>
    </row>
    <row r="12" spans="1:19" s="147" customFormat="1" ht="9">
      <c r="A12" s="143" t="s">
        <v>249</v>
      </c>
      <c r="B12" s="44">
        <v>12</v>
      </c>
      <c r="C12" s="44"/>
      <c r="D12" s="52">
        <v>0</v>
      </c>
      <c r="E12" s="52">
        <v>2228</v>
      </c>
      <c r="F12" s="52">
        <v>0</v>
      </c>
      <c r="G12" s="44">
        <v>0.5</v>
      </c>
      <c r="H12" s="44">
        <f>B12*G12</f>
        <v>6</v>
      </c>
      <c r="I12" s="91">
        <f>ROUND(('Base Data'!$D$42+'Base Data'!$D$41)/2,0)</f>
        <v>179</v>
      </c>
      <c r="J12" s="91">
        <f>H12*I12</f>
        <v>1074</v>
      </c>
      <c r="K12" s="91">
        <f>J12*0.1</f>
        <v>107.4</v>
      </c>
      <c r="L12" s="91">
        <f>J12*0.05</f>
        <v>53.7</v>
      </c>
      <c r="M12" s="92"/>
      <c r="N12" s="52">
        <f>(J12*'Base Data'!$C$5)+(K12*'Base Data'!$C$6)+(L12*'Base Data'!$C$7)</f>
        <v>116827.035</v>
      </c>
      <c r="O12" s="52">
        <f>(D12+E12+F12)*I12</f>
        <v>398812</v>
      </c>
      <c r="P12" s="92">
        <v>0</v>
      </c>
      <c r="Q12" s="94" t="s">
        <v>12</v>
      </c>
    </row>
    <row r="13" spans="1:19" s="147" customFormat="1" ht="9">
      <c r="A13" s="143" t="s">
        <v>415</v>
      </c>
      <c r="B13" s="44" t="s">
        <v>433</v>
      </c>
      <c r="C13" s="44"/>
      <c r="D13" s="52"/>
      <c r="E13" s="52"/>
      <c r="F13" s="52"/>
      <c r="G13" s="44"/>
      <c r="H13" s="44"/>
      <c r="I13" s="92"/>
      <c r="J13" s="44"/>
      <c r="K13" s="44"/>
      <c r="L13" s="44"/>
      <c r="M13" s="44"/>
      <c r="N13" s="52"/>
      <c r="O13" s="52"/>
      <c r="P13" s="92"/>
      <c r="Q13" s="94"/>
    </row>
    <row r="14" spans="1:19" s="147" customFormat="1" ht="9">
      <c r="A14" s="143" t="s">
        <v>416</v>
      </c>
      <c r="B14" s="44" t="s">
        <v>433</v>
      </c>
      <c r="C14" s="44"/>
      <c r="D14" s="52"/>
      <c r="E14" s="52"/>
      <c r="F14" s="52"/>
      <c r="G14" s="44"/>
      <c r="H14" s="44"/>
      <c r="I14" s="92"/>
      <c r="J14" s="44"/>
      <c r="K14" s="44"/>
      <c r="L14" s="44"/>
      <c r="M14" s="44"/>
      <c r="N14" s="52"/>
      <c r="O14" s="52"/>
      <c r="P14" s="92"/>
      <c r="Q14" s="94"/>
    </row>
    <row r="15" spans="1:19" s="147" customFormat="1" ht="9">
      <c r="A15" s="143" t="s">
        <v>417</v>
      </c>
      <c r="B15" s="44"/>
      <c r="C15" s="44"/>
      <c r="D15" s="52"/>
      <c r="E15" s="52"/>
      <c r="F15" s="52"/>
      <c r="G15" s="44"/>
      <c r="H15" s="44"/>
      <c r="I15" s="92"/>
      <c r="J15" s="44"/>
      <c r="K15" s="44"/>
      <c r="L15" s="44"/>
      <c r="M15" s="44"/>
      <c r="N15" s="52"/>
      <c r="O15" s="52"/>
      <c r="P15" s="92"/>
      <c r="Q15" s="94"/>
    </row>
    <row r="16" spans="1:19" s="147" customFormat="1" ht="9">
      <c r="A16" s="177" t="s">
        <v>435</v>
      </c>
      <c r="B16" s="44">
        <v>2</v>
      </c>
      <c r="C16" s="44"/>
      <c r="D16" s="52">
        <v>0</v>
      </c>
      <c r="E16" s="52">
        <v>0</v>
      </c>
      <c r="F16" s="52">
        <v>0</v>
      </c>
      <c r="G16" s="44">
        <v>1</v>
      </c>
      <c r="H16" s="44">
        <f>B16*G16</f>
        <v>2</v>
      </c>
      <c r="I16" s="91">
        <v>0</v>
      </c>
      <c r="J16" s="91">
        <f>H16*I16</f>
        <v>0</v>
      </c>
      <c r="K16" s="91">
        <f>J16*0.1</f>
        <v>0</v>
      </c>
      <c r="L16" s="91">
        <f>J16*0.05</f>
        <v>0</v>
      </c>
      <c r="M16" s="44">
        <f>C16*G16*I16</f>
        <v>0</v>
      </c>
      <c r="N16" s="52">
        <f>(J16*'Base Data'!$C$5)+(K16*'Base Data'!$C$6)+(L16*'Base Data'!$C$7)</f>
        <v>0</v>
      </c>
      <c r="O16" s="52">
        <f>(D16+E16+F16)*G16*I16</f>
        <v>0</v>
      </c>
      <c r="P16" s="92">
        <f>G16*I16</f>
        <v>0</v>
      </c>
      <c r="Q16" s="94" t="s">
        <v>387</v>
      </c>
    </row>
    <row r="17" spans="1:19" s="147" customFormat="1" ht="9">
      <c r="A17" s="177" t="s">
        <v>377</v>
      </c>
      <c r="B17" s="44">
        <v>8</v>
      </c>
      <c r="C17" s="44"/>
      <c r="D17" s="52">
        <v>0</v>
      </c>
      <c r="E17" s="52">
        <v>0</v>
      </c>
      <c r="F17" s="52">
        <v>0</v>
      </c>
      <c r="G17" s="44">
        <v>1</v>
      </c>
      <c r="H17" s="44">
        <f>B17*G17</f>
        <v>8</v>
      </c>
      <c r="I17" s="91">
        <v>0</v>
      </c>
      <c r="J17" s="91">
        <f>H17*I17</f>
        <v>0</v>
      </c>
      <c r="K17" s="91">
        <f>J17*0.1</f>
        <v>0</v>
      </c>
      <c r="L17" s="91">
        <f>J17*0.05</f>
        <v>0</v>
      </c>
      <c r="M17" s="44">
        <f>C17*G17*I17</f>
        <v>0</v>
      </c>
      <c r="N17" s="52">
        <f>(J17*'Base Data'!$C$5)+(K17*'Base Data'!$C$6)+(L17*'Base Data'!$C$7)</f>
        <v>0</v>
      </c>
      <c r="O17" s="52">
        <f>(D17+E17+F17)*G17*I17</f>
        <v>0</v>
      </c>
      <c r="P17" s="92">
        <f>G17*I17</f>
        <v>0</v>
      </c>
      <c r="Q17" s="94" t="s">
        <v>388</v>
      </c>
    </row>
    <row r="18" spans="1:19" s="147" customFormat="1" ht="9">
      <c r="A18" s="144" t="s">
        <v>248</v>
      </c>
      <c r="B18" s="44">
        <v>5</v>
      </c>
      <c r="C18" s="44"/>
      <c r="D18" s="52">
        <v>0</v>
      </c>
      <c r="E18" s="52">
        <v>0</v>
      </c>
      <c r="F18" s="52">
        <v>0</v>
      </c>
      <c r="G18" s="44">
        <v>0.5</v>
      </c>
      <c r="H18" s="44">
        <f>B18*G18</f>
        <v>2.5</v>
      </c>
      <c r="I18" s="91">
        <v>0</v>
      </c>
      <c r="J18" s="91">
        <f>H18*I18</f>
        <v>0</v>
      </c>
      <c r="K18" s="91">
        <f>J18*0.1</f>
        <v>0</v>
      </c>
      <c r="L18" s="91">
        <f>J18*0.05</f>
        <v>0</v>
      </c>
      <c r="M18" s="44">
        <f>C18*G18*I18</f>
        <v>0</v>
      </c>
      <c r="N18" s="52">
        <f>(J18*'Base Data'!$C$5)+(K18*'Base Data'!$C$6)+(L18*'Base Data'!$C$7)</f>
        <v>0</v>
      </c>
      <c r="O18" s="52">
        <f>(D18+E18+F18)*G18*I18</f>
        <v>0</v>
      </c>
      <c r="P18" s="92">
        <f>G18*I18</f>
        <v>0</v>
      </c>
      <c r="Q18" s="94" t="s">
        <v>12</v>
      </c>
    </row>
    <row r="19" spans="1:19" s="6" customFormat="1" ht="9">
      <c r="A19" s="177" t="s">
        <v>505</v>
      </c>
      <c r="B19" s="44">
        <v>5</v>
      </c>
      <c r="C19" s="18"/>
      <c r="D19" s="39">
        <v>0</v>
      </c>
      <c r="E19" s="39">
        <v>0</v>
      </c>
      <c r="F19" s="39">
        <v>0</v>
      </c>
      <c r="G19" s="18">
        <v>1</v>
      </c>
      <c r="H19" s="18">
        <f>B19*G19</f>
        <v>5</v>
      </c>
      <c r="I19" s="91">
        <v>0</v>
      </c>
      <c r="J19" s="19">
        <f>H19*I19</f>
        <v>0</v>
      </c>
      <c r="K19" s="19">
        <f>J19*0.1</f>
        <v>0</v>
      </c>
      <c r="L19" s="19">
        <f>J19*0.05</f>
        <v>0</v>
      </c>
      <c r="M19" s="18">
        <f>C19*G19*I19</f>
        <v>0</v>
      </c>
      <c r="N19" s="39">
        <f>(J19*'Base Data'!$C$5)+(K19*'Base Data'!$C$6)+(L19*'Base Data'!$C$7)</f>
        <v>0</v>
      </c>
      <c r="O19" s="39">
        <f>(D19+E19+F19)*G19*I19</f>
        <v>0</v>
      </c>
      <c r="P19" s="19">
        <f>G19*I19</f>
        <v>0</v>
      </c>
      <c r="Q19" s="29" t="s">
        <v>388</v>
      </c>
    </row>
    <row r="20" spans="1:19" s="147" customFormat="1" ht="9">
      <c r="A20" s="148" t="s">
        <v>7</v>
      </c>
      <c r="B20" s="44"/>
      <c r="C20" s="44"/>
      <c r="D20" s="52"/>
      <c r="E20" s="52"/>
      <c r="F20" s="52"/>
      <c r="G20" s="44"/>
      <c r="H20" s="44"/>
      <c r="I20" s="92"/>
      <c r="J20" s="92">
        <f>SUM(J7:J19)</f>
        <v>1494</v>
      </c>
      <c r="K20" s="92">
        <f t="shared" ref="K20:P20" si="0">SUM(K7:K19)</f>
        <v>149.4</v>
      </c>
      <c r="L20" s="92">
        <f t="shared" si="0"/>
        <v>74.7</v>
      </c>
      <c r="M20" s="92">
        <f t="shared" si="0"/>
        <v>0</v>
      </c>
      <c r="N20" s="39">
        <f t="shared" si="0"/>
        <v>162513.58500000002</v>
      </c>
      <c r="O20" s="39">
        <f t="shared" si="0"/>
        <v>730630</v>
      </c>
      <c r="P20" s="92">
        <f t="shared" si="0"/>
        <v>0</v>
      </c>
      <c r="Q20" s="94"/>
      <c r="R20" s="149">
        <f>SUM(O7:O12)</f>
        <v>730630</v>
      </c>
      <c r="S20" s="147">
        <f>0</f>
        <v>0</v>
      </c>
    </row>
    <row r="21" spans="1:19" s="147" customFormat="1" ht="9">
      <c r="A21" s="143" t="s">
        <v>431</v>
      </c>
      <c r="B21" s="44"/>
      <c r="C21" s="44"/>
      <c r="D21" s="52"/>
      <c r="E21" s="52"/>
      <c r="F21" s="52"/>
      <c r="G21" s="44"/>
      <c r="H21" s="44"/>
      <c r="I21" s="92"/>
      <c r="J21" s="44"/>
      <c r="K21" s="44"/>
      <c r="L21" s="44"/>
      <c r="M21" s="44"/>
      <c r="N21" s="52"/>
      <c r="O21" s="52"/>
      <c r="P21" s="92"/>
      <c r="Q21" s="94"/>
    </row>
    <row r="22" spans="1:19" s="147" customFormat="1" ht="9">
      <c r="A22" s="143" t="s">
        <v>418</v>
      </c>
      <c r="B22" s="44" t="s">
        <v>422</v>
      </c>
      <c r="C22" s="44"/>
      <c r="D22" s="52"/>
      <c r="E22" s="52"/>
      <c r="F22" s="52"/>
      <c r="G22" s="44"/>
      <c r="H22" s="44"/>
      <c r="I22" s="92"/>
      <c r="J22" s="44"/>
      <c r="K22" s="44"/>
      <c r="L22" s="44"/>
      <c r="M22" s="44"/>
      <c r="N22" s="52"/>
      <c r="O22" s="52"/>
      <c r="P22" s="92"/>
      <c r="Q22" s="94"/>
    </row>
    <row r="23" spans="1:19" s="147" customFormat="1" ht="9">
      <c r="A23" s="143" t="s">
        <v>419</v>
      </c>
      <c r="B23" s="44" t="s">
        <v>433</v>
      </c>
      <c r="C23" s="44"/>
      <c r="D23" s="52"/>
      <c r="E23" s="52"/>
      <c r="F23" s="52"/>
      <c r="G23" s="44"/>
      <c r="H23" s="44"/>
      <c r="I23" s="92"/>
      <c r="J23" s="44"/>
      <c r="K23" s="44"/>
      <c r="L23" s="44"/>
      <c r="M23" s="44"/>
      <c r="N23" s="52"/>
      <c r="O23" s="52"/>
      <c r="P23" s="92"/>
      <c r="Q23" s="94"/>
    </row>
    <row r="24" spans="1:19" s="147" customFormat="1" ht="9">
      <c r="A24" s="143" t="s">
        <v>420</v>
      </c>
      <c r="B24" s="44" t="s">
        <v>433</v>
      </c>
      <c r="C24" s="44"/>
      <c r="D24" s="52"/>
      <c r="E24" s="52"/>
      <c r="F24" s="52"/>
      <c r="G24" s="44"/>
      <c r="H24" s="44"/>
      <c r="I24" s="92"/>
      <c r="J24" s="44"/>
      <c r="K24" s="44"/>
      <c r="L24" s="44"/>
      <c r="M24" s="44"/>
      <c r="N24" s="52"/>
      <c r="O24" s="52"/>
      <c r="P24" s="92"/>
      <c r="Q24" s="94" t="s">
        <v>389</v>
      </c>
    </row>
    <row r="25" spans="1:19" s="147" customFormat="1" ht="9">
      <c r="A25" s="143" t="s">
        <v>421</v>
      </c>
      <c r="B25" s="44"/>
      <c r="C25" s="44"/>
      <c r="D25" s="52"/>
      <c r="E25" s="52"/>
      <c r="F25" s="52"/>
      <c r="G25" s="44"/>
      <c r="H25" s="44"/>
      <c r="I25" s="92"/>
      <c r="J25" s="44"/>
      <c r="K25" s="44"/>
      <c r="L25" s="44"/>
      <c r="M25" s="44"/>
      <c r="N25" s="52"/>
      <c r="O25" s="52"/>
      <c r="P25" s="92"/>
      <c r="Q25" s="94"/>
    </row>
    <row r="26" spans="1:19" s="147" customFormat="1" ht="19.5" customHeight="1">
      <c r="A26" s="177" t="s">
        <v>375</v>
      </c>
      <c r="B26" s="44">
        <v>2</v>
      </c>
      <c r="C26" s="44">
        <v>0</v>
      </c>
      <c r="D26" s="52">
        <v>0</v>
      </c>
      <c r="E26" s="52">
        <v>0</v>
      </c>
      <c r="F26" s="52">
        <v>0</v>
      </c>
      <c r="G26" s="44">
        <v>0.5</v>
      </c>
      <c r="H26" s="44">
        <f>B26*G26</f>
        <v>1</v>
      </c>
      <c r="I26" s="91">
        <v>0</v>
      </c>
      <c r="J26" s="91">
        <f>H26*I26</f>
        <v>0</v>
      </c>
      <c r="K26" s="91">
        <f>J26*0.1</f>
        <v>0</v>
      </c>
      <c r="L26" s="91">
        <f>J26*0.05</f>
        <v>0</v>
      </c>
      <c r="M26" s="44">
        <f>C26*G26*I26</f>
        <v>0</v>
      </c>
      <c r="N26" s="52">
        <f>(J26*'Base Data'!$C$5)+(K26*'Base Data'!$C$6)+(L26*'Base Data'!$C$7)</f>
        <v>0</v>
      </c>
      <c r="O26" s="52">
        <f>(D26+E26+F26)*G26*I26</f>
        <v>0</v>
      </c>
      <c r="P26" s="92">
        <v>0</v>
      </c>
      <c r="Q26" s="94" t="s">
        <v>388</v>
      </c>
    </row>
    <row r="27" spans="1:19" s="147" customFormat="1" ht="18">
      <c r="A27" s="177" t="s">
        <v>376</v>
      </c>
      <c r="B27" s="44">
        <v>15</v>
      </c>
      <c r="C27" s="44">
        <v>0</v>
      </c>
      <c r="D27" s="52">
        <v>0</v>
      </c>
      <c r="E27" s="52">
        <v>0</v>
      </c>
      <c r="F27" s="52">
        <v>0</v>
      </c>
      <c r="G27" s="44">
        <v>1</v>
      </c>
      <c r="H27" s="44">
        <f>B27*G27</f>
        <v>15</v>
      </c>
      <c r="I27" s="91">
        <v>0</v>
      </c>
      <c r="J27" s="91">
        <f>H27*I27</f>
        <v>0</v>
      </c>
      <c r="K27" s="91">
        <f>J27*0.1</f>
        <v>0</v>
      </c>
      <c r="L27" s="91">
        <f>J27*0.05</f>
        <v>0</v>
      </c>
      <c r="M27" s="44">
        <f>C27*G27*I27</f>
        <v>0</v>
      </c>
      <c r="N27" s="52">
        <f>(J27*'Base Data'!$C$5)+(K27*'Base Data'!$C$6)+(L27*'Base Data'!$C$7)</f>
        <v>0</v>
      </c>
      <c r="O27" s="52">
        <f>(D27+E27+F27)*G27*I27</f>
        <v>0</v>
      </c>
      <c r="P27" s="92">
        <v>0</v>
      </c>
      <c r="Q27" s="94" t="s">
        <v>13</v>
      </c>
    </row>
    <row r="28" spans="1:19" s="147" customFormat="1" ht="9">
      <c r="A28" s="177" t="s">
        <v>251</v>
      </c>
      <c r="B28" s="44">
        <v>0.5</v>
      </c>
      <c r="C28" s="44"/>
      <c r="D28" s="52">
        <v>0</v>
      </c>
      <c r="E28" s="52">
        <v>0</v>
      </c>
      <c r="F28" s="52">
        <v>0</v>
      </c>
      <c r="G28" s="44">
        <v>0.5</v>
      </c>
      <c r="H28" s="44">
        <f>B28*G28</f>
        <v>0.25</v>
      </c>
      <c r="I28" s="91">
        <v>0</v>
      </c>
      <c r="J28" s="91">
        <f>H28*I28</f>
        <v>0</v>
      </c>
      <c r="K28" s="91">
        <f>J28*0.1</f>
        <v>0</v>
      </c>
      <c r="L28" s="91">
        <f>J28*0.05</f>
        <v>0</v>
      </c>
      <c r="M28" s="44">
        <f>C28*G28*I28</f>
        <v>0</v>
      </c>
      <c r="N28" s="52">
        <f>(J28*'Base Data'!$C$5)+(K28*'Base Data'!$C$6)+(L28*'Base Data'!$C$7)</f>
        <v>0</v>
      </c>
      <c r="O28" s="52">
        <f>(D28+E28+F28)*G28*I28</f>
        <v>0</v>
      </c>
      <c r="P28" s="92">
        <v>0</v>
      </c>
      <c r="Q28" s="94" t="s">
        <v>12</v>
      </c>
    </row>
    <row r="29" spans="1:19" s="6" customFormat="1" ht="9">
      <c r="A29" s="142" t="s">
        <v>427</v>
      </c>
      <c r="B29" s="44">
        <v>40</v>
      </c>
      <c r="C29" s="18"/>
      <c r="D29" s="39">
        <v>0</v>
      </c>
      <c r="E29" s="39">
        <v>0</v>
      </c>
      <c r="F29" s="39">
        <v>0</v>
      </c>
      <c r="G29" s="18">
        <v>1</v>
      </c>
      <c r="H29" s="18">
        <f t="shared" ref="H29" si="1">B29*G29</f>
        <v>40</v>
      </c>
      <c r="I29" s="91">
        <f>ROUND(('Base Data'!$H$42+'Base Data'!$H$41)/2,0)</f>
        <v>21</v>
      </c>
      <c r="J29" s="19">
        <f t="shared" ref="J29" si="2">H29*I29</f>
        <v>840</v>
      </c>
      <c r="K29" s="19">
        <f t="shared" ref="K29" si="3">J29*0.1</f>
        <v>84</v>
      </c>
      <c r="L29" s="19">
        <f t="shared" ref="L29" si="4">J29*0.05</f>
        <v>42</v>
      </c>
      <c r="M29" s="18"/>
      <c r="N29" s="39">
        <f>(J29*'Base Data'!$C$5)+(K29*'Base Data'!$C$6)+(L29*'Base Data'!$C$7)</f>
        <v>91373.1</v>
      </c>
      <c r="O29" s="39">
        <f t="shared" ref="O29" si="5">(D29+E29+F29)*G29*I29</f>
        <v>0</v>
      </c>
      <c r="P29" s="92">
        <v>0</v>
      </c>
      <c r="Q29" s="29" t="s">
        <v>78</v>
      </c>
    </row>
    <row r="30" spans="1:19" s="147" customFormat="1" ht="9">
      <c r="A30" s="143" t="s">
        <v>428</v>
      </c>
      <c r="B30" s="44" t="s">
        <v>433</v>
      </c>
      <c r="C30" s="44"/>
      <c r="D30" s="52"/>
      <c r="E30" s="52"/>
      <c r="F30" s="52"/>
      <c r="G30" s="44"/>
      <c r="H30" s="44"/>
      <c r="I30" s="92"/>
      <c r="J30" s="44"/>
      <c r="K30" s="44"/>
      <c r="L30" s="44"/>
      <c r="M30" s="44"/>
      <c r="N30" s="52"/>
      <c r="O30" s="52"/>
      <c r="P30" s="92"/>
      <c r="Q30" s="94"/>
    </row>
    <row r="31" spans="1:19" s="147" customFormat="1" ht="9">
      <c r="A31" s="256" t="s">
        <v>27</v>
      </c>
      <c r="B31" s="239"/>
      <c r="C31" s="239"/>
      <c r="D31" s="240"/>
      <c r="E31" s="240"/>
      <c r="F31" s="240"/>
      <c r="G31" s="239"/>
      <c r="H31" s="239"/>
      <c r="I31" s="241"/>
      <c r="J31" s="239">
        <f t="shared" ref="J31:P31" si="6">SUM(J22:J30)</f>
        <v>840</v>
      </c>
      <c r="K31" s="239">
        <f t="shared" si="6"/>
        <v>84</v>
      </c>
      <c r="L31" s="239">
        <f t="shared" si="6"/>
        <v>42</v>
      </c>
      <c r="M31" s="239">
        <f t="shared" si="6"/>
        <v>0</v>
      </c>
      <c r="N31" s="240">
        <f t="shared" si="6"/>
        <v>91373.1</v>
      </c>
      <c r="O31" s="240">
        <f t="shared" si="6"/>
        <v>0</v>
      </c>
      <c r="P31" s="241">
        <f t="shared" si="6"/>
        <v>0</v>
      </c>
      <c r="Q31" s="242"/>
      <c r="R31" s="149">
        <f>SUM(O22:O31)</f>
        <v>0</v>
      </c>
    </row>
    <row r="32" spans="1:19" s="147" customFormat="1">
      <c r="A32" s="186" t="s">
        <v>400</v>
      </c>
      <c r="B32" s="187"/>
      <c r="C32" s="187"/>
      <c r="D32" s="187"/>
      <c r="E32" s="187"/>
      <c r="F32" s="187"/>
      <c r="G32" s="187"/>
      <c r="H32" s="187"/>
      <c r="I32" s="189"/>
      <c r="J32" s="190">
        <f t="shared" ref="J32:P32" si="7">SUM(J20,J31)</f>
        <v>2334</v>
      </c>
      <c r="K32" s="190">
        <f t="shared" si="7"/>
        <v>233.4</v>
      </c>
      <c r="L32" s="190">
        <f t="shared" si="7"/>
        <v>116.7</v>
      </c>
      <c r="M32" s="190">
        <f t="shared" si="7"/>
        <v>0</v>
      </c>
      <c r="N32" s="191">
        <f t="shared" si="7"/>
        <v>253886.68500000003</v>
      </c>
      <c r="O32" s="191">
        <f t="shared" si="7"/>
        <v>730630</v>
      </c>
      <c r="P32" s="190">
        <f t="shared" si="7"/>
        <v>0</v>
      </c>
      <c r="Q32" s="192"/>
    </row>
    <row r="33" spans="1:17" s="147" customFormat="1">
      <c r="A33" s="114"/>
      <c r="B33" s="54"/>
      <c r="C33" s="54"/>
      <c r="D33" s="54"/>
      <c r="E33" s="54"/>
      <c r="F33" s="54"/>
      <c r="G33" s="54"/>
      <c r="H33" s="54"/>
      <c r="I33" s="55"/>
      <c r="J33" s="54"/>
      <c r="K33" s="54"/>
      <c r="L33" s="54"/>
      <c r="M33" s="54"/>
      <c r="N33" s="54"/>
      <c r="O33" s="196"/>
      <c r="P33" s="196"/>
      <c r="Q33" s="54"/>
    </row>
    <row r="34" spans="1:17" s="147" customFormat="1" ht="7.5" customHeight="1">
      <c r="A34" s="53" t="s">
        <v>390</v>
      </c>
      <c r="B34" s="56"/>
      <c r="C34" s="56"/>
      <c r="D34" s="56"/>
      <c r="E34" s="56"/>
      <c r="F34" s="56"/>
      <c r="G34" s="56"/>
      <c r="H34" s="57"/>
      <c r="I34" s="56"/>
      <c r="J34" s="56"/>
      <c r="K34" s="56"/>
      <c r="L34" s="56"/>
      <c r="M34" s="56"/>
      <c r="N34" s="56"/>
      <c r="O34" s="197"/>
      <c r="P34" s="197"/>
      <c r="Q34" s="56"/>
    </row>
    <row r="35" spans="1:17" s="53" customFormat="1" ht="20.25" customHeight="1">
      <c r="A35" s="409" t="s">
        <v>165</v>
      </c>
      <c r="B35" s="409"/>
      <c r="C35" s="409"/>
      <c r="D35" s="409"/>
      <c r="E35" s="409"/>
      <c r="F35" s="409"/>
      <c r="G35" s="409"/>
      <c r="H35" s="409"/>
      <c r="I35" s="409"/>
      <c r="J35" s="409"/>
      <c r="K35" s="409"/>
      <c r="L35" s="409"/>
      <c r="M35" s="409"/>
      <c r="N35" s="409"/>
      <c r="O35" s="409"/>
      <c r="P35" s="175"/>
      <c r="Q35" s="56"/>
    </row>
    <row r="36" spans="1:17" s="53" customFormat="1" ht="28.5" customHeight="1">
      <c r="A36" s="409" t="s">
        <v>2</v>
      </c>
      <c r="B36" s="409"/>
      <c r="C36" s="409"/>
      <c r="D36" s="409"/>
      <c r="E36" s="409"/>
      <c r="F36" s="409"/>
      <c r="G36" s="409"/>
      <c r="H36" s="409"/>
      <c r="I36" s="409"/>
      <c r="J36" s="409"/>
      <c r="K36" s="409"/>
      <c r="L36" s="409"/>
      <c r="M36" s="409"/>
      <c r="N36" s="409"/>
      <c r="O36" s="409"/>
      <c r="P36" s="175"/>
      <c r="Q36" s="54"/>
    </row>
    <row r="37" spans="1:17" s="53" customFormat="1" ht="18.75" customHeight="1">
      <c r="A37" s="409" t="s">
        <v>95</v>
      </c>
      <c r="B37" s="409"/>
      <c r="C37" s="409"/>
      <c r="D37" s="409"/>
      <c r="E37" s="409"/>
      <c r="F37" s="409"/>
      <c r="G37" s="409"/>
      <c r="H37" s="409"/>
      <c r="I37" s="409"/>
      <c r="J37" s="409"/>
      <c r="K37" s="409"/>
      <c r="L37" s="409"/>
      <c r="M37" s="409"/>
      <c r="N37" s="409"/>
      <c r="O37" s="409"/>
      <c r="P37" s="409"/>
      <c r="Q37" s="409"/>
    </row>
    <row r="38" spans="1:17" s="53" customFormat="1" ht="10.5" customHeight="1">
      <c r="A38" s="53" t="s">
        <v>441</v>
      </c>
      <c r="B38" s="56"/>
      <c r="C38" s="56"/>
      <c r="D38" s="56"/>
      <c r="E38" s="56"/>
      <c r="F38" s="56"/>
      <c r="G38" s="56"/>
      <c r="H38" s="57"/>
      <c r="I38" s="56"/>
      <c r="J38" s="56"/>
      <c r="K38" s="56"/>
      <c r="L38" s="56"/>
      <c r="M38" s="56"/>
      <c r="N38" s="56"/>
      <c r="O38" s="197"/>
      <c r="P38" s="197"/>
      <c r="Q38" s="56"/>
    </row>
    <row r="39" spans="1:17">
      <c r="A39" s="53" t="s">
        <v>572</v>
      </c>
    </row>
    <row r="40" spans="1:17">
      <c r="A40" s="53" t="s">
        <v>571</v>
      </c>
    </row>
    <row r="41" spans="1:17">
      <c r="A41" s="14" t="s">
        <v>570</v>
      </c>
    </row>
  </sheetData>
  <mergeCells count="5">
    <mergeCell ref="A37:Q37"/>
    <mergeCell ref="A1:Q1"/>
    <mergeCell ref="A2:Q2"/>
    <mergeCell ref="A35:O35"/>
    <mergeCell ref="A36:O36"/>
  </mergeCells>
  <phoneticPr fontId="7" type="noConversion"/>
  <printOptions horizontalCentered="1"/>
  <pageMargins left="0.25" right="0.25" top="0.5" bottom="0.5" header="0.5" footer="0.5"/>
  <pageSetup scale="91" orientation="landscape" r:id="rId1"/>
  <headerFooter alignWithMargins="0"/>
</worksheet>
</file>

<file path=xl/worksheets/sheet32.xml><?xml version="1.0" encoding="utf-8"?>
<worksheet xmlns="http://schemas.openxmlformats.org/spreadsheetml/2006/main" xmlns:r="http://schemas.openxmlformats.org/officeDocument/2006/relationships">
  <sheetPr>
    <pageSetUpPr fitToPage="1"/>
  </sheetPr>
  <dimension ref="A1:S41"/>
  <sheetViews>
    <sheetView zoomScaleNormal="100" workbookViewId="0">
      <pane xSplit="1" ySplit="3" topLeftCell="B4" activePane="bottomRight" state="frozen"/>
      <selection activeCell="P31" sqref="P31"/>
      <selection pane="topRight" activeCell="P31" sqref="P31"/>
      <selection pane="bottomLeft" activeCell="P31" sqref="P31"/>
      <selection pane="bottomRight" activeCell="A39" sqref="A39:A40"/>
    </sheetView>
  </sheetViews>
  <sheetFormatPr defaultRowHeight="11.25"/>
  <cols>
    <col min="1" max="1" width="30.140625" style="114" customWidth="1"/>
    <col min="2" max="2" width="8.85546875" style="54" bestFit="1" customWidth="1"/>
    <col min="3" max="3" width="8" style="54" hidden="1" customWidth="1"/>
    <col min="4" max="4" width="8.42578125" style="54" bestFit="1" customWidth="1"/>
    <col min="5" max="5" width="9.28515625" style="54" bestFit="1" customWidth="1"/>
    <col min="6" max="6" width="7.85546875" style="54" bestFit="1" customWidth="1"/>
    <col min="7" max="7" width="9.28515625" style="54" bestFit="1" customWidth="1"/>
    <col min="8" max="8" width="8.7109375" style="54" bestFit="1" customWidth="1"/>
    <col min="9" max="9" width="9.42578125" style="196" bestFit="1" customWidth="1"/>
    <col min="10" max="10" width="7.7109375" style="196" customWidth="1"/>
    <col min="11" max="11" width="6.85546875" style="196" bestFit="1" customWidth="1"/>
    <col min="12" max="12" width="9" style="196" customWidth="1"/>
    <col min="13" max="13" width="9" style="196" hidden="1" customWidth="1"/>
    <col min="14" max="14" width="10.140625" style="54" bestFit="1" customWidth="1"/>
    <col min="15" max="15" width="8.85546875" style="114" customWidth="1"/>
    <col min="16" max="16" width="8.5703125" style="114" bestFit="1" customWidth="1"/>
    <col min="17" max="17" width="4.28515625" style="114" bestFit="1" customWidth="1"/>
    <col min="18" max="19" width="0" style="114" hidden="1" customWidth="1"/>
    <col min="20" max="16384" width="9.140625" style="114"/>
  </cols>
  <sheetData>
    <row r="1" spans="1:19">
      <c r="A1" s="410" t="s">
        <v>236</v>
      </c>
      <c r="B1" s="410"/>
      <c r="C1" s="410"/>
      <c r="D1" s="410"/>
      <c r="E1" s="410"/>
      <c r="F1" s="410"/>
      <c r="G1" s="410"/>
      <c r="H1" s="410"/>
      <c r="I1" s="410"/>
      <c r="J1" s="410"/>
      <c r="K1" s="410"/>
      <c r="L1" s="410"/>
      <c r="M1" s="410"/>
      <c r="N1" s="410"/>
      <c r="O1" s="410"/>
      <c r="P1" s="410"/>
      <c r="Q1" s="410"/>
    </row>
    <row r="2" spans="1:19">
      <c r="A2" s="411" t="s">
        <v>532</v>
      </c>
      <c r="B2" s="411"/>
      <c r="C2" s="411"/>
      <c r="D2" s="411"/>
      <c r="E2" s="411"/>
      <c r="F2" s="411"/>
      <c r="G2" s="411"/>
      <c r="H2" s="411"/>
      <c r="I2" s="411"/>
      <c r="J2" s="411"/>
      <c r="K2" s="411"/>
      <c r="L2" s="411"/>
      <c r="M2" s="411"/>
      <c r="N2" s="411"/>
      <c r="O2" s="411"/>
      <c r="P2" s="411"/>
      <c r="Q2" s="411"/>
    </row>
    <row r="3" spans="1:19" s="193" customFormat="1" ht="54">
      <c r="A3" s="45" t="s">
        <v>392</v>
      </c>
      <c r="B3" s="45" t="s">
        <v>393</v>
      </c>
      <c r="C3" s="45" t="s">
        <v>430</v>
      </c>
      <c r="D3" s="45" t="s">
        <v>4</v>
      </c>
      <c r="E3" s="45" t="s">
        <v>94</v>
      </c>
      <c r="F3" s="45" t="s">
        <v>5</v>
      </c>
      <c r="G3" s="12" t="s">
        <v>176</v>
      </c>
      <c r="H3" s="45" t="s">
        <v>459</v>
      </c>
      <c r="I3" s="60" t="s">
        <v>460</v>
      </c>
      <c r="J3" s="100" t="s">
        <v>462</v>
      </c>
      <c r="K3" s="100" t="s">
        <v>463</v>
      </c>
      <c r="L3" s="100" t="s">
        <v>461</v>
      </c>
      <c r="M3" s="45" t="s">
        <v>391</v>
      </c>
      <c r="N3" s="45" t="s">
        <v>8</v>
      </c>
      <c r="O3" s="100" t="s">
        <v>96</v>
      </c>
      <c r="P3" s="100" t="s">
        <v>175</v>
      </c>
      <c r="Q3" s="182" t="s">
        <v>394</v>
      </c>
      <c r="R3" s="193" t="s">
        <v>307</v>
      </c>
      <c r="S3" s="193" t="s">
        <v>308</v>
      </c>
    </row>
    <row r="4" spans="1:19" s="147" customFormat="1" ht="9">
      <c r="A4" s="194" t="s">
        <v>405</v>
      </c>
      <c r="B4" s="179" t="s">
        <v>433</v>
      </c>
      <c r="C4" s="179"/>
      <c r="D4" s="181"/>
      <c r="E4" s="181"/>
      <c r="F4" s="181"/>
      <c r="G4" s="179"/>
      <c r="H4" s="179"/>
      <c r="I4" s="183"/>
      <c r="J4" s="179"/>
      <c r="K4" s="179"/>
      <c r="L4" s="179"/>
      <c r="M4" s="179"/>
      <c r="N4" s="181"/>
      <c r="O4" s="181"/>
      <c r="P4" s="181"/>
      <c r="Q4" s="249"/>
    </row>
    <row r="5" spans="1:19" s="147" customFormat="1" ht="9">
      <c r="A5" s="143" t="s">
        <v>406</v>
      </c>
      <c r="B5" s="44" t="s">
        <v>433</v>
      </c>
      <c r="C5" s="44"/>
      <c r="D5" s="52"/>
      <c r="E5" s="52"/>
      <c r="F5" s="52"/>
      <c r="G5" s="44"/>
      <c r="H5" s="44"/>
      <c r="I5" s="92"/>
      <c r="J5" s="44"/>
      <c r="K5" s="44"/>
      <c r="L5" s="44"/>
      <c r="M5" s="44"/>
      <c r="N5" s="52"/>
      <c r="O5" s="52"/>
      <c r="P5" s="52"/>
      <c r="Q5" s="94"/>
    </row>
    <row r="6" spans="1:19" s="147" customFormat="1" ht="9">
      <c r="A6" s="143" t="s">
        <v>407</v>
      </c>
      <c r="B6" s="44"/>
      <c r="C6" s="44"/>
      <c r="D6" s="52"/>
      <c r="E6" s="52"/>
      <c r="F6" s="52"/>
      <c r="G6" s="44"/>
      <c r="H6" s="44"/>
      <c r="I6" s="92"/>
      <c r="J6" s="44"/>
      <c r="K6" s="44"/>
      <c r="L6" s="44"/>
      <c r="M6" s="44"/>
      <c r="N6" s="52"/>
      <c r="O6" s="52"/>
      <c r="P6" s="52"/>
      <c r="Q6" s="94"/>
    </row>
    <row r="7" spans="1:19" s="147" customFormat="1" ht="9">
      <c r="A7" s="143" t="s">
        <v>408</v>
      </c>
      <c r="B7" s="44">
        <v>40</v>
      </c>
      <c r="C7" s="44"/>
      <c r="D7" s="52">
        <v>0</v>
      </c>
      <c r="E7" s="52">
        <v>0</v>
      </c>
      <c r="F7" s="52">
        <v>0</v>
      </c>
      <c r="G7" s="44">
        <v>1</v>
      </c>
      <c r="H7" s="44">
        <f>B7*G7</f>
        <v>40</v>
      </c>
      <c r="I7" s="91">
        <v>0</v>
      </c>
      <c r="J7" s="91">
        <f>H7*I7</f>
        <v>0</v>
      </c>
      <c r="K7" s="91">
        <f>J7*0.1</f>
        <v>0</v>
      </c>
      <c r="L7" s="91">
        <f>J7*0.05</f>
        <v>0</v>
      </c>
      <c r="M7" s="44">
        <f>C7*G7*I7</f>
        <v>0</v>
      </c>
      <c r="N7" s="52">
        <f>(J7*'Base Data'!$C$5)+(K7*'Base Data'!$C$6)+(L7*'Base Data'!$C$7)</f>
        <v>0</v>
      </c>
      <c r="O7" s="52">
        <f>(D7+E7+F7)*G7*I7</f>
        <v>0</v>
      </c>
      <c r="P7" s="92">
        <v>0</v>
      </c>
      <c r="Q7" s="94" t="s">
        <v>387</v>
      </c>
    </row>
    <row r="8" spans="1:19" s="147" customFormat="1" ht="9">
      <c r="A8" s="143" t="s">
        <v>409</v>
      </c>
      <c r="B8" s="44"/>
      <c r="C8" s="44"/>
      <c r="D8" s="52"/>
      <c r="E8" s="52"/>
      <c r="F8" s="52"/>
      <c r="G8" s="44"/>
      <c r="H8" s="44"/>
      <c r="I8" s="92"/>
      <c r="J8" s="44"/>
      <c r="K8" s="44"/>
      <c r="L8" s="44"/>
      <c r="M8" s="44"/>
      <c r="N8" s="52"/>
      <c r="O8" s="52"/>
      <c r="P8" s="92"/>
      <c r="Q8" s="94"/>
    </row>
    <row r="9" spans="1:19" s="147" customFormat="1" ht="9">
      <c r="A9" s="143" t="s">
        <v>423</v>
      </c>
      <c r="B9" s="44"/>
      <c r="C9" s="44"/>
      <c r="D9" s="95"/>
      <c r="E9" s="52"/>
      <c r="F9" s="52"/>
      <c r="G9" s="44"/>
      <c r="H9" s="44"/>
      <c r="I9" s="91"/>
      <c r="J9" s="91"/>
      <c r="K9" s="91"/>
      <c r="L9" s="91"/>
      <c r="M9" s="93"/>
      <c r="N9" s="52"/>
      <c r="O9" s="52"/>
      <c r="P9" s="92"/>
      <c r="Q9" s="94"/>
      <c r="R9" s="94"/>
    </row>
    <row r="10" spans="1:19" s="147" customFormat="1" ht="9">
      <c r="A10" s="142" t="s">
        <v>274</v>
      </c>
      <c r="B10" s="44">
        <v>20</v>
      </c>
      <c r="C10" s="44"/>
      <c r="D10" s="52">
        <v>854</v>
      </c>
      <c r="E10" s="52">
        <v>0</v>
      </c>
      <c r="F10" s="52">
        <v>0</v>
      </c>
      <c r="G10" s="44">
        <v>1</v>
      </c>
      <c r="H10" s="44">
        <f>B10*G10</f>
        <v>20</v>
      </c>
      <c r="I10" s="91">
        <f>ROUND((('Base Data'!$H$42+'Base Data'!$H$41)/2)*'Testing Costs'!$C$22,0)</f>
        <v>3</v>
      </c>
      <c r="J10" s="92">
        <f>H10*I10</f>
        <v>60</v>
      </c>
      <c r="K10" s="92">
        <f>J10*0.1</f>
        <v>6</v>
      </c>
      <c r="L10" s="92">
        <f>J10*0.05</f>
        <v>3</v>
      </c>
      <c r="M10" s="93">
        <f>C10*G10*I10</f>
        <v>0</v>
      </c>
      <c r="N10" s="52">
        <f>(J10*'Base Data'!$C$5)+(K10*'Base Data'!$C$6)+(L10*'Base Data'!$C$7)</f>
        <v>6526.6500000000005</v>
      </c>
      <c r="O10" s="52">
        <f>(D10+E10+F10)*G10*I10</f>
        <v>2562</v>
      </c>
      <c r="P10" s="92">
        <v>0</v>
      </c>
      <c r="Q10" s="94" t="s">
        <v>440</v>
      </c>
      <c r="R10" s="94"/>
    </row>
    <row r="11" spans="1:19" s="147" customFormat="1" ht="9">
      <c r="A11" s="142" t="s">
        <v>276</v>
      </c>
      <c r="B11" s="44">
        <v>20</v>
      </c>
      <c r="C11" s="44"/>
      <c r="D11" s="52">
        <v>18292</v>
      </c>
      <c r="E11" s="52">
        <v>0</v>
      </c>
      <c r="F11" s="52">
        <v>0</v>
      </c>
      <c r="G11" s="44">
        <v>1</v>
      </c>
      <c r="H11" s="44">
        <f>B11*G11</f>
        <v>20</v>
      </c>
      <c r="I11" s="91">
        <f>ROUNDDOWN((('Base Data'!$H$42+'Base Data'!$H$41)/2)*'Testing Costs'!$C$23,0)</f>
        <v>18</v>
      </c>
      <c r="J11" s="92">
        <f>H11*I11</f>
        <v>360</v>
      </c>
      <c r="K11" s="92">
        <f>J11*0.1</f>
        <v>36</v>
      </c>
      <c r="L11" s="92">
        <f>J11*0.05</f>
        <v>18</v>
      </c>
      <c r="M11" s="93">
        <f>C11*G11*I11</f>
        <v>0</v>
      </c>
      <c r="N11" s="52">
        <f>(J11*'Base Data'!$C$5)+(K11*'Base Data'!$C$6)+(L11*'Base Data'!$C$7)</f>
        <v>39159.9</v>
      </c>
      <c r="O11" s="52">
        <f>(D11+E11+F11)*G11*I11</f>
        <v>329256</v>
      </c>
      <c r="P11" s="92">
        <v>0</v>
      </c>
      <c r="Q11" s="94" t="s">
        <v>440</v>
      </c>
      <c r="R11" s="94"/>
    </row>
    <row r="12" spans="1:19" s="147" customFormat="1" ht="9">
      <c r="A12" s="143" t="s">
        <v>249</v>
      </c>
      <c r="B12" s="44">
        <v>12</v>
      </c>
      <c r="C12" s="44"/>
      <c r="D12" s="52">
        <v>0</v>
      </c>
      <c r="E12" s="52">
        <v>2228</v>
      </c>
      <c r="F12" s="52">
        <v>0</v>
      </c>
      <c r="G12" s="44">
        <v>0.5</v>
      </c>
      <c r="H12" s="44">
        <f>B12*G12</f>
        <v>6</v>
      </c>
      <c r="I12" s="91">
        <f>ROUNDDOWN(('Base Data'!$D$42+'Base Data'!$D$41)/2,0)</f>
        <v>179</v>
      </c>
      <c r="J12" s="91">
        <f>H12*I12</f>
        <v>1074</v>
      </c>
      <c r="K12" s="91">
        <f>J12*0.1</f>
        <v>107.4</v>
      </c>
      <c r="L12" s="91">
        <f>J12*0.05</f>
        <v>53.7</v>
      </c>
      <c r="M12" s="92"/>
      <c r="N12" s="52">
        <f>(J12*'Base Data'!$C$5)+(K12*'Base Data'!$C$6)+(L12*'Base Data'!$C$7)</f>
        <v>116827.035</v>
      </c>
      <c r="O12" s="52">
        <f>(D12+E12+F12)*I12</f>
        <v>398812</v>
      </c>
      <c r="P12" s="92">
        <v>0</v>
      </c>
      <c r="Q12" s="94" t="s">
        <v>12</v>
      </c>
    </row>
    <row r="13" spans="1:19" s="147" customFormat="1" ht="9">
      <c r="A13" s="143" t="s">
        <v>415</v>
      </c>
      <c r="B13" s="44" t="s">
        <v>433</v>
      </c>
      <c r="C13" s="44"/>
      <c r="D13" s="52"/>
      <c r="E13" s="52"/>
      <c r="F13" s="52"/>
      <c r="G13" s="44"/>
      <c r="H13" s="44"/>
      <c r="I13" s="92"/>
      <c r="J13" s="44"/>
      <c r="K13" s="44"/>
      <c r="L13" s="44"/>
      <c r="M13" s="44"/>
      <c r="N13" s="52"/>
      <c r="O13" s="52"/>
      <c r="P13" s="92"/>
      <c r="Q13" s="94"/>
    </row>
    <row r="14" spans="1:19" s="147" customFormat="1" ht="9">
      <c r="A14" s="143" t="s">
        <v>416</v>
      </c>
      <c r="B14" s="44" t="s">
        <v>433</v>
      </c>
      <c r="C14" s="44"/>
      <c r="D14" s="52"/>
      <c r="E14" s="52"/>
      <c r="F14" s="52"/>
      <c r="G14" s="44"/>
      <c r="H14" s="44"/>
      <c r="I14" s="92"/>
      <c r="J14" s="44"/>
      <c r="K14" s="44"/>
      <c r="L14" s="44"/>
      <c r="M14" s="44"/>
      <c r="N14" s="52"/>
      <c r="O14" s="52"/>
      <c r="P14" s="92"/>
      <c r="Q14" s="94"/>
    </row>
    <row r="15" spans="1:19" s="147" customFormat="1" ht="9">
      <c r="A15" s="143" t="s">
        <v>417</v>
      </c>
      <c r="B15" s="44"/>
      <c r="C15" s="44"/>
      <c r="D15" s="52"/>
      <c r="E15" s="52"/>
      <c r="F15" s="52"/>
      <c r="G15" s="44"/>
      <c r="H15" s="44"/>
      <c r="I15" s="92"/>
      <c r="J15" s="44"/>
      <c r="K15" s="44"/>
      <c r="L15" s="44"/>
      <c r="M15" s="44"/>
      <c r="N15" s="52"/>
      <c r="O15" s="52"/>
      <c r="P15" s="92"/>
      <c r="Q15" s="94"/>
    </row>
    <row r="16" spans="1:19" s="147" customFormat="1" ht="9">
      <c r="A16" s="177" t="s">
        <v>435</v>
      </c>
      <c r="B16" s="44">
        <v>2</v>
      </c>
      <c r="C16" s="44"/>
      <c r="D16" s="52">
        <v>0</v>
      </c>
      <c r="E16" s="52">
        <v>0</v>
      </c>
      <c r="F16" s="52">
        <v>0</v>
      </c>
      <c r="G16" s="44">
        <v>1</v>
      </c>
      <c r="H16" s="44">
        <f>B16*G16</f>
        <v>2</v>
      </c>
      <c r="I16" s="91">
        <v>0</v>
      </c>
      <c r="J16" s="91">
        <f>H16*I16</f>
        <v>0</v>
      </c>
      <c r="K16" s="91">
        <f>J16*0.1</f>
        <v>0</v>
      </c>
      <c r="L16" s="91">
        <f>J16*0.05</f>
        <v>0</v>
      </c>
      <c r="M16" s="44">
        <f>C16*G16*I16</f>
        <v>0</v>
      </c>
      <c r="N16" s="52">
        <f>(J16*'Base Data'!$C$5)+(K16*'Base Data'!$C$6)+(L16*'Base Data'!$C$7)</f>
        <v>0</v>
      </c>
      <c r="O16" s="52">
        <f>(D16+E16+F16)*G16*I16</f>
        <v>0</v>
      </c>
      <c r="P16" s="92">
        <f>G16*I16</f>
        <v>0</v>
      </c>
      <c r="Q16" s="94" t="s">
        <v>387</v>
      </c>
    </row>
    <row r="17" spans="1:19" s="147" customFormat="1" ht="9">
      <c r="A17" s="177" t="s">
        <v>377</v>
      </c>
      <c r="B17" s="44">
        <v>8</v>
      </c>
      <c r="C17" s="44"/>
      <c r="D17" s="52">
        <v>0</v>
      </c>
      <c r="E17" s="52">
        <v>0</v>
      </c>
      <c r="F17" s="52">
        <v>0</v>
      </c>
      <c r="G17" s="44">
        <v>1</v>
      </c>
      <c r="H17" s="44">
        <f>B17*G17</f>
        <v>8</v>
      </c>
      <c r="I17" s="91">
        <f>'Fac - ExistSmlLiquid-Yr1'!$I$7</f>
        <v>42</v>
      </c>
      <c r="J17" s="91">
        <f>H17*I17</f>
        <v>336</v>
      </c>
      <c r="K17" s="91">
        <f>J17*0.1</f>
        <v>33.6</v>
      </c>
      <c r="L17" s="91">
        <f>J17*0.05</f>
        <v>16.8</v>
      </c>
      <c r="M17" s="44">
        <f>C17*G17*I17</f>
        <v>0</v>
      </c>
      <c r="N17" s="52">
        <f>(J17*'Base Data'!$C$5)+(K17*'Base Data'!$C$6)+(L17*'Base Data'!$C$7)</f>
        <v>36549.240000000005</v>
      </c>
      <c r="O17" s="52">
        <f>(D17+E17+F17)*G17*I17</f>
        <v>0</v>
      </c>
      <c r="P17" s="92">
        <f>G17*I17</f>
        <v>42</v>
      </c>
      <c r="Q17" s="94" t="s">
        <v>388</v>
      </c>
    </row>
    <row r="18" spans="1:19" s="147" customFormat="1" ht="9">
      <c r="A18" s="144" t="s">
        <v>248</v>
      </c>
      <c r="B18" s="44">
        <v>5</v>
      </c>
      <c r="C18" s="44"/>
      <c r="D18" s="52">
        <v>0</v>
      </c>
      <c r="E18" s="52">
        <v>0</v>
      </c>
      <c r="F18" s="52">
        <v>0</v>
      </c>
      <c r="G18" s="44">
        <v>0.5</v>
      </c>
      <c r="H18" s="44">
        <f>B18*G18</f>
        <v>2.5</v>
      </c>
      <c r="I18" s="91">
        <f>'Fac - ExistSmlLiquid-Yr1'!$I$7</f>
        <v>42</v>
      </c>
      <c r="J18" s="91">
        <f>H18*I18</f>
        <v>105</v>
      </c>
      <c r="K18" s="91">
        <f>J18*0.1</f>
        <v>10.5</v>
      </c>
      <c r="L18" s="91">
        <f>J18*0.05</f>
        <v>5.25</v>
      </c>
      <c r="M18" s="44">
        <f>C18*G18*I18</f>
        <v>0</v>
      </c>
      <c r="N18" s="52">
        <f>(J18*'Base Data'!$C$5)+(K18*'Base Data'!$C$6)+(L18*'Base Data'!$C$7)</f>
        <v>11421.637500000001</v>
      </c>
      <c r="O18" s="52">
        <f>(D18+E18+F18)*G18*I18</f>
        <v>0</v>
      </c>
      <c r="P18" s="92">
        <f>G18*I18</f>
        <v>21</v>
      </c>
      <c r="Q18" s="94" t="s">
        <v>12</v>
      </c>
    </row>
    <row r="19" spans="1:19" s="6" customFormat="1" ht="9">
      <c r="A19" s="177" t="s">
        <v>505</v>
      </c>
      <c r="B19" s="44">
        <v>5</v>
      </c>
      <c r="C19" s="18"/>
      <c r="D19" s="39">
        <v>0</v>
      </c>
      <c r="E19" s="39">
        <v>0</v>
      </c>
      <c r="F19" s="39">
        <v>0</v>
      </c>
      <c r="G19" s="18">
        <v>1</v>
      </c>
      <c r="H19" s="18">
        <f>B19*G19</f>
        <v>5</v>
      </c>
      <c r="I19" s="91">
        <f>'Fac - ExistSmlLiquid-Yr1'!$I$7</f>
        <v>42</v>
      </c>
      <c r="J19" s="19">
        <f>H19*I19</f>
        <v>210</v>
      </c>
      <c r="K19" s="19">
        <f>J19*0.1</f>
        <v>21</v>
      </c>
      <c r="L19" s="19">
        <f>J19*0.05</f>
        <v>10.5</v>
      </c>
      <c r="M19" s="18">
        <f>C19*G19*I19</f>
        <v>0</v>
      </c>
      <c r="N19" s="39">
        <f>(J19*'Base Data'!$C$5)+(K19*'Base Data'!$C$6)+(L19*'Base Data'!$C$7)</f>
        <v>22843.275000000001</v>
      </c>
      <c r="O19" s="39">
        <f>(D19+E19+F19)*G19*I19</f>
        <v>0</v>
      </c>
      <c r="P19" s="19">
        <f>G19*I19</f>
        <v>42</v>
      </c>
      <c r="Q19" s="29" t="s">
        <v>388</v>
      </c>
    </row>
    <row r="20" spans="1:19" s="147" customFormat="1" ht="9">
      <c r="A20" s="148" t="s">
        <v>7</v>
      </c>
      <c r="B20" s="44"/>
      <c r="C20" s="44"/>
      <c r="D20" s="52"/>
      <c r="E20" s="52"/>
      <c r="F20" s="52"/>
      <c r="G20" s="44"/>
      <c r="H20" s="44"/>
      <c r="I20" s="92"/>
      <c r="J20" s="92">
        <f>SUM(J7:J19)</f>
        <v>2145</v>
      </c>
      <c r="K20" s="92">
        <f t="shared" ref="K20:P20" si="0">SUM(K7:K19)</f>
        <v>214.5</v>
      </c>
      <c r="L20" s="92">
        <f t="shared" si="0"/>
        <v>107.25</v>
      </c>
      <c r="M20" s="92">
        <f t="shared" si="0"/>
        <v>0</v>
      </c>
      <c r="N20" s="39">
        <f t="shared" si="0"/>
        <v>233327.73750000002</v>
      </c>
      <c r="O20" s="39">
        <f t="shared" si="0"/>
        <v>730630</v>
      </c>
      <c r="P20" s="92">
        <f t="shared" si="0"/>
        <v>105</v>
      </c>
      <c r="Q20" s="94"/>
      <c r="R20" s="149">
        <f>SUM(O7:O12)</f>
        <v>730630</v>
      </c>
      <c r="S20" s="147">
        <f>0</f>
        <v>0</v>
      </c>
    </row>
    <row r="21" spans="1:19" s="147" customFormat="1" ht="9">
      <c r="A21" s="143" t="s">
        <v>431</v>
      </c>
      <c r="B21" s="44"/>
      <c r="C21" s="44"/>
      <c r="D21" s="52"/>
      <c r="E21" s="52"/>
      <c r="F21" s="52"/>
      <c r="G21" s="44"/>
      <c r="H21" s="44"/>
      <c r="I21" s="92"/>
      <c r="J21" s="44"/>
      <c r="K21" s="44"/>
      <c r="L21" s="44"/>
      <c r="M21" s="44"/>
      <c r="N21" s="39"/>
      <c r="O21" s="39"/>
      <c r="P21" s="92"/>
      <c r="Q21" s="94"/>
    </row>
    <row r="22" spans="1:19" s="147" customFormat="1" ht="9">
      <c r="A22" s="143" t="s">
        <v>418</v>
      </c>
      <c r="B22" s="44" t="s">
        <v>422</v>
      </c>
      <c r="C22" s="44"/>
      <c r="D22" s="52"/>
      <c r="E22" s="52"/>
      <c r="F22" s="52"/>
      <c r="G22" s="44"/>
      <c r="H22" s="44"/>
      <c r="I22" s="92"/>
      <c r="J22" s="44"/>
      <c r="K22" s="44"/>
      <c r="L22" s="44"/>
      <c r="M22" s="44"/>
      <c r="N22" s="52"/>
      <c r="O22" s="52"/>
      <c r="P22" s="92"/>
      <c r="Q22" s="94"/>
    </row>
    <row r="23" spans="1:19" s="147" customFormat="1" ht="9">
      <c r="A23" s="143" t="s">
        <v>419</v>
      </c>
      <c r="B23" s="44" t="s">
        <v>433</v>
      </c>
      <c r="C23" s="44"/>
      <c r="D23" s="52"/>
      <c r="E23" s="52"/>
      <c r="F23" s="52"/>
      <c r="G23" s="44"/>
      <c r="H23" s="44"/>
      <c r="I23" s="92"/>
      <c r="J23" s="44"/>
      <c r="K23" s="44"/>
      <c r="L23" s="44"/>
      <c r="M23" s="44"/>
      <c r="N23" s="52"/>
      <c r="O23" s="52"/>
      <c r="P23" s="92"/>
      <c r="Q23" s="94"/>
    </row>
    <row r="24" spans="1:19" s="147" customFormat="1" ht="9">
      <c r="A24" s="143" t="s">
        <v>420</v>
      </c>
      <c r="B24" s="44" t="s">
        <v>433</v>
      </c>
      <c r="C24" s="44"/>
      <c r="D24" s="52"/>
      <c r="E24" s="52"/>
      <c r="F24" s="52"/>
      <c r="G24" s="44"/>
      <c r="H24" s="44"/>
      <c r="I24" s="92"/>
      <c r="J24" s="44"/>
      <c r="K24" s="44"/>
      <c r="L24" s="44"/>
      <c r="M24" s="44"/>
      <c r="N24" s="52"/>
      <c r="O24" s="52"/>
      <c r="P24" s="92"/>
      <c r="Q24" s="94" t="s">
        <v>389</v>
      </c>
    </row>
    <row r="25" spans="1:19" s="147" customFormat="1" ht="9">
      <c r="A25" s="143" t="s">
        <v>421</v>
      </c>
      <c r="B25" s="44"/>
      <c r="C25" s="44"/>
      <c r="D25" s="52"/>
      <c r="E25" s="52"/>
      <c r="F25" s="52"/>
      <c r="G25" s="44"/>
      <c r="H25" s="44"/>
      <c r="I25" s="92"/>
      <c r="J25" s="44"/>
      <c r="K25" s="44"/>
      <c r="L25" s="44"/>
      <c r="M25" s="44"/>
      <c r="N25" s="52"/>
      <c r="O25" s="52"/>
      <c r="P25" s="92"/>
      <c r="Q25" s="94"/>
    </row>
    <row r="26" spans="1:19" s="147" customFormat="1" ht="19.5" customHeight="1">
      <c r="A26" s="177" t="s">
        <v>375</v>
      </c>
      <c r="B26" s="44">
        <v>2</v>
      </c>
      <c r="C26" s="44">
        <v>0</v>
      </c>
      <c r="D26" s="52">
        <v>0</v>
      </c>
      <c r="E26" s="52">
        <v>0</v>
      </c>
      <c r="F26" s="52">
        <v>0</v>
      </c>
      <c r="G26" s="44">
        <v>0.5</v>
      </c>
      <c r="H26" s="44">
        <f>B26*G26</f>
        <v>1</v>
      </c>
      <c r="I26" s="91">
        <f>'Base Data'!$D$42+'Base Data'!$D$41</f>
        <v>358</v>
      </c>
      <c r="J26" s="91">
        <f>H26*I26</f>
        <v>358</v>
      </c>
      <c r="K26" s="91">
        <f>J26*0.1</f>
        <v>35.800000000000004</v>
      </c>
      <c r="L26" s="91">
        <f>J26*0.05</f>
        <v>17.900000000000002</v>
      </c>
      <c r="M26" s="44">
        <f>C26*G26*I26</f>
        <v>0</v>
      </c>
      <c r="N26" s="52">
        <f>(J26*'Base Data'!$C$5)+(K26*'Base Data'!$C$6)+(L26*'Base Data'!$C$7)</f>
        <v>38942.345000000001</v>
      </c>
      <c r="O26" s="52">
        <f>(D26+E26+F26)*G26*I26</f>
        <v>0</v>
      </c>
      <c r="P26" s="92">
        <v>0</v>
      </c>
      <c r="Q26" s="94" t="s">
        <v>388</v>
      </c>
    </row>
    <row r="27" spans="1:19" s="147" customFormat="1" ht="18">
      <c r="A27" s="177" t="s">
        <v>376</v>
      </c>
      <c r="B27" s="44">
        <v>15</v>
      </c>
      <c r="C27" s="44">
        <v>0</v>
      </c>
      <c r="D27" s="52">
        <v>0</v>
      </c>
      <c r="E27" s="52">
        <v>0</v>
      </c>
      <c r="F27" s="52">
        <v>0</v>
      </c>
      <c r="G27" s="44">
        <v>1</v>
      </c>
      <c r="H27" s="44">
        <f>B27*G27</f>
        <v>15</v>
      </c>
      <c r="I27" s="91">
        <v>0</v>
      </c>
      <c r="J27" s="91">
        <f>H27*I27</f>
        <v>0</v>
      </c>
      <c r="K27" s="91">
        <f>J27*0.1</f>
        <v>0</v>
      </c>
      <c r="L27" s="91">
        <f>J27*0.05</f>
        <v>0</v>
      </c>
      <c r="M27" s="44">
        <f>C27*G27*I27</f>
        <v>0</v>
      </c>
      <c r="N27" s="52">
        <f>(J27*'Base Data'!$C$5)+(K27*'Base Data'!$C$6)+(L27*'Base Data'!$C$7)</f>
        <v>0</v>
      </c>
      <c r="O27" s="52">
        <f>(D27+E27+F27)*G27*I27</f>
        <v>0</v>
      </c>
      <c r="P27" s="92">
        <v>0</v>
      </c>
      <c r="Q27" s="94" t="s">
        <v>13</v>
      </c>
    </row>
    <row r="28" spans="1:19" s="147" customFormat="1" ht="9">
      <c r="A28" s="177" t="s">
        <v>251</v>
      </c>
      <c r="B28" s="44">
        <v>0.5</v>
      </c>
      <c r="C28" s="44"/>
      <c r="D28" s="52">
        <v>0</v>
      </c>
      <c r="E28" s="52">
        <v>0</v>
      </c>
      <c r="F28" s="52">
        <v>0</v>
      </c>
      <c r="G28" s="44">
        <v>0.5</v>
      </c>
      <c r="H28" s="44">
        <f>B28*G28</f>
        <v>0.25</v>
      </c>
      <c r="I28" s="91">
        <f>'Base Data'!$D$42+'Base Data'!$D$41</f>
        <v>358</v>
      </c>
      <c r="J28" s="91">
        <f>H28*I28</f>
        <v>89.5</v>
      </c>
      <c r="K28" s="91">
        <f>J28*0.1</f>
        <v>8.9500000000000011</v>
      </c>
      <c r="L28" s="91">
        <f>J28*0.05</f>
        <v>4.4750000000000005</v>
      </c>
      <c r="M28" s="44">
        <f>C28*G28*I28</f>
        <v>0</v>
      </c>
      <c r="N28" s="52">
        <f>(J28*'Base Data'!$C$5)+(K28*'Base Data'!$C$6)+(L28*'Base Data'!$C$7)</f>
        <v>9735.5862500000003</v>
      </c>
      <c r="O28" s="52">
        <f>(D28+E28+F28)*G28*I28</f>
        <v>0</v>
      </c>
      <c r="P28" s="92">
        <v>0</v>
      </c>
      <c r="Q28" s="94" t="s">
        <v>12</v>
      </c>
    </row>
    <row r="29" spans="1:19" s="6" customFormat="1" ht="9">
      <c r="A29" s="142" t="s">
        <v>427</v>
      </c>
      <c r="B29" s="44">
        <v>40</v>
      </c>
      <c r="C29" s="18"/>
      <c r="D29" s="39">
        <v>0</v>
      </c>
      <c r="E29" s="39">
        <v>0</v>
      </c>
      <c r="F29" s="39">
        <v>0</v>
      </c>
      <c r="G29" s="18">
        <v>1</v>
      </c>
      <c r="H29" s="18">
        <f t="shared" ref="H29" si="1">B29*G29</f>
        <v>40</v>
      </c>
      <c r="I29" s="91">
        <f>ROUNDDOWN(('Base Data'!$H$42+'Base Data'!$H$41)/2,0)</f>
        <v>21</v>
      </c>
      <c r="J29" s="19">
        <f t="shared" ref="J29" si="2">H29*I29</f>
        <v>840</v>
      </c>
      <c r="K29" s="19">
        <f t="shared" ref="K29" si="3">J29*0.1</f>
        <v>84</v>
      </c>
      <c r="L29" s="19">
        <f t="shared" ref="L29" si="4">J29*0.05</f>
        <v>42</v>
      </c>
      <c r="M29" s="18"/>
      <c r="N29" s="39">
        <f>(J29*'Base Data'!$C$5)+(K29*'Base Data'!$C$6)+(L29*'Base Data'!$C$7)</f>
        <v>91373.1</v>
      </c>
      <c r="O29" s="39">
        <f t="shared" ref="O29" si="5">(D29+E29+F29)*G29*I29</f>
        <v>0</v>
      </c>
      <c r="P29" s="92">
        <v>0</v>
      </c>
      <c r="Q29" s="29" t="s">
        <v>78</v>
      </c>
    </row>
    <row r="30" spans="1:19" s="147" customFormat="1" ht="9">
      <c r="A30" s="143" t="s">
        <v>428</v>
      </c>
      <c r="B30" s="44" t="s">
        <v>433</v>
      </c>
      <c r="C30" s="44"/>
      <c r="D30" s="52"/>
      <c r="E30" s="52"/>
      <c r="F30" s="52"/>
      <c r="G30" s="44"/>
      <c r="H30" s="44"/>
      <c r="I30" s="92"/>
      <c r="J30" s="44"/>
      <c r="K30" s="44"/>
      <c r="L30" s="44"/>
      <c r="M30" s="44"/>
      <c r="N30" s="52"/>
      <c r="O30" s="52"/>
      <c r="P30" s="92"/>
      <c r="Q30" s="94"/>
    </row>
    <row r="31" spans="1:19" s="147" customFormat="1" ht="9">
      <c r="A31" s="256" t="s">
        <v>27</v>
      </c>
      <c r="B31" s="239"/>
      <c r="C31" s="239"/>
      <c r="D31" s="240"/>
      <c r="E31" s="240"/>
      <c r="F31" s="240"/>
      <c r="G31" s="239"/>
      <c r="H31" s="239"/>
      <c r="I31" s="241"/>
      <c r="J31" s="239">
        <f t="shared" ref="J31:P31" si="6">SUM(J22:J30)</f>
        <v>1287.5</v>
      </c>
      <c r="K31" s="239">
        <f t="shared" si="6"/>
        <v>128.75</v>
      </c>
      <c r="L31" s="239">
        <f t="shared" si="6"/>
        <v>64.375</v>
      </c>
      <c r="M31" s="239">
        <f t="shared" si="6"/>
        <v>0</v>
      </c>
      <c r="N31" s="240">
        <f t="shared" si="6"/>
        <v>140051.03125</v>
      </c>
      <c r="O31" s="240">
        <f t="shared" si="6"/>
        <v>0</v>
      </c>
      <c r="P31" s="92">
        <f t="shared" si="6"/>
        <v>0</v>
      </c>
      <c r="Q31" s="242"/>
      <c r="R31" s="149">
        <f>SUM(O22:O31)</f>
        <v>0</v>
      </c>
    </row>
    <row r="32" spans="1:19" s="147" customFormat="1">
      <c r="A32" s="186" t="s">
        <v>400</v>
      </c>
      <c r="B32" s="187"/>
      <c r="C32" s="187"/>
      <c r="D32" s="187"/>
      <c r="E32" s="187"/>
      <c r="F32" s="187"/>
      <c r="G32" s="187"/>
      <c r="H32" s="187"/>
      <c r="I32" s="189"/>
      <c r="J32" s="190">
        <f t="shared" ref="J32:P32" si="7">SUM(J20,J31)</f>
        <v>3432.5</v>
      </c>
      <c r="K32" s="190">
        <f t="shared" si="7"/>
        <v>343.25</v>
      </c>
      <c r="L32" s="190">
        <f t="shared" si="7"/>
        <v>171.625</v>
      </c>
      <c r="M32" s="190">
        <f t="shared" si="7"/>
        <v>0</v>
      </c>
      <c r="N32" s="191">
        <f t="shared" si="7"/>
        <v>373378.76875000005</v>
      </c>
      <c r="O32" s="191">
        <f t="shared" si="7"/>
        <v>730630</v>
      </c>
      <c r="P32" s="190">
        <f t="shared" si="7"/>
        <v>105</v>
      </c>
      <c r="Q32" s="192"/>
    </row>
    <row r="33" spans="1:17" s="147" customFormat="1">
      <c r="A33" s="114"/>
      <c r="B33" s="54"/>
      <c r="C33" s="54"/>
      <c r="D33" s="54"/>
      <c r="E33" s="54"/>
      <c r="F33" s="54"/>
      <c r="G33" s="54"/>
      <c r="H33" s="54"/>
      <c r="I33" s="55"/>
      <c r="J33" s="54"/>
      <c r="K33" s="54"/>
      <c r="L33" s="54"/>
      <c r="M33" s="54"/>
      <c r="N33" s="54"/>
      <c r="O33" s="196"/>
      <c r="P33" s="196"/>
      <c r="Q33" s="54"/>
    </row>
    <row r="34" spans="1:17" s="147" customFormat="1" ht="7.5" customHeight="1">
      <c r="A34" s="53" t="s">
        <v>390</v>
      </c>
      <c r="B34" s="56"/>
      <c r="C34" s="56"/>
      <c r="D34" s="56"/>
      <c r="E34" s="56"/>
      <c r="F34" s="56"/>
      <c r="G34" s="56"/>
      <c r="H34" s="57"/>
      <c r="I34" s="56"/>
      <c r="J34" s="56"/>
      <c r="K34" s="56"/>
      <c r="L34" s="56"/>
      <c r="M34" s="56"/>
      <c r="N34" s="56"/>
      <c r="O34" s="197"/>
      <c r="P34" s="197"/>
      <c r="Q34" s="56"/>
    </row>
    <row r="35" spans="1:17" s="53" customFormat="1" ht="20.25" customHeight="1">
      <c r="A35" s="409" t="s">
        <v>165</v>
      </c>
      <c r="B35" s="409"/>
      <c r="C35" s="409"/>
      <c r="D35" s="409"/>
      <c r="E35" s="409"/>
      <c r="F35" s="409"/>
      <c r="G35" s="409"/>
      <c r="H35" s="409"/>
      <c r="I35" s="409"/>
      <c r="J35" s="409"/>
      <c r="K35" s="409"/>
      <c r="L35" s="409"/>
      <c r="M35" s="409"/>
      <c r="N35" s="409"/>
      <c r="O35" s="409"/>
      <c r="P35" s="175"/>
      <c r="Q35" s="56"/>
    </row>
    <row r="36" spans="1:17" s="53" customFormat="1" ht="28.5" customHeight="1">
      <c r="A36" s="409" t="s">
        <v>2</v>
      </c>
      <c r="B36" s="409"/>
      <c r="C36" s="409"/>
      <c r="D36" s="409"/>
      <c r="E36" s="409"/>
      <c r="F36" s="409"/>
      <c r="G36" s="409"/>
      <c r="H36" s="409"/>
      <c r="I36" s="409"/>
      <c r="J36" s="409"/>
      <c r="K36" s="409"/>
      <c r="L36" s="409"/>
      <c r="M36" s="409"/>
      <c r="N36" s="409"/>
      <c r="O36" s="409"/>
      <c r="P36" s="175"/>
      <c r="Q36" s="54"/>
    </row>
    <row r="37" spans="1:17" s="53" customFormat="1" ht="18.75" customHeight="1">
      <c r="A37" s="409" t="s">
        <v>95</v>
      </c>
      <c r="B37" s="409"/>
      <c r="C37" s="409"/>
      <c r="D37" s="409"/>
      <c r="E37" s="409"/>
      <c r="F37" s="409"/>
      <c r="G37" s="409"/>
      <c r="H37" s="409"/>
      <c r="I37" s="409"/>
      <c r="J37" s="409"/>
      <c r="K37" s="409"/>
      <c r="L37" s="409"/>
      <c r="M37" s="409"/>
      <c r="N37" s="409"/>
      <c r="O37" s="409"/>
      <c r="P37" s="409"/>
      <c r="Q37" s="409"/>
    </row>
    <row r="38" spans="1:17" s="53" customFormat="1" ht="10.5" customHeight="1">
      <c r="A38" s="53" t="s">
        <v>441</v>
      </c>
      <c r="B38" s="56"/>
      <c r="C38" s="56"/>
      <c r="D38" s="56"/>
      <c r="E38" s="56"/>
      <c r="F38" s="56"/>
      <c r="G38" s="56"/>
      <c r="H38" s="57"/>
      <c r="I38" s="56"/>
      <c r="J38" s="56"/>
      <c r="K38" s="56"/>
      <c r="L38" s="56"/>
      <c r="M38" s="56"/>
      <c r="N38" s="56"/>
      <c r="O38" s="197"/>
      <c r="P38" s="197"/>
      <c r="Q38" s="56"/>
    </row>
    <row r="39" spans="1:17">
      <c r="A39" s="53" t="s">
        <v>572</v>
      </c>
    </row>
    <row r="40" spans="1:17">
      <c r="A40" s="53" t="s">
        <v>571</v>
      </c>
    </row>
    <row r="41" spans="1:17">
      <c r="A41" s="14" t="s">
        <v>570</v>
      </c>
    </row>
  </sheetData>
  <mergeCells count="5">
    <mergeCell ref="A37:Q37"/>
    <mergeCell ref="A1:Q1"/>
    <mergeCell ref="A2:Q2"/>
    <mergeCell ref="A35:O35"/>
    <mergeCell ref="A36:O36"/>
  </mergeCells>
  <phoneticPr fontId="7" type="noConversion"/>
  <printOptions horizontalCentered="1"/>
  <pageMargins left="0.25" right="0.25" top="0.5" bottom="0.5" header="0.5" footer="0.5"/>
  <pageSetup scale="90" orientation="landscape" r:id="rId1"/>
  <headerFooter alignWithMargins="0"/>
</worksheet>
</file>

<file path=xl/worksheets/sheet33.xml><?xml version="1.0" encoding="utf-8"?>
<worksheet xmlns="http://schemas.openxmlformats.org/spreadsheetml/2006/main" xmlns:r="http://schemas.openxmlformats.org/officeDocument/2006/relationships">
  <sheetPr>
    <pageSetUpPr fitToPage="1"/>
  </sheetPr>
  <dimension ref="A1:S41"/>
  <sheetViews>
    <sheetView zoomScaleNormal="100" workbookViewId="0">
      <pane xSplit="1" ySplit="3" topLeftCell="B4" activePane="bottomRight" state="frozen"/>
      <selection activeCell="P31" sqref="P31"/>
      <selection pane="topRight" activeCell="P31" sqref="P31"/>
      <selection pane="bottomLeft" activeCell="P31" sqref="P31"/>
      <selection pane="bottomRight" activeCell="Q30" sqref="Q30"/>
    </sheetView>
  </sheetViews>
  <sheetFormatPr defaultRowHeight="11.25"/>
  <cols>
    <col min="1" max="1" width="30.42578125" style="114" customWidth="1"/>
    <col min="2" max="2" width="8.85546875" style="54" bestFit="1" customWidth="1"/>
    <col min="3" max="3" width="8" style="54" hidden="1" customWidth="1"/>
    <col min="4" max="4" width="8.42578125" style="54" bestFit="1" customWidth="1"/>
    <col min="5" max="5" width="9.28515625" style="54" bestFit="1" customWidth="1"/>
    <col min="6" max="6" width="7.85546875" style="54" bestFit="1" customWidth="1"/>
    <col min="7" max="7" width="9.28515625" style="54" bestFit="1" customWidth="1"/>
    <col min="8" max="8" width="8.7109375" style="54" bestFit="1" customWidth="1"/>
    <col min="9" max="9" width="9.42578125" style="196" bestFit="1" customWidth="1"/>
    <col min="10" max="10" width="7.7109375" style="196" bestFit="1" customWidth="1"/>
    <col min="11" max="11" width="6.85546875" style="196" bestFit="1" customWidth="1"/>
    <col min="12" max="12" width="8.85546875" style="196" customWidth="1"/>
    <col min="13" max="13" width="9" style="196" hidden="1" customWidth="1"/>
    <col min="14" max="14" width="9.42578125" style="54" bestFit="1" customWidth="1"/>
    <col min="15" max="15" width="9.85546875" style="114" bestFit="1" customWidth="1"/>
    <col min="16" max="16" width="8.5703125" style="114" bestFit="1" customWidth="1"/>
    <col min="17" max="17" width="4.28515625" style="114" bestFit="1" customWidth="1"/>
    <col min="18" max="19" width="0" style="114" hidden="1" customWidth="1"/>
    <col min="20" max="16384" width="9.140625" style="114"/>
  </cols>
  <sheetData>
    <row r="1" spans="1:19">
      <c r="A1" s="410" t="s">
        <v>252</v>
      </c>
      <c r="B1" s="410"/>
      <c r="C1" s="410"/>
      <c r="D1" s="410"/>
      <c r="E1" s="410"/>
      <c r="F1" s="410"/>
      <c r="G1" s="410"/>
      <c r="H1" s="410"/>
      <c r="I1" s="410"/>
      <c r="J1" s="410"/>
      <c r="K1" s="410"/>
      <c r="L1" s="410"/>
      <c r="M1" s="410"/>
      <c r="N1" s="410"/>
      <c r="O1" s="410"/>
      <c r="P1" s="410"/>
      <c r="Q1" s="410"/>
    </row>
    <row r="2" spans="1:19">
      <c r="A2" s="411" t="s">
        <v>533</v>
      </c>
      <c r="B2" s="411"/>
      <c r="C2" s="411"/>
      <c r="D2" s="411"/>
      <c r="E2" s="411"/>
      <c r="F2" s="411"/>
      <c r="G2" s="411"/>
      <c r="H2" s="411"/>
      <c r="I2" s="411"/>
      <c r="J2" s="411"/>
      <c r="K2" s="411"/>
      <c r="L2" s="411"/>
      <c r="M2" s="411"/>
      <c r="N2" s="411"/>
      <c r="O2" s="411"/>
      <c r="P2" s="411"/>
      <c r="Q2" s="411"/>
    </row>
    <row r="3" spans="1:19" s="193" customFormat="1" ht="54">
      <c r="A3" s="45" t="s">
        <v>392</v>
      </c>
      <c r="B3" s="45" t="s">
        <v>393</v>
      </c>
      <c r="C3" s="45" t="s">
        <v>430</v>
      </c>
      <c r="D3" s="45" t="s">
        <v>4</v>
      </c>
      <c r="E3" s="45" t="s">
        <v>94</v>
      </c>
      <c r="F3" s="45" t="s">
        <v>5</v>
      </c>
      <c r="G3" s="12" t="s">
        <v>176</v>
      </c>
      <c r="H3" s="45" t="s">
        <v>459</v>
      </c>
      <c r="I3" s="60" t="s">
        <v>460</v>
      </c>
      <c r="J3" s="100" t="s">
        <v>462</v>
      </c>
      <c r="K3" s="100" t="s">
        <v>463</v>
      </c>
      <c r="L3" s="100" t="s">
        <v>461</v>
      </c>
      <c r="M3" s="45" t="s">
        <v>391</v>
      </c>
      <c r="N3" s="45" t="s">
        <v>8</v>
      </c>
      <c r="O3" s="100" t="s">
        <v>96</v>
      </c>
      <c r="P3" s="100" t="s">
        <v>175</v>
      </c>
      <c r="Q3" s="182" t="s">
        <v>394</v>
      </c>
      <c r="R3" s="193" t="s">
        <v>307</v>
      </c>
      <c r="S3" s="193" t="s">
        <v>308</v>
      </c>
    </row>
    <row r="4" spans="1:19" s="147" customFormat="1" ht="9">
      <c r="A4" s="194" t="s">
        <v>405</v>
      </c>
      <c r="B4" s="179" t="s">
        <v>433</v>
      </c>
      <c r="C4" s="179"/>
      <c r="D4" s="181"/>
      <c r="E4" s="181"/>
      <c r="F4" s="181"/>
      <c r="G4" s="179"/>
      <c r="H4" s="179"/>
      <c r="I4" s="183"/>
      <c r="J4" s="179"/>
      <c r="K4" s="179"/>
      <c r="L4" s="179"/>
      <c r="M4" s="179"/>
      <c r="N4" s="181"/>
      <c r="O4" s="181"/>
      <c r="P4" s="181"/>
      <c r="Q4" s="249"/>
    </row>
    <row r="5" spans="1:19" s="147" customFormat="1" ht="9">
      <c r="A5" s="143" t="s">
        <v>406</v>
      </c>
      <c r="B5" s="44" t="s">
        <v>433</v>
      </c>
      <c r="C5" s="44"/>
      <c r="D5" s="52"/>
      <c r="E5" s="52"/>
      <c r="F5" s="52"/>
      <c r="G5" s="44"/>
      <c r="H5" s="44"/>
      <c r="I5" s="92"/>
      <c r="J5" s="44"/>
      <c r="K5" s="44"/>
      <c r="L5" s="44"/>
      <c r="M5" s="44"/>
      <c r="N5" s="52"/>
      <c r="O5" s="52"/>
      <c r="P5" s="52"/>
      <c r="Q5" s="94"/>
    </row>
    <row r="6" spans="1:19" s="147" customFormat="1" ht="9">
      <c r="A6" s="143" t="s">
        <v>407</v>
      </c>
      <c r="B6" s="44"/>
      <c r="C6" s="44"/>
      <c r="D6" s="52"/>
      <c r="E6" s="52"/>
      <c r="F6" s="52"/>
      <c r="G6" s="44"/>
      <c r="H6" s="44"/>
      <c r="I6" s="92"/>
      <c r="J6" s="44"/>
      <c r="K6" s="44"/>
      <c r="L6" s="44"/>
      <c r="M6" s="44"/>
      <c r="N6" s="52"/>
      <c r="O6" s="52"/>
      <c r="P6" s="52"/>
      <c r="Q6" s="94"/>
    </row>
    <row r="7" spans="1:19" s="147" customFormat="1" ht="9">
      <c r="A7" s="143" t="s">
        <v>408</v>
      </c>
      <c r="B7" s="44">
        <v>40</v>
      </c>
      <c r="C7" s="44"/>
      <c r="D7" s="52">
        <v>0</v>
      </c>
      <c r="E7" s="52">
        <v>0</v>
      </c>
      <c r="F7" s="52">
        <v>0</v>
      </c>
      <c r="G7" s="44">
        <v>1</v>
      </c>
      <c r="H7" s="44">
        <f>B7*G7</f>
        <v>40</v>
      </c>
      <c r="I7" s="91">
        <f>SUM('Base Data'!$H$26:$H$27,'Base Data'!$H$31:$H$32,'Base Data'!$H$36:$H$37)</f>
        <v>887</v>
      </c>
      <c r="J7" s="91">
        <f>H7*I7</f>
        <v>35480</v>
      </c>
      <c r="K7" s="91">
        <f>J7*0.1</f>
        <v>3548</v>
      </c>
      <c r="L7" s="91">
        <f>J7*0.05</f>
        <v>1774</v>
      </c>
      <c r="M7" s="44">
        <f>C7*G7*I7</f>
        <v>0</v>
      </c>
      <c r="N7" s="52">
        <f>(J7*'Base Data'!$C$5)+(K7*'Base Data'!$C$6)+(L7*'Base Data'!$C$7)</f>
        <v>3859425.6999999997</v>
      </c>
      <c r="O7" s="52">
        <f>(D7+E7+F7)*G7*I7</f>
        <v>0</v>
      </c>
      <c r="P7" s="92">
        <v>0</v>
      </c>
      <c r="Q7" s="94" t="s">
        <v>387</v>
      </c>
    </row>
    <row r="8" spans="1:19" s="147" customFormat="1" ht="9">
      <c r="A8" s="143" t="s">
        <v>409</v>
      </c>
      <c r="B8" s="44"/>
      <c r="C8" s="44"/>
      <c r="D8" s="52"/>
      <c r="E8" s="52"/>
      <c r="F8" s="52"/>
      <c r="G8" s="44"/>
      <c r="H8" s="44"/>
      <c r="I8" s="92"/>
      <c r="J8" s="44"/>
      <c r="K8" s="44"/>
      <c r="L8" s="44"/>
      <c r="M8" s="44"/>
      <c r="N8" s="52"/>
      <c r="O8" s="52"/>
      <c r="P8" s="92"/>
      <c r="Q8" s="94"/>
    </row>
    <row r="9" spans="1:19" s="147" customFormat="1" ht="9">
      <c r="A9" s="143" t="s">
        <v>423</v>
      </c>
      <c r="B9" s="44"/>
      <c r="C9" s="44"/>
      <c r="D9" s="95"/>
      <c r="E9" s="52"/>
      <c r="F9" s="52"/>
      <c r="G9" s="44"/>
      <c r="H9" s="44"/>
      <c r="I9" s="92"/>
      <c r="J9" s="91"/>
      <c r="K9" s="91"/>
      <c r="L9" s="91"/>
      <c r="M9" s="93"/>
      <c r="N9" s="52"/>
      <c r="O9" s="52"/>
      <c r="P9" s="92"/>
      <c r="Q9" s="94"/>
      <c r="R9" s="94"/>
    </row>
    <row r="10" spans="1:19" s="147" customFormat="1" ht="9">
      <c r="A10" s="142" t="s">
        <v>274</v>
      </c>
      <c r="B10" s="44">
        <v>20</v>
      </c>
      <c r="C10" s="44"/>
      <c r="D10" s="52">
        <v>854</v>
      </c>
      <c r="E10" s="52">
        <v>0</v>
      </c>
      <c r="F10" s="52">
        <v>0</v>
      </c>
      <c r="G10" s="44">
        <v>1</v>
      </c>
      <c r="H10" s="44">
        <f>B10*G10</f>
        <v>20</v>
      </c>
      <c r="I10" s="91">
        <v>0</v>
      </c>
      <c r="J10" s="92">
        <f>H10*I10</f>
        <v>0</v>
      </c>
      <c r="K10" s="92">
        <f>J10*0.1</f>
        <v>0</v>
      </c>
      <c r="L10" s="92">
        <f>J10*0.05</f>
        <v>0</v>
      </c>
      <c r="M10" s="93">
        <f>C10*G10*I10</f>
        <v>0</v>
      </c>
      <c r="N10" s="52">
        <f>(J10*'Base Data'!$C$5)+(K10*'Base Data'!$C$6)+(L10*'Base Data'!$C$7)</f>
        <v>0</v>
      </c>
      <c r="O10" s="52">
        <f>(D10+E10+F10)*G10*I10</f>
        <v>0</v>
      </c>
      <c r="P10" s="92">
        <v>0</v>
      </c>
      <c r="Q10" s="94" t="s">
        <v>440</v>
      </c>
      <c r="R10" s="94"/>
    </row>
    <row r="11" spans="1:19" s="147" customFormat="1" ht="9">
      <c r="A11" s="142" t="s">
        <v>276</v>
      </c>
      <c r="B11" s="44">
        <v>20</v>
      </c>
      <c r="C11" s="44"/>
      <c r="D11" s="52">
        <v>18292</v>
      </c>
      <c r="E11" s="52">
        <v>0</v>
      </c>
      <c r="F11" s="52">
        <v>0</v>
      </c>
      <c r="G11" s="44">
        <v>1</v>
      </c>
      <c r="H11" s="44">
        <f>B11*G11</f>
        <v>20</v>
      </c>
      <c r="I11" s="91">
        <v>0</v>
      </c>
      <c r="J11" s="92">
        <f>H11*I11</f>
        <v>0</v>
      </c>
      <c r="K11" s="92">
        <f>J11*0.1</f>
        <v>0</v>
      </c>
      <c r="L11" s="92">
        <f>J11*0.05</f>
        <v>0</v>
      </c>
      <c r="M11" s="93">
        <f>C11*G11*I11</f>
        <v>0</v>
      </c>
      <c r="N11" s="52">
        <f>(J11*'Base Data'!$C$5)+(K11*'Base Data'!$C$6)+(L11*'Base Data'!$C$7)</f>
        <v>0</v>
      </c>
      <c r="O11" s="52">
        <f>(D11+E11+F11)*G11*I11</f>
        <v>0</v>
      </c>
      <c r="P11" s="92">
        <v>0</v>
      </c>
      <c r="Q11" s="94" t="s">
        <v>440</v>
      </c>
      <c r="R11" s="94"/>
    </row>
    <row r="12" spans="1:19" s="147" customFormat="1" ht="9">
      <c r="A12" s="143" t="s">
        <v>10</v>
      </c>
      <c r="B12" s="44">
        <v>12</v>
      </c>
      <c r="C12" s="44"/>
      <c r="D12" s="52">
        <v>0</v>
      </c>
      <c r="E12" s="52">
        <v>2228</v>
      </c>
      <c r="F12" s="52">
        <v>0</v>
      </c>
      <c r="G12" s="44">
        <v>0.5</v>
      </c>
      <c r="H12" s="44">
        <f>B12*G12</f>
        <v>6</v>
      </c>
      <c r="I12" s="91">
        <v>0</v>
      </c>
      <c r="J12" s="91">
        <f>H12*I12</f>
        <v>0</v>
      </c>
      <c r="K12" s="91">
        <f>J12*0.1</f>
        <v>0</v>
      </c>
      <c r="L12" s="91">
        <f>J12*0.05</f>
        <v>0</v>
      </c>
      <c r="M12" s="92"/>
      <c r="N12" s="52">
        <f>(J12*'Base Data'!$C$5)+(K12*'Base Data'!$C$6)+(L12*'Base Data'!$C$7)</f>
        <v>0</v>
      </c>
      <c r="O12" s="52">
        <f>(D12+E12+F12)*I12</f>
        <v>0</v>
      </c>
      <c r="P12" s="92">
        <v>0</v>
      </c>
      <c r="Q12" s="94" t="s">
        <v>12</v>
      </c>
    </row>
    <row r="13" spans="1:19" s="147" customFormat="1" ht="9">
      <c r="A13" s="143" t="s">
        <v>415</v>
      </c>
      <c r="B13" s="44" t="s">
        <v>433</v>
      </c>
      <c r="C13" s="44"/>
      <c r="D13" s="52"/>
      <c r="E13" s="52"/>
      <c r="F13" s="52"/>
      <c r="G13" s="44"/>
      <c r="H13" s="44"/>
      <c r="I13" s="92"/>
      <c r="J13" s="44"/>
      <c r="K13" s="44"/>
      <c r="L13" s="44"/>
      <c r="M13" s="44"/>
      <c r="N13" s="52"/>
      <c r="O13" s="52"/>
      <c r="P13" s="92"/>
      <c r="Q13" s="94"/>
    </row>
    <row r="14" spans="1:19" s="147" customFormat="1" ht="9">
      <c r="A14" s="143" t="s">
        <v>416</v>
      </c>
      <c r="B14" s="44" t="s">
        <v>433</v>
      </c>
      <c r="C14" s="44"/>
      <c r="D14" s="52"/>
      <c r="E14" s="52"/>
      <c r="F14" s="52"/>
      <c r="G14" s="44"/>
      <c r="H14" s="44"/>
      <c r="I14" s="92"/>
      <c r="J14" s="44"/>
      <c r="K14" s="44"/>
      <c r="L14" s="44"/>
      <c r="M14" s="44"/>
      <c r="N14" s="52"/>
      <c r="O14" s="52"/>
      <c r="P14" s="92"/>
      <c r="Q14" s="94"/>
    </row>
    <row r="15" spans="1:19" s="147" customFormat="1" ht="9">
      <c r="A15" s="143" t="s">
        <v>417</v>
      </c>
      <c r="B15" s="44"/>
      <c r="C15" s="44"/>
      <c r="D15" s="52"/>
      <c r="E15" s="52"/>
      <c r="F15" s="52"/>
      <c r="G15" s="44"/>
      <c r="H15" s="44"/>
      <c r="I15" s="92"/>
      <c r="J15" s="44"/>
      <c r="K15" s="44"/>
      <c r="L15" s="44"/>
      <c r="M15" s="44"/>
      <c r="N15" s="52"/>
      <c r="O15" s="52"/>
      <c r="P15" s="92"/>
      <c r="Q15" s="94"/>
    </row>
    <row r="16" spans="1:19" s="147" customFormat="1" ht="9">
      <c r="A16" s="177" t="s">
        <v>435</v>
      </c>
      <c r="B16" s="44">
        <v>2</v>
      </c>
      <c r="C16" s="44"/>
      <c r="D16" s="52">
        <v>0</v>
      </c>
      <c r="E16" s="52">
        <v>0</v>
      </c>
      <c r="F16" s="52">
        <v>0</v>
      </c>
      <c r="G16" s="44">
        <v>1</v>
      </c>
      <c r="H16" s="44">
        <f>B16*G16</f>
        <v>2</v>
      </c>
      <c r="I16" s="91">
        <f>SUM('Base Data'!$H$26:$H$27,'Base Data'!$H$31:$H$32,'Base Data'!$H$36:$H$37)</f>
        <v>887</v>
      </c>
      <c r="J16" s="91">
        <f>H16*I16</f>
        <v>1774</v>
      </c>
      <c r="K16" s="91">
        <f>J16*0.1</f>
        <v>177.4</v>
      </c>
      <c r="L16" s="91">
        <f>J16*0.05</f>
        <v>88.7</v>
      </c>
      <c r="M16" s="44">
        <f>C16*G16*I16</f>
        <v>0</v>
      </c>
      <c r="N16" s="52">
        <f>(J16*'Base Data'!$C$5)+(K16*'Base Data'!$C$6)+(L16*'Base Data'!$C$7)</f>
        <v>192971.28500000003</v>
      </c>
      <c r="O16" s="52">
        <f>(D16+E16+F16)*G16*I16</f>
        <v>0</v>
      </c>
      <c r="P16" s="92">
        <f>G16*I16</f>
        <v>887</v>
      </c>
      <c r="Q16" s="94" t="s">
        <v>387</v>
      </c>
    </row>
    <row r="17" spans="1:19" s="147" customFormat="1" ht="9">
      <c r="A17" s="177" t="s">
        <v>377</v>
      </c>
      <c r="B17" s="44">
        <v>8</v>
      </c>
      <c r="C17" s="44"/>
      <c r="D17" s="52">
        <v>0</v>
      </c>
      <c r="E17" s="52">
        <v>0</v>
      </c>
      <c r="F17" s="52">
        <v>0</v>
      </c>
      <c r="G17" s="44">
        <v>1</v>
      </c>
      <c r="H17" s="44">
        <f>B17*G17</f>
        <v>8</v>
      </c>
      <c r="I17" s="92">
        <v>0</v>
      </c>
      <c r="J17" s="91">
        <f>H17*I17</f>
        <v>0</v>
      </c>
      <c r="K17" s="91">
        <f>J17*0.1</f>
        <v>0</v>
      </c>
      <c r="L17" s="91">
        <f>J17*0.05</f>
        <v>0</v>
      </c>
      <c r="M17" s="44">
        <f>C17*G17*I17</f>
        <v>0</v>
      </c>
      <c r="N17" s="52">
        <f>(J17*'Base Data'!$C$5)+(K17*'Base Data'!$C$6)+(L17*'Base Data'!$C$7)</f>
        <v>0</v>
      </c>
      <c r="O17" s="52">
        <f>(D17+E17+F17)*G17*I17</f>
        <v>0</v>
      </c>
      <c r="P17" s="92">
        <f>G17*I17</f>
        <v>0</v>
      </c>
      <c r="Q17" s="94" t="s">
        <v>388</v>
      </c>
    </row>
    <row r="18" spans="1:19" s="147" customFormat="1" ht="9">
      <c r="A18" s="177" t="s">
        <v>11</v>
      </c>
      <c r="B18" s="44">
        <v>5</v>
      </c>
      <c r="C18" s="44"/>
      <c r="D18" s="52">
        <v>0</v>
      </c>
      <c r="E18" s="52">
        <v>0</v>
      </c>
      <c r="F18" s="52">
        <v>0</v>
      </c>
      <c r="G18" s="44">
        <v>0.5</v>
      </c>
      <c r="H18" s="44">
        <f>B18*G18</f>
        <v>2.5</v>
      </c>
      <c r="I18" s="92">
        <v>0</v>
      </c>
      <c r="J18" s="91">
        <f>H18*I18</f>
        <v>0</v>
      </c>
      <c r="K18" s="91">
        <f>J18*0.1</f>
        <v>0</v>
      </c>
      <c r="L18" s="91">
        <f>J18*0.05</f>
        <v>0</v>
      </c>
      <c r="M18" s="44">
        <f>C18*G18*I18</f>
        <v>0</v>
      </c>
      <c r="N18" s="52">
        <f>(J18*'Base Data'!$C$5)+(K18*'Base Data'!$C$6)+(L18*'Base Data'!$C$7)</f>
        <v>0</v>
      </c>
      <c r="O18" s="52">
        <f>(D18+E18+F18)*G18*I18</f>
        <v>0</v>
      </c>
      <c r="P18" s="92">
        <f>G18*I18</f>
        <v>0</v>
      </c>
      <c r="Q18" s="94" t="s">
        <v>12</v>
      </c>
    </row>
    <row r="19" spans="1:19" s="6" customFormat="1" ht="9">
      <c r="A19" s="177" t="s">
        <v>505</v>
      </c>
      <c r="B19" s="44">
        <v>5</v>
      </c>
      <c r="C19" s="18"/>
      <c r="D19" s="39">
        <v>0</v>
      </c>
      <c r="E19" s="39">
        <v>0</v>
      </c>
      <c r="F19" s="39">
        <v>0</v>
      </c>
      <c r="G19" s="18">
        <v>1</v>
      </c>
      <c r="H19" s="18">
        <f>B19*G19</f>
        <v>5</v>
      </c>
      <c r="I19" s="51">
        <v>0</v>
      </c>
      <c r="J19" s="19">
        <f>H19*I19</f>
        <v>0</v>
      </c>
      <c r="K19" s="19">
        <f>J19*0.1</f>
        <v>0</v>
      </c>
      <c r="L19" s="19">
        <f>J19*0.05</f>
        <v>0</v>
      </c>
      <c r="M19" s="18">
        <f>C19*G19*I19</f>
        <v>0</v>
      </c>
      <c r="N19" s="39">
        <f>(J19*'Base Data'!$C$5)+(K19*'Base Data'!$C$6)+(L19*'Base Data'!$C$7)</f>
        <v>0</v>
      </c>
      <c r="O19" s="39">
        <f>(D19+E19+F19)*G19*I19</f>
        <v>0</v>
      </c>
      <c r="P19" s="19">
        <f>G19*I19</f>
        <v>0</v>
      </c>
      <c r="Q19" s="29" t="s">
        <v>388</v>
      </c>
    </row>
    <row r="20" spans="1:19" s="147" customFormat="1" ht="9">
      <c r="A20" s="148" t="s">
        <v>7</v>
      </c>
      <c r="B20" s="44"/>
      <c r="C20" s="44"/>
      <c r="D20" s="52"/>
      <c r="E20" s="52"/>
      <c r="F20" s="52"/>
      <c r="G20" s="44"/>
      <c r="H20" s="44"/>
      <c r="I20" s="92"/>
      <c r="J20" s="92">
        <f>SUM(J7:J19)</f>
        <v>37254</v>
      </c>
      <c r="K20" s="92">
        <f t="shared" ref="K20:P20" si="0">SUM(K7:K19)</f>
        <v>3725.4</v>
      </c>
      <c r="L20" s="92">
        <f t="shared" si="0"/>
        <v>1862.7</v>
      </c>
      <c r="M20" s="92">
        <f t="shared" si="0"/>
        <v>0</v>
      </c>
      <c r="N20" s="39">
        <f t="shared" si="0"/>
        <v>4052396.9849999999</v>
      </c>
      <c r="O20" s="39">
        <f t="shared" si="0"/>
        <v>0</v>
      </c>
      <c r="P20" s="92">
        <f t="shared" si="0"/>
        <v>887</v>
      </c>
      <c r="Q20" s="94"/>
      <c r="R20" s="149">
        <f>SUM(O7:O12)</f>
        <v>0</v>
      </c>
      <c r="S20" s="147">
        <f>0</f>
        <v>0</v>
      </c>
    </row>
    <row r="21" spans="1:19" s="147" customFormat="1" ht="9">
      <c r="A21" s="143" t="s">
        <v>431</v>
      </c>
      <c r="B21" s="44"/>
      <c r="C21" s="44"/>
      <c r="D21" s="52"/>
      <c r="E21" s="52"/>
      <c r="F21" s="52"/>
      <c r="G21" s="44"/>
      <c r="H21" s="44"/>
      <c r="I21" s="92"/>
      <c r="J21" s="44"/>
      <c r="K21" s="44"/>
      <c r="L21" s="44"/>
      <c r="M21" s="44"/>
      <c r="N21" s="52"/>
      <c r="O21" s="52"/>
      <c r="P21" s="92"/>
      <c r="Q21" s="94"/>
    </row>
    <row r="22" spans="1:19" s="147" customFormat="1" ht="9">
      <c r="A22" s="143" t="s">
        <v>418</v>
      </c>
      <c r="B22" s="44" t="s">
        <v>422</v>
      </c>
      <c r="C22" s="44"/>
      <c r="D22" s="52"/>
      <c r="E22" s="52"/>
      <c r="F22" s="52"/>
      <c r="G22" s="44"/>
      <c r="H22" s="44"/>
      <c r="I22" s="92"/>
      <c r="J22" s="44"/>
      <c r="K22" s="44"/>
      <c r="L22" s="44"/>
      <c r="M22" s="44"/>
      <c r="N22" s="52"/>
      <c r="O22" s="52"/>
      <c r="P22" s="92"/>
      <c r="Q22" s="94"/>
    </row>
    <row r="23" spans="1:19" s="147" customFormat="1" ht="9">
      <c r="A23" s="143" t="s">
        <v>419</v>
      </c>
      <c r="B23" s="44" t="s">
        <v>433</v>
      </c>
      <c r="C23" s="44"/>
      <c r="D23" s="52"/>
      <c r="E23" s="52"/>
      <c r="F23" s="52"/>
      <c r="G23" s="44"/>
      <c r="H23" s="44"/>
      <c r="I23" s="92"/>
      <c r="J23" s="44"/>
      <c r="K23" s="44"/>
      <c r="L23" s="44"/>
      <c r="M23" s="44"/>
      <c r="N23" s="52"/>
      <c r="O23" s="52"/>
      <c r="P23" s="92"/>
      <c r="Q23" s="94"/>
    </row>
    <row r="24" spans="1:19" s="147" customFormat="1" ht="9">
      <c r="A24" s="143" t="s">
        <v>420</v>
      </c>
      <c r="B24" s="44" t="s">
        <v>433</v>
      </c>
      <c r="C24" s="44"/>
      <c r="D24" s="52"/>
      <c r="E24" s="52"/>
      <c r="F24" s="52"/>
      <c r="G24" s="44"/>
      <c r="H24" s="44"/>
      <c r="I24" s="92"/>
      <c r="J24" s="44"/>
      <c r="K24" s="44"/>
      <c r="L24" s="44"/>
      <c r="M24" s="44"/>
      <c r="N24" s="52"/>
      <c r="O24" s="52"/>
      <c r="P24" s="92"/>
      <c r="Q24" s="94" t="s">
        <v>389</v>
      </c>
    </row>
    <row r="25" spans="1:19" s="147" customFormat="1" ht="9">
      <c r="A25" s="143" t="s">
        <v>421</v>
      </c>
      <c r="B25" s="44"/>
      <c r="C25" s="44"/>
      <c r="D25" s="52"/>
      <c r="E25" s="52"/>
      <c r="F25" s="52"/>
      <c r="G25" s="44"/>
      <c r="H25" s="44"/>
      <c r="I25" s="92"/>
      <c r="J25" s="44"/>
      <c r="K25" s="44"/>
      <c r="L25" s="44"/>
      <c r="M25" s="44"/>
      <c r="N25" s="52"/>
      <c r="O25" s="52"/>
      <c r="P25" s="92"/>
      <c r="Q25" s="94"/>
    </row>
    <row r="26" spans="1:19" s="147" customFormat="1" ht="19.5" customHeight="1">
      <c r="A26" s="177" t="s">
        <v>375</v>
      </c>
      <c r="B26" s="44">
        <v>2</v>
      </c>
      <c r="C26" s="44">
        <v>0</v>
      </c>
      <c r="D26" s="52">
        <v>0</v>
      </c>
      <c r="E26" s="52">
        <v>0</v>
      </c>
      <c r="F26" s="52">
        <v>0</v>
      </c>
      <c r="G26" s="44">
        <v>0.5</v>
      </c>
      <c r="H26" s="44">
        <f>B26*G26</f>
        <v>1</v>
      </c>
      <c r="I26" s="92">
        <v>0</v>
      </c>
      <c r="J26" s="91">
        <f>H26*I26</f>
        <v>0</v>
      </c>
      <c r="K26" s="91">
        <f>J26*0.1</f>
        <v>0</v>
      </c>
      <c r="L26" s="91">
        <f>J26*0.05</f>
        <v>0</v>
      </c>
      <c r="M26" s="44">
        <f>C26*G26*I26</f>
        <v>0</v>
      </c>
      <c r="N26" s="52">
        <f>(J26*'Base Data'!$C$5)+(K26*'Base Data'!$C$6)+(L26*'Base Data'!$C$7)</f>
        <v>0</v>
      </c>
      <c r="O26" s="52">
        <f>(D26+E26+F26)*G26*I26</f>
        <v>0</v>
      </c>
      <c r="P26" s="92">
        <f>G26*I26</f>
        <v>0</v>
      </c>
      <c r="Q26" s="94" t="s">
        <v>388</v>
      </c>
    </row>
    <row r="27" spans="1:19" s="147" customFormat="1" ht="18">
      <c r="A27" s="177" t="s">
        <v>376</v>
      </c>
      <c r="B27" s="44">
        <v>15</v>
      </c>
      <c r="C27" s="44">
        <v>0</v>
      </c>
      <c r="D27" s="52">
        <v>0</v>
      </c>
      <c r="E27" s="52">
        <v>0</v>
      </c>
      <c r="F27" s="52">
        <v>0</v>
      </c>
      <c r="G27" s="44">
        <v>1</v>
      </c>
      <c r="H27" s="44">
        <f>B27*G27</f>
        <v>15</v>
      </c>
      <c r="I27" s="92">
        <v>0</v>
      </c>
      <c r="J27" s="91">
        <f>H27*I27</f>
        <v>0</v>
      </c>
      <c r="K27" s="91">
        <f>J27*0.1</f>
        <v>0</v>
      </c>
      <c r="L27" s="91">
        <f>J27*0.05</f>
        <v>0</v>
      </c>
      <c r="M27" s="44">
        <f>C27*G27*I27</f>
        <v>0</v>
      </c>
      <c r="N27" s="52">
        <f>(J27*'Base Data'!$C$5)+(K27*'Base Data'!$C$6)+(L27*'Base Data'!$C$7)</f>
        <v>0</v>
      </c>
      <c r="O27" s="52">
        <f>(D27+E27+F27)*G27*I27</f>
        <v>0</v>
      </c>
      <c r="P27" s="92">
        <f>G27*I27</f>
        <v>0</v>
      </c>
      <c r="Q27" s="94" t="s">
        <v>13</v>
      </c>
    </row>
    <row r="28" spans="1:19" s="147" customFormat="1" ht="9">
      <c r="A28" s="177" t="s">
        <v>251</v>
      </c>
      <c r="B28" s="44">
        <v>0.5</v>
      </c>
      <c r="C28" s="44"/>
      <c r="D28" s="52">
        <v>0</v>
      </c>
      <c r="E28" s="52">
        <v>0</v>
      </c>
      <c r="F28" s="52">
        <v>0</v>
      </c>
      <c r="G28" s="44">
        <v>0.5</v>
      </c>
      <c r="H28" s="44">
        <f>B28*G28</f>
        <v>0.25</v>
      </c>
      <c r="I28" s="92">
        <v>0</v>
      </c>
      <c r="J28" s="91">
        <f>H28*I28</f>
        <v>0</v>
      </c>
      <c r="K28" s="91">
        <f>J28*0.1</f>
        <v>0</v>
      </c>
      <c r="L28" s="91">
        <f>J28*0.05</f>
        <v>0</v>
      </c>
      <c r="M28" s="44">
        <f>C28*G28*I28</f>
        <v>0</v>
      </c>
      <c r="N28" s="52">
        <f>(J28*'Base Data'!$C$5)+(K28*'Base Data'!$C$6)+(L28*'Base Data'!$C$7)</f>
        <v>0</v>
      </c>
      <c r="O28" s="52">
        <f>(D28+E28+F28)*G28*I28</f>
        <v>0</v>
      </c>
      <c r="P28" s="92">
        <f>G28*I28</f>
        <v>0</v>
      </c>
      <c r="Q28" s="94" t="s">
        <v>12</v>
      </c>
    </row>
    <row r="29" spans="1:19" s="6" customFormat="1" ht="9">
      <c r="A29" s="142" t="s">
        <v>427</v>
      </c>
      <c r="B29" s="44">
        <v>40</v>
      </c>
      <c r="C29" s="18"/>
      <c r="D29" s="39">
        <v>0</v>
      </c>
      <c r="E29" s="39">
        <v>0</v>
      </c>
      <c r="F29" s="39">
        <v>0</v>
      </c>
      <c r="G29" s="18">
        <v>1</v>
      </c>
      <c r="H29" s="18">
        <f t="shared" ref="H29" si="1">B29*G29</f>
        <v>40</v>
      </c>
      <c r="I29" s="91">
        <v>0</v>
      </c>
      <c r="J29" s="19">
        <f t="shared" ref="J29" si="2">H29*I29</f>
        <v>0</v>
      </c>
      <c r="K29" s="19">
        <f t="shared" ref="K29" si="3">J29*0.1</f>
        <v>0</v>
      </c>
      <c r="L29" s="19">
        <f t="shared" ref="L29" si="4">J29*0.05</f>
        <v>0</v>
      </c>
      <c r="M29" s="18"/>
      <c r="N29" s="39">
        <f>(J29*'Base Data'!$C$5)+(K29*'Base Data'!$C$6)+(L29*'Base Data'!$C$7)</f>
        <v>0</v>
      </c>
      <c r="O29" s="39">
        <f t="shared" ref="O29" si="5">(D29+E29+F29)*G29*I29</f>
        <v>0</v>
      </c>
      <c r="P29" s="92">
        <f>G29*I29</f>
        <v>0</v>
      </c>
      <c r="Q29" s="29" t="s">
        <v>78</v>
      </c>
    </row>
    <row r="30" spans="1:19" s="147" customFormat="1" ht="9">
      <c r="A30" s="143" t="s">
        <v>428</v>
      </c>
      <c r="B30" s="44" t="s">
        <v>433</v>
      </c>
      <c r="C30" s="44"/>
      <c r="D30" s="52"/>
      <c r="E30" s="52"/>
      <c r="F30" s="52"/>
      <c r="G30" s="44"/>
      <c r="H30" s="44"/>
      <c r="I30" s="92"/>
      <c r="J30" s="44"/>
      <c r="K30" s="44"/>
      <c r="L30" s="44"/>
      <c r="M30" s="44"/>
      <c r="N30" s="52"/>
      <c r="O30" s="52"/>
      <c r="P30" s="92"/>
      <c r="Q30" s="94"/>
    </row>
    <row r="31" spans="1:19" s="147" customFormat="1" ht="9">
      <c r="A31" s="256" t="s">
        <v>27</v>
      </c>
      <c r="B31" s="239"/>
      <c r="C31" s="239"/>
      <c r="D31" s="240"/>
      <c r="E31" s="240"/>
      <c r="F31" s="240"/>
      <c r="G31" s="239"/>
      <c r="H31" s="239"/>
      <c r="I31" s="241"/>
      <c r="J31" s="239">
        <f t="shared" ref="J31:O31" si="6">SUM(J22:J30)</f>
        <v>0</v>
      </c>
      <c r="K31" s="239">
        <f t="shared" si="6"/>
        <v>0</v>
      </c>
      <c r="L31" s="239">
        <f t="shared" si="6"/>
        <v>0</v>
      </c>
      <c r="M31" s="239">
        <f t="shared" si="6"/>
        <v>0</v>
      </c>
      <c r="N31" s="240">
        <f t="shared" si="6"/>
        <v>0</v>
      </c>
      <c r="O31" s="240">
        <f t="shared" si="6"/>
        <v>0</v>
      </c>
      <c r="P31" s="241">
        <f>SUM(P22:P30)</f>
        <v>0</v>
      </c>
      <c r="Q31" s="242"/>
      <c r="R31" s="149">
        <f>SUM(O22:O31)</f>
        <v>0</v>
      </c>
    </row>
    <row r="32" spans="1:19" s="147" customFormat="1">
      <c r="A32" s="186" t="s">
        <v>400</v>
      </c>
      <c r="B32" s="187"/>
      <c r="C32" s="187"/>
      <c r="D32" s="187"/>
      <c r="E32" s="187"/>
      <c r="F32" s="187"/>
      <c r="G32" s="187"/>
      <c r="H32" s="187"/>
      <c r="I32" s="189"/>
      <c r="J32" s="190">
        <f t="shared" ref="J32:O32" si="7">SUM(J20,J31)</f>
        <v>37254</v>
      </c>
      <c r="K32" s="190">
        <f t="shared" si="7"/>
        <v>3725.4</v>
      </c>
      <c r="L32" s="190">
        <f t="shared" si="7"/>
        <v>1862.7</v>
      </c>
      <c r="M32" s="190">
        <f t="shared" si="7"/>
        <v>0</v>
      </c>
      <c r="N32" s="191">
        <f t="shared" si="7"/>
        <v>4052396.9849999999</v>
      </c>
      <c r="O32" s="191">
        <f t="shared" si="7"/>
        <v>0</v>
      </c>
      <c r="P32" s="190">
        <f>SUM(P20,P31)</f>
        <v>887</v>
      </c>
      <c r="Q32" s="192"/>
    </row>
    <row r="33" spans="1:17" s="147" customFormat="1">
      <c r="A33" s="114"/>
      <c r="B33" s="54"/>
      <c r="C33" s="54"/>
      <c r="D33" s="54"/>
      <c r="E33" s="54"/>
      <c r="F33" s="54"/>
      <c r="G33" s="54"/>
      <c r="H33" s="54"/>
      <c r="I33" s="55"/>
      <c r="J33" s="54"/>
      <c r="K33" s="54"/>
      <c r="L33" s="54"/>
      <c r="M33" s="54"/>
      <c r="N33" s="54"/>
      <c r="O33" s="196"/>
      <c r="P33" s="196"/>
      <c r="Q33" s="54"/>
    </row>
    <row r="34" spans="1:17" s="147" customFormat="1" ht="9">
      <c r="A34" s="53" t="s">
        <v>499</v>
      </c>
      <c r="B34" s="56"/>
      <c r="C34" s="56"/>
      <c r="D34" s="56"/>
      <c r="E34" s="56"/>
      <c r="F34" s="56"/>
      <c r="G34" s="56"/>
      <c r="H34" s="56"/>
      <c r="I34" s="57"/>
      <c r="J34" s="56"/>
      <c r="K34" s="56"/>
      <c r="L34" s="56"/>
      <c r="M34" s="56"/>
      <c r="N34" s="56"/>
      <c r="O34" s="197"/>
      <c r="P34" s="197"/>
      <c r="Q34" s="56"/>
    </row>
    <row r="35" spans="1:17" s="53" customFormat="1" ht="23.25" customHeight="1">
      <c r="A35" s="409" t="s">
        <v>165</v>
      </c>
      <c r="B35" s="409"/>
      <c r="C35" s="409"/>
      <c r="D35" s="409"/>
      <c r="E35" s="409"/>
      <c r="F35" s="409"/>
      <c r="G35" s="409"/>
      <c r="H35" s="409"/>
      <c r="I35" s="409"/>
      <c r="J35" s="409"/>
      <c r="K35" s="409"/>
      <c r="L35" s="409"/>
      <c r="M35" s="409"/>
      <c r="N35" s="409"/>
      <c r="O35" s="409"/>
      <c r="P35" s="175"/>
      <c r="Q35" s="56"/>
    </row>
    <row r="36" spans="1:17" s="53" customFormat="1" ht="21" customHeight="1">
      <c r="A36" s="409" t="s">
        <v>374</v>
      </c>
      <c r="B36" s="409"/>
      <c r="C36" s="409"/>
      <c r="D36" s="409"/>
      <c r="E36" s="409"/>
      <c r="F36" s="409"/>
      <c r="G36" s="409"/>
      <c r="H36" s="409"/>
      <c r="I36" s="409"/>
      <c r="J36" s="409"/>
      <c r="K36" s="409"/>
      <c r="L36" s="409"/>
      <c r="M36" s="409"/>
      <c r="N36" s="409"/>
      <c r="O36" s="409"/>
      <c r="P36" s="175"/>
      <c r="Q36" s="56"/>
    </row>
    <row r="37" spans="1:17" s="53" customFormat="1" ht="18.75" customHeight="1">
      <c r="A37" s="409" t="s">
        <v>95</v>
      </c>
      <c r="B37" s="409"/>
      <c r="C37" s="409"/>
      <c r="D37" s="409"/>
      <c r="E37" s="409"/>
      <c r="F37" s="409"/>
      <c r="G37" s="409"/>
      <c r="H37" s="409"/>
      <c r="I37" s="409"/>
      <c r="J37" s="409"/>
      <c r="K37" s="409"/>
      <c r="L37" s="409"/>
      <c r="M37" s="409"/>
      <c r="N37" s="409"/>
      <c r="O37" s="409"/>
      <c r="P37" s="409"/>
      <c r="Q37" s="409"/>
    </row>
    <row r="38" spans="1:17" s="53" customFormat="1" ht="10.5" customHeight="1">
      <c r="A38" s="53" t="s">
        <v>441</v>
      </c>
      <c r="B38" s="56"/>
      <c r="C38" s="56"/>
      <c r="D38" s="56"/>
      <c r="E38" s="56"/>
      <c r="F38" s="56"/>
      <c r="G38" s="56"/>
      <c r="H38" s="56"/>
      <c r="I38" s="57"/>
      <c r="J38" s="56"/>
      <c r="K38" s="56"/>
      <c r="L38" s="56"/>
      <c r="M38" s="56"/>
      <c r="N38" s="56"/>
      <c r="O38" s="197"/>
      <c r="P38" s="197"/>
      <c r="Q38" s="56"/>
    </row>
    <row r="39" spans="1:17">
      <c r="A39" s="53" t="s">
        <v>572</v>
      </c>
      <c r="B39" s="56"/>
      <c r="C39" s="56"/>
      <c r="D39" s="56"/>
      <c r="E39" s="56"/>
      <c r="F39" s="56"/>
      <c r="G39" s="56"/>
      <c r="H39" s="56"/>
      <c r="I39" s="197"/>
      <c r="J39" s="197"/>
      <c r="K39" s="197"/>
      <c r="L39" s="197"/>
      <c r="M39" s="197"/>
      <c r="N39" s="56"/>
      <c r="O39" s="53"/>
      <c r="P39" s="53"/>
      <c r="Q39" s="53"/>
    </row>
    <row r="40" spans="1:17">
      <c r="A40" s="53" t="s">
        <v>571</v>
      </c>
      <c r="B40" s="56"/>
      <c r="C40" s="56"/>
      <c r="D40" s="56"/>
      <c r="E40" s="56"/>
      <c r="F40" s="56"/>
      <c r="G40" s="56"/>
      <c r="H40" s="56"/>
      <c r="I40" s="197"/>
      <c r="J40" s="197"/>
      <c r="K40" s="197"/>
      <c r="L40" s="197"/>
      <c r="M40" s="197"/>
      <c r="N40" s="56"/>
      <c r="O40" s="53"/>
      <c r="P40" s="53"/>
      <c r="Q40" s="53"/>
    </row>
    <row r="41" spans="1:17">
      <c r="A41" s="14" t="s">
        <v>570</v>
      </c>
    </row>
  </sheetData>
  <mergeCells count="5">
    <mergeCell ref="A37:Q37"/>
    <mergeCell ref="A1:Q1"/>
    <mergeCell ref="A2:Q2"/>
    <mergeCell ref="A35:O35"/>
    <mergeCell ref="A36:O36"/>
  </mergeCells>
  <phoneticPr fontId="7" type="noConversion"/>
  <printOptions horizontalCentered="1"/>
  <pageMargins left="0.25" right="0.25" top="0.5" bottom="0.5" header="0.5" footer="0.5"/>
  <pageSetup scale="90" orientation="landscape" r:id="rId1"/>
  <headerFooter alignWithMargins="0"/>
</worksheet>
</file>

<file path=xl/worksheets/sheet34.xml><?xml version="1.0" encoding="utf-8"?>
<worksheet xmlns="http://schemas.openxmlformats.org/spreadsheetml/2006/main" xmlns:r="http://schemas.openxmlformats.org/officeDocument/2006/relationships">
  <sheetPr>
    <pageSetUpPr fitToPage="1"/>
  </sheetPr>
  <dimension ref="A1:S41"/>
  <sheetViews>
    <sheetView zoomScaleNormal="100" zoomScaleSheetLayoutView="100" workbookViewId="0">
      <pane xSplit="1" ySplit="3" topLeftCell="B4" activePane="bottomRight" state="frozen"/>
      <selection activeCell="P31" sqref="P31"/>
      <selection pane="topRight" activeCell="P31" sqref="P31"/>
      <selection pane="bottomLeft" activeCell="P31" sqref="P31"/>
      <selection pane="bottomRight" activeCell="P30" sqref="P30"/>
    </sheetView>
  </sheetViews>
  <sheetFormatPr defaultRowHeight="11.25"/>
  <cols>
    <col min="1" max="1" width="30.28515625" style="114" customWidth="1"/>
    <col min="2" max="2" width="9.140625" style="54"/>
    <col min="3" max="3" width="8" style="54" hidden="1" customWidth="1"/>
    <col min="4" max="5" width="9.7109375" style="54" customWidth="1"/>
    <col min="6" max="6" width="9" style="54" customWidth="1"/>
    <col min="7" max="7" width="10.28515625" style="54" customWidth="1"/>
    <col min="8" max="8" width="9" style="54" customWidth="1"/>
    <col min="9" max="9" width="10.28515625" style="196" customWidth="1"/>
    <col min="10" max="10" width="8.140625" style="196" customWidth="1"/>
    <col min="11" max="11" width="7.7109375" style="196" customWidth="1"/>
    <col min="12" max="12" width="7.85546875" style="196" customWidth="1"/>
    <col min="13" max="13" width="9" style="196" hidden="1" customWidth="1"/>
    <col min="14" max="14" width="10" style="54" customWidth="1"/>
    <col min="15" max="15" width="9.85546875" style="114" customWidth="1"/>
    <col min="16" max="16" width="8.7109375" style="114" customWidth="1"/>
    <col min="17" max="17" width="4.42578125" style="114" customWidth="1"/>
    <col min="18" max="19" width="0" style="114" hidden="1" customWidth="1"/>
    <col min="20" max="16384" width="9.140625" style="114"/>
  </cols>
  <sheetData>
    <row r="1" spans="1:19">
      <c r="A1" s="410" t="s">
        <v>253</v>
      </c>
      <c r="B1" s="410"/>
      <c r="C1" s="410"/>
      <c r="D1" s="410"/>
      <c r="E1" s="410"/>
      <c r="F1" s="410"/>
      <c r="G1" s="410"/>
      <c r="H1" s="410"/>
      <c r="I1" s="410"/>
      <c r="J1" s="410"/>
      <c r="K1" s="410"/>
      <c r="L1" s="410"/>
      <c r="M1" s="410"/>
      <c r="N1" s="410"/>
      <c r="O1" s="410"/>
      <c r="P1" s="410"/>
      <c r="Q1" s="410"/>
    </row>
    <row r="2" spans="1:19">
      <c r="A2" s="411" t="s">
        <v>534</v>
      </c>
      <c r="B2" s="411"/>
      <c r="C2" s="411"/>
      <c r="D2" s="411"/>
      <c r="E2" s="411"/>
      <c r="F2" s="411"/>
      <c r="G2" s="411"/>
      <c r="H2" s="411"/>
      <c r="I2" s="411"/>
      <c r="J2" s="411"/>
      <c r="K2" s="411"/>
      <c r="L2" s="411"/>
      <c r="M2" s="411"/>
      <c r="N2" s="411"/>
      <c r="O2" s="411"/>
      <c r="P2" s="411"/>
      <c r="Q2" s="411"/>
    </row>
    <row r="3" spans="1:19" s="193" customFormat="1" ht="54">
      <c r="A3" s="45" t="s">
        <v>392</v>
      </c>
      <c r="B3" s="45" t="s">
        <v>393</v>
      </c>
      <c r="C3" s="45" t="s">
        <v>430</v>
      </c>
      <c r="D3" s="45" t="s">
        <v>4</v>
      </c>
      <c r="E3" s="45" t="s">
        <v>94</v>
      </c>
      <c r="F3" s="45" t="s">
        <v>5</v>
      </c>
      <c r="G3" s="12" t="s">
        <v>176</v>
      </c>
      <c r="H3" s="45" t="s">
        <v>459</v>
      </c>
      <c r="I3" s="60" t="s">
        <v>460</v>
      </c>
      <c r="J3" s="100" t="s">
        <v>462</v>
      </c>
      <c r="K3" s="100" t="s">
        <v>463</v>
      </c>
      <c r="L3" s="100" t="s">
        <v>461</v>
      </c>
      <c r="M3" s="45" t="s">
        <v>391</v>
      </c>
      <c r="N3" s="45" t="s">
        <v>8</v>
      </c>
      <c r="O3" s="100" t="s">
        <v>96</v>
      </c>
      <c r="P3" s="100" t="s">
        <v>175</v>
      </c>
      <c r="Q3" s="182" t="s">
        <v>394</v>
      </c>
      <c r="R3" s="193" t="s">
        <v>307</v>
      </c>
      <c r="S3" s="193" t="s">
        <v>308</v>
      </c>
    </row>
    <row r="4" spans="1:19" s="147" customFormat="1" ht="9">
      <c r="A4" s="194" t="s">
        <v>405</v>
      </c>
      <c r="B4" s="179" t="s">
        <v>433</v>
      </c>
      <c r="C4" s="179"/>
      <c r="D4" s="181"/>
      <c r="E4" s="181"/>
      <c r="F4" s="181"/>
      <c r="G4" s="179"/>
      <c r="H4" s="179"/>
      <c r="I4" s="183"/>
      <c r="J4" s="179"/>
      <c r="K4" s="179"/>
      <c r="L4" s="179"/>
      <c r="M4" s="179"/>
      <c r="N4" s="181"/>
      <c r="O4" s="181"/>
      <c r="P4" s="181"/>
      <c r="Q4" s="249"/>
    </row>
    <row r="5" spans="1:19" s="147" customFormat="1" ht="9">
      <c r="A5" s="143" t="s">
        <v>406</v>
      </c>
      <c r="B5" s="44" t="s">
        <v>433</v>
      </c>
      <c r="C5" s="44"/>
      <c r="D5" s="52"/>
      <c r="E5" s="52"/>
      <c r="F5" s="52"/>
      <c r="G5" s="44"/>
      <c r="H5" s="44"/>
      <c r="I5" s="92"/>
      <c r="J5" s="44"/>
      <c r="K5" s="44"/>
      <c r="L5" s="44"/>
      <c r="M5" s="44"/>
      <c r="N5" s="52"/>
      <c r="O5" s="52"/>
      <c r="P5" s="52"/>
      <c r="Q5" s="94"/>
    </row>
    <row r="6" spans="1:19" s="147" customFormat="1" ht="9">
      <c r="A6" s="143" t="s">
        <v>407</v>
      </c>
      <c r="B6" s="44"/>
      <c r="C6" s="44"/>
      <c r="D6" s="52"/>
      <c r="E6" s="52"/>
      <c r="F6" s="52"/>
      <c r="G6" s="44"/>
      <c r="H6" s="44"/>
      <c r="I6" s="92"/>
      <c r="J6" s="44"/>
      <c r="K6" s="44"/>
      <c r="L6" s="44"/>
      <c r="M6" s="44"/>
      <c r="N6" s="52"/>
      <c r="O6" s="52"/>
      <c r="P6" s="52"/>
      <c r="Q6" s="94"/>
    </row>
    <row r="7" spans="1:19" s="147" customFormat="1" ht="9">
      <c r="A7" s="143" t="s">
        <v>408</v>
      </c>
      <c r="B7" s="44">
        <v>40</v>
      </c>
      <c r="C7" s="44"/>
      <c r="D7" s="52">
        <v>0</v>
      </c>
      <c r="E7" s="52">
        <v>0</v>
      </c>
      <c r="F7" s="52">
        <v>0</v>
      </c>
      <c r="G7" s="44">
        <v>1</v>
      </c>
      <c r="H7" s="44">
        <f>B7*G7</f>
        <v>40</v>
      </c>
      <c r="I7" s="91">
        <v>0</v>
      </c>
      <c r="J7" s="91">
        <f>H7*I7</f>
        <v>0</v>
      </c>
      <c r="K7" s="91">
        <f>J7*0.1</f>
        <v>0</v>
      </c>
      <c r="L7" s="91">
        <f>J7*0.05</f>
        <v>0</v>
      </c>
      <c r="M7" s="44">
        <f>C7*G7*I7</f>
        <v>0</v>
      </c>
      <c r="N7" s="52">
        <f>(J7*'Base Data'!$C$5)+(K7*'Base Data'!$C$6)+(L7*'Base Data'!$C$7)</f>
        <v>0</v>
      </c>
      <c r="O7" s="52">
        <f>(D7+E7+F7)*G7*I7</f>
        <v>0</v>
      </c>
      <c r="P7" s="92">
        <f>G7*I7</f>
        <v>0</v>
      </c>
      <c r="Q7" s="94" t="s">
        <v>387</v>
      </c>
    </row>
    <row r="8" spans="1:19" s="147" customFormat="1" ht="9">
      <c r="A8" s="143" t="s">
        <v>409</v>
      </c>
      <c r="B8" s="44"/>
      <c r="C8" s="44"/>
      <c r="D8" s="52"/>
      <c r="E8" s="52"/>
      <c r="F8" s="52"/>
      <c r="G8" s="44"/>
      <c r="H8" s="44"/>
      <c r="I8" s="92"/>
      <c r="J8" s="44"/>
      <c r="K8" s="44"/>
      <c r="L8" s="44"/>
      <c r="M8" s="44"/>
      <c r="N8" s="52"/>
      <c r="O8" s="52"/>
      <c r="P8" s="92"/>
      <c r="Q8" s="94"/>
    </row>
    <row r="9" spans="1:19" s="147" customFormat="1" ht="9">
      <c r="A9" s="143" t="s">
        <v>423</v>
      </c>
      <c r="B9" s="44"/>
      <c r="C9" s="44"/>
      <c r="D9" s="95"/>
      <c r="E9" s="52"/>
      <c r="F9" s="52"/>
      <c r="G9" s="44"/>
      <c r="H9" s="44"/>
      <c r="I9" s="91"/>
      <c r="J9" s="91"/>
      <c r="K9" s="91"/>
      <c r="L9" s="91"/>
      <c r="M9" s="93"/>
      <c r="N9" s="52"/>
      <c r="O9" s="52"/>
      <c r="P9" s="92"/>
      <c r="Q9" s="94"/>
      <c r="R9" s="94"/>
    </row>
    <row r="10" spans="1:19" s="147" customFormat="1" ht="9">
      <c r="A10" s="142" t="s">
        <v>274</v>
      </c>
      <c r="B10" s="44">
        <v>20</v>
      </c>
      <c r="C10" s="44"/>
      <c r="D10" s="52">
        <v>854</v>
      </c>
      <c r="E10" s="52">
        <v>0</v>
      </c>
      <c r="F10" s="52">
        <v>0</v>
      </c>
      <c r="G10" s="44">
        <v>1</v>
      </c>
      <c r="H10" s="44">
        <f>B10*G10</f>
        <v>20</v>
      </c>
      <c r="I10" s="91">
        <f>ROUND(SUM('Base Data'!$H$26:$H$27,'Base Data'!$H$31:$H$32,'Base Data'!$H$36:$H$37)/2*'Testing Costs'!$C$22,0)</f>
        <v>56</v>
      </c>
      <c r="J10" s="92">
        <f>H10*I10</f>
        <v>1120</v>
      </c>
      <c r="K10" s="92">
        <f>J10*0.1</f>
        <v>112</v>
      </c>
      <c r="L10" s="92">
        <f>J10*0.05</f>
        <v>56</v>
      </c>
      <c r="M10" s="93">
        <f>C10*G10*I10</f>
        <v>0</v>
      </c>
      <c r="N10" s="52">
        <f>(J10*'Base Data'!$C$5)+(K10*'Base Data'!$C$6)+(L10*'Base Data'!$C$7)</f>
        <v>121830.8</v>
      </c>
      <c r="O10" s="52">
        <f>(D10+E10+F10)*G10*I10</f>
        <v>47824</v>
      </c>
      <c r="P10" s="92">
        <v>0</v>
      </c>
      <c r="Q10" s="94" t="s">
        <v>440</v>
      </c>
      <c r="R10" s="94"/>
    </row>
    <row r="11" spans="1:19" s="147" customFormat="1" ht="9">
      <c r="A11" s="142" t="s">
        <v>276</v>
      </c>
      <c r="B11" s="44">
        <v>20</v>
      </c>
      <c r="C11" s="44"/>
      <c r="D11" s="52">
        <v>18292</v>
      </c>
      <c r="E11" s="52">
        <v>0</v>
      </c>
      <c r="F11" s="52">
        <v>0</v>
      </c>
      <c r="G11" s="44">
        <v>1</v>
      </c>
      <c r="H11" s="44">
        <f>B11*G11</f>
        <v>20</v>
      </c>
      <c r="I11" s="91">
        <f>ROUND(SUM('Base Data'!$H$26:$H$27,'Base Data'!$H$31:$H$32,'Base Data'!$H$36:$H$37)/2*'Testing Costs'!$C$23,0)</f>
        <v>388</v>
      </c>
      <c r="J11" s="92">
        <f>H11*I11</f>
        <v>7760</v>
      </c>
      <c r="K11" s="92">
        <f>J11*0.1</f>
        <v>776</v>
      </c>
      <c r="L11" s="92">
        <f>J11*0.05</f>
        <v>388</v>
      </c>
      <c r="M11" s="93">
        <f>C11*G11*I11</f>
        <v>0</v>
      </c>
      <c r="N11" s="52">
        <f>(J11*'Base Data'!$C$5)+(K11*'Base Data'!$C$6)+(L11*'Base Data'!$C$7)</f>
        <v>844113.4</v>
      </c>
      <c r="O11" s="52">
        <f>(D11+E11+F11)*G11*I11</f>
        <v>7097296</v>
      </c>
      <c r="P11" s="92">
        <v>0</v>
      </c>
      <c r="Q11" s="94" t="s">
        <v>440</v>
      </c>
      <c r="R11" s="94"/>
    </row>
    <row r="12" spans="1:19" s="147" customFormat="1" ht="9">
      <c r="A12" s="143" t="s">
        <v>10</v>
      </c>
      <c r="B12" s="44">
        <v>12</v>
      </c>
      <c r="C12" s="44"/>
      <c r="D12" s="52">
        <v>0</v>
      </c>
      <c r="E12" s="52">
        <v>1580</v>
      </c>
      <c r="F12" s="52">
        <v>0</v>
      </c>
      <c r="G12" s="44">
        <v>0.5</v>
      </c>
      <c r="H12" s="44">
        <f>B12*G12</f>
        <v>6</v>
      </c>
      <c r="I12" s="91">
        <f>ROUND(SUM('Base Data'!D26:D27,'Base Data'!D31:D32,'Base Data'!D36:D37)/2,0)</f>
        <v>3742</v>
      </c>
      <c r="J12" s="91">
        <f>H12*I12</f>
        <v>22452</v>
      </c>
      <c r="K12" s="91">
        <f>J12*0.1</f>
        <v>2245.2000000000003</v>
      </c>
      <c r="L12" s="91">
        <f>J12*0.05</f>
        <v>1122.6000000000001</v>
      </c>
      <c r="M12" s="92"/>
      <c r="N12" s="52">
        <f>(J12*'Base Data'!$C$5)+(K12*'Base Data'!$C$6)+(L12*'Base Data'!$C$7)</f>
        <v>2442272.4299999997</v>
      </c>
      <c r="O12" s="52">
        <f>(D12+E12+F12)*I12</f>
        <v>5912360</v>
      </c>
      <c r="P12" s="92">
        <v>0</v>
      </c>
      <c r="Q12" s="94" t="s">
        <v>12</v>
      </c>
    </row>
    <row r="13" spans="1:19" s="147" customFormat="1" ht="9">
      <c r="A13" s="143" t="s">
        <v>415</v>
      </c>
      <c r="B13" s="44" t="s">
        <v>433</v>
      </c>
      <c r="C13" s="44"/>
      <c r="D13" s="52"/>
      <c r="E13" s="52"/>
      <c r="F13" s="52"/>
      <c r="G13" s="44"/>
      <c r="H13" s="44"/>
      <c r="I13" s="92"/>
      <c r="J13" s="44"/>
      <c r="K13" s="44"/>
      <c r="L13" s="44"/>
      <c r="M13" s="44"/>
      <c r="N13" s="52"/>
      <c r="O13" s="52"/>
      <c r="P13" s="92"/>
      <c r="Q13" s="94"/>
    </row>
    <row r="14" spans="1:19" s="147" customFormat="1" ht="9">
      <c r="A14" s="143" t="s">
        <v>416</v>
      </c>
      <c r="B14" s="44" t="s">
        <v>433</v>
      </c>
      <c r="C14" s="44"/>
      <c r="D14" s="52"/>
      <c r="E14" s="52"/>
      <c r="F14" s="52"/>
      <c r="G14" s="44"/>
      <c r="H14" s="44"/>
      <c r="I14" s="92"/>
      <c r="J14" s="44"/>
      <c r="K14" s="44"/>
      <c r="L14" s="44"/>
      <c r="M14" s="44"/>
      <c r="N14" s="52"/>
      <c r="O14" s="52"/>
      <c r="P14" s="92"/>
      <c r="Q14" s="94"/>
    </row>
    <row r="15" spans="1:19" s="147" customFormat="1" ht="9">
      <c r="A15" s="143" t="s">
        <v>417</v>
      </c>
      <c r="B15" s="44"/>
      <c r="C15" s="44"/>
      <c r="D15" s="52"/>
      <c r="E15" s="52"/>
      <c r="F15" s="52"/>
      <c r="G15" s="44"/>
      <c r="H15" s="44"/>
      <c r="I15" s="92"/>
      <c r="J15" s="44"/>
      <c r="K15" s="44"/>
      <c r="L15" s="44"/>
      <c r="M15" s="44"/>
      <c r="N15" s="52"/>
      <c r="O15" s="52"/>
      <c r="P15" s="92"/>
      <c r="Q15" s="94"/>
    </row>
    <row r="16" spans="1:19" s="147" customFormat="1" ht="9">
      <c r="A16" s="177" t="s">
        <v>435</v>
      </c>
      <c r="B16" s="44">
        <v>2</v>
      </c>
      <c r="C16" s="44"/>
      <c r="D16" s="52">
        <v>0</v>
      </c>
      <c r="E16" s="52">
        <v>0</v>
      </c>
      <c r="F16" s="52">
        <v>0</v>
      </c>
      <c r="G16" s="44">
        <v>1</v>
      </c>
      <c r="H16" s="44">
        <f>B16*G16</f>
        <v>2</v>
      </c>
      <c r="I16" s="91">
        <v>0</v>
      </c>
      <c r="J16" s="91">
        <f>H16*I16</f>
        <v>0</v>
      </c>
      <c r="K16" s="91">
        <f>J16*0.1</f>
        <v>0</v>
      </c>
      <c r="L16" s="91">
        <f>J16*0.05</f>
        <v>0</v>
      </c>
      <c r="M16" s="44">
        <f>C16*G16*I16</f>
        <v>0</v>
      </c>
      <c r="N16" s="52">
        <f>(J16*'Base Data'!$C$5)+(K16*'Base Data'!$C$6)+(L16*'Base Data'!$C$7)</f>
        <v>0</v>
      </c>
      <c r="O16" s="52">
        <f>(D16+E16+F16)*G16*I16</f>
        <v>0</v>
      </c>
      <c r="P16" s="92">
        <f>G16*I16</f>
        <v>0</v>
      </c>
      <c r="Q16" s="94" t="s">
        <v>387</v>
      </c>
    </row>
    <row r="17" spans="1:19" s="147" customFormat="1" ht="9">
      <c r="A17" s="177" t="s">
        <v>377</v>
      </c>
      <c r="B17" s="44">
        <v>8</v>
      </c>
      <c r="C17" s="44"/>
      <c r="D17" s="52">
        <v>0</v>
      </c>
      <c r="E17" s="52">
        <v>0</v>
      </c>
      <c r="F17" s="52">
        <v>0</v>
      </c>
      <c r="G17" s="44">
        <v>1</v>
      </c>
      <c r="H17" s="44">
        <f>B17*G17</f>
        <v>8</v>
      </c>
      <c r="I17" s="92">
        <v>0</v>
      </c>
      <c r="J17" s="91">
        <f>H17*I17</f>
        <v>0</v>
      </c>
      <c r="K17" s="91">
        <f>J17*0.1</f>
        <v>0</v>
      </c>
      <c r="L17" s="91">
        <f>J17*0.05</f>
        <v>0</v>
      </c>
      <c r="M17" s="44">
        <f>C17*G17*I17</f>
        <v>0</v>
      </c>
      <c r="N17" s="52">
        <f>(J17*'Base Data'!$C$5)+(K17*'Base Data'!$C$6)+(L17*'Base Data'!$C$7)</f>
        <v>0</v>
      </c>
      <c r="O17" s="52">
        <f>(D17+E17+F17)*G17*I17</f>
        <v>0</v>
      </c>
      <c r="P17" s="92">
        <f>G17*I17</f>
        <v>0</v>
      </c>
      <c r="Q17" s="94" t="s">
        <v>388</v>
      </c>
    </row>
    <row r="18" spans="1:19" s="147" customFormat="1" ht="9">
      <c r="A18" s="177" t="s">
        <v>11</v>
      </c>
      <c r="B18" s="44">
        <v>5</v>
      </c>
      <c r="C18" s="44"/>
      <c r="D18" s="52">
        <v>0</v>
      </c>
      <c r="E18" s="52">
        <v>0</v>
      </c>
      <c r="F18" s="52">
        <v>0</v>
      </c>
      <c r="G18" s="44">
        <v>0.5</v>
      </c>
      <c r="H18" s="44">
        <f>B18*G18</f>
        <v>2.5</v>
      </c>
      <c r="I18" s="92">
        <v>0</v>
      </c>
      <c r="J18" s="91">
        <f>H18*I18</f>
        <v>0</v>
      </c>
      <c r="K18" s="91">
        <f>J18*0.1</f>
        <v>0</v>
      </c>
      <c r="L18" s="91">
        <f>J18*0.05</f>
        <v>0</v>
      </c>
      <c r="M18" s="44">
        <f>C18*G18*I18</f>
        <v>0</v>
      </c>
      <c r="N18" s="52">
        <f>(J18*'Base Data'!$C$5)+(K18*'Base Data'!$C$6)+(L18*'Base Data'!$C$7)</f>
        <v>0</v>
      </c>
      <c r="O18" s="52">
        <f>(D18+E18+F18)*G18*I18</f>
        <v>0</v>
      </c>
      <c r="P18" s="92">
        <f>G18*I18</f>
        <v>0</v>
      </c>
      <c r="Q18" s="94" t="s">
        <v>12</v>
      </c>
    </row>
    <row r="19" spans="1:19" s="6" customFormat="1" ht="9">
      <c r="A19" s="177" t="s">
        <v>505</v>
      </c>
      <c r="B19" s="44">
        <v>5</v>
      </c>
      <c r="C19" s="18"/>
      <c r="D19" s="39">
        <v>0</v>
      </c>
      <c r="E19" s="39">
        <v>0</v>
      </c>
      <c r="F19" s="39">
        <v>0</v>
      </c>
      <c r="G19" s="18">
        <v>1</v>
      </c>
      <c r="H19" s="18">
        <f>B19*G19</f>
        <v>5</v>
      </c>
      <c r="I19" s="91">
        <v>0</v>
      </c>
      <c r="J19" s="19">
        <f>H19*I19</f>
        <v>0</v>
      </c>
      <c r="K19" s="19">
        <f>J19*0.1</f>
        <v>0</v>
      </c>
      <c r="L19" s="19">
        <f>J19*0.05</f>
        <v>0</v>
      </c>
      <c r="M19" s="18">
        <f>C19*G19*I19</f>
        <v>0</v>
      </c>
      <c r="N19" s="39">
        <f>(J19*'Base Data'!$C$5)+(K19*'Base Data'!$C$6)+(L19*'Base Data'!$C$7)</f>
        <v>0</v>
      </c>
      <c r="O19" s="39">
        <f>(D19+E19+F19)*G19*I19</f>
        <v>0</v>
      </c>
      <c r="P19" s="19">
        <f>G19*I19</f>
        <v>0</v>
      </c>
      <c r="Q19" s="29" t="s">
        <v>388</v>
      </c>
    </row>
    <row r="20" spans="1:19" s="147" customFormat="1" ht="9">
      <c r="A20" s="148" t="s">
        <v>7</v>
      </c>
      <c r="B20" s="44"/>
      <c r="C20" s="44"/>
      <c r="D20" s="52"/>
      <c r="E20" s="52"/>
      <c r="F20" s="52"/>
      <c r="G20" s="44"/>
      <c r="H20" s="44"/>
      <c r="I20" s="92"/>
      <c r="J20" s="92">
        <f>SUM(J7:J19)</f>
        <v>31332</v>
      </c>
      <c r="K20" s="92">
        <f t="shared" ref="K20:P20" si="0">SUM(K7:K19)</f>
        <v>3133.2000000000003</v>
      </c>
      <c r="L20" s="92">
        <f t="shared" si="0"/>
        <v>1566.6000000000001</v>
      </c>
      <c r="M20" s="92">
        <f t="shared" si="0"/>
        <v>0</v>
      </c>
      <c r="N20" s="39">
        <f t="shared" si="0"/>
        <v>3408216.63</v>
      </c>
      <c r="O20" s="39">
        <f t="shared" si="0"/>
        <v>13057480</v>
      </c>
      <c r="P20" s="92">
        <f t="shared" si="0"/>
        <v>0</v>
      </c>
      <c r="Q20" s="94"/>
      <c r="R20" s="149">
        <f>SUM(O7:O12)</f>
        <v>13057480</v>
      </c>
      <c r="S20" s="147">
        <f>0</f>
        <v>0</v>
      </c>
    </row>
    <row r="21" spans="1:19" s="147" customFormat="1" ht="9">
      <c r="A21" s="143" t="s">
        <v>431</v>
      </c>
      <c r="B21" s="44"/>
      <c r="C21" s="44"/>
      <c r="D21" s="52"/>
      <c r="E21" s="52"/>
      <c r="F21" s="52"/>
      <c r="G21" s="44"/>
      <c r="H21" s="44"/>
      <c r="I21" s="92"/>
      <c r="J21" s="44"/>
      <c r="K21" s="44"/>
      <c r="L21" s="44"/>
      <c r="M21" s="44"/>
      <c r="N21" s="52"/>
      <c r="O21" s="52"/>
      <c r="P21" s="92"/>
      <c r="Q21" s="94"/>
    </row>
    <row r="22" spans="1:19" s="147" customFormat="1" ht="9">
      <c r="A22" s="143" t="s">
        <v>418</v>
      </c>
      <c r="B22" s="44" t="s">
        <v>422</v>
      </c>
      <c r="C22" s="44"/>
      <c r="D22" s="52"/>
      <c r="E22" s="52"/>
      <c r="F22" s="52"/>
      <c r="G22" s="44"/>
      <c r="H22" s="44"/>
      <c r="I22" s="92"/>
      <c r="J22" s="44"/>
      <c r="K22" s="44"/>
      <c r="L22" s="44"/>
      <c r="M22" s="44"/>
      <c r="N22" s="52"/>
      <c r="O22" s="52"/>
      <c r="P22" s="92"/>
      <c r="Q22" s="94"/>
    </row>
    <row r="23" spans="1:19" s="147" customFormat="1" ht="9">
      <c r="A23" s="143" t="s">
        <v>419</v>
      </c>
      <c r="B23" s="44" t="s">
        <v>433</v>
      </c>
      <c r="C23" s="44"/>
      <c r="D23" s="52"/>
      <c r="E23" s="52"/>
      <c r="F23" s="52"/>
      <c r="G23" s="44"/>
      <c r="H23" s="44"/>
      <c r="I23" s="92"/>
      <c r="J23" s="44"/>
      <c r="K23" s="44"/>
      <c r="L23" s="44"/>
      <c r="M23" s="44"/>
      <c r="N23" s="52"/>
      <c r="O23" s="52"/>
      <c r="P23" s="92"/>
      <c r="Q23" s="94"/>
    </row>
    <row r="24" spans="1:19" s="147" customFormat="1" ht="9">
      <c r="A24" s="143" t="s">
        <v>420</v>
      </c>
      <c r="B24" s="44" t="s">
        <v>433</v>
      </c>
      <c r="C24" s="44"/>
      <c r="D24" s="52"/>
      <c r="E24" s="52"/>
      <c r="F24" s="52"/>
      <c r="G24" s="44"/>
      <c r="H24" s="44"/>
      <c r="I24" s="92"/>
      <c r="J24" s="44"/>
      <c r="K24" s="44"/>
      <c r="L24" s="44"/>
      <c r="M24" s="44"/>
      <c r="N24" s="52"/>
      <c r="O24" s="52"/>
      <c r="P24" s="92"/>
      <c r="Q24" s="94" t="s">
        <v>389</v>
      </c>
    </row>
    <row r="25" spans="1:19" s="147" customFormat="1" ht="9">
      <c r="A25" s="143" t="s">
        <v>421</v>
      </c>
      <c r="B25" s="44"/>
      <c r="C25" s="44"/>
      <c r="D25" s="52"/>
      <c r="E25" s="52"/>
      <c r="F25" s="52"/>
      <c r="G25" s="44"/>
      <c r="H25" s="44"/>
      <c r="I25" s="92"/>
      <c r="J25" s="44"/>
      <c r="K25" s="44"/>
      <c r="L25" s="44"/>
      <c r="M25" s="44"/>
      <c r="N25" s="52"/>
      <c r="O25" s="52"/>
      <c r="P25" s="92"/>
      <c r="Q25" s="94"/>
    </row>
    <row r="26" spans="1:19" s="147" customFormat="1" ht="19.5" customHeight="1">
      <c r="A26" s="177" t="s">
        <v>375</v>
      </c>
      <c r="B26" s="44">
        <v>2</v>
      </c>
      <c r="C26" s="44">
        <v>0</v>
      </c>
      <c r="D26" s="52">
        <v>0</v>
      </c>
      <c r="E26" s="52">
        <v>0</v>
      </c>
      <c r="F26" s="52">
        <v>0</v>
      </c>
      <c r="G26" s="44">
        <v>0.5</v>
      </c>
      <c r="H26" s="44">
        <f>B26*G26</f>
        <v>1</v>
      </c>
      <c r="I26" s="92">
        <v>0</v>
      </c>
      <c r="J26" s="91">
        <f>H26*I26</f>
        <v>0</v>
      </c>
      <c r="K26" s="91">
        <f>J26*0.1</f>
        <v>0</v>
      </c>
      <c r="L26" s="91">
        <f>J26*0.05</f>
        <v>0</v>
      </c>
      <c r="M26" s="44">
        <f>C26*G26*I26</f>
        <v>0</v>
      </c>
      <c r="N26" s="52">
        <f>(J26*'Base Data'!$C$5)+(K26*'Base Data'!$C$6)+(L26*'Base Data'!$C$7)</f>
        <v>0</v>
      </c>
      <c r="O26" s="52">
        <f>(D26+E26+F26)*G26*I26</f>
        <v>0</v>
      </c>
      <c r="P26" s="92">
        <f>G26*I26</f>
        <v>0</v>
      </c>
      <c r="Q26" s="94" t="s">
        <v>388</v>
      </c>
    </row>
    <row r="27" spans="1:19" s="147" customFormat="1" ht="18">
      <c r="A27" s="177" t="s">
        <v>376</v>
      </c>
      <c r="B27" s="44">
        <v>15</v>
      </c>
      <c r="C27" s="44">
        <v>0</v>
      </c>
      <c r="D27" s="52">
        <v>0</v>
      </c>
      <c r="E27" s="52">
        <v>0</v>
      </c>
      <c r="F27" s="52">
        <v>0</v>
      </c>
      <c r="G27" s="44">
        <v>1</v>
      </c>
      <c r="H27" s="44">
        <f>B27*G27</f>
        <v>15</v>
      </c>
      <c r="I27" s="92">
        <v>0</v>
      </c>
      <c r="J27" s="91">
        <f>H27*I27</f>
        <v>0</v>
      </c>
      <c r="K27" s="91">
        <f>J27*0.1</f>
        <v>0</v>
      </c>
      <c r="L27" s="91">
        <f>J27*0.05</f>
        <v>0</v>
      </c>
      <c r="M27" s="44">
        <f>C27*G27*I27</f>
        <v>0</v>
      </c>
      <c r="N27" s="52">
        <f>(J27*'Base Data'!$C$5)+(K27*'Base Data'!$C$6)+(L27*'Base Data'!$C$7)</f>
        <v>0</v>
      </c>
      <c r="O27" s="52">
        <f>(D27+E27+F27)*G27*I27</f>
        <v>0</v>
      </c>
      <c r="P27" s="92">
        <f>G27*I27</f>
        <v>0</v>
      </c>
      <c r="Q27" s="94" t="s">
        <v>13</v>
      </c>
    </row>
    <row r="28" spans="1:19" s="147" customFormat="1" ht="9">
      <c r="A28" s="177" t="s">
        <v>251</v>
      </c>
      <c r="B28" s="44">
        <v>0.5</v>
      </c>
      <c r="C28" s="44"/>
      <c r="D28" s="52">
        <v>0</v>
      </c>
      <c r="E28" s="52">
        <v>0</v>
      </c>
      <c r="F28" s="52">
        <v>0</v>
      </c>
      <c r="G28" s="44">
        <v>0.5</v>
      </c>
      <c r="H28" s="44">
        <f>B28*G28</f>
        <v>0.25</v>
      </c>
      <c r="I28" s="92">
        <v>0</v>
      </c>
      <c r="J28" s="91">
        <f>H28*I28</f>
        <v>0</v>
      </c>
      <c r="K28" s="91">
        <f>J28*0.1</f>
        <v>0</v>
      </c>
      <c r="L28" s="91">
        <f>J28*0.05</f>
        <v>0</v>
      </c>
      <c r="M28" s="44">
        <f>C28*G28*I28</f>
        <v>0</v>
      </c>
      <c r="N28" s="52">
        <f>(J28*'Base Data'!$C$5)+(K28*'Base Data'!$C$6)+(L28*'Base Data'!$C$7)</f>
        <v>0</v>
      </c>
      <c r="O28" s="52">
        <f>(D28+E28+F28)*G28*I28</f>
        <v>0</v>
      </c>
      <c r="P28" s="92">
        <f>G28*I28</f>
        <v>0</v>
      </c>
      <c r="Q28" s="94" t="s">
        <v>12</v>
      </c>
    </row>
    <row r="29" spans="1:19" s="6" customFormat="1" ht="9">
      <c r="A29" s="142" t="s">
        <v>427</v>
      </c>
      <c r="B29" s="44">
        <v>40</v>
      </c>
      <c r="C29" s="18"/>
      <c r="D29" s="39">
        <v>0</v>
      </c>
      <c r="E29" s="39">
        <v>0</v>
      </c>
      <c r="F29" s="39">
        <v>0</v>
      </c>
      <c r="G29" s="18">
        <v>1</v>
      </c>
      <c r="H29" s="18">
        <f t="shared" ref="H29" si="1">B29*G29</f>
        <v>40</v>
      </c>
      <c r="I29" s="91">
        <f>ROUND(SUM('Base Data'!$H$26:$H$27,'Base Data'!$H$31:$H$32,'Base Data'!$H$36:$H$37)/2,0)</f>
        <v>444</v>
      </c>
      <c r="J29" s="19">
        <f t="shared" ref="J29" si="2">H29*I29</f>
        <v>17760</v>
      </c>
      <c r="K29" s="19">
        <f t="shared" ref="K29" si="3">J29*0.1</f>
        <v>1776</v>
      </c>
      <c r="L29" s="19">
        <f t="shared" ref="L29" si="4">J29*0.05</f>
        <v>888</v>
      </c>
      <c r="M29" s="18"/>
      <c r="N29" s="39">
        <f>(J29*'Base Data'!$C$5)+(K29*'Base Data'!$C$6)+(L29*'Base Data'!$C$7)</f>
        <v>1931888.4</v>
      </c>
      <c r="O29" s="39">
        <f t="shared" ref="O29" si="5">(D29+E29+F29)*G29*I29</f>
        <v>0</v>
      </c>
      <c r="P29" s="39">
        <v>0</v>
      </c>
      <c r="Q29" s="29" t="s">
        <v>78</v>
      </c>
    </row>
    <row r="30" spans="1:19" s="147" customFormat="1" ht="9">
      <c r="A30" s="143" t="s">
        <v>428</v>
      </c>
      <c r="B30" s="44" t="s">
        <v>433</v>
      </c>
      <c r="C30" s="44"/>
      <c r="D30" s="52"/>
      <c r="E30" s="52"/>
      <c r="F30" s="52"/>
      <c r="G30" s="44"/>
      <c r="H30" s="44"/>
      <c r="I30" s="92"/>
      <c r="J30" s="44"/>
      <c r="K30" s="44"/>
      <c r="L30" s="44"/>
      <c r="M30" s="44"/>
      <c r="N30" s="52"/>
      <c r="O30" s="52"/>
      <c r="P30" s="92"/>
      <c r="Q30" s="94"/>
    </row>
    <row r="31" spans="1:19" s="147" customFormat="1" ht="9">
      <c r="A31" s="256" t="s">
        <v>27</v>
      </c>
      <c r="B31" s="239"/>
      <c r="C31" s="239"/>
      <c r="D31" s="240"/>
      <c r="E31" s="240"/>
      <c r="F31" s="240"/>
      <c r="G31" s="239"/>
      <c r="H31" s="239"/>
      <c r="I31" s="241"/>
      <c r="J31" s="239">
        <f t="shared" ref="J31:P31" si="6">SUM(J22:J30)</f>
        <v>17760</v>
      </c>
      <c r="K31" s="239">
        <f t="shared" si="6"/>
        <v>1776</v>
      </c>
      <c r="L31" s="239">
        <f t="shared" si="6"/>
        <v>888</v>
      </c>
      <c r="M31" s="239">
        <f t="shared" si="6"/>
        <v>0</v>
      </c>
      <c r="N31" s="240">
        <f t="shared" si="6"/>
        <v>1931888.4</v>
      </c>
      <c r="O31" s="240">
        <f t="shared" si="6"/>
        <v>0</v>
      </c>
      <c r="P31" s="241">
        <f t="shared" si="6"/>
        <v>0</v>
      </c>
      <c r="Q31" s="242"/>
      <c r="R31" s="149">
        <f>SUM(O22:O31)</f>
        <v>0</v>
      </c>
    </row>
    <row r="32" spans="1:19" s="147" customFormat="1">
      <c r="A32" s="186" t="s">
        <v>400</v>
      </c>
      <c r="B32" s="187"/>
      <c r="C32" s="187"/>
      <c r="D32" s="187"/>
      <c r="E32" s="187"/>
      <c r="F32" s="187"/>
      <c r="G32" s="187"/>
      <c r="H32" s="187"/>
      <c r="I32" s="189"/>
      <c r="J32" s="190">
        <f t="shared" ref="J32:P32" si="7">SUM(J20,J31)</f>
        <v>49092</v>
      </c>
      <c r="K32" s="190">
        <f t="shared" si="7"/>
        <v>4909.2000000000007</v>
      </c>
      <c r="L32" s="190">
        <f t="shared" si="7"/>
        <v>2454.6000000000004</v>
      </c>
      <c r="M32" s="190">
        <f t="shared" si="7"/>
        <v>0</v>
      </c>
      <c r="N32" s="191">
        <f t="shared" si="7"/>
        <v>5340105.0299999993</v>
      </c>
      <c r="O32" s="191">
        <f t="shared" si="7"/>
        <v>13057480</v>
      </c>
      <c r="P32" s="190">
        <f t="shared" si="7"/>
        <v>0</v>
      </c>
      <c r="Q32" s="192"/>
    </row>
    <row r="33" spans="1:17" s="147" customFormat="1">
      <c r="A33" s="114"/>
      <c r="B33" s="54"/>
      <c r="C33" s="54"/>
      <c r="D33" s="54"/>
      <c r="E33" s="54"/>
      <c r="F33" s="54"/>
      <c r="G33" s="54"/>
      <c r="H33" s="54"/>
      <c r="I33" s="55"/>
      <c r="J33" s="54"/>
      <c r="K33" s="54"/>
      <c r="L33" s="54"/>
      <c r="M33" s="54"/>
      <c r="N33" s="54"/>
      <c r="O33" s="196"/>
      <c r="P33" s="196"/>
      <c r="Q33" s="54"/>
    </row>
    <row r="34" spans="1:17" s="147" customFormat="1" ht="9">
      <c r="A34" s="53" t="s">
        <v>390</v>
      </c>
      <c r="B34" s="56"/>
      <c r="C34" s="56"/>
      <c r="D34" s="56"/>
      <c r="E34" s="56"/>
      <c r="F34" s="56"/>
      <c r="G34" s="56"/>
      <c r="H34" s="56"/>
      <c r="I34" s="57"/>
      <c r="J34" s="56"/>
      <c r="K34" s="56"/>
      <c r="L34" s="56"/>
      <c r="M34" s="56"/>
      <c r="N34" s="56"/>
      <c r="O34" s="197"/>
      <c r="P34" s="197"/>
      <c r="Q34" s="56"/>
    </row>
    <row r="35" spans="1:17" s="53" customFormat="1" ht="18" customHeight="1">
      <c r="A35" s="409" t="s">
        <v>165</v>
      </c>
      <c r="B35" s="409"/>
      <c r="C35" s="409"/>
      <c r="D35" s="409"/>
      <c r="E35" s="409"/>
      <c r="F35" s="409"/>
      <c r="G35" s="409"/>
      <c r="H35" s="409"/>
      <c r="I35" s="409"/>
      <c r="J35" s="409"/>
      <c r="K35" s="409"/>
      <c r="L35" s="409"/>
      <c r="M35" s="409"/>
      <c r="N35" s="409"/>
      <c r="O35" s="409"/>
      <c r="P35" s="175"/>
      <c r="Q35" s="56"/>
    </row>
    <row r="36" spans="1:17" s="53" customFormat="1" ht="28.5" customHeight="1">
      <c r="A36" s="409" t="s">
        <v>2</v>
      </c>
      <c r="B36" s="409"/>
      <c r="C36" s="409"/>
      <c r="D36" s="409"/>
      <c r="E36" s="409"/>
      <c r="F36" s="409"/>
      <c r="G36" s="409"/>
      <c r="H36" s="409"/>
      <c r="I36" s="409"/>
      <c r="J36" s="409"/>
      <c r="K36" s="409"/>
      <c r="L36" s="409"/>
      <c r="M36" s="409"/>
      <c r="N36" s="409"/>
      <c r="O36" s="409"/>
      <c r="P36" s="175"/>
      <c r="Q36" s="56"/>
    </row>
    <row r="37" spans="1:17" s="53" customFormat="1" ht="18.75" customHeight="1">
      <c r="A37" s="409" t="s">
        <v>95</v>
      </c>
      <c r="B37" s="409"/>
      <c r="C37" s="409"/>
      <c r="D37" s="409"/>
      <c r="E37" s="409"/>
      <c r="F37" s="409"/>
      <c r="G37" s="409"/>
      <c r="H37" s="409"/>
      <c r="I37" s="409"/>
      <c r="J37" s="409"/>
      <c r="K37" s="409"/>
      <c r="L37" s="409"/>
      <c r="M37" s="409"/>
      <c r="N37" s="409"/>
      <c r="O37" s="409"/>
      <c r="P37" s="409"/>
      <c r="Q37" s="409"/>
    </row>
    <row r="38" spans="1:17" s="53" customFormat="1" ht="10.5" customHeight="1">
      <c r="A38" s="53" t="s">
        <v>441</v>
      </c>
      <c r="B38" s="56"/>
      <c r="C38" s="56"/>
      <c r="D38" s="56"/>
      <c r="E38" s="56"/>
      <c r="F38" s="56"/>
      <c r="G38" s="56"/>
      <c r="H38" s="56"/>
      <c r="I38" s="57"/>
      <c r="J38" s="56"/>
      <c r="K38" s="56"/>
      <c r="L38" s="56"/>
      <c r="M38" s="56"/>
      <c r="N38" s="56"/>
      <c r="O38" s="197"/>
      <c r="P38" s="197"/>
      <c r="Q38" s="56"/>
    </row>
    <row r="39" spans="1:17">
      <c r="A39" s="53" t="s">
        <v>572</v>
      </c>
      <c r="B39" s="56"/>
      <c r="C39" s="56"/>
      <c r="D39" s="56"/>
      <c r="E39" s="56"/>
      <c r="F39" s="56"/>
      <c r="G39" s="56"/>
      <c r="H39" s="56"/>
      <c r="I39" s="197"/>
      <c r="J39" s="197"/>
      <c r="K39" s="197"/>
      <c r="L39" s="197"/>
      <c r="M39" s="197"/>
      <c r="N39" s="56"/>
      <c r="O39" s="53"/>
      <c r="P39" s="53"/>
      <c r="Q39" s="53"/>
    </row>
    <row r="40" spans="1:17">
      <c r="A40" s="53" t="s">
        <v>571</v>
      </c>
      <c r="B40" s="56"/>
      <c r="C40" s="56"/>
      <c r="D40" s="56"/>
      <c r="E40" s="56"/>
      <c r="F40" s="56"/>
      <c r="G40" s="56"/>
      <c r="H40" s="56"/>
      <c r="I40" s="197"/>
      <c r="J40" s="197"/>
      <c r="K40" s="197"/>
      <c r="L40" s="197"/>
      <c r="M40" s="197"/>
      <c r="N40" s="56"/>
      <c r="O40" s="53"/>
      <c r="P40" s="53"/>
      <c r="Q40" s="53"/>
    </row>
    <row r="41" spans="1:17">
      <c r="A41" s="14" t="s">
        <v>570</v>
      </c>
    </row>
  </sheetData>
  <mergeCells count="5">
    <mergeCell ref="A37:Q37"/>
    <mergeCell ref="A1:Q1"/>
    <mergeCell ref="A2:Q2"/>
    <mergeCell ref="A35:O35"/>
    <mergeCell ref="A36:O36"/>
  </mergeCells>
  <phoneticPr fontId="7" type="noConversion"/>
  <printOptions horizontalCentered="1"/>
  <pageMargins left="0.25" right="0.25" top="0.5" bottom="0.5" header="0.5" footer="0.5"/>
  <pageSetup scale="90" orientation="landscape" r:id="rId1"/>
  <headerFooter alignWithMargins="0"/>
</worksheet>
</file>

<file path=xl/worksheets/sheet35.xml><?xml version="1.0" encoding="utf-8"?>
<worksheet xmlns="http://schemas.openxmlformats.org/spreadsheetml/2006/main" xmlns:r="http://schemas.openxmlformats.org/officeDocument/2006/relationships">
  <sheetPr>
    <pageSetUpPr fitToPage="1"/>
  </sheetPr>
  <dimension ref="A1:S41"/>
  <sheetViews>
    <sheetView zoomScaleNormal="100" workbookViewId="0">
      <pane xSplit="1" ySplit="3" topLeftCell="B4" activePane="bottomRight" state="frozen"/>
      <selection activeCell="P31" sqref="P31"/>
      <selection pane="topRight" activeCell="P31" sqref="P31"/>
      <selection pane="bottomLeft" activeCell="P31" sqref="P31"/>
      <selection pane="bottomRight" activeCell="A41" sqref="A41"/>
    </sheetView>
  </sheetViews>
  <sheetFormatPr defaultRowHeight="11.25"/>
  <cols>
    <col min="1" max="1" width="30.28515625" style="114" customWidth="1"/>
    <col min="2" max="2" width="8.85546875" style="54" bestFit="1" customWidth="1"/>
    <col min="3" max="3" width="7.85546875" style="54" bestFit="1" customWidth="1"/>
    <col min="4" max="4" width="8.42578125" style="54" bestFit="1" customWidth="1"/>
    <col min="5" max="5" width="9.28515625" style="54" bestFit="1" customWidth="1"/>
    <col min="6" max="6" width="7.85546875" style="54" bestFit="1" customWidth="1"/>
    <col min="7" max="7" width="9.28515625" style="54" bestFit="1" customWidth="1"/>
    <col min="8" max="8" width="8.7109375" style="54" bestFit="1" customWidth="1"/>
    <col min="9" max="9" width="9.42578125" style="196" bestFit="1" customWidth="1"/>
    <col min="10" max="10" width="7.7109375" style="196" bestFit="1" customWidth="1"/>
    <col min="11" max="11" width="6.85546875" style="196" bestFit="1" customWidth="1"/>
    <col min="12" max="12" width="9.28515625" style="196" customWidth="1"/>
    <col min="13" max="13" width="9" style="196" hidden="1" customWidth="1"/>
    <col min="14" max="14" width="9.140625" style="54" bestFit="1" customWidth="1"/>
    <col min="15" max="15" width="10.140625" style="114" bestFit="1" customWidth="1"/>
    <col min="16" max="16" width="8.5703125" style="114" bestFit="1" customWidth="1"/>
    <col min="17" max="17" width="4.28515625" style="114" bestFit="1" customWidth="1"/>
    <col min="18" max="19" width="0" style="114" hidden="1" customWidth="1"/>
    <col min="20" max="16384" width="9.140625" style="114"/>
  </cols>
  <sheetData>
    <row r="1" spans="1:19">
      <c r="A1" s="410" t="s">
        <v>254</v>
      </c>
      <c r="B1" s="410"/>
      <c r="C1" s="410"/>
      <c r="D1" s="410"/>
      <c r="E1" s="410"/>
      <c r="F1" s="410"/>
      <c r="G1" s="410"/>
      <c r="H1" s="410"/>
      <c r="I1" s="410"/>
      <c r="J1" s="410"/>
      <c r="K1" s="410"/>
      <c r="L1" s="410"/>
      <c r="M1" s="410"/>
      <c r="N1" s="410"/>
      <c r="O1" s="410"/>
      <c r="P1" s="410"/>
      <c r="Q1" s="410"/>
    </row>
    <row r="2" spans="1:19">
      <c r="A2" s="411" t="s">
        <v>535</v>
      </c>
      <c r="B2" s="411"/>
      <c r="C2" s="411"/>
      <c r="D2" s="411"/>
      <c r="E2" s="411"/>
      <c r="F2" s="411"/>
      <c r="G2" s="411"/>
      <c r="H2" s="411"/>
      <c r="I2" s="411"/>
      <c r="J2" s="411"/>
      <c r="K2" s="411"/>
      <c r="L2" s="411"/>
      <c r="M2" s="411"/>
      <c r="N2" s="411"/>
      <c r="O2" s="411"/>
      <c r="P2" s="411"/>
      <c r="Q2" s="411"/>
    </row>
    <row r="3" spans="1:19" s="193" customFormat="1" ht="54">
      <c r="A3" s="45" t="s">
        <v>392</v>
      </c>
      <c r="B3" s="45" t="s">
        <v>393</v>
      </c>
      <c r="C3" s="45" t="s">
        <v>430</v>
      </c>
      <c r="D3" s="45" t="s">
        <v>4</v>
      </c>
      <c r="E3" s="45" t="s">
        <v>94</v>
      </c>
      <c r="F3" s="45" t="s">
        <v>5</v>
      </c>
      <c r="G3" s="12" t="s">
        <v>176</v>
      </c>
      <c r="H3" s="45" t="s">
        <v>459</v>
      </c>
      <c r="I3" s="60" t="s">
        <v>460</v>
      </c>
      <c r="J3" s="100" t="s">
        <v>462</v>
      </c>
      <c r="K3" s="100" t="s">
        <v>463</v>
      </c>
      <c r="L3" s="100" t="s">
        <v>461</v>
      </c>
      <c r="M3" s="45" t="s">
        <v>391</v>
      </c>
      <c r="N3" s="45" t="s">
        <v>8</v>
      </c>
      <c r="O3" s="100" t="s">
        <v>96</v>
      </c>
      <c r="P3" s="100" t="s">
        <v>175</v>
      </c>
      <c r="Q3" s="182" t="s">
        <v>394</v>
      </c>
      <c r="R3" s="193" t="s">
        <v>307</v>
      </c>
      <c r="S3" s="193" t="s">
        <v>308</v>
      </c>
    </row>
    <row r="4" spans="1:19" s="147" customFormat="1" ht="9">
      <c r="A4" s="194" t="s">
        <v>405</v>
      </c>
      <c r="B4" s="179" t="s">
        <v>433</v>
      </c>
      <c r="C4" s="179"/>
      <c r="D4" s="181"/>
      <c r="E4" s="181"/>
      <c r="F4" s="181"/>
      <c r="G4" s="179"/>
      <c r="H4" s="179"/>
      <c r="I4" s="183"/>
      <c r="J4" s="179"/>
      <c r="K4" s="179"/>
      <c r="L4" s="179"/>
      <c r="M4" s="179"/>
      <c r="N4" s="181"/>
      <c r="O4" s="181"/>
      <c r="P4" s="181"/>
      <c r="Q4" s="249"/>
    </row>
    <row r="5" spans="1:19" s="147" customFormat="1" ht="9">
      <c r="A5" s="143" t="s">
        <v>406</v>
      </c>
      <c r="B5" s="44" t="s">
        <v>433</v>
      </c>
      <c r="C5" s="44"/>
      <c r="D5" s="52"/>
      <c r="E5" s="52"/>
      <c r="F5" s="52"/>
      <c r="G5" s="44"/>
      <c r="H5" s="44"/>
      <c r="I5" s="92"/>
      <c r="J5" s="44"/>
      <c r="K5" s="44"/>
      <c r="L5" s="44"/>
      <c r="M5" s="44"/>
      <c r="N5" s="52"/>
      <c r="O5" s="52"/>
      <c r="P5" s="52"/>
      <c r="Q5" s="94"/>
    </row>
    <row r="6" spans="1:19" s="147" customFormat="1" ht="9">
      <c r="A6" s="143" t="s">
        <v>407</v>
      </c>
      <c r="B6" s="44"/>
      <c r="C6" s="44"/>
      <c r="D6" s="52"/>
      <c r="E6" s="52"/>
      <c r="F6" s="52"/>
      <c r="G6" s="44"/>
      <c r="H6" s="44"/>
      <c r="I6" s="92"/>
      <c r="J6" s="44"/>
      <c r="K6" s="44"/>
      <c r="L6" s="44"/>
      <c r="M6" s="44"/>
      <c r="N6" s="52"/>
      <c r="O6" s="52"/>
      <c r="P6" s="52"/>
      <c r="Q6" s="94"/>
    </row>
    <row r="7" spans="1:19" s="147" customFormat="1" ht="9">
      <c r="A7" s="143" t="s">
        <v>408</v>
      </c>
      <c r="B7" s="44">
        <v>40</v>
      </c>
      <c r="C7" s="44"/>
      <c r="D7" s="52">
        <v>0</v>
      </c>
      <c r="E7" s="52">
        <v>0</v>
      </c>
      <c r="F7" s="52">
        <v>0</v>
      </c>
      <c r="G7" s="44">
        <v>1</v>
      </c>
      <c r="H7" s="44">
        <f>B7*G7</f>
        <v>40</v>
      </c>
      <c r="I7" s="91">
        <v>0</v>
      </c>
      <c r="J7" s="91">
        <f>H7*I7</f>
        <v>0</v>
      </c>
      <c r="K7" s="91">
        <f>J7*0.1</f>
        <v>0</v>
      </c>
      <c r="L7" s="91">
        <f>J7*0.05</f>
        <v>0</v>
      </c>
      <c r="M7" s="44">
        <f>C7*G7*I7</f>
        <v>0</v>
      </c>
      <c r="N7" s="52">
        <f>(J7*'Base Data'!$C$5)+(K7*'Base Data'!$C$6)+(L7*'Base Data'!$C$7)</f>
        <v>0</v>
      </c>
      <c r="O7" s="52">
        <f>(D7+E7+F7)*G7*I7</f>
        <v>0</v>
      </c>
      <c r="P7" s="92">
        <v>0</v>
      </c>
      <c r="Q7" s="94" t="s">
        <v>387</v>
      </c>
    </row>
    <row r="8" spans="1:19" s="147" customFormat="1" ht="9">
      <c r="A8" s="143" t="s">
        <v>409</v>
      </c>
      <c r="B8" s="44"/>
      <c r="C8" s="44"/>
      <c r="D8" s="52"/>
      <c r="E8" s="52"/>
      <c r="F8" s="52"/>
      <c r="G8" s="44"/>
      <c r="H8" s="44"/>
      <c r="I8" s="92"/>
      <c r="J8" s="44"/>
      <c r="K8" s="44"/>
      <c r="L8" s="44"/>
      <c r="M8" s="44"/>
      <c r="N8" s="52"/>
      <c r="O8" s="52"/>
      <c r="P8" s="92"/>
      <c r="Q8" s="94"/>
    </row>
    <row r="9" spans="1:19" s="147" customFormat="1" ht="9">
      <c r="A9" s="143" t="s">
        <v>423</v>
      </c>
      <c r="B9" s="44"/>
      <c r="C9" s="44"/>
      <c r="D9" s="95"/>
      <c r="E9" s="52"/>
      <c r="F9" s="52"/>
      <c r="G9" s="44"/>
      <c r="H9" s="44"/>
      <c r="I9" s="91"/>
      <c r="J9" s="91"/>
      <c r="K9" s="91"/>
      <c r="L9" s="91"/>
      <c r="M9" s="93"/>
      <c r="N9" s="52"/>
      <c r="O9" s="52"/>
      <c r="P9" s="92"/>
      <c r="Q9" s="94"/>
      <c r="R9" s="94"/>
    </row>
    <row r="10" spans="1:19" s="147" customFormat="1" ht="9">
      <c r="A10" s="142" t="s">
        <v>274</v>
      </c>
      <c r="B10" s="44">
        <v>20</v>
      </c>
      <c r="C10" s="44"/>
      <c r="D10" s="52">
        <v>854</v>
      </c>
      <c r="E10" s="52">
        <v>0</v>
      </c>
      <c r="F10" s="52">
        <v>0</v>
      </c>
      <c r="G10" s="44">
        <v>1</v>
      </c>
      <c r="H10" s="44">
        <f>B10*G10</f>
        <v>20</v>
      </c>
      <c r="I10" s="91">
        <f>ROUND(SUM('Base Data'!$H$26:$H$27,'Base Data'!$H$31:$H$32,'Base Data'!$H$36:$H$37)/2,0)*'Testing Costs'!$C$22</f>
        <v>55.944000000000003</v>
      </c>
      <c r="J10" s="92">
        <f>H10*I10</f>
        <v>1118.8800000000001</v>
      </c>
      <c r="K10" s="92">
        <f>J10*0.1</f>
        <v>111.88800000000002</v>
      </c>
      <c r="L10" s="92">
        <f>J10*0.05</f>
        <v>55.94400000000001</v>
      </c>
      <c r="M10" s="93">
        <f>C10*G10*I10</f>
        <v>0</v>
      </c>
      <c r="N10" s="52">
        <f>(J10*'Base Data'!$C$5)+(K10*'Base Data'!$C$6)+(L10*'Base Data'!$C$7)</f>
        <v>121708.96920000002</v>
      </c>
      <c r="O10" s="52">
        <f>(D10+E10+F10)*G10*I10</f>
        <v>47776.175999999999</v>
      </c>
      <c r="P10" s="92">
        <v>0</v>
      </c>
      <c r="Q10" s="94" t="s">
        <v>440</v>
      </c>
      <c r="R10" s="94"/>
    </row>
    <row r="11" spans="1:19" s="147" customFormat="1" ht="9">
      <c r="A11" s="142" t="s">
        <v>276</v>
      </c>
      <c r="B11" s="44">
        <v>20</v>
      </c>
      <c r="C11" s="44"/>
      <c r="D11" s="52">
        <v>18292</v>
      </c>
      <c r="E11" s="52">
        <v>0</v>
      </c>
      <c r="F11" s="52">
        <v>0</v>
      </c>
      <c r="G11" s="44">
        <v>1</v>
      </c>
      <c r="H11" s="44">
        <f>B11*G11</f>
        <v>20</v>
      </c>
      <c r="I11" s="91">
        <f>ROUNDDOWN(SUM('Base Data'!$H$26:$H$27,'Base Data'!$H$31:$H$32,'Base Data'!$H$36:$H$37)/2,0)*'Testing Costs'!$C$23</f>
        <v>387.18200000000002</v>
      </c>
      <c r="J11" s="92">
        <f>H11*I11</f>
        <v>7743.64</v>
      </c>
      <c r="K11" s="92">
        <f>J11*0.1</f>
        <v>774.36400000000003</v>
      </c>
      <c r="L11" s="92">
        <f>J11*0.05</f>
        <v>387.18200000000002</v>
      </c>
      <c r="M11" s="93">
        <f>C11*G11*I11</f>
        <v>0</v>
      </c>
      <c r="N11" s="52">
        <f>(J11*'Base Data'!$C$5)+(K11*'Base Data'!$C$6)+(L11*'Base Data'!$C$7)</f>
        <v>842333.80010000011</v>
      </c>
      <c r="O11" s="52">
        <f>(D11+E11+F11)*G11*I11</f>
        <v>7082333.1440000003</v>
      </c>
      <c r="P11" s="92">
        <v>0</v>
      </c>
      <c r="Q11" s="94" t="s">
        <v>440</v>
      </c>
      <c r="R11" s="94"/>
    </row>
    <row r="12" spans="1:19" s="147" customFormat="1" ht="9">
      <c r="A12" s="143" t="s">
        <v>10</v>
      </c>
      <c r="B12" s="44">
        <v>12</v>
      </c>
      <c r="C12" s="44"/>
      <c r="D12" s="52">
        <v>0</v>
      </c>
      <c r="E12" s="52">
        <v>1580</v>
      </c>
      <c r="F12" s="52">
        <v>0</v>
      </c>
      <c r="G12" s="44">
        <v>0.5</v>
      </c>
      <c r="H12" s="44">
        <f>B12*G12</f>
        <v>6</v>
      </c>
      <c r="I12" s="91">
        <f>ROUNDDOWN(SUM('Base Data'!$D$26:$D$27,'Base Data'!$D$31:$D$32,'Base Data'!$D$36:$D$37)/2,0)</f>
        <v>3742</v>
      </c>
      <c r="J12" s="91">
        <f>H12*I12</f>
        <v>22452</v>
      </c>
      <c r="K12" s="91">
        <f>J12*0.1</f>
        <v>2245.2000000000003</v>
      </c>
      <c r="L12" s="91">
        <f>J12*0.05</f>
        <v>1122.6000000000001</v>
      </c>
      <c r="M12" s="92"/>
      <c r="N12" s="52">
        <f>(J12*'Base Data'!$C$5)+(K12*'Base Data'!$C$6)+(L12*'Base Data'!$C$7)</f>
        <v>2442272.4299999997</v>
      </c>
      <c r="O12" s="52">
        <f>(D12+E12+F12)*I12</f>
        <v>5912360</v>
      </c>
      <c r="P12" s="92">
        <v>0</v>
      </c>
      <c r="Q12" s="94" t="s">
        <v>12</v>
      </c>
    </row>
    <row r="13" spans="1:19" s="147" customFormat="1" ht="9">
      <c r="A13" s="143" t="s">
        <v>415</v>
      </c>
      <c r="B13" s="44" t="s">
        <v>433</v>
      </c>
      <c r="C13" s="44"/>
      <c r="D13" s="52"/>
      <c r="E13" s="52"/>
      <c r="F13" s="52"/>
      <c r="G13" s="44"/>
      <c r="H13" s="44"/>
      <c r="I13" s="92"/>
      <c r="J13" s="44"/>
      <c r="K13" s="44"/>
      <c r="L13" s="44"/>
      <c r="M13" s="44"/>
      <c r="N13" s="52"/>
      <c r="O13" s="52"/>
      <c r="P13" s="92"/>
      <c r="Q13" s="94"/>
    </row>
    <row r="14" spans="1:19" s="147" customFormat="1" ht="9">
      <c r="A14" s="143" t="s">
        <v>416</v>
      </c>
      <c r="B14" s="44" t="s">
        <v>433</v>
      </c>
      <c r="C14" s="44"/>
      <c r="D14" s="52"/>
      <c r="E14" s="52"/>
      <c r="F14" s="52"/>
      <c r="G14" s="44"/>
      <c r="H14" s="44"/>
      <c r="I14" s="92"/>
      <c r="J14" s="44"/>
      <c r="K14" s="44"/>
      <c r="L14" s="44"/>
      <c r="M14" s="44"/>
      <c r="N14" s="52"/>
      <c r="O14" s="52"/>
      <c r="P14" s="92"/>
      <c r="Q14" s="94"/>
    </row>
    <row r="15" spans="1:19" s="147" customFormat="1" ht="9">
      <c r="A15" s="143" t="s">
        <v>417</v>
      </c>
      <c r="B15" s="44"/>
      <c r="C15" s="44"/>
      <c r="D15" s="52"/>
      <c r="E15" s="52"/>
      <c r="F15" s="52"/>
      <c r="G15" s="44"/>
      <c r="H15" s="44"/>
      <c r="I15" s="92"/>
      <c r="J15" s="44"/>
      <c r="K15" s="44"/>
      <c r="L15" s="44"/>
      <c r="M15" s="44"/>
      <c r="N15" s="52"/>
      <c r="O15" s="52"/>
      <c r="P15" s="92"/>
      <c r="Q15" s="94"/>
    </row>
    <row r="16" spans="1:19" s="147" customFormat="1" ht="9">
      <c r="A16" s="177" t="s">
        <v>435</v>
      </c>
      <c r="B16" s="44">
        <v>2</v>
      </c>
      <c r="C16" s="44"/>
      <c r="D16" s="52">
        <v>0</v>
      </c>
      <c r="E16" s="52">
        <v>0</v>
      </c>
      <c r="F16" s="52">
        <v>0</v>
      </c>
      <c r="G16" s="44">
        <v>1</v>
      </c>
      <c r="H16" s="44">
        <f>B16*G16</f>
        <v>2</v>
      </c>
      <c r="I16" s="91">
        <v>0</v>
      </c>
      <c r="J16" s="91">
        <f>H16*I16</f>
        <v>0</v>
      </c>
      <c r="K16" s="91">
        <f>J16*0.1</f>
        <v>0</v>
      </c>
      <c r="L16" s="91">
        <f>J16*0.05</f>
        <v>0</v>
      </c>
      <c r="M16" s="44">
        <f>C16*G16*I16</f>
        <v>0</v>
      </c>
      <c r="N16" s="52">
        <f>(J16*'Base Data'!$C$5)+(K16*'Base Data'!$C$6)+(L16*'Base Data'!$C$7)</f>
        <v>0</v>
      </c>
      <c r="O16" s="52">
        <f>(D16+E16+F16)*G16*I16</f>
        <v>0</v>
      </c>
      <c r="P16" s="92">
        <f>G16*I16</f>
        <v>0</v>
      </c>
      <c r="Q16" s="94" t="s">
        <v>387</v>
      </c>
    </row>
    <row r="17" spans="1:19" s="147" customFormat="1" ht="9">
      <c r="A17" s="177" t="s">
        <v>377</v>
      </c>
      <c r="B17" s="44">
        <v>8</v>
      </c>
      <c r="C17" s="44"/>
      <c r="D17" s="52">
        <v>0</v>
      </c>
      <c r="E17" s="52">
        <v>0</v>
      </c>
      <c r="F17" s="52">
        <v>0</v>
      </c>
      <c r="G17" s="44">
        <v>1</v>
      </c>
      <c r="H17" s="44">
        <f>B17*G17</f>
        <v>8</v>
      </c>
      <c r="I17" s="91">
        <f>SUM('Base Data'!$H$26:$H$27,'Base Data'!$H$31:$H$32,'Base Data'!$H$36:$H$37)</f>
        <v>887</v>
      </c>
      <c r="J17" s="91">
        <f>H17*I17</f>
        <v>7096</v>
      </c>
      <c r="K17" s="91">
        <f>J17*0.1</f>
        <v>709.6</v>
      </c>
      <c r="L17" s="91">
        <f>J17*0.05</f>
        <v>354.8</v>
      </c>
      <c r="M17" s="44">
        <f>C17*G17*I17</f>
        <v>0</v>
      </c>
      <c r="N17" s="52">
        <f>(J17*'Base Data'!$C$5)+(K17*'Base Data'!$C$6)+(L17*'Base Data'!$C$7)</f>
        <v>771885.14000000013</v>
      </c>
      <c r="O17" s="52">
        <f>(D17+E17+F17)*G17*I17</f>
        <v>0</v>
      </c>
      <c r="P17" s="92">
        <f>G17*I17</f>
        <v>887</v>
      </c>
      <c r="Q17" s="94" t="s">
        <v>388</v>
      </c>
    </row>
    <row r="18" spans="1:19" s="147" customFormat="1" ht="9">
      <c r="A18" s="177" t="s">
        <v>11</v>
      </c>
      <c r="B18" s="44">
        <v>5</v>
      </c>
      <c r="C18" s="44"/>
      <c r="D18" s="52">
        <v>0</v>
      </c>
      <c r="E18" s="52">
        <v>0</v>
      </c>
      <c r="F18" s="52">
        <v>0</v>
      </c>
      <c r="G18" s="44">
        <v>0.5</v>
      </c>
      <c r="H18" s="44">
        <f>B18*G18</f>
        <v>2.5</v>
      </c>
      <c r="I18" s="91">
        <f>SUM('Base Data'!$H$26:$H$27,'Base Data'!$H$31:$H$32,'Base Data'!$H$36:$H$37)</f>
        <v>887</v>
      </c>
      <c r="J18" s="91">
        <f>H18*I18</f>
        <v>2217.5</v>
      </c>
      <c r="K18" s="91">
        <f>J18*0.1</f>
        <v>221.75</v>
      </c>
      <c r="L18" s="91">
        <f>J18*0.05</f>
        <v>110.875</v>
      </c>
      <c r="M18" s="44">
        <f>C18*G18*I18</f>
        <v>0</v>
      </c>
      <c r="N18" s="52">
        <f>(J18*'Base Data'!$C$5)+(K18*'Base Data'!$C$6)+(L18*'Base Data'!$C$7)</f>
        <v>241214.10624999998</v>
      </c>
      <c r="O18" s="52">
        <f>(D18+E18+F18)*G18*I18</f>
        <v>0</v>
      </c>
      <c r="P18" s="92">
        <f>G18*I18</f>
        <v>443.5</v>
      </c>
      <c r="Q18" s="94" t="s">
        <v>12</v>
      </c>
    </row>
    <row r="19" spans="1:19" s="6" customFormat="1" ht="9">
      <c r="A19" s="177" t="s">
        <v>505</v>
      </c>
      <c r="B19" s="44">
        <v>5</v>
      </c>
      <c r="C19" s="18"/>
      <c r="D19" s="39">
        <v>0</v>
      </c>
      <c r="E19" s="39">
        <v>0</v>
      </c>
      <c r="F19" s="39">
        <v>0</v>
      </c>
      <c r="G19" s="18">
        <v>1</v>
      </c>
      <c r="H19" s="18">
        <f>B19*G19</f>
        <v>5</v>
      </c>
      <c r="I19" s="91">
        <f>SUM('Base Data'!$H$26:$H$27,'Base Data'!$H$31:$H$32,'Base Data'!$H$36:$H$37)</f>
        <v>887</v>
      </c>
      <c r="J19" s="19">
        <f>H19*I19</f>
        <v>4435</v>
      </c>
      <c r="K19" s="19">
        <f>J19*0.1</f>
        <v>443.5</v>
      </c>
      <c r="L19" s="19">
        <f>J19*0.05</f>
        <v>221.75</v>
      </c>
      <c r="M19" s="18">
        <f>C19*G19*I19</f>
        <v>0</v>
      </c>
      <c r="N19" s="39">
        <f>(J19*'Base Data'!$C$5)+(K19*'Base Data'!$C$6)+(L19*'Base Data'!$C$7)</f>
        <v>482428.21249999997</v>
      </c>
      <c r="O19" s="39">
        <f>(D19+E19+F19)*G19*I19</f>
        <v>0</v>
      </c>
      <c r="P19" s="19">
        <f>G19*I19</f>
        <v>887</v>
      </c>
      <c r="Q19" s="29" t="s">
        <v>388</v>
      </c>
    </row>
    <row r="20" spans="1:19" s="147" customFormat="1" ht="9">
      <c r="A20" s="148" t="s">
        <v>7</v>
      </c>
      <c r="B20" s="44"/>
      <c r="C20" s="44"/>
      <c r="D20" s="52"/>
      <c r="E20" s="52"/>
      <c r="F20" s="52"/>
      <c r="G20" s="44"/>
      <c r="H20" s="44"/>
      <c r="I20" s="92"/>
      <c r="J20" s="92">
        <f>SUM(J7:J19)</f>
        <v>45063.020000000004</v>
      </c>
      <c r="K20" s="92">
        <f t="shared" ref="K20:P20" si="0">SUM(K7:K19)</f>
        <v>4506.3019999999997</v>
      </c>
      <c r="L20" s="92">
        <f t="shared" si="0"/>
        <v>2253.1509999999998</v>
      </c>
      <c r="M20" s="92">
        <f t="shared" si="0"/>
        <v>0</v>
      </c>
      <c r="N20" s="39">
        <f t="shared" si="0"/>
        <v>4901842.6580500007</v>
      </c>
      <c r="O20" s="39">
        <f t="shared" si="0"/>
        <v>13042469.32</v>
      </c>
      <c r="P20" s="92">
        <f t="shared" si="0"/>
        <v>2217.5</v>
      </c>
      <c r="Q20" s="94"/>
      <c r="R20" s="149">
        <f>SUM(O7:O12)</f>
        <v>13042469.32</v>
      </c>
      <c r="S20" s="147">
        <f>0</f>
        <v>0</v>
      </c>
    </row>
    <row r="21" spans="1:19" s="147" customFormat="1" ht="9">
      <c r="A21" s="143" t="s">
        <v>431</v>
      </c>
      <c r="B21" s="44"/>
      <c r="C21" s="44"/>
      <c r="D21" s="52"/>
      <c r="E21" s="52"/>
      <c r="F21" s="52"/>
      <c r="G21" s="44"/>
      <c r="H21" s="44"/>
      <c r="I21" s="92"/>
      <c r="J21" s="44"/>
      <c r="K21" s="44"/>
      <c r="L21" s="44"/>
      <c r="M21" s="44"/>
      <c r="N21" s="52"/>
      <c r="O21" s="52"/>
      <c r="P21" s="92"/>
      <c r="Q21" s="94"/>
    </row>
    <row r="22" spans="1:19" s="147" customFormat="1" ht="9">
      <c r="A22" s="143" t="s">
        <v>418</v>
      </c>
      <c r="B22" s="44" t="s">
        <v>422</v>
      </c>
      <c r="C22" s="44"/>
      <c r="D22" s="52"/>
      <c r="E22" s="52"/>
      <c r="F22" s="52"/>
      <c r="G22" s="44"/>
      <c r="H22" s="44"/>
      <c r="I22" s="92"/>
      <c r="J22" s="44"/>
      <c r="K22" s="44"/>
      <c r="L22" s="44"/>
      <c r="M22" s="44"/>
      <c r="N22" s="52"/>
      <c r="O22" s="52"/>
      <c r="P22" s="92"/>
      <c r="Q22" s="94"/>
    </row>
    <row r="23" spans="1:19" s="147" customFormat="1" ht="9">
      <c r="A23" s="143" t="s">
        <v>419</v>
      </c>
      <c r="B23" s="44" t="s">
        <v>433</v>
      </c>
      <c r="C23" s="44"/>
      <c r="D23" s="52"/>
      <c r="E23" s="52"/>
      <c r="F23" s="52"/>
      <c r="G23" s="44"/>
      <c r="H23" s="44"/>
      <c r="I23" s="92"/>
      <c r="J23" s="44"/>
      <c r="K23" s="44"/>
      <c r="L23" s="44"/>
      <c r="M23" s="44"/>
      <c r="N23" s="52"/>
      <c r="O23" s="52"/>
      <c r="P23" s="92"/>
      <c r="Q23" s="94"/>
    </row>
    <row r="24" spans="1:19" s="147" customFormat="1" ht="9">
      <c r="A24" s="143" t="s">
        <v>420</v>
      </c>
      <c r="B24" s="44" t="s">
        <v>433</v>
      </c>
      <c r="C24" s="44"/>
      <c r="D24" s="52"/>
      <c r="E24" s="52"/>
      <c r="F24" s="52"/>
      <c r="G24" s="44"/>
      <c r="H24" s="44"/>
      <c r="I24" s="92"/>
      <c r="J24" s="44"/>
      <c r="K24" s="44"/>
      <c r="L24" s="44"/>
      <c r="M24" s="44"/>
      <c r="N24" s="52"/>
      <c r="O24" s="52"/>
      <c r="P24" s="92"/>
      <c r="Q24" s="94" t="s">
        <v>389</v>
      </c>
    </row>
    <row r="25" spans="1:19" s="147" customFormat="1" ht="9">
      <c r="A25" s="143" t="s">
        <v>421</v>
      </c>
      <c r="B25" s="44"/>
      <c r="C25" s="44"/>
      <c r="D25" s="52"/>
      <c r="E25" s="52"/>
      <c r="F25" s="52"/>
      <c r="G25" s="44"/>
      <c r="H25" s="44"/>
      <c r="I25" s="92"/>
      <c r="J25" s="44"/>
      <c r="K25" s="44"/>
      <c r="L25" s="44"/>
      <c r="M25" s="44"/>
      <c r="N25" s="52"/>
      <c r="O25" s="52"/>
      <c r="P25" s="92"/>
      <c r="Q25" s="94"/>
    </row>
    <row r="26" spans="1:19" s="147" customFormat="1" ht="19.5" customHeight="1">
      <c r="A26" s="177" t="s">
        <v>375</v>
      </c>
      <c r="B26" s="44">
        <v>2</v>
      </c>
      <c r="C26" s="44">
        <v>0</v>
      </c>
      <c r="D26" s="52">
        <v>0</v>
      </c>
      <c r="E26" s="52">
        <v>0</v>
      </c>
      <c r="F26" s="52">
        <v>0</v>
      </c>
      <c r="G26" s="44">
        <v>0.5</v>
      </c>
      <c r="H26" s="44">
        <f>B26*G26</f>
        <v>1</v>
      </c>
      <c r="I26" s="91">
        <f>SUM('Base Data'!$D$26:$D$27,'Base Data'!$D$31:$D$32,'Base Data'!$D$36:$D$37)</f>
        <v>7484</v>
      </c>
      <c r="J26" s="91">
        <f>H26*I26</f>
        <v>7484</v>
      </c>
      <c r="K26" s="91">
        <f>J26*0.1</f>
        <v>748.40000000000009</v>
      </c>
      <c r="L26" s="91">
        <f>J26*0.05</f>
        <v>374.20000000000005</v>
      </c>
      <c r="M26" s="44">
        <f>C26*G26*I26</f>
        <v>0</v>
      </c>
      <c r="N26" s="52">
        <f>(J26*'Base Data'!$C$5)+(K26*'Base Data'!$C$6)+(L26*'Base Data'!$C$7)</f>
        <v>814090.81</v>
      </c>
      <c r="O26" s="52">
        <f>(D26+E26+F26)*G26*I26</f>
        <v>0</v>
      </c>
      <c r="P26" s="92">
        <v>0</v>
      </c>
      <c r="Q26" s="94" t="s">
        <v>388</v>
      </c>
    </row>
    <row r="27" spans="1:19" s="147" customFormat="1" ht="18">
      <c r="A27" s="177" t="s">
        <v>376</v>
      </c>
      <c r="B27" s="44">
        <v>15</v>
      </c>
      <c r="C27" s="44">
        <v>0</v>
      </c>
      <c r="D27" s="52">
        <v>0</v>
      </c>
      <c r="E27" s="52">
        <v>0</v>
      </c>
      <c r="F27" s="52">
        <v>0</v>
      </c>
      <c r="G27" s="44">
        <v>1</v>
      </c>
      <c r="H27" s="44">
        <f>B27*G27</f>
        <v>15</v>
      </c>
      <c r="I27" s="91">
        <v>0</v>
      </c>
      <c r="J27" s="91">
        <f>H27*I27</f>
        <v>0</v>
      </c>
      <c r="K27" s="91">
        <f>J27*0.1</f>
        <v>0</v>
      </c>
      <c r="L27" s="91">
        <f>J27*0.05</f>
        <v>0</v>
      </c>
      <c r="M27" s="44">
        <f>C27*G27*I27</f>
        <v>0</v>
      </c>
      <c r="N27" s="52">
        <f>(J27*'Base Data'!$C$5)+(K27*'Base Data'!$C$6)+(L27*'Base Data'!$C$7)</f>
        <v>0</v>
      </c>
      <c r="O27" s="52">
        <f>(D27+E27+F27)*G27*I27</f>
        <v>0</v>
      </c>
      <c r="P27" s="92">
        <v>0</v>
      </c>
      <c r="Q27" s="94" t="s">
        <v>13</v>
      </c>
    </row>
    <row r="28" spans="1:19" s="147" customFormat="1" ht="9">
      <c r="A28" s="177" t="s">
        <v>251</v>
      </c>
      <c r="B28" s="44">
        <v>0.5</v>
      </c>
      <c r="C28" s="44"/>
      <c r="D28" s="52">
        <v>0</v>
      </c>
      <c r="E28" s="52">
        <v>0</v>
      </c>
      <c r="F28" s="52">
        <v>0</v>
      </c>
      <c r="G28" s="44">
        <v>0.5</v>
      </c>
      <c r="H28" s="44">
        <f>B28*G28</f>
        <v>0.25</v>
      </c>
      <c r="I28" s="91">
        <f>SUM('Base Data'!$D$26:$D$27,'Base Data'!$D$31:$D$32,'Base Data'!$D$36:$D$37)</f>
        <v>7484</v>
      </c>
      <c r="J28" s="91">
        <f>H28*I28</f>
        <v>1871</v>
      </c>
      <c r="K28" s="91">
        <f>J28*0.1</f>
        <v>187.10000000000002</v>
      </c>
      <c r="L28" s="91">
        <f>J28*0.05</f>
        <v>93.550000000000011</v>
      </c>
      <c r="M28" s="44">
        <f>C28*G28*I28</f>
        <v>0</v>
      </c>
      <c r="N28" s="52">
        <f>(J28*'Base Data'!$C$5)+(K28*'Base Data'!$C$6)+(L28*'Base Data'!$C$7)</f>
        <v>203522.70250000001</v>
      </c>
      <c r="O28" s="52">
        <f>(D28+E28+F28)*G28*I28</f>
        <v>0</v>
      </c>
      <c r="P28" s="92">
        <v>0</v>
      </c>
      <c r="Q28" s="94" t="s">
        <v>12</v>
      </c>
    </row>
    <row r="29" spans="1:19" s="6" customFormat="1" ht="9">
      <c r="A29" s="142" t="s">
        <v>427</v>
      </c>
      <c r="B29" s="44">
        <v>40</v>
      </c>
      <c r="C29" s="18"/>
      <c r="D29" s="39">
        <v>0</v>
      </c>
      <c r="E29" s="39">
        <v>0</v>
      </c>
      <c r="F29" s="39">
        <v>0</v>
      </c>
      <c r="G29" s="18">
        <v>1</v>
      </c>
      <c r="H29" s="18">
        <f t="shared" ref="H29" si="1">B29*G29</f>
        <v>40</v>
      </c>
      <c r="I29" s="91">
        <f>ROUNDDOWN(SUM('Base Data'!$H$26:$H$27,'Base Data'!$H$31:$H$32,'Base Data'!$H$36:$H$37)/2,0)</f>
        <v>443</v>
      </c>
      <c r="J29" s="19">
        <f t="shared" ref="J29" si="2">H29*I29</f>
        <v>17720</v>
      </c>
      <c r="K29" s="19">
        <f t="shared" ref="K29" si="3">J29*0.1</f>
        <v>1772</v>
      </c>
      <c r="L29" s="19">
        <f t="shared" ref="L29" si="4">J29*0.05</f>
        <v>886</v>
      </c>
      <c r="M29" s="18"/>
      <c r="N29" s="39">
        <f>(J29*'Base Data'!$C$5)+(K29*'Base Data'!$C$6)+(L29*'Base Data'!$C$7)</f>
        <v>1927537.2999999998</v>
      </c>
      <c r="O29" s="39">
        <f t="shared" ref="O29" si="5">(D29+E29+F29)*G29*I29</f>
        <v>0</v>
      </c>
      <c r="P29" s="92">
        <v>0</v>
      </c>
      <c r="Q29" s="29" t="s">
        <v>78</v>
      </c>
    </row>
    <row r="30" spans="1:19" s="147" customFormat="1" ht="9">
      <c r="A30" s="143" t="s">
        <v>428</v>
      </c>
      <c r="B30" s="44" t="s">
        <v>433</v>
      </c>
      <c r="C30" s="44"/>
      <c r="D30" s="52"/>
      <c r="E30" s="52"/>
      <c r="F30" s="52"/>
      <c r="G30" s="44"/>
      <c r="H30" s="44"/>
      <c r="I30" s="92"/>
      <c r="J30" s="44"/>
      <c r="K30" s="44"/>
      <c r="L30" s="44"/>
      <c r="M30" s="44"/>
      <c r="N30" s="52"/>
      <c r="O30" s="52"/>
      <c r="P30" s="92"/>
      <c r="Q30" s="94"/>
    </row>
    <row r="31" spans="1:19" s="147" customFormat="1" ht="9">
      <c r="A31" s="256" t="s">
        <v>27</v>
      </c>
      <c r="B31" s="239"/>
      <c r="C31" s="239"/>
      <c r="D31" s="240"/>
      <c r="E31" s="240"/>
      <c r="F31" s="240"/>
      <c r="G31" s="239"/>
      <c r="H31" s="239"/>
      <c r="I31" s="241"/>
      <c r="J31" s="239">
        <f t="shared" ref="J31:P31" si="6">SUM(J22:J30)</f>
        <v>27075</v>
      </c>
      <c r="K31" s="239">
        <f t="shared" si="6"/>
        <v>2707.5</v>
      </c>
      <c r="L31" s="239">
        <f t="shared" si="6"/>
        <v>1353.75</v>
      </c>
      <c r="M31" s="239">
        <f t="shared" si="6"/>
        <v>0</v>
      </c>
      <c r="N31" s="240">
        <f t="shared" si="6"/>
        <v>2945150.8125</v>
      </c>
      <c r="O31" s="240">
        <f t="shared" si="6"/>
        <v>0</v>
      </c>
      <c r="P31" s="92">
        <f t="shared" si="6"/>
        <v>0</v>
      </c>
      <c r="Q31" s="242"/>
      <c r="R31" s="149">
        <f>SUM(O22:O31)</f>
        <v>0</v>
      </c>
    </row>
    <row r="32" spans="1:19" s="147" customFormat="1">
      <c r="A32" s="186" t="s">
        <v>400</v>
      </c>
      <c r="B32" s="187"/>
      <c r="C32" s="187"/>
      <c r="D32" s="187"/>
      <c r="E32" s="187"/>
      <c r="F32" s="187"/>
      <c r="G32" s="187"/>
      <c r="H32" s="187"/>
      <c r="I32" s="189"/>
      <c r="J32" s="190">
        <f t="shared" ref="J32:P32" si="7">SUM(J20,J31)</f>
        <v>72138.02</v>
      </c>
      <c r="K32" s="190">
        <f t="shared" si="7"/>
        <v>7213.8019999999997</v>
      </c>
      <c r="L32" s="190">
        <f t="shared" si="7"/>
        <v>3606.9009999999998</v>
      </c>
      <c r="M32" s="190">
        <f t="shared" si="7"/>
        <v>0</v>
      </c>
      <c r="N32" s="191">
        <f t="shared" si="7"/>
        <v>7846993.4705500007</v>
      </c>
      <c r="O32" s="191">
        <f t="shared" si="7"/>
        <v>13042469.32</v>
      </c>
      <c r="P32" s="190">
        <f t="shared" si="7"/>
        <v>2217.5</v>
      </c>
      <c r="Q32" s="192"/>
    </row>
    <row r="33" spans="1:17" s="147" customFormat="1">
      <c r="A33" s="114"/>
      <c r="B33" s="54"/>
      <c r="C33" s="54"/>
      <c r="D33" s="54"/>
      <c r="E33" s="54"/>
      <c r="F33" s="54"/>
      <c r="G33" s="54"/>
      <c r="H33" s="54"/>
      <c r="I33" s="55"/>
      <c r="J33" s="54"/>
      <c r="K33" s="54"/>
      <c r="L33" s="54"/>
      <c r="M33" s="54"/>
      <c r="N33" s="54"/>
      <c r="O33" s="196"/>
      <c r="P33" s="196"/>
      <c r="Q33" s="54"/>
    </row>
    <row r="34" spans="1:17" s="147" customFormat="1" ht="9">
      <c r="A34" s="53" t="s">
        <v>390</v>
      </c>
      <c r="B34" s="56"/>
      <c r="C34" s="56"/>
      <c r="D34" s="56"/>
      <c r="E34" s="56"/>
      <c r="F34" s="56"/>
      <c r="G34" s="56"/>
      <c r="H34" s="56"/>
      <c r="I34" s="57"/>
      <c r="J34" s="56"/>
      <c r="K34" s="56"/>
      <c r="L34" s="56"/>
      <c r="M34" s="56"/>
      <c r="N34" s="56"/>
      <c r="O34" s="197"/>
      <c r="P34" s="197"/>
      <c r="Q34" s="56"/>
    </row>
    <row r="35" spans="1:17" s="53" customFormat="1" ht="19.5" customHeight="1">
      <c r="A35" s="409" t="s">
        <v>165</v>
      </c>
      <c r="B35" s="409"/>
      <c r="C35" s="409"/>
      <c r="D35" s="409"/>
      <c r="E35" s="409"/>
      <c r="F35" s="409"/>
      <c r="G35" s="409"/>
      <c r="H35" s="409"/>
      <c r="I35" s="409"/>
      <c r="J35" s="409"/>
      <c r="K35" s="409"/>
      <c r="L35" s="409"/>
      <c r="M35" s="409"/>
      <c r="N35" s="409"/>
      <c r="O35" s="409"/>
      <c r="P35" s="175"/>
      <c r="Q35" s="56"/>
    </row>
    <row r="36" spans="1:17" s="53" customFormat="1" ht="28.5" customHeight="1">
      <c r="A36" s="409" t="s">
        <v>2</v>
      </c>
      <c r="B36" s="409"/>
      <c r="C36" s="409"/>
      <c r="D36" s="409"/>
      <c r="E36" s="409"/>
      <c r="F36" s="409"/>
      <c r="G36" s="409"/>
      <c r="H36" s="409"/>
      <c r="I36" s="409"/>
      <c r="J36" s="409"/>
      <c r="K36" s="409"/>
      <c r="L36" s="409"/>
      <c r="M36" s="409"/>
      <c r="N36" s="409"/>
      <c r="O36" s="409"/>
      <c r="P36" s="175"/>
      <c r="Q36" s="56"/>
    </row>
    <row r="37" spans="1:17" s="53" customFormat="1" ht="18.75" customHeight="1">
      <c r="A37" s="409" t="s">
        <v>95</v>
      </c>
      <c r="B37" s="409"/>
      <c r="C37" s="409"/>
      <c r="D37" s="409"/>
      <c r="E37" s="409"/>
      <c r="F37" s="409"/>
      <c r="G37" s="409"/>
      <c r="H37" s="409"/>
      <c r="I37" s="409"/>
      <c r="J37" s="409"/>
      <c r="K37" s="409"/>
      <c r="L37" s="409"/>
      <c r="M37" s="409"/>
      <c r="N37" s="409"/>
      <c r="O37" s="409"/>
      <c r="P37" s="409"/>
      <c r="Q37" s="409"/>
    </row>
    <row r="38" spans="1:17" s="53" customFormat="1" ht="10.5" customHeight="1">
      <c r="A38" s="53" t="s">
        <v>441</v>
      </c>
      <c r="B38" s="56"/>
      <c r="C38" s="56"/>
      <c r="D38" s="56"/>
      <c r="E38" s="56"/>
      <c r="F38" s="56"/>
      <c r="G38" s="56"/>
      <c r="H38" s="56"/>
      <c r="I38" s="57"/>
      <c r="J38" s="56"/>
      <c r="K38" s="56"/>
      <c r="L38" s="56"/>
      <c r="M38" s="56"/>
      <c r="N38" s="56"/>
      <c r="O38" s="197"/>
      <c r="P38" s="197"/>
      <c r="Q38" s="56"/>
    </row>
    <row r="39" spans="1:17">
      <c r="A39" s="53" t="s">
        <v>572</v>
      </c>
    </row>
    <row r="40" spans="1:17">
      <c r="A40" s="53" t="s">
        <v>571</v>
      </c>
    </row>
    <row r="41" spans="1:17">
      <c r="A41" s="14" t="s">
        <v>570</v>
      </c>
    </row>
  </sheetData>
  <mergeCells count="5">
    <mergeCell ref="A37:Q37"/>
    <mergeCell ref="A1:Q1"/>
    <mergeCell ref="A2:Q2"/>
    <mergeCell ref="A35:O35"/>
    <mergeCell ref="A36:O36"/>
  </mergeCells>
  <phoneticPr fontId="7" type="noConversion"/>
  <printOptions horizontalCentered="1"/>
  <pageMargins left="0.25" right="0.25" top="0.5" bottom="0.5" header="0.5" footer="0.5"/>
  <pageSetup scale="85" orientation="landscape" r:id="rId1"/>
  <headerFooter alignWithMargins="0"/>
</worksheet>
</file>

<file path=xl/worksheets/sheet36.xml><?xml version="1.0" encoding="utf-8"?>
<worksheet xmlns="http://schemas.openxmlformats.org/spreadsheetml/2006/main" xmlns:r="http://schemas.openxmlformats.org/officeDocument/2006/relationships">
  <sheetPr>
    <pageSetUpPr fitToPage="1"/>
  </sheetPr>
  <dimension ref="A1:S93"/>
  <sheetViews>
    <sheetView zoomScaleNormal="100" workbookViewId="0">
      <pane xSplit="1" ySplit="3" topLeftCell="B4" activePane="bottomRight" state="frozen"/>
      <selection activeCell="P31" sqref="P31"/>
      <selection pane="topRight" activeCell="P31" sqref="P31"/>
      <selection pane="bottomLeft" activeCell="P31" sqref="P31"/>
      <selection pane="bottomRight" activeCell="P10" sqref="P10"/>
    </sheetView>
  </sheetViews>
  <sheetFormatPr defaultRowHeight="11.25"/>
  <cols>
    <col min="1" max="1" width="36.5703125" style="114" customWidth="1"/>
    <col min="2" max="2" width="8.85546875" style="54" bestFit="1" customWidth="1"/>
    <col min="3" max="3" width="8" style="54" hidden="1" customWidth="1"/>
    <col min="4" max="4" width="8.42578125" style="54" bestFit="1" customWidth="1"/>
    <col min="5" max="5" width="9.28515625" style="54" bestFit="1" customWidth="1"/>
    <col min="6" max="6" width="8.42578125" style="54" customWidth="1"/>
    <col min="7" max="7" width="9.28515625" style="54" bestFit="1" customWidth="1"/>
    <col min="8" max="8" width="8.42578125" style="54" customWidth="1"/>
    <col min="9" max="9" width="9.42578125" style="55" bestFit="1" customWidth="1"/>
    <col min="10" max="11" width="6.85546875" style="54" bestFit="1" customWidth="1"/>
    <col min="12" max="12" width="9.28515625" style="54" customWidth="1"/>
    <col min="13" max="13" width="7.85546875" style="54" hidden="1" customWidth="1"/>
    <col min="14" max="14" width="8.42578125" style="54" bestFit="1" customWidth="1"/>
    <col min="15" max="15" width="8.85546875" style="196" customWidth="1"/>
    <col min="16" max="16" width="8.5703125" style="196" bestFit="1" customWidth="1"/>
    <col min="17" max="17" width="2.5703125" style="54" bestFit="1" customWidth="1"/>
    <col min="18" max="19" width="9.140625" style="114" hidden="1" customWidth="1"/>
    <col min="20" max="20" width="11.140625" style="114" customWidth="1"/>
    <col min="21" max="21" width="8.5703125" style="114" customWidth="1"/>
    <col min="22" max="16384" width="9.140625" style="114"/>
  </cols>
  <sheetData>
    <row r="1" spans="1:19">
      <c r="A1" s="410" t="s">
        <v>295</v>
      </c>
      <c r="B1" s="410"/>
      <c r="C1" s="410"/>
      <c r="D1" s="410"/>
      <c r="E1" s="410"/>
      <c r="F1" s="410"/>
      <c r="G1" s="410"/>
      <c r="H1" s="410"/>
      <c r="I1" s="410"/>
      <c r="J1" s="410"/>
      <c r="K1" s="410"/>
      <c r="L1" s="410"/>
      <c r="M1" s="410"/>
      <c r="N1" s="410"/>
      <c r="O1" s="410"/>
      <c r="P1" s="410"/>
      <c r="Q1" s="410"/>
    </row>
    <row r="2" spans="1:19">
      <c r="A2" s="411" t="s">
        <v>296</v>
      </c>
      <c r="B2" s="411"/>
      <c r="C2" s="411"/>
      <c r="D2" s="411"/>
      <c r="E2" s="411"/>
      <c r="F2" s="411"/>
      <c r="G2" s="411"/>
      <c r="H2" s="411"/>
      <c r="I2" s="411"/>
      <c r="J2" s="411"/>
      <c r="K2" s="411"/>
      <c r="L2" s="411"/>
      <c r="M2" s="411"/>
      <c r="N2" s="411"/>
      <c r="O2" s="411"/>
      <c r="P2" s="411"/>
      <c r="Q2" s="411"/>
    </row>
    <row r="3" spans="1:19" s="193" customFormat="1" ht="63">
      <c r="A3" s="45" t="s">
        <v>392</v>
      </c>
      <c r="B3" s="45" t="s">
        <v>393</v>
      </c>
      <c r="C3" s="45" t="s">
        <v>430</v>
      </c>
      <c r="D3" s="45" t="s">
        <v>4</v>
      </c>
      <c r="E3" s="45" t="s">
        <v>94</v>
      </c>
      <c r="F3" s="45" t="s">
        <v>5</v>
      </c>
      <c r="G3" s="12" t="s">
        <v>176</v>
      </c>
      <c r="H3" s="45" t="s">
        <v>459</v>
      </c>
      <c r="I3" s="60" t="s">
        <v>460</v>
      </c>
      <c r="J3" s="100" t="s">
        <v>462</v>
      </c>
      <c r="K3" s="100" t="s">
        <v>463</v>
      </c>
      <c r="L3" s="100" t="s">
        <v>461</v>
      </c>
      <c r="M3" s="45" t="s">
        <v>391</v>
      </c>
      <c r="N3" s="45" t="s">
        <v>8</v>
      </c>
      <c r="O3" s="100" t="s">
        <v>96</v>
      </c>
      <c r="P3" s="100" t="s">
        <v>175</v>
      </c>
      <c r="Q3" s="182" t="s">
        <v>394</v>
      </c>
      <c r="R3" s="193" t="s">
        <v>307</v>
      </c>
      <c r="S3" s="193" t="s">
        <v>308</v>
      </c>
    </row>
    <row r="4" spans="1:19" s="147" customFormat="1" ht="9">
      <c r="A4" s="194" t="s">
        <v>405</v>
      </c>
      <c r="B4" s="179" t="s">
        <v>433</v>
      </c>
      <c r="C4" s="179"/>
      <c r="D4" s="181"/>
      <c r="E4" s="181"/>
      <c r="F4" s="181"/>
      <c r="G4" s="179"/>
      <c r="H4" s="179"/>
      <c r="I4" s="183"/>
      <c r="J4" s="179"/>
      <c r="K4" s="179"/>
      <c r="L4" s="179"/>
      <c r="M4" s="179"/>
      <c r="N4" s="181"/>
      <c r="O4" s="181"/>
      <c r="P4" s="181"/>
      <c r="Q4" s="249"/>
    </row>
    <row r="5" spans="1:19" s="147" customFormat="1" ht="9">
      <c r="A5" s="143" t="s">
        <v>406</v>
      </c>
      <c r="B5" s="44" t="s">
        <v>433</v>
      </c>
      <c r="C5" s="44"/>
      <c r="D5" s="52"/>
      <c r="E5" s="52"/>
      <c r="F5" s="52"/>
      <c r="G5" s="44"/>
      <c r="H5" s="44"/>
      <c r="I5" s="92"/>
      <c r="J5" s="44"/>
      <c r="K5" s="44"/>
      <c r="L5" s="44"/>
      <c r="M5" s="44"/>
      <c r="N5" s="52"/>
      <c r="O5" s="52"/>
      <c r="P5" s="52"/>
      <c r="Q5" s="94"/>
    </row>
    <row r="6" spans="1:19" s="147" customFormat="1" ht="9">
      <c r="A6" s="143" t="s">
        <v>407</v>
      </c>
      <c r="B6" s="44"/>
      <c r="C6" s="44"/>
      <c r="D6" s="52"/>
      <c r="E6" s="52"/>
      <c r="F6" s="52"/>
      <c r="G6" s="44"/>
      <c r="H6" s="44"/>
      <c r="I6" s="92"/>
      <c r="J6" s="44"/>
      <c r="K6" s="44"/>
      <c r="L6" s="44"/>
      <c r="M6" s="44"/>
      <c r="N6" s="52"/>
      <c r="O6" s="52"/>
      <c r="P6" s="52"/>
      <c r="Q6" s="94"/>
    </row>
    <row r="7" spans="1:19" s="147" customFormat="1" ht="9">
      <c r="A7" s="143" t="s">
        <v>408</v>
      </c>
      <c r="B7" s="44">
        <v>40</v>
      </c>
      <c r="C7" s="44"/>
      <c r="D7" s="52">
        <v>0</v>
      </c>
      <c r="E7" s="52">
        <v>0</v>
      </c>
      <c r="F7" s="52">
        <v>0</v>
      </c>
      <c r="G7" s="44">
        <v>1</v>
      </c>
      <c r="H7" s="44">
        <f>B7*G7</f>
        <v>40</v>
      </c>
      <c r="I7" s="91">
        <v>0</v>
      </c>
      <c r="J7" s="91">
        <f>H7*I7</f>
        <v>0</v>
      </c>
      <c r="K7" s="91">
        <f>J7*0.1</f>
        <v>0</v>
      </c>
      <c r="L7" s="91">
        <f>J7*0.05</f>
        <v>0</v>
      </c>
      <c r="M7" s="44">
        <f>C7*G7*I7</f>
        <v>0</v>
      </c>
      <c r="N7" s="52">
        <f>(J7*'Base Data'!$C$5)+(K7*'Base Data'!$C$6)+(L7*'Base Data'!$C$7)</f>
        <v>0</v>
      </c>
      <c r="O7" s="52">
        <f>(D7+E7+F7)*G7*I7</f>
        <v>0</v>
      </c>
      <c r="P7" s="92">
        <v>0</v>
      </c>
      <c r="Q7" s="94" t="s">
        <v>387</v>
      </c>
    </row>
    <row r="8" spans="1:19" s="147" customFormat="1" ht="9">
      <c r="A8" s="143" t="s">
        <v>409</v>
      </c>
      <c r="B8" s="44"/>
      <c r="C8" s="44"/>
      <c r="D8" s="52"/>
      <c r="E8" s="52"/>
      <c r="F8" s="52"/>
      <c r="G8" s="44"/>
      <c r="H8" s="44"/>
      <c r="I8" s="92"/>
      <c r="J8" s="44"/>
      <c r="K8" s="44"/>
      <c r="L8" s="44"/>
      <c r="M8" s="44"/>
      <c r="N8" s="52"/>
      <c r="O8" s="52"/>
      <c r="P8" s="92"/>
      <c r="Q8" s="94"/>
    </row>
    <row r="9" spans="1:19" s="147" customFormat="1" ht="9">
      <c r="A9" s="143" t="s">
        <v>500</v>
      </c>
      <c r="B9" s="44">
        <v>12</v>
      </c>
      <c r="C9" s="44"/>
      <c r="D9" s="52">
        <v>0</v>
      </c>
      <c r="E9" s="52">
        <v>2228</v>
      </c>
      <c r="F9" s="52">
        <v>0</v>
      </c>
      <c r="G9" s="44">
        <v>0.5</v>
      </c>
      <c r="H9" s="44">
        <f>B9*G9</f>
        <v>6</v>
      </c>
      <c r="I9" s="91">
        <v>0</v>
      </c>
      <c r="J9" s="91">
        <f>H9*I9</f>
        <v>0</v>
      </c>
      <c r="K9" s="91">
        <f>J9*0.1</f>
        <v>0</v>
      </c>
      <c r="L9" s="91">
        <f>J9*0.05</f>
        <v>0</v>
      </c>
      <c r="M9" s="92"/>
      <c r="N9" s="52">
        <f>(J9*'Base Data'!$C$5)+(K9*'Base Data'!$C$6)+(L9*'Base Data'!$C$7)</f>
        <v>0</v>
      </c>
      <c r="O9" s="52">
        <f>(D9+E9+F9)*I9</f>
        <v>0</v>
      </c>
      <c r="P9" s="92">
        <v>0</v>
      </c>
      <c r="Q9" s="94"/>
    </row>
    <row r="10" spans="1:19" s="147" customFormat="1" ht="9">
      <c r="A10" s="143" t="s">
        <v>415</v>
      </c>
      <c r="B10" s="44" t="s">
        <v>433</v>
      </c>
      <c r="C10" s="44"/>
      <c r="D10" s="52"/>
      <c r="E10" s="52"/>
      <c r="F10" s="52"/>
      <c r="G10" s="44"/>
      <c r="H10" s="44"/>
      <c r="I10" s="92"/>
      <c r="J10" s="44"/>
      <c r="K10" s="44"/>
      <c r="L10" s="44"/>
      <c r="M10" s="44"/>
      <c r="N10" s="52"/>
      <c r="O10" s="52"/>
      <c r="P10" s="92"/>
      <c r="Q10" s="94"/>
    </row>
    <row r="11" spans="1:19" s="147" customFormat="1" ht="9">
      <c r="A11" s="143" t="s">
        <v>416</v>
      </c>
      <c r="B11" s="44" t="s">
        <v>433</v>
      </c>
      <c r="C11" s="44"/>
      <c r="D11" s="52"/>
      <c r="E11" s="52"/>
      <c r="F11" s="52"/>
      <c r="G11" s="44"/>
      <c r="H11" s="44"/>
      <c r="I11" s="92"/>
      <c r="J11" s="44"/>
      <c r="K11" s="44"/>
      <c r="L11" s="44"/>
      <c r="M11" s="44"/>
      <c r="N11" s="52"/>
      <c r="O11" s="52"/>
      <c r="P11" s="92"/>
      <c r="Q11" s="94"/>
    </row>
    <row r="12" spans="1:19" s="147" customFormat="1" ht="9">
      <c r="A12" s="143" t="s">
        <v>417</v>
      </c>
      <c r="B12" s="44"/>
      <c r="C12" s="44"/>
      <c r="D12" s="52"/>
      <c r="E12" s="52"/>
      <c r="F12" s="52"/>
      <c r="G12" s="44"/>
      <c r="H12" s="44"/>
      <c r="I12" s="92"/>
      <c r="J12" s="44"/>
      <c r="K12" s="44"/>
      <c r="L12" s="44"/>
      <c r="M12" s="44"/>
      <c r="N12" s="52"/>
      <c r="O12" s="52"/>
      <c r="P12" s="92"/>
      <c r="Q12" s="94"/>
    </row>
    <row r="13" spans="1:19" s="147" customFormat="1" ht="9">
      <c r="A13" s="177" t="s">
        <v>435</v>
      </c>
      <c r="B13" s="44">
        <v>2</v>
      </c>
      <c r="C13" s="44"/>
      <c r="D13" s="52">
        <v>0</v>
      </c>
      <c r="E13" s="52">
        <v>0</v>
      </c>
      <c r="F13" s="52">
        <v>0</v>
      </c>
      <c r="G13" s="44">
        <v>1</v>
      </c>
      <c r="H13" s="44">
        <f>B13*G13</f>
        <v>2</v>
      </c>
      <c r="I13" s="91">
        <v>0</v>
      </c>
      <c r="J13" s="91">
        <f>H13*I13</f>
        <v>0</v>
      </c>
      <c r="K13" s="91">
        <f>J13*0.1</f>
        <v>0</v>
      </c>
      <c r="L13" s="91">
        <f>J13*0.05</f>
        <v>0</v>
      </c>
      <c r="M13" s="44">
        <f>C13*G13*I13</f>
        <v>0</v>
      </c>
      <c r="N13" s="52">
        <f>(J13*'Base Data'!$C$5)+(K13*'Base Data'!$C$6)+(L13*'Base Data'!$C$7)</f>
        <v>0</v>
      </c>
      <c r="O13" s="52">
        <f>(D13+E13+F13)*G13*I13</f>
        <v>0</v>
      </c>
      <c r="P13" s="92">
        <f>G13*I13</f>
        <v>0</v>
      </c>
      <c r="Q13" s="94"/>
    </row>
    <row r="14" spans="1:19" s="147" customFormat="1" ht="9">
      <c r="A14" s="177" t="s">
        <v>377</v>
      </c>
      <c r="B14" s="44">
        <v>8</v>
      </c>
      <c r="C14" s="44"/>
      <c r="D14" s="52">
        <v>0</v>
      </c>
      <c r="E14" s="52">
        <v>0</v>
      </c>
      <c r="F14" s="52">
        <v>0</v>
      </c>
      <c r="G14" s="44">
        <v>1</v>
      </c>
      <c r="H14" s="44">
        <f>B14*G14</f>
        <v>8</v>
      </c>
      <c r="I14" s="92">
        <v>0</v>
      </c>
      <c r="J14" s="91">
        <f>H14*I14</f>
        <v>0</v>
      </c>
      <c r="K14" s="91">
        <f>J14*0.1</f>
        <v>0</v>
      </c>
      <c r="L14" s="91">
        <f>J14*0.05</f>
        <v>0</v>
      </c>
      <c r="M14" s="44">
        <f>C14*G14*I14</f>
        <v>0</v>
      </c>
      <c r="N14" s="52">
        <f>(J14*'Base Data'!$C$5)+(K14*'Base Data'!$C$6)+(L14*'Base Data'!$C$7)</f>
        <v>0</v>
      </c>
      <c r="O14" s="52">
        <f>(D14+E14+F14)*G14*I14</f>
        <v>0</v>
      </c>
      <c r="P14" s="92">
        <f>G14*I14</f>
        <v>0</v>
      </c>
      <c r="Q14" s="94"/>
    </row>
    <row r="15" spans="1:19" s="147" customFormat="1" ht="9">
      <c r="A15" s="177" t="s">
        <v>11</v>
      </c>
      <c r="B15" s="44">
        <v>5</v>
      </c>
      <c r="C15" s="44"/>
      <c r="D15" s="52">
        <v>0</v>
      </c>
      <c r="E15" s="52">
        <v>0</v>
      </c>
      <c r="F15" s="52">
        <v>0</v>
      </c>
      <c r="G15" s="44">
        <v>0.5</v>
      </c>
      <c r="H15" s="44">
        <f>B15*G15</f>
        <v>2.5</v>
      </c>
      <c r="I15" s="92">
        <v>0</v>
      </c>
      <c r="J15" s="91">
        <f>H15*I15</f>
        <v>0</v>
      </c>
      <c r="K15" s="91">
        <f>J15*0.1</f>
        <v>0</v>
      </c>
      <c r="L15" s="91">
        <f>J15*0.05</f>
        <v>0</v>
      </c>
      <c r="M15" s="44">
        <f>C15*G15*I15</f>
        <v>0</v>
      </c>
      <c r="N15" s="52">
        <f>(J15*'Base Data'!$C$5)+(K15*'Base Data'!$C$6)+(L15*'Base Data'!$C$7)</f>
        <v>0</v>
      </c>
      <c r="O15" s="52">
        <f>(D15+E15+F15)*G15*I15</f>
        <v>0</v>
      </c>
      <c r="P15" s="92">
        <f>G15*I15</f>
        <v>0</v>
      </c>
      <c r="Q15" s="94"/>
    </row>
    <row r="16" spans="1:19" s="147" customFormat="1" ht="9">
      <c r="A16" s="148" t="s">
        <v>7</v>
      </c>
      <c r="B16" s="44"/>
      <c r="C16" s="44"/>
      <c r="D16" s="52"/>
      <c r="E16" s="52"/>
      <c r="F16" s="52"/>
      <c r="G16" s="44"/>
      <c r="H16" s="44"/>
      <c r="I16" s="92"/>
      <c r="J16" s="92">
        <f t="shared" ref="J16:O16" si="0">SUM(J7:J15)</f>
        <v>0</v>
      </c>
      <c r="K16" s="92">
        <f t="shared" si="0"/>
        <v>0</v>
      </c>
      <c r="L16" s="92">
        <f t="shared" si="0"/>
        <v>0</v>
      </c>
      <c r="M16" s="92">
        <f t="shared" si="0"/>
        <v>0</v>
      </c>
      <c r="N16" s="92">
        <f t="shared" si="0"/>
        <v>0</v>
      </c>
      <c r="O16" s="92">
        <f t="shared" si="0"/>
        <v>0</v>
      </c>
      <c r="P16" s="92">
        <f>SUM(P13:P15)</f>
        <v>0</v>
      </c>
      <c r="Q16" s="94"/>
      <c r="R16" s="149">
        <f>SUM(O7:O9)</f>
        <v>0</v>
      </c>
      <c r="S16" s="147">
        <f>0</f>
        <v>0</v>
      </c>
    </row>
    <row r="17" spans="1:18" s="147" customFormat="1" ht="9">
      <c r="A17" s="143" t="s">
        <v>431</v>
      </c>
      <c r="B17" s="44"/>
      <c r="C17" s="44"/>
      <c r="D17" s="52"/>
      <c r="E17" s="52"/>
      <c r="F17" s="52"/>
      <c r="G17" s="44"/>
      <c r="H17" s="44"/>
      <c r="I17" s="92"/>
      <c r="J17" s="44"/>
      <c r="K17" s="44"/>
      <c r="L17" s="44"/>
      <c r="M17" s="44"/>
      <c r="N17" s="52"/>
      <c r="O17" s="52"/>
      <c r="P17" s="92"/>
      <c r="Q17" s="94"/>
    </row>
    <row r="18" spans="1:18" s="147" customFormat="1" ht="9">
      <c r="A18" s="143" t="s">
        <v>418</v>
      </c>
      <c r="B18" s="44" t="s">
        <v>422</v>
      </c>
      <c r="C18" s="44"/>
      <c r="D18" s="52"/>
      <c r="E18" s="52"/>
      <c r="F18" s="52"/>
      <c r="G18" s="44"/>
      <c r="H18" s="44"/>
      <c r="I18" s="92"/>
      <c r="J18" s="44"/>
      <c r="K18" s="44"/>
      <c r="L18" s="44"/>
      <c r="M18" s="44"/>
      <c r="N18" s="52"/>
      <c r="O18" s="52"/>
      <c r="P18" s="92"/>
      <c r="Q18" s="94"/>
    </row>
    <row r="19" spans="1:18" s="147" customFormat="1" ht="9">
      <c r="A19" s="143" t="s">
        <v>419</v>
      </c>
      <c r="B19" s="44" t="s">
        <v>433</v>
      </c>
      <c r="C19" s="44"/>
      <c r="D19" s="52"/>
      <c r="E19" s="52"/>
      <c r="F19" s="52"/>
      <c r="G19" s="44"/>
      <c r="H19" s="44"/>
      <c r="I19" s="92"/>
      <c r="J19" s="44"/>
      <c r="K19" s="44"/>
      <c r="L19" s="44"/>
      <c r="M19" s="44"/>
      <c r="N19" s="52"/>
      <c r="O19" s="52"/>
      <c r="P19" s="92"/>
      <c r="Q19" s="94"/>
    </row>
    <row r="20" spans="1:18" s="147" customFormat="1" ht="9">
      <c r="A20" s="143" t="s">
        <v>420</v>
      </c>
      <c r="B20" s="44" t="s">
        <v>433</v>
      </c>
      <c r="C20" s="44"/>
      <c r="D20" s="52"/>
      <c r="E20" s="52"/>
      <c r="F20" s="52"/>
      <c r="G20" s="44"/>
      <c r="H20" s="44"/>
      <c r="I20" s="92"/>
      <c r="J20" s="44"/>
      <c r="K20" s="44"/>
      <c r="L20" s="44"/>
      <c r="M20" s="44"/>
      <c r="N20" s="52"/>
      <c r="O20" s="52"/>
      <c r="P20" s="92"/>
      <c r="Q20" s="94"/>
    </row>
    <row r="21" spans="1:18" s="147" customFormat="1" ht="9">
      <c r="A21" s="143" t="s">
        <v>421</v>
      </c>
      <c r="B21" s="44"/>
      <c r="C21" s="44"/>
      <c r="D21" s="52"/>
      <c r="E21" s="52"/>
      <c r="F21" s="52"/>
      <c r="G21" s="44"/>
      <c r="H21" s="44"/>
      <c r="I21" s="92"/>
      <c r="J21" s="44"/>
      <c r="K21" s="44"/>
      <c r="L21" s="44"/>
      <c r="M21" s="44"/>
      <c r="N21" s="52"/>
      <c r="O21" s="52"/>
      <c r="P21" s="92"/>
      <c r="Q21" s="94"/>
    </row>
    <row r="22" spans="1:18" s="147" customFormat="1" ht="19.5" customHeight="1">
      <c r="A22" s="177" t="s">
        <v>375</v>
      </c>
      <c r="B22" s="44">
        <v>2</v>
      </c>
      <c r="C22" s="44">
        <v>0</v>
      </c>
      <c r="D22" s="52">
        <v>0</v>
      </c>
      <c r="E22" s="52">
        <v>0</v>
      </c>
      <c r="F22" s="52">
        <v>0</v>
      </c>
      <c r="G22" s="44">
        <v>0.5</v>
      </c>
      <c r="H22" s="44">
        <f>B22*G22</f>
        <v>1</v>
      </c>
      <c r="I22" s="92">
        <v>0</v>
      </c>
      <c r="J22" s="91">
        <f>H22*I22</f>
        <v>0</v>
      </c>
      <c r="K22" s="91">
        <f>J22*0.1</f>
        <v>0</v>
      </c>
      <c r="L22" s="91">
        <f>J22*0.05</f>
        <v>0</v>
      </c>
      <c r="M22" s="44">
        <f>C22*G22*I22</f>
        <v>0</v>
      </c>
      <c r="N22" s="52">
        <f>(J22*'Base Data'!$C$5)+(K22*'Base Data'!$C$6)+(L22*'Base Data'!$C$7)</f>
        <v>0</v>
      </c>
      <c r="O22" s="52">
        <f>(D22+E22+F22)*G22*I22</f>
        <v>0</v>
      </c>
      <c r="P22" s="92">
        <f>G22*I22</f>
        <v>0</v>
      </c>
      <c r="Q22" s="94"/>
    </row>
    <row r="23" spans="1:18" s="147" customFormat="1" ht="9">
      <c r="A23" s="177" t="s">
        <v>251</v>
      </c>
      <c r="B23" s="44">
        <v>0.5</v>
      </c>
      <c r="C23" s="44"/>
      <c r="D23" s="52">
        <v>0</v>
      </c>
      <c r="E23" s="52">
        <v>0</v>
      </c>
      <c r="F23" s="52">
        <v>0</v>
      </c>
      <c r="G23" s="44">
        <v>0.5</v>
      </c>
      <c r="H23" s="44">
        <f>B23*G23</f>
        <v>0.25</v>
      </c>
      <c r="I23" s="92">
        <v>0</v>
      </c>
      <c r="J23" s="91">
        <f>H23*I23</f>
        <v>0</v>
      </c>
      <c r="K23" s="91">
        <f>J23*0.1</f>
        <v>0</v>
      </c>
      <c r="L23" s="91">
        <f>J23*0.05</f>
        <v>0</v>
      </c>
      <c r="M23" s="44">
        <f>C23*G23*I23</f>
        <v>0</v>
      </c>
      <c r="N23" s="52">
        <f>(J23*'Base Data'!$C$5)+(K23*'Base Data'!$C$6)+(L23*'Base Data'!$C$7)</f>
        <v>0</v>
      </c>
      <c r="O23" s="52">
        <f>(D23+E23+F23)*G23*I23</f>
        <v>0</v>
      </c>
      <c r="P23" s="92">
        <f>G23*I23</f>
        <v>0</v>
      </c>
      <c r="Q23" s="94"/>
    </row>
    <row r="24" spans="1:18" s="6" customFormat="1" ht="9">
      <c r="A24" s="142" t="s">
        <v>427</v>
      </c>
      <c r="B24" s="44">
        <v>40</v>
      </c>
      <c r="C24" s="18"/>
      <c r="D24" s="39">
        <v>0</v>
      </c>
      <c r="E24" s="39">
        <v>0</v>
      </c>
      <c r="F24" s="39">
        <v>0</v>
      </c>
      <c r="G24" s="18">
        <v>1</v>
      </c>
      <c r="H24" s="18">
        <f t="shared" ref="H24" si="1">B24*G24</f>
        <v>40</v>
      </c>
      <c r="I24" s="91">
        <v>0</v>
      </c>
      <c r="J24" s="19">
        <f t="shared" ref="J24" si="2">H24*I24</f>
        <v>0</v>
      </c>
      <c r="K24" s="19">
        <f t="shared" ref="K24" si="3">J24*0.1</f>
        <v>0</v>
      </c>
      <c r="L24" s="19">
        <f t="shared" ref="L24" si="4">J24*0.05</f>
        <v>0</v>
      </c>
      <c r="M24" s="18"/>
      <c r="N24" s="39">
        <f>(J24*'Base Data'!$C$5)+(K24*'Base Data'!$C$6)+(L24*'Base Data'!$C$7)</f>
        <v>0</v>
      </c>
      <c r="O24" s="39">
        <f t="shared" ref="O24" si="5">(D24+E24+F24)*G24*I24</f>
        <v>0</v>
      </c>
      <c r="P24" s="39"/>
      <c r="Q24" s="29"/>
    </row>
    <row r="25" spans="1:18" s="147" customFormat="1" ht="9">
      <c r="A25" s="143" t="s">
        <v>428</v>
      </c>
      <c r="B25" s="44" t="s">
        <v>433</v>
      </c>
      <c r="C25" s="44"/>
      <c r="D25" s="52"/>
      <c r="E25" s="52"/>
      <c r="F25" s="52"/>
      <c r="G25" s="44"/>
      <c r="H25" s="44"/>
      <c r="I25" s="92"/>
      <c r="J25" s="44"/>
      <c r="K25" s="44"/>
      <c r="L25" s="44"/>
      <c r="M25" s="44"/>
      <c r="N25" s="52"/>
      <c r="O25" s="52"/>
      <c r="P25" s="92"/>
      <c r="Q25" s="94"/>
    </row>
    <row r="26" spans="1:18" s="147" customFormat="1" ht="9">
      <c r="A26" s="256" t="s">
        <v>27</v>
      </c>
      <c r="B26" s="239"/>
      <c r="C26" s="239"/>
      <c r="D26" s="240"/>
      <c r="E26" s="240"/>
      <c r="F26" s="240"/>
      <c r="G26" s="239"/>
      <c r="H26" s="239"/>
      <c r="I26" s="241"/>
      <c r="J26" s="239">
        <f t="shared" ref="J26:O26" si="6">SUM(J18:J25)</f>
        <v>0</v>
      </c>
      <c r="K26" s="239">
        <f t="shared" si="6"/>
        <v>0</v>
      </c>
      <c r="L26" s="239">
        <f t="shared" si="6"/>
        <v>0</v>
      </c>
      <c r="M26" s="239">
        <f t="shared" si="6"/>
        <v>0</v>
      </c>
      <c r="N26" s="240">
        <f t="shared" si="6"/>
        <v>0</v>
      </c>
      <c r="O26" s="240">
        <f t="shared" si="6"/>
        <v>0</v>
      </c>
      <c r="P26" s="241">
        <f>SUM(P18:P25)</f>
        <v>0</v>
      </c>
      <c r="Q26" s="242"/>
      <c r="R26" s="149">
        <f>SUM(O18:O26)</f>
        <v>0</v>
      </c>
    </row>
    <row r="27" spans="1:18" s="147" customFormat="1">
      <c r="A27" s="186" t="s">
        <v>400</v>
      </c>
      <c r="B27" s="187"/>
      <c r="C27" s="187"/>
      <c r="D27" s="187"/>
      <c r="E27" s="187"/>
      <c r="F27" s="187"/>
      <c r="G27" s="187"/>
      <c r="H27" s="187"/>
      <c r="I27" s="189"/>
      <c r="J27" s="190">
        <f t="shared" ref="J27:P27" si="7">SUM(J16,J26)</f>
        <v>0</v>
      </c>
      <c r="K27" s="190">
        <f t="shared" si="7"/>
        <v>0</v>
      </c>
      <c r="L27" s="190">
        <f t="shared" si="7"/>
        <v>0</v>
      </c>
      <c r="M27" s="190">
        <f t="shared" si="7"/>
        <v>0</v>
      </c>
      <c r="N27" s="191">
        <f t="shared" si="7"/>
        <v>0</v>
      </c>
      <c r="O27" s="191">
        <f t="shared" si="7"/>
        <v>0</v>
      </c>
      <c r="P27" s="190">
        <f t="shared" si="7"/>
        <v>0</v>
      </c>
      <c r="Q27" s="192"/>
    </row>
    <row r="28" spans="1:18" s="147" customFormat="1">
      <c r="A28" s="114"/>
      <c r="B28" s="54"/>
      <c r="C28" s="54"/>
      <c r="D28" s="54"/>
      <c r="E28" s="54"/>
      <c r="F28" s="54"/>
      <c r="G28" s="54"/>
      <c r="H28" s="54"/>
      <c r="I28" s="55"/>
      <c r="J28" s="54"/>
      <c r="K28" s="54"/>
      <c r="L28" s="54"/>
      <c r="M28" s="54"/>
      <c r="N28" s="54"/>
      <c r="O28" s="196"/>
      <c r="P28" s="196"/>
      <c r="Q28" s="54"/>
    </row>
    <row r="29" spans="1:18" s="147" customFormat="1" ht="9">
      <c r="A29" s="412" t="s">
        <v>466</v>
      </c>
      <c r="B29" s="412"/>
      <c r="C29" s="412"/>
      <c r="D29" s="412"/>
      <c r="E29" s="412"/>
      <c r="F29" s="412"/>
      <c r="G29" s="412"/>
      <c r="H29" s="412"/>
      <c r="I29" s="412"/>
      <c r="J29" s="412"/>
      <c r="K29" s="412"/>
      <c r="L29" s="412"/>
      <c r="M29" s="412"/>
      <c r="N29" s="412"/>
      <c r="O29" s="412"/>
      <c r="P29" s="197"/>
      <c r="Q29" s="56"/>
    </row>
    <row r="30" spans="1:18" s="53" customFormat="1" ht="10.5" customHeight="1">
      <c r="B30" s="56"/>
      <c r="C30" s="56"/>
      <c r="D30" s="56"/>
      <c r="E30" s="56"/>
      <c r="F30" s="56"/>
      <c r="G30" s="56"/>
      <c r="H30" s="56"/>
      <c r="I30" s="57"/>
      <c r="J30" s="56"/>
      <c r="K30" s="56"/>
      <c r="L30" s="56"/>
      <c r="M30" s="56"/>
      <c r="N30" s="56"/>
      <c r="O30" s="197"/>
      <c r="P30" s="197"/>
      <c r="Q30" s="56"/>
    </row>
    <row r="31" spans="1:18">
      <c r="A31" s="53"/>
      <c r="B31" s="56"/>
      <c r="C31" s="56"/>
      <c r="D31" s="56"/>
      <c r="E31" s="56"/>
      <c r="F31" s="56"/>
      <c r="G31" s="56"/>
      <c r="H31" s="56"/>
      <c r="I31" s="197"/>
      <c r="J31" s="197"/>
      <c r="K31" s="197"/>
      <c r="L31" s="197"/>
      <c r="M31" s="197"/>
      <c r="N31" s="56"/>
      <c r="O31" s="53"/>
      <c r="P31" s="53"/>
      <c r="Q31" s="53"/>
    </row>
    <row r="32" spans="1:18">
      <c r="A32" s="53"/>
      <c r="B32" s="56"/>
      <c r="C32" s="56"/>
      <c r="D32" s="56"/>
      <c r="E32" s="56"/>
      <c r="F32" s="56"/>
      <c r="G32" s="56"/>
      <c r="H32" s="56"/>
      <c r="I32" s="197"/>
      <c r="J32" s="197"/>
      <c r="K32" s="197"/>
      <c r="L32" s="197"/>
      <c r="M32" s="197"/>
      <c r="N32" s="56"/>
      <c r="O32" s="53"/>
      <c r="P32" s="53"/>
      <c r="Q32" s="53"/>
    </row>
    <row r="33" spans="9:17">
      <c r="I33" s="196"/>
      <c r="J33" s="196"/>
      <c r="K33" s="196"/>
      <c r="L33" s="196"/>
      <c r="M33" s="196"/>
      <c r="O33" s="114"/>
      <c r="P33" s="114"/>
      <c r="Q33" s="114"/>
    </row>
    <row r="34" spans="9:17">
      <c r="I34" s="196"/>
      <c r="J34" s="196"/>
      <c r="K34" s="196"/>
      <c r="L34" s="196"/>
      <c r="M34" s="196"/>
      <c r="O34" s="114"/>
      <c r="P34" s="114"/>
      <c r="Q34" s="114"/>
    </row>
    <row r="35" spans="9:17">
      <c r="I35" s="196"/>
      <c r="J35" s="196"/>
      <c r="K35" s="196"/>
      <c r="L35" s="196"/>
      <c r="M35" s="196"/>
      <c r="O35" s="114"/>
      <c r="P35" s="114"/>
      <c r="Q35" s="114"/>
    </row>
    <row r="36" spans="9:17">
      <c r="I36" s="196"/>
      <c r="J36" s="196"/>
      <c r="K36" s="196"/>
      <c r="L36" s="196"/>
      <c r="M36" s="196"/>
      <c r="O36" s="114"/>
      <c r="P36" s="114"/>
      <c r="Q36" s="114"/>
    </row>
    <row r="37" spans="9:17">
      <c r="I37" s="196"/>
      <c r="J37" s="196"/>
      <c r="K37" s="196"/>
      <c r="L37" s="196"/>
      <c r="M37" s="196"/>
      <c r="O37" s="114"/>
      <c r="P37" s="114"/>
      <c r="Q37" s="114"/>
    </row>
    <row r="38" spans="9:17">
      <c r="I38" s="196"/>
      <c r="J38" s="196"/>
      <c r="K38" s="196"/>
      <c r="L38" s="196"/>
      <c r="M38" s="196"/>
      <c r="O38" s="114"/>
      <c r="P38" s="114"/>
      <c r="Q38" s="114"/>
    </row>
    <row r="39" spans="9:17">
      <c r="I39" s="196"/>
      <c r="J39" s="196"/>
      <c r="K39" s="196"/>
      <c r="L39" s="196"/>
      <c r="M39" s="196"/>
      <c r="O39" s="114"/>
      <c r="P39" s="114"/>
      <c r="Q39" s="114"/>
    </row>
    <row r="40" spans="9:17">
      <c r="I40" s="196"/>
      <c r="J40" s="196"/>
      <c r="K40" s="196"/>
      <c r="L40" s="196"/>
      <c r="M40" s="196"/>
      <c r="O40" s="114"/>
      <c r="P40" s="114"/>
      <c r="Q40" s="114"/>
    </row>
    <row r="41" spans="9:17">
      <c r="I41" s="196"/>
      <c r="J41" s="196"/>
      <c r="K41" s="196"/>
      <c r="L41" s="196"/>
      <c r="M41" s="196"/>
      <c r="O41" s="114"/>
      <c r="P41" s="114"/>
      <c r="Q41" s="114"/>
    </row>
    <row r="42" spans="9:17">
      <c r="I42" s="196"/>
      <c r="J42" s="196"/>
      <c r="K42" s="196"/>
      <c r="L42" s="196"/>
      <c r="M42" s="196"/>
      <c r="O42" s="114"/>
      <c r="P42" s="114"/>
      <c r="Q42" s="114"/>
    </row>
    <row r="43" spans="9:17">
      <c r="I43" s="196"/>
      <c r="J43" s="196"/>
      <c r="K43" s="196"/>
      <c r="L43" s="196"/>
      <c r="M43" s="196"/>
      <c r="O43" s="114"/>
      <c r="P43" s="114"/>
      <c r="Q43" s="114"/>
    </row>
    <row r="44" spans="9:17">
      <c r="I44" s="196"/>
      <c r="J44" s="196"/>
      <c r="K44" s="196"/>
      <c r="L44" s="196"/>
      <c r="M44" s="196"/>
      <c r="O44" s="114"/>
      <c r="P44" s="114"/>
      <c r="Q44" s="114"/>
    </row>
    <row r="45" spans="9:17">
      <c r="I45" s="196"/>
      <c r="J45" s="196"/>
      <c r="K45" s="196"/>
      <c r="L45" s="196"/>
      <c r="M45" s="196"/>
      <c r="O45" s="114"/>
      <c r="P45" s="114"/>
      <c r="Q45" s="114"/>
    </row>
    <row r="46" spans="9:17">
      <c r="I46" s="196"/>
      <c r="J46" s="196"/>
      <c r="K46" s="196"/>
      <c r="L46" s="196"/>
      <c r="M46" s="196"/>
      <c r="O46" s="114"/>
      <c r="P46" s="114"/>
      <c r="Q46" s="114"/>
    </row>
    <row r="47" spans="9:17">
      <c r="I47" s="196"/>
      <c r="J47" s="196"/>
      <c r="K47" s="196"/>
      <c r="L47" s="196"/>
      <c r="M47" s="196"/>
      <c r="O47" s="114"/>
      <c r="P47" s="114"/>
      <c r="Q47" s="114"/>
    </row>
    <row r="48" spans="9:17">
      <c r="I48" s="196"/>
      <c r="J48" s="196"/>
      <c r="K48" s="196"/>
      <c r="L48" s="196"/>
      <c r="M48" s="196"/>
      <c r="O48" s="114"/>
      <c r="P48" s="114"/>
      <c r="Q48" s="114"/>
    </row>
    <row r="49" spans="2:17">
      <c r="I49" s="196"/>
      <c r="J49" s="196"/>
      <c r="K49" s="196"/>
      <c r="L49" s="196"/>
      <c r="M49" s="196"/>
      <c r="O49" s="114"/>
      <c r="P49" s="114"/>
      <c r="Q49" s="114"/>
    </row>
    <row r="50" spans="2:17">
      <c r="I50" s="196"/>
      <c r="J50" s="196"/>
      <c r="K50" s="196"/>
      <c r="L50" s="196"/>
      <c r="M50" s="196"/>
      <c r="O50" s="114"/>
      <c r="P50" s="114"/>
      <c r="Q50" s="114"/>
    </row>
    <row r="51" spans="2:17">
      <c r="I51" s="196"/>
      <c r="J51" s="196"/>
      <c r="K51" s="196"/>
      <c r="L51" s="196"/>
      <c r="M51" s="196"/>
      <c r="O51" s="114"/>
      <c r="P51" s="114"/>
      <c r="Q51" s="114"/>
    </row>
    <row r="52" spans="2:17">
      <c r="B52" s="114"/>
      <c r="C52" s="114"/>
      <c r="D52" s="114"/>
      <c r="E52" s="114"/>
      <c r="F52" s="114"/>
      <c r="G52" s="114"/>
      <c r="H52" s="114"/>
      <c r="I52" s="114"/>
      <c r="J52" s="114"/>
      <c r="K52" s="114"/>
      <c r="L52" s="114"/>
      <c r="M52" s="114"/>
      <c r="N52" s="114"/>
      <c r="O52" s="114"/>
      <c r="P52" s="114"/>
      <c r="Q52" s="114"/>
    </row>
    <row r="53" spans="2:17">
      <c r="I53" s="196"/>
      <c r="J53" s="196"/>
      <c r="K53" s="196"/>
      <c r="L53" s="196"/>
      <c r="M53" s="196"/>
      <c r="O53" s="114"/>
      <c r="P53" s="114"/>
      <c r="Q53" s="114"/>
    </row>
    <row r="54" spans="2:17">
      <c r="I54" s="196"/>
      <c r="J54" s="196"/>
      <c r="K54" s="196"/>
      <c r="L54" s="196"/>
      <c r="M54" s="196"/>
      <c r="O54" s="114"/>
      <c r="P54" s="114"/>
      <c r="Q54" s="114"/>
    </row>
    <row r="55" spans="2:17">
      <c r="I55" s="196"/>
      <c r="J55" s="196"/>
      <c r="K55" s="196"/>
      <c r="L55" s="196"/>
      <c r="M55" s="196"/>
      <c r="O55" s="114"/>
      <c r="P55" s="114"/>
      <c r="Q55" s="114"/>
    </row>
    <row r="56" spans="2:17">
      <c r="I56" s="196"/>
      <c r="J56" s="196"/>
      <c r="K56" s="196"/>
      <c r="L56" s="196"/>
      <c r="M56" s="196"/>
      <c r="O56" s="114"/>
      <c r="P56" s="114"/>
      <c r="Q56" s="114"/>
    </row>
    <row r="57" spans="2:17">
      <c r="I57" s="196"/>
      <c r="J57" s="196"/>
      <c r="K57" s="196"/>
      <c r="L57" s="196"/>
      <c r="M57" s="196"/>
      <c r="O57" s="114"/>
      <c r="P57" s="114"/>
      <c r="Q57" s="114"/>
    </row>
    <row r="58" spans="2:17">
      <c r="I58" s="196"/>
      <c r="J58" s="196"/>
      <c r="K58" s="196"/>
      <c r="L58" s="196"/>
      <c r="M58" s="196"/>
      <c r="O58" s="114"/>
      <c r="P58" s="114"/>
      <c r="Q58" s="114"/>
    </row>
    <row r="59" spans="2:17">
      <c r="I59" s="196"/>
      <c r="J59" s="196"/>
      <c r="K59" s="196"/>
      <c r="L59" s="196"/>
      <c r="M59" s="196"/>
      <c r="O59" s="114"/>
      <c r="P59" s="114"/>
      <c r="Q59" s="114"/>
    </row>
    <row r="60" spans="2:17">
      <c r="I60" s="196"/>
      <c r="J60" s="196"/>
      <c r="K60" s="196"/>
      <c r="L60" s="196"/>
      <c r="M60" s="196"/>
      <c r="O60" s="114"/>
      <c r="P60" s="114"/>
      <c r="Q60" s="114"/>
    </row>
    <row r="61" spans="2:17">
      <c r="I61" s="196"/>
      <c r="J61" s="196"/>
      <c r="K61" s="196"/>
      <c r="L61" s="196"/>
      <c r="M61" s="196"/>
      <c r="O61" s="114"/>
      <c r="P61" s="114"/>
      <c r="Q61" s="114"/>
    </row>
    <row r="62" spans="2:17">
      <c r="I62" s="196"/>
      <c r="J62" s="196"/>
      <c r="K62" s="196"/>
      <c r="L62" s="196"/>
      <c r="M62" s="196"/>
      <c r="O62" s="114"/>
      <c r="P62" s="114"/>
      <c r="Q62" s="114"/>
    </row>
    <row r="63" spans="2:17">
      <c r="I63" s="196"/>
      <c r="J63" s="196"/>
      <c r="K63" s="196"/>
      <c r="L63" s="196"/>
      <c r="M63" s="196"/>
      <c r="O63" s="114"/>
      <c r="P63" s="114"/>
      <c r="Q63" s="114"/>
    </row>
    <row r="64" spans="2:17" s="53" customFormat="1" ht="9">
      <c r="B64" s="56"/>
      <c r="C64" s="56"/>
      <c r="D64" s="56"/>
      <c r="E64" s="56"/>
      <c r="F64" s="56"/>
      <c r="G64" s="56"/>
      <c r="H64" s="56"/>
      <c r="I64" s="57"/>
      <c r="J64" s="56"/>
      <c r="K64" s="56"/>
      <c r="L64" s="56"/>
      <c r="M64" s="56"/>
      <c r="N64" s="56"/>
      <c r="O64" s="197"/>
      <c r="P64" s="197"/>
      <c r="Q64" s="56"/>
    </row>
    <row r="65" spans="2:17" s="53" customFormat="1" ht="9">
      <c r="B65" s="56"/>
      <c r="C65" s="56"/>
      <c r="D65" s="56"/>
      <c r="E65" s="56"/>
      <c r="F65" s="56"/>
      <c r="G65" s="56"/>
      <c r="H65" s="56"/>
      <c r="I65" s="57"/>
      <c r="J65" s="56"/>
      <c r="K65" s="56"/>
      <c r="L65" s="56"/>
      <c r="M65" s="56"/>
      <c r="N65" s="56"/>
      <c r="O65" s="197"/>
      <c r="P65" s="197"/>
      <c r="Q65" s="56"/>
    </row>
    <row r="66" spans="2:17" s="53" customFormat="1" ht="9">
      <c r="B66" s="56"/>
      <c r="C66" s="56"/>
      <c r="D66" s="56"/>
      <c r="E66" s="56"/>
      <c r="F66" s="56"/>
      <c r="G66" s="56"/>
      <c r="H66" s="56"/>
      <c r="I66" s="57"/>
      <c r="J66" s="56"/>
      <c r="K66" s="56"/>
      <c r="L66" s="56"/>
      <c r="M66" s="56"/>
      <c r="N66" s="56"/>
      <c r="O66" s="197"/>
      <c r="P66" s="197"/>
      <c r="Q66" s="56"/>
    </row>
    <row r="67" spans="2:17" s="53" customFormat="1" ht="9">
      <c r="B67" s="56"/>
      <c r="C67" s="56"/>
      <c r="D67" s="56"/>
      <c r="E67" s="56"/>
      <c r="F67" s="56"/>
      <c r="G67" s="56"/>
      <c r="H67" s="56"/>
      <c r="I67" s="57"/>
      <c r="J67" s="56"/>
      <c r="K67" s="56"/>
      <c r="L67" s="56"/>
      <c r="M67" s="56"/>
      <c r="N67" s="56"/>
      <c r="O67" s="197"/>
      <c r="P67" s="197"/>
      <c r="Q67" s="56"/>
    </row>
    <row r="68" spans="2:17" s="53" customFormat="1" ht="9">
      <c r="B68" s="56"/>
      <c r="C68" s="56"/>
      <c r="D68" s="56"/>
      <c r="E68" s="56"/>
      <c r="F68" s="56"/>
      <c r="G68" s="56"/>
      <c r="H68" s="56"/>
      <c r="I68" s="57"/>
      <c r="J68" s="56"/>
      <c r="K68" s="56"/>
      <c r="L68" s="56"/>
      <c r="M68" s="56"/>
      <c r="N68" s="56"/>
      <c r="O68" s="197"/>
      <c r="P68" s="197"/>
      <c r="Q68" s="56"/>
    </row>
    <row r="69" spans="2:17" s="53" customFormat="1" ht="9">
      <c r="B69" s="56"/>
      <c r="C69" s="56"/>
      <c r="D69" s="56"/>
      <c r="E69" s="56"/>
      <c r="F69" s="56"/>
      <c r="G69" s="56"/>
      <c r="H69" s="56"/>
      <c r="I69" s="57"/>
      <c r="J69" s="56"/>
      <c r="K69" s="56"/>
      <c r="L69" s="56"/>
      <c r="M69" s="56"/>
      <c r="N69" s="56"/>
      <c r="O69" s="197"/>
      <c r="P69" s="197"/>
      <c r="Q69" s="56"/>
    </row>
    <row r="70" spans="2:17" s="53" customFormat="1" ht="9">
      <c r="B70" s="56"/>
      <c r="C70" s="56"/>
      <c r="D70" s="56"/>
      <c r="E70" s="56"/>
      <c r="F70" s="56"/>
      <c r="G70" s="56"/>
      <c r="H70" s="56"/>
      <c r="I70" s="57"/>
      <c r="J70" s="56"/>
      <c r="K70" s="56"/>
      <c r="L70" s="56"/>
      <c r="M70" s="56"/>
      <c r="N70" s="56"/>
      <c r="O70" s="197"/>
      <c r="P70" s="197"/>
      <c r="Q70" s="56"/>
    </row>
    <row r="71" spans="2:17" s="53" customFormat="1" ht="9">
      <c r="B71" s="56"/>
      <c r="C71" s="56"/>
      <c r="D71" s="56"/>
      <c r="E71" s="56"/>
      <c r="F71" s="56"/>
      <c r="G71" s="56"/>
      <c r="H71" s="56"/>
      <c r="I71" s="57"/>
      <c r="J71" s="56"/>
      <c r="K71" s="56"/>
      <c r="L71" s="56"/>
      <c r="M71" s="56"/>
      <c r="N71" s="56"/>
      <c r="O71" s="197"/>
      <c r="P71" s="197"/>
      <c r="Q71" s="56"/>
    </row>
    <row r="72" spans="2:17" s="53" customFormat="1" ht="9">
      <c r="B72" s="56"/>
      <c r="C72" s="56"/>
      <c r="D72" s="56"/>
      <c r="E72" s="56"/>
      <c r="F72" s="56"/>
      <c r="G72" s="56"/>
      <c r="H72" s="56"/>
      <c r="I72" s="57"/>
      <c r="J72" s="56"/>
      <c r="K72" s="56"/>
      <c r="L72" s="56"/>
      <c r="M72" s="56"/>
      <c r="N72" s="56"/>
      <c r="O72" s="197"/>
      <c r="P72" s="197"/>
      <c r="Q72" s="56"/>
    </row>
    <row r="73" spans="2:17" s="53" customFormat="1" ht="9">
      <c r="B73" s="56"/>
      <c r="C73" s="56"/>
      <c r="D73" s="56"/>
      <c r="E73" s="56"/>
      <c r="F73" s="56"/>
      <c r="G73" s="56"/>
      <c r="H73" s="56"/>
      <c r="I73" s="57"/>
      <c r="J73" s="56"/>
      <c r="K73" s="56"/>
      <c r="L73" s="56"/>
      <c r="M73" s="56"/>
      <c r="N73" s="56"/>
      <c r="O73" s="197"/>
      <c r="P73" s="197"/>
      <c r="Q73" s="56"/>
    </row>
    <row r="74" spans="2:17" s="53" customFormat="1" ht="9">
      <c r="B74" s="56"/>
      <c r="C74" s="56"/>
      <c r="D74" s="56"/>
      <c r="E74" s="56"/>
      <c r="F74" s="56"/>
      <c r="G74" s="56"/>
      <c r="H74" s="56"/>
      <c r="I74" s="57"/>
      <c r="J74" s="56"/>
      <c r="K74" s="56"/>
      <c r="L74" s="56"/>
      <c r="M74" s="56"/>
      <c r="N74" s="56"/>
      <c r="O74" s="197"/>
      <c r="P74" s="197"/>
      <c r="Q74" s="56"/>
    </row>
    <row r="75" spans="2:17" s="53" customFormat="1" ht="9">
      <c r="B75" s="56"/>
      <c r="C75" s="56"/>
      <c r="D75" s="56"/>
      <c r="E75" s="56"/>
      <c r="F75" s="56"/>
      <c r="G75" s="56"/>
      <c r="H75" s="56"/>
      <c r="I75" s="57"/>
      <c r="J75" s="56"/>
      <c r="K75" s="56"/>
      <c r="L75" s="56"/>
      <c r="M75" s="56"/>
      <c r="N75" s="56"/>
      <c r="O75" s="197"/>
      <c r="P75" s="197"/>
      <c r="Q75" s="56"/>
    </row>
    <row r="76" spans="2:17" s="53" customFormat="1" ht="9">
      <c r="B76" s="56"/>
      <c r="C76" s="56"/>
      <c r="D76" s="56"/>
      <c r="E76" s="56"/>
      <c r="F76" s="56"/>
      <c r="G76" s="56"/>
      <c r="H76" s="56"/>
      <c r="I76" s="57"/>
      <c r="J76" s="56"/>
      <c r="K76" s="56"/>
      <c r="L76" s="56"/>
      <c r="M76" s="56"/>
      <c r="N76" s="56"/>
      <c r="O76" s="197"/>
      <c r="P76" s="197"/>
      <c r="Q76" s="56"/>
    </row>
    <row r="77" spans="2:17" s="53" customFormat="1" ht="9">
      <c r="B77" s="56"/>
      <c r="C77" s="56"/>
      <c r="D77" s="56"/>
      <c r="E77" s="56"/>
      <c r="F77" s="56"/>
      <c r="G77" s="56"/>
      <c r="H77" s="56"/>
      <c r="I77" s="57"/>
      <c r="J77" s="56"/>
      <c r="K77" s="56"/>
      <c r="L77" s="56"/>
      <c r="M77" s="56"/>
      <c r="N77" s="56"/>
      <c r="O77" s="197"/>
      <c r="P77" s="197"/>
      <c r="Q77" s="56"/>
    </row>
    <row r="78" spans="2:17" s="53" customFormat="1" ht="9">
      <c r="B78" s="56"/>
      <c r="C78" s="56"/>
      <c r="D78" s="56"/>
      <c r="E78" s="56"/>
      <c r="F78" s="56"/>
      <c r="G78" s="56"/>
      <c r="H78" s="56"/>
      <c r="I78" s="57"/>
      <c r="J78" s="56"/>
      <c r="K78" s="56"/>
      <c r="L78" s="56"/>
      <c r="M78" s="56"/>
      <c r="N78" s="56"/>
      <c r="O78" s="197"/>
      <c r="P78" s="197"/>
      <c r="Q78" s="56"/>
    </row>
    <row r="79" spans="2:17" s="53" customFormat="1" ht="9">
      <c r="B79" s="56"/>
      <c r="C79" s="56"/>
      <c r="D79" s="56"/>
      <c r="E79" s="56"/>
      <c r="F79" s="56"/>
      <c r="G79" s="56"/>
      <c r="H79" s="56"/>
      <c r="I79" s="57"/>
      <c r="J79" s="56"/>
      <c r="K79" s="56"/>
      <c r="L79" s="56"/>
      <c r="M79" s="56"/>
      <c r="N79" s="56"/>
      <c r="O79" s="197"/>
      <c r="P79" s="197"/>
      <c r="Q79" s="56"/>
    </row>
    <row r="80" spans="2:17" s="53" customFormat="1" ht="9">
      <c r="B80" s="56"/>
      <c r="C80" s="56"/>
      <c r="D80" s="56"/>
      <c r="E80" s="56"/>
      <c r="F80" s="56"/>
      <c r="G80" s="56"/>
      <c r="H80" s="56"/>
      <c r="I80" s="57"/>
      <c r="J80" s="56"/>
      <c r="K80" s="56"/>
      <c r="L80" s="56"/>
      <c r="M80" s="56"/>
      <c r="N80" s="56"/>
      <c r="O80" s="197"/>
      <c r="P80" s="197"/>
      <c r="Q80" s="56"/>
    </row>
    <row r="81" spans="2:18" s="53" customFormat="1" ht="9">
      <c r="B81" s="56"/>
      <c r="C81" s="56"/>
      <c r="D81" s="56"/>
      <c r="E81" s="56"/>
      <c r="F81" s="56"/>
      <c r="G81" s="56"/>
      <c r="H81" s="56"/>
      <c r="I81" s="57"/>
      <c r="J81" s="56"/>
      <c r="K81" s="56"/>
      <c r="L81" s="56"/>
      <c r="M81" s="56"/>
      <c r="N81" s="56"/>
      <c r="O81" s="197"/>
      <c r="P81" s="197"/>
      <c r="Q81" s="56"/>
    </row>
    <row r="82" spans="2:18" s="53" customFormat="1" ht="9">
      <c r="B82" s="56"/>
      <c r="C82" s="56"/>
      <c r="D82" s="56"/>
      <c r="E82" s="56"/>
      <c r="F82" s="56"/>
      <c r="G82" s="56"/>
      <c r="H82" s="56"/>
      <c r="I82" s="57"/>
      <c r="J82" s="56"/>
      <c r="K82" s="56"/>
      <c r="L82" s="56"/>
      <c r="M82" s="56"/>
      <c r="N82" s="56"/>
      <c r="O82" s="197"/>
      <c r="P82" s="197"/>
      <c r="Q82" s="56"/>
    </row>
    <row r="83" spans="2:18" s="53" customFormat="1" ht="9">
      <c r="B83" s="56"/>
      <c r="C83" s="56"/>
      <c r="D83" s="56"/>
      <c r="E83" s="56"/>
      <c r="F83" s="56"/>
      <c r="G83" s="56"/>
      <c r="H83" s="56"/>
      <c r="I83" s="57"/>
      <c r="J83" s="56"/>
      <c r="K83" s="56"/>
      <c r="L83" s="56"/>
      <c r="M83" s="56"/>
      <c r="N83" s="56"/>
      <c r="O83" s="197"/>
      <c r="P83" s="197"/>
      <c r="Q83" s="56"/>
    </row>
    <row r="84" spans="2:18" s="53" customFormat="1" ht="9">
      <c r="B84" s="56"/>
      <c r="C84" s="56"/>
      <c r="D84" s="56"/>
      <c r="E84" s="56"/>
      <c r="F84" s="56"/>
      <c r="G84" s="56"/>
      <c r="H84" s="56"/>
      <c r="I84" s="57"/>
      <c r="J84" s="56"/>
      <c r="K84" s="56"/>
      <c r="L84" s="56"/>
      <c r="M84" s="56"/>
      <c r="N84" s="56"/>
      <c r="O84" s="197"/>
      <c r="P84" s="197"/>
      <c r="Q84" s="56"/>
    </row>
    <row r="85" spans="2:18" s="53" customFormat="1" ht="9">
      <c r="P85" s="197"/>
      <c r="Q85" s="56"/>
    </row>
    <row r="86" spans="2:18" s="53" customFormat="1" ht="9">
      <c r="B86" s="56"/>
      <c r="C86" s="56"/>
      <c r="D86" s="56"/>
      <c r="E86" s="56"/>
      <c r="F86" s="56"/>
      <c r="G86" s="56"/>
      <c r="H86" s="56"/>
      <c r="I86" s="57"/>
      <c r="J86" s="56"/>
      <c r="K86" s="56"/>
      <c r="L86" s="56"/>
      <c r="M86" s="56"/>
      <c r="N86" s="56"/>
      <c r="O86" s="197"/>
      <c r="P86" s="197"/>
      <c r="Q86" s="56"/>
    </row>
    <row r="87" spans="2:18" s="53" customFormat="1" ht="9">
      <c r="B87" s="56"/>
      <c r="C87" s="56"/>
      <c r="D87" s="56"/>
      <c r="E87" s="56"/>
      <c r="F87" s="56"/>
      <c r="G87" s="56"/>
      <c r="H87" s="56"/>
      <c r="I87" s="57"/>
      <c r="J87" s="56"/>
      <c r="K87" s="56"/>
      <c r="L87" s="56"/>
      <c r="M87" s="56"/>
      <c r="N87" s="56"/>
      <c r="O87" s="197"/>
      <c r="P87" s="197"/>
      <c r="Q87" s="56"/>
    </row>
    <row r="88" spans="2:18" s="53" customFormat="1" ht="9">
      <c r="B88" s="56"/>
      <c r="C88" s="56"/>
      <c r="D88" s="56"/>
      <c r="E88" s="56"/>
      <c r="F88" s="56"/>
      <c r="G88" s="56"/>
      <c r="H88" s="56"/>
      <c r="I88" s="57"/>
      <c r="J88" s="56"/>
      <c r="K88" s="56"/>
      <c r="L88" s="56"/>
      <c r="M88" s="56"/>
      <c r="N88" s="56"/>
      <c r="O88" s="197"/>
      <c r="P88" s="197"/>
      <c r="Q88" s="56"/>
    </row>
    <row r="89" spans="2:18" s="53" customFormat="1" ht="9">
      <c r="B89" s="56"/>
      <c r="C89" s="56"/>
      <c r="D89" s="56"/>
      <c r="E89" s="56"/>
      <c r="F89" s="56"/>
      <c r="G89" s="56"/>
      <c r="H89" s="56"/>
      <c r="I89" s="57"/>
      <c r="J89" s="56"/>
      <c r="K89" s="56"/>
      <c r="L89" s="56"/>
      <c r="M89" s="56"/>
      <c r="N89" s="56"/>
      <c r="O89" s="197"/>
      <c r="P89" s="197"/>
      <c r="Q89" s="56"/>
    </row>
    <row r="90" spans="2:18" s="53" customFormat="1" ht="9">
      <c r="B90" s="56"/>
      <c r="C90" s="56"/>
      <c r="D90" s="56"/>
      <c r="E90" s="56"/>
      <c r="F90" s="56"/>
      <c r="G90" s="56"/>
      <c r="H90" s="56"/>
      <c r="I90" s="57"/>
      <c r="J90" s="56"/>
      <c r="K90" s="56"/>
      <c r="L90" s="56"/>
      <c r="M90" s="56"/>
      <c r="N90" s="56"/>
      <c r="O90" s="197"/>
      <c r="P90" s="197"/>
      <c r="Q90" s="56"/>
    </row>
    <row r="91" spans="2:18" s="53" customFormat="1" ht="9">
      <c r="B91" s="56"/>
      <c r="C91" s="56"/>
      <c r="D91" s="56"/>
      <c r="E91" s="56"/>
      <c r="F91" s="56"/>
      <c r="G91" s="56"/>
      <c r="H91" s="56"/>
      <c r="I91" s="57"/>
      <c r="J91" s="56"/>
      <c r="K91" s="56"/>
      <c r="L91" s="56"/>
      <c r="M91" s="56"/>
      <c r="N91" s="56"/>
      <c r="O91" s="197"/>
      <c r="P91" s="197"/>
      <c r="Q91" s="56"/>
    </row>
    <row r="92" spans="2:18" s="53" customFormat="1" ht="9">
      <c r="B92" s="56"/>
      <c r="C92" s="56"/>
      <c r="D92" s="56"/>
      <c r="E92" s="56"/>
      <c r="F92" s="56"/>
      <c r="G92" s="56"/>
      <c r="H92" s="56"/>
      <c r="I92" s="57"/>
      <c r="J92" s="56"/>
      <c r="K92" s="56"/>
      <c r="L92" s="56"/>
      <c r="M92" s="56"/>
      <c r="N92" s="56"/>
      <c r="O92" s="197"/>
      <c r="P92" s="197"/>
      <c r="Q92" s="56"/>
    </row>
    <row r="93" spans="2:18" s="53" customFormat="1">
      <c r="B93" s="56"/>
      <c r="C93" s="56"/>
      <c r="D93" s="56"/>
      <c r="E93" s="56"/>
      <c r="F93" s="56"/>
      <c r="G93" s="56"/>
      <c r="H93" s="56"/>
      <c r="I93" s="57"/>
      <c r="J93" s="56"/>
      <c r="K93" s="56"/>
      <c r="L93" s="56"/>
      <c r="M93" s="56"/>
      <c r="N93" s="56"/>
      <c r="O93" s="197"/>
      <c r="P93" s="197"/>
      <c r="Q93" s="56"/>
      <c r="R93" s="114"/>
    </row>
  </sheetData>
  <mergeCells count="3">
    <mergeCell ref="A1:Q1"/>
    <mergeCell ref="A2:Q2"/>
    <mergeCell ref="A29:O29"/>
  </mergeCells>
  <phoneticPr fontId="7" type="noConversion"/>
  <pageMargins left="0.25" right="0.25" top="0.5" bottom="0.75" header="0.5" footer="0.5"/>
  <pageSetup scale="64" orientation="landscape" r:id="rId1"/>
  <headerFooter alignWithMargins="0"/>
</worksheet>
</file>

<file path=xl/worksheets/sheet37.xml><?xml version="1.0" encoding="utf-8"?>
<worksheet xmlns="http://schemas.openxmlformats.org/spreadsheetml/2006/main" xmlns:r="http://schemas.openxmlformats.org/officeDocument/2006/relationships">
  <sheetPr>
    <pageSetUpPr fitToPage="1"/>
  </sheetPr>
  <dimension ref="A1:S29"/>
  <sheetViews>
    <sheetView zoomScaleNormal="100" workbookViewId="0">
      <pane xSplit="1" ySplit="2" topLeftCell="B3" activePane="bottomRight" state="frozen"/>
      <selection activeCell="P31" sqref="P31"/>
      <selection pane="topRight" activeCell="P31" sqref="P31"/>
      <selection pane="bottomLeft" activeCell="P31" sqref="P31"/>
      <selection pane="bottomRight" activeCell="P10" sqref="P10"/>
    </sheetView>
  </sheetViews>
  <sheetFormatPr defaultRowHeight="11.25"/>
  <cols>
    <col min="1" max="1" width="36.5703125" style="114" customWidth="1"/>
    <col min="2" max="2" width="8.85546875" style="54" bestFit="1" customWidth="1"/>
    <col min="3" max="3" width="8" style="54" hidden="1" customWidth="1"/>
    <col min="4" max="4" width="8.42578125" style="54" bestFit="1" customWidth="1"/>
    <col min="5" max="5" width="9.28515625" style="54" bestFit="1" customWidth="1"/>
    <col min="6" max="6" width="7.85546875" style="54" customWidth="1"/>
    <col min="7" max="7" width="9.28515625" style="54" bestFit="1" customWidth="1"/>
    <col min="8" max="8" width="8.5703125" style="54" customWidth="1"/>
    <col min="9" max="9" width="9.42578125" style="55" bestFit="1" customWidth="1"/>
    <col min="10" max="11" width="6.85546875" style="54" bestFit="1" customWidth="1"/>
    <col min="12" max="12" width="9.140625" style="54" customWidth="1"/>
    <col min="13" max="13" width="7.85546875" style="54" hidden="1" customWidth="1"/>
    <col min="14" max="14" width="8.42578125" style="54" bestFit="1" customWidth="1"/>
    <col min="15" max="15" width="10.140625" style="196" bestFit="1" customWidth="1"/>
    <col min="16" max="16" width="10" style="196" bestFit="1" customWidth="1"/>
    <col min="17" max="17" width="3.7109375" style="54" customWidth="1"/>
    <col min="18" max="19" width="0" style="114" hidden="1" customWidth="1"/>
    <col min="20" max="20" width="11.140625" style="114" customWidth="1"/>
    <col min="21" max="21" width="8.5703125" style="114" customWidth="1"/>
    <col min="22" max="16384" width="9.140625" style="114"/>
  </cols>
  <sheetData>
    <row r="1" spans="1:19">
      <c r="A1" s="410" t="s">
        <v>297</v>
      </c>
      <c r="B1" s="410"/>
      <c r="C1" s="410"/>
      <c r="D1" s="410"/>
      <c r="E1" s="410"/>
      <c r="F1" s="410"/>
      <c r="G1" s="410"/>
      <c r="H1" s="410"/>
      <c r="I1" s="410"/>
      <c r="J1" s="410"/>
      <c r="K1" s="410"/>
      <c r="L1" s="410"/>
      <c r="M1" s="410"/>
      <c r="N1" s="410"/>
      <c r="O1" s="410"/>
      <c r="P1" s="410"/>
      <c r="Q1" s="410"/>
    </row>
    <row r="2" spans="1:19">
      <c r="A2" s="411" t="s">
        <v>298</v>
      </c>
      <c r="B2" s="411"/>
      <c r="C2" s="411"/>
      <c r="D2" s="411"/>
      <c r="E2" s="411"/>
      <c r="F2" s="411"/>
      <c r="G2" s="411"/>
      <c r="H2" s="411"/>
      <c r="I2" s="411"/>
      <c r="J2" s="411"/>
      <c r="K2" s="411"/>
      <c r="L2" s="411"/>
      <c r="M2" s="411"/>
      <c r="N2" s="411"/>
      <c r="O2" s="411"/>
      <c r="P2" s="411"/>
      <c r="Q2" s="411"/>
    </row>
    <row r="3" spans="1:19" s="193" customFormat="1" ht="63">
      <c r="A3" s="45" t="s">
        <v>392</v>
      </c>
      <c r="B3" s="45" t="s">
        <v>393</v>
      </c>
      <c r="C3" s="45" t="s">
        <v>430</v>
      </c>
      <c r="D3" s="45" t="s">
        <v>4</v>
      </c>
      <c r="E3" s="45" t="s">
        <v>94</v>
      </c>
      <c r="F3" s="45" t="s">
        <v>5</v>
      </c>
      <c r="G3" s="12" t="s">
        <v>176</v>
      </c>
      <c r="H3" s="45" t="s">
        <v>459</v>
      </c>
      <c r="I3" s="60" t="s">
        <v>460</v>
      </c>
      <c r="J3" s="100" t="s">
        <v>462</v>
      </c>
      <c r="K3" s="100" t="s">
        <v>463</v>
      </c>
      <c r="L3" s="100" t="s">
        <v>461</v>
      </c>
      <c r="M3" s="45" t="s">
        <v>391</v>
      </c>
      <c r="N3" s="45" t="s">
        <v>8</v>
      </c>
      <c r="O3" s="100" t="s">
        <v>96</v>
      </c>
      <c r="P3" s="100" t="s">
        <v>175</v>
      </c>
      <c r="Q3" s="182" t="s">
        <v>394</v>
      </c>
      <c r="R3" s="193" t="s">
        <v>307</v>
      </c>
      <c r="S3" s="193" t="s">
        <v>308</v>
      </c>
    </row>
    <row r="4" spans="1:19" s="147" customFormat="1" ht="9">
      <c r="A4" s="194" t="s">
        <v>405</v>
      </c>
      <c r="B4" s="179" t="s">
        <v>433</v>
      </c>
      <c r="C4" s="179"/>
      <c r="D4" s="181"/>
      <c r="E4" s="181"/>
      <c r="F4" s="181"/>
      <c r="G4" s="179"/>
      <c r="H4" s="179"/>
      <c r="I4" s="183"/>
      <c r="J4" s="179"/>
      <c r="K4" s="179"/>
      <c r="L4" s="179"/>
      <c r="M4" s="179"/>
      <c r="N4" s="181"/>
      <c r="O4" s="181"/>
      <c r="P4" s="181"/>
      <c r="Q4" s="249"/>
    </row>
    <row r="5" spans="1:19" s="147" customFormat="1" ht="9">
      <c r="A5" s="143" t="s">
        <v>406</v>
      </c>
      <c r="B5" s="44" t="s">
        <v>433</v>
      </c>
      <c r="C5" s="44"/>
      <c r="D5" s="52"/>
      <c r="E5" s="52"/>
      <c r="F5" s="52"/>
      <c r="G5" s="44"/>
      <c r="H5" s="44"/>
      <c r="I5" s="92"/>
      <c r="J5" s="44"/>
      <c r="K5" s="44"/>
      <c r="L5" s="44"/>
      <c r="M5" s="44"/>
      <c r="N5" s="52"/>
      <c r="O5" s="52"/>
      <c r="P5" s="52"/>
      <c r="Q5" s="94"/>
    </row>
    <row r="6" spans="1:19" s="147" customFormat="1" ht="9">
      <c r="A6" s="143" t="s">
        <v>407</v>
      </c>
      <c r="B6" s="44"/>
      <c r="C6" s="44"/>
      <c r="D6" s="52"/>
      <c r="E6" s="52"/>
      <c r="F6" s="52"/>
      <c r="G6" s="44"/>
      <c r="H6" s="44"/>
      <c r="I6" s="92"/>
      <c r="J6" s="44"/>
      <c r="K6" s="44"/>
      <c r="L6" s="44"/>
      <c r="M6" s="44"/>
      <c r="N6" s="52"/>
      <c r="O6" s="52"/>
      <c r="P6" s="52"/>
      <c r="Q6" s="94"/>
    </row>
    <row r="7" spans="1:19" s="147" customFormat="1" ht="9">
      <c r="A7" s="143" t="s">
        <v>408</v>
      </c>
      <c r="B7" s="44">
        <v>40</v>
      </c>
      <c r="C7" s="44"/>
      <c r="D7" s="52">
        <v>0</v>
      </c>
      <c r="E7" s="52">
        <v>0</v>
      </c>
      <c r="F7" s="52">
        <v>0</v>
      </c>
      <c r="G7" s="44">
        <v>1</v>
      </c>
      <c r="H7" s="44">
        <f>B7*G7</f>
        <v>40</v>
      </c>
      <c r="I7" s="91">
        <v>0</v>
      </c>
      <c r="J7" s="91">
        <f>H7*I7</f>
        <v>0</v>
      </c>
      <c r="K7" s="91">
        <f>J7*0.1</f>
        <v>0</v>
      </c>
      <c r="L7" s="91">
        <f>J7*0.05</f>
        <v>0</v>
      </c>
      <c r="M7" s="44">
        <f>C7*G7*I7</f>
        <v>0</v>
      </c>
      <c r="N7" s="52">
        <f>(J7*'Base Data'!$C$5)+(K7*'Base Data'!$C$6)+(L7*'Base Data'!$C$7)</f>
        <v>0</v>
      </c>
      <c r="O7" s="52">
        <f>(D7+E7+F7)*G7*I7</f>
        <v>0</v>
      </c>
      <c r="P7" s="92">
        <v>0</v>
      </c>
      <c r="Q7" s="94" t="s">
        <v>387</v>
      </c>
    </row>
    <row r="8" spans="1:19" s="147" customFormat="1" ht="9">
      <c r="A8" s="143" t="s">
        <v>409</v>
      </c>
      <c r="B8" s="44"/>
      <c r="C8" s="44"/>
      <c r="D8" s="52"/>
      <c r="E8" s="52"/>
      <c r="F8" s="52"/>
      <c r="G8" s="44"/>
      <c r="H8" s="44"/>
      <c r="I8" s="92"/>
      <c r="J8" s="44"/>
      <c r="K8" s="44"/>
      <c r="L8" s="44"/>
      <c r="M8" s="44"/>
      <c r="N8" s="52"/>
      <c r="O8" s="52"/>
      <c r="P8" s="92"/>
      <c r="Q8" s="94"/>
    </row>
    <row r="9" spans="1:19" s="147" customFormat="1" ht="9">
      <c r="A9" s="143" t="s">
        <v>500</v>
      </c>
      <c r="B9" s="44">
        <v>12</v>
      </c>
      <c r="C9" s="44"/>
      <c r="D9" s="52">
        <v>0</v>
      </c>
      <c r="E9" s="52">
        <v>2228</v>
      </c>
      <c r="F9" s="52">
        <v>0</v>
      </c>
      <c r="G9" s="44">
        <v>0.5</v>
      </c>
      <c r="H9" s="44">
        <f>B9*G9</f>
        <v>6</v>
      </c>
      <c r="I9" s="91">
        <v>0</v>
      </c>
      <c r="J9" s="91">
        <f>H9*I9</f>
        <v>0</v>
      </c>
      <c r="K9" s="91">
        <f>J9*0.1</f>
        <v>0</v>
      </c>
      <c r="L9" s="91">
        <f>J9*0.05</f>
        <v>0</v>
      </c>
      <c r="M9" s="92"/>
      <c r="N9" s="52">
        <f>(J9*'Base Data'!$C$5)+(K9*'Base Data'!$C$6)+(L9*'Base Data'!$C$7)</f>
        <v>0</v>
      </c>
      <c r="O9" s="52">
        <f>(D9+E9+F9)*I9</f>
        <v>0</v>
      </c>
      <c r="P9" s="92">
        <v>0</v>
      </c>
      <c r="Q9" s="94"/>
    </row>
    <row r="10" spans="1:19" s="147" customFormat="1" ht="9">
      <c r="A10" s="143" t="s">
        <v>415</v>
      </c>
      <c r="B10" s="44" t="s">
        <v>433</v>
      </c>
      <c r="C10" s="44"/>
      <c r="D10" s="52"/>
      <c r="E10" s="52"/>
      <c r="F10" s="52"/>
      <c r="G10" s="44"/>
      <c r="H10" s="44"/>
      <c r="I10" s="92"/>
      <c r="J10" s="44"/>
      <c r="K10" s="44"/>
      <c r="L10" s="44"/>
      <c r="M10" s="44"/>
      <c r="N10" s="52"/>
      <c r="O10" s="52"/>
      <c r="P10" s="92"/>
      <c r="Q10" s="94"/>
    </row>
    <row r="11" spans="1:19" s="147" customFormat="1" ht="9">
      <c r="A11" s="143" t="s">
        <v>416</v>
      </c>
      <c r="B11" s="44" t="s">
        <v>433</v>
      </c>
      <c r="C11" s="44"/>
      <c r="D11" s="52"/>
      <c r="E11" s="52"/>
      <c r="F11" s="52"/>
      <c r="G11" s="44"/>
      <c r="H11" s="44"/>
      <c r="I11" s="92"/>
      <c r="J11" s="44"/>
      <c r="K11" s="44"/>
      <c r="L11" s="44"/>
      <c r="M11" s="44"/>
      <c r="N11" s="52"/>
      <c r="O11" s="52"/>
      <c r="P11" s="92"/>
      <c r="Q11" s="94"/>
    </row>
    <row r="12" spans="1:19" s="147" customFormat="1" ht="9">
      <c r="A12" s="143" t="s">
        <v>417</v>
      </c>
      <c r="B12" s="44"/>
      <c r="C12" s="44"/>
      <c r="D12" s="52"/>
      <c r="E12" s="52"/>
      <c r="F12" s="52"/>
      <c r="G12" s="44"/>
      <c r="H12" s="44"/>
      <c r="I12" s="92"/>
      <c r="J12" s="44"/>
      <c r="K12" s="44"/>
      <c r="L12" s="44"/>
      <c r="M12" s="44"/>
      <c r="N12" s="52"/>
      <c r="O12" s="52"/>
      <c r="P12" s="92"/>
      <c r="Q12" s="94"/>
    </row>
    <row r="13" spans="1:19" s="147" customFormat="1" ht="9">
      <c r="A13" s="177" t="s">
        <v>435</v>
      </c>
      <c r="B13" s="44">
        <v>2</v>
      </c>
      <c r="C13" s="44"/>
      <c r="D13" s="52">
        <v>0</v>
      </c>
      <c r="E13" s="52">
        <v>0</v>
      </c>
      <c r="F13" s="52">
        <v>0</v>
      </c>
      <c r="G13" s="44">
        <v>1</v>
      </c>
      <c r="H13" s="44">
        <f>B13*G13</f>
        <v>2</v>
      </c>
      <c r="I13" s="91">
        <v>0</v>
      </c>
      <c r="J13" s="91">
        <f>H13*I13</f>
        <v>0</v>
      </c>
      <c r="K13" s="91">
        <f>J13*0.1</f>
        <v>0</v>
      </c>
      <c r="L13" s="91">
        <f>J13*0.05</f>
        <v>0</v>
      </c>
      <c r="M13" s="44">
        <f>C13*G13*I13</f>
        <v>0</v>
      </c>
      <c r="N13" s="52">
        <f>(J13*'Base Data'!$C$5)+(K13*'Base Data'!$C$6)+(L13*'Base Data'!$C$7)</f>
        <v>0</v>
      </c>
      <c r="O13" s="52">
        <f>(D13+E13+F13)*G13*I13</f>
        <v>0</v>
      </c>
      <c r="P13" s="92">
        <f>G13*I13</f>
        <v>0</v>
      </c>
      <c r="Q13" s="94"/>
    </row>
    <row r="14" spans="1:19" s="147" customFormat="1" ht="9">
      <c r="A14" s="177" t="s">
        <v>377</v>
      </c>
      <c r="B14" s="44">
        <v>8</v>
      </c>
      <c r="C14" s="44"/>
      <c r="D14" s="52">
        <v>0</v>
      </c>
      <c r="E14" s="52">
        <v>0</v>
      </c>
      <c r="F14" s="52">
        <v>0</v>
      </c>
      <c r="G14" s="44">
        <v>1</v>
      </c>
      <c r="H14" s="44">
        <f>B14*G14</f>
        <v>8</v>
      </c>
      <c r="I14" s="92">
        <v>0</v>
      </c>
      <c r="J14" s="91">
        <f>H14*I14</f>
        <v>0</v>
      </c>
      <c r="K14" s="91">
        <f>J14*0.1</f>
        <v>0</v>
      </c>
      <c r="L14" s="91">
        <f>J14*0.05</f>
        <v>0</v>
      </c>
      <c r="M14" s="44">
        <f>C14*G14*I14</f>
        <v>0</v>
      </c>
      <c r="N14" s="52">
        <f>(J14*'Base Data'!$C$5)+(K14*'Base Data'!$C$6)+(L14*'Base Data'!$C$7)</f>
        <v>0</v>
      </c>
      <c r="O14" s="52">
        <f>(D14+E14+F14)*G14*I14</f>
        <v>0</v>
      </c>
      <c r="P14" s="92">
        <f>G14*I14</f>
        <v>0</v>
      </c>
      <c r="Q14" s="94"/>
    </row>
    <row r="15" spans="1:19" s="147" customFormat="1" ht="9">
      <c r="A15" s="177" t="s">
        <v>11</v>
      </c>
      <c r="B15" s="44">
        <v>5</v>
      </c>
      <c r="C15" s="44"/>
      <c r="D15" s="52">
        <v>0</v>
      </c>
      <c r="E15" s="52">
        <v>0</v>
      </c>
      <c r="F15" s="52">
        <v>0</v>
      </c>
      <c r="G15" s="44">
        <v>0.5</v>
      </c>
      <c r="H15" s="44">
        <f>B15*G15</f>
        <v>2.5</v>
      </c>
      <c r="I15" s="92">
        <v>0</v>
      </c>
      <c r="J15" s="91">
        <f>H15*I15</f>
        <v>0</v>
      </c>
      <c r="K15" s="91">
        <f>J15*0.1</f>
        <v>0</v>
      </c>
      <c r="L15" s="91">
        <f>J15*0.05</f>
        <v>0</v>
      </c>
      <c r="M15" s="44">
        <f>C15*G15*I15</f>
        <v>0</v>
      </c>
      <c r="N15" s="52">
        <f>(J15*'Base Data'!$C$5)+(K15*'Base Data'!$C$6)+(L15*'Base Data'!$C$7)</f>
        <v>0</v>
      </c>
      <c r="O15" s="52">
        <f>(D15+E15+F15)*G15*I15</f>
        <v>0</v>
      </c>
      <c r="P15" s="92">
        <f>G15*I15</f>
        <v>0</v>
      </c>
      <c r="Q15" s="94"/>
    </row>
    <row r="16" spans="1:19" s="147" customFormat="1" ht="9">
      <c r="A16" s="148" t="s">
        <v>7</v>
      </c>
      <c r="B16" s="44"/>
      <c r="C16" s="44"/>
      <c r="D16" s="52"/>
      <c r="E16" s="52"/>
      <c r="F16" s="52"/>
      <c r="G16" s="44"/>
      <c r="H16" s="44"/>
      <c r="I16" s="92"/>
      <c r="J16" s="92">
        <f t="shared" ref="J16:O16" si="0">SUM(J7:J15)</f>
        <v>0</v>
      </c>
      <c r="K16" s="92">
        <f t="shared" si="0"/>
        <v>0</v>
      </c>
      <c r="L16" s="92">
        <f t="shared" si="0"/>
        <v>0</v>
      </c>
      <c r="M16" s="92">
        <f t="shared" si="0"/>
        <v>0</v>
      </c>
      <c r="N16" s="92">
        <f t="shared" si="0"/>
        <v>0</v>
      </c>
      <c r="O16" s="92">
        <f t="shared" si="0"/>
        <v>0</v>
      </c>
      <c r="P16" s="92">
        <f>SUM(P13:P15)</f>
        <v>0</v>
      </c>
      <c r="Q16" s="94"/>
      <c r="R16" s="149">
        <f>SUM(O7:O9)</f>
        <v>0</v>
      </c>
      <c r="S16" s="147">
        <f>0</f>
        <v>0</v>
      </c>
    </row>
    <row r="17" spans="1:18" s="147" customFormat="1" ht="9">
      <c r="A17" s="143" t="s">
        <v>431</v>
      </c>
      <c r="B17" s="44"/>
      <c r="C17" s="44"/>
      <c r="D17" s="52"/>
      <c r="E17" s="52"/>
      <c r="F17" s="52"/>
      <c r="G17" s="44"/>
      <c r="H17" s="44"/>
      <c r="I17" s="92"/>
      <c r="J17" s="44"/>
      <c r="K17" s="44"/>
      <c r="L17" s="44"/>
      <c r="M17" s="44"/>
      <c r="N17" s="52"/>
      <c r="O17" s="52"/>
      <c r="P17" s="92"/>
      <c r="Q17" s="94"/>
    </row>
    <row r="18" spans="1:18" s="147" customFormat="1" ht="9">
      <c r="A18" s="143" t="s">
        <v>418</v>
      </c>
      <c r="B18" s="44" t="s">
        <v>422</v>
      </c>
      <c r="C18" s="44"/>
      <c r="D18" s="52"/>
      <c r="E18" s="52"/>
      <c r="F18" s="52"/>
      <c r="G18" s="44"/>
      <c r="H18" s="44"/>
      <c r="I18" s="92"/>
      <c r="J18" s="44"/>
      <c r="K18" s="44"/>
      <c r="L18" s="44"/>
      <c r="M18" s="44"/>
      <c r="N18" s="52"/>
      <c r="O18" s="52"/>
      <c r="P18" s="92"/>
      <c r="Q18" s="94"/>
    </row>
    <row r="19" spans="1:18" s="147" customFormat="1" ht="9">
      <c r="A19" s="143" t="s">
        <v>419</v>
      </c>
      <c r="B19" s="44" t="s">
        <v>433</v>
      </c>
      <c r="C19" s="44"/>
      <c r="D19" s="52"/>
      <c r="E19" s="52"/>
      <c r="F19" s="52"/>
      <c r="G19" s="44"/>
      <c r="H19" s="44"/>
      <c r="I19" s="92"/>
      <c r="J19" s="44"/>
      <c r="K19" s="44"/>
      <c r="L19" s="44"/>
      <c r="M19" s="44"/>
      <c r="N19" s="52"/>
      <c r="O19" s="52"/>
      <c r="P19" s="92"/>
      <c r="Q19" s="94"/>
    </row>
    <row r="20" spans="1:18" s="147" customFormat="1" ht="9">
      <c r="A20" s="143" t="s">
        <v>420</v>
      </c>
      <c r="B20" s="44" t="s">
        <v>433</v>
      </c>
      <c r="C20" s="44"/>
      <c r="D20" s="52"/>
      <c r="E20" s="52"/>
      <c r="F20" s="52"/>
      <c r="G20" s="44"/>
      <c r="H20" s="44"/>
      <c r="I20" s="92"/>
      <c r="J20" s="44"/>
      <c r="K20" s="44"/>
      <c r="L20" s="44"/>
      <c r="M20" s="44"/>
      <c r="N20" s="52"/>
      <c r="O20" s="52"/>
      <c r="P20" s="92"/>
      <c r="Q20" s="94"/>
    </row>
    <row r="21" spans="1:18" s="147" customFormat="1" ht="9">
      <c r="A21" s="143" t="s">
        <v>421</v>
      </c>
      <c r="B21" s="44"/>
      <c r="C21" s="44"/>
      <c r="D21" s="52"/>
      <c r="E21" s="52"/>
      <c r="F21" s="52"/>
      <c r="G21" s="44"/>
      <c r="H21" s="44"/>
      <c r="I21" s="92"/>
      <c r="J21" s="44"/>
      <c r="K21" s="44"/>
      <c r="L21" s="44"/>
      <c r="M21" s="44"/>
      <c r="N21" s="52"/>
      <c r="O21" s="52"/>
      <c r="P21" s="92"/>
      <c r="Q21" s="94"/>
    </row>
    <row r="22" spans="1:18" s="147" customFormat="1" ht="19.5" customHeight="1">
      <c r="A22" s="177" t="s">
        <v>375</v>
      </c>
      <c r="B22" s="44">
        <v>2</v>
      </c>
      <c r="C22" s="44">
        <v>0</v>
      </c>
      <c r="D22" s="52">
        <v>0</v>
      </c>
      <c r="E22" s="52">
        <v>0</v>
      </c>
      <c r="F22" s="52">
        <v>0</v>
      </c>
      <c r="G22" s="44">
        <v>0.5</v>
      </c>
      <c r="H22" s="44">
        <f>B22*G22</f>
        <v>1</v>
      </c>
      <c r="I22" s="92">
        <v>0</v>
      </c>
      <c r="J22" s="91">
        <f>H22*I22</f>
        <v>0</v>
      </c>
      <c r="K22" s="91">
        <f>J22*0.1</f>
        <v>0</v>
      </c>
      <c r="L22" s="91">
        <f>J22*0.05</f>
        <v>0</v>
      </c>
      <c r="M22" s="44">
        <f>C22*G22*I22</f>
        <v>0</v>
      </c>
      <c r="N22" s="52">
        <f>(J22*'Base Data'!$C$5)+(K22*'Base Data'!$C$6)+(L22*'Base Data'!$C$7)</f>
        <v>0</v>
      </c>
      <c r="O22" s="52">
        <f>(D22+E22+F22)*G22*I22</f>
        <v>0</v>
      </c>
      <c r="P22" s="92">
        <f>G22*I22</f>
        <v>0</v>
      </c>
      <c r="Q22" s="94"/>
    </row>
    <row r="23" spans="1:18" s="147" customFormat="1" ht="9">
      <c r="A23" s="177" t="s">
        <v>251</v>
      </c>
      <c r="B23" s="44">
        <v>0.5</v>
      </c>
      <c r="C23" s="44"/>
      <c r="D23" s="52">
        <v>0</v>
      </c>
      <c r="E23" s="52">
        <v>0</v>
      </c>
      <c r="F23" s="52">
        <v>0</v>
      </c>
      <c r="G23" s="44">
        <v>0.5</v>
      </c>
      <c r="H23" s="44">
        <f>B23*G23</f>
        <v>0.25</v>
      </c>
      <c r="I23" s="92">
        <v>0</v>
      </c>
      <c r="J23" s="91">
        <f>H23*I23</f>
        <v>0</v>
      </c>
      <c r="K23" s="91">
        <f>J23*0.1</f>
        <v>0</v>
      </c>
      <c r="L23" s="91">
        <f>J23*0.05</f>
        <v>0</v>
      </c>
      <c r="M23" s="44">
        <f>C23*G23*I23</f>
        <v>0</v>
      </c>
      <c r="N23" s="52">
        <f>(J23*'Base Data'!$C$5)+(K23*'Base Data'!$C$6)+(L23*'Base Data'!$C$7)</f>
        <v>0</v>
      </c>
      <c r="O23" s="52">
        <f>(D23+E23+F23)*G23*I23</f>
        <v>0</v>
      </c>
      <c r="P23" s="92">
        <f>G23*I23</f>
        <v>0</v>
      </c>
      <c r="Q23" s="94"/>
    </row>
    <row r="24" spans="1:18" s="6" customFormat="1" ht="9">
      <c r="A24" s="142" t="s">
        <v>427</v>
      </c>
      <c r="B24" s="44">
        <v>40</v>
      </c>
      <c r="C24" s="18"/>
      <c r="D24" s="39">
        <v>0</v>
      </c>
      <c r="E24" s="39">
        <v>0</v>
      </c>
      <c r="F24" s="39">
        <v>0</v>
      </c>
      <c r="G24" s="18">
        <v>1</v>
      </c>
      <c r="H24" s="18">
        <f t="shared" ref="H24" si="1">B24*G24</f>
        <v>40</v>
      </c>
      <c r="I24" s="91">
        <v>0</v>
      </c>
      <c r="J24" s="19">
        <f t="shared" ref="J24" si="2">H24*I24</f>
        <v>0</v>
      </c>
      <c r="K24" s="19">
        <f t="shared" ref="K24" si="3">J24*0.1</f>
        <v>0</v>
      </c>
      <c r="L24" s="19">
        <f t="shared" ref="L24" si="4">J24*0.05</f>
        <v>0</v>
      </c>
      <c r="M24" s="18"/>
      <c r="N24" s="39">
        <f>(J24*'Base Data'!$C$5)+(K24*'Base Data'!$C$6)+(L24*'Base Data'!$C$7)</f>
        <v>0</v>
      </c>
      <c r="O24" s="39">
        <f t="shared" ref="O24" si="5">(D24+E24+F24)*G24*I24</f>
        <v>0</v>
      </c>
      <c r="P24" s="39"/>
      <c r="Q24" s="29"/>
    </row>
    <row r="25" spans="1:18" s="147" customFormat="1" ht="9">
      <c r="A25" s="143" t="s">
        <v>428</v>
      </c>
      <c r="B25" s="44" t="s">
        <v>433</v>
      </c>
      <c r="C25" s="44"/>
      <c r="D25" s="52"/>
      <c r="E25" s="52"/>
      <c r="F25" s="52"/>
      <c r="G25" s="44"/>
      <c r="H25" s="44"/>
      <c r="I25" s="92"/>
      <c r="J25" s="44"/>
      <c r="K25" s="44"/>
      <c r="L25" s="44"/>
      <c r="M25" s="44"/>
      <c r="N25" s="52"/>
      <c r="O25" s="52"/>
      <c r="P25" s="92"/>
      <c r="Q25" s="94"/>
    </row>
    <row r="26" spans="1:18" s="147" customFormat="1" ht="9">
      <c r="A26" s="256" t="s">
        <v>27</v>
      </c>
      <c r="B26" s="239"/>
      <c r="C26" s="239"/>
      <c r="D26" s="240"/>
      <c r="E26" s="240"/>
      <c r="F26" s="240"/>
      <c r="G26" s="239"/>
      <c r="H26" s="239"/>
      <c r="I26" s="241"/>
      <c r="J26" s="239">
        <f t="shared" ref="J26:O26" si="6">SUM(J18:J25)</f>
        <v>0</v>
      </c>
      <c r="K26" s="239">
        <f t="shared" si="6"/>
        <v>0</v>
      </c>
      <c r="L26" s="239">
        <f t="shared" si="6"/>
        <v>0</v>
      </c>
      <c r="M26" s="239">
        <f t="shared" si="6"/>
        <v>0</v>
      </c>
      <c r="N26" s="240">
        <f t="shared" si="6"/>
        <v>0</v>
      </c>
      <c r="O26" s="240">
        <f t="shared" si="6"/>
        <v>0</v>
      </c>
      <c r="P26" s="241">
        <f>SUM(P18:P25)</f>
        <v>0</v>
      </c>
      <c r="Q26" s="242"/>
      <c r="R26" s="149">
        <f>SUM(O18:O26)</f>
        <v>0</v>
      </c>
    </row>
    <row r="27" spans="1:18" s="147" customFormat="1">
      <c r="A27" s="186" t="s">
        <v>400</v>
      </c>
      <c r="B27" s="187"/>
      <c r="C27" s="187"/>
      <c r="D27" s="187"/>
      <c r="E27" s="187"/>
      <c r="F27" s="187"/>
      <c r="G27" s="187"/>
      <c r="H27" s="187"/>
      <c r="I27" s="189"/>
      <c r="J27" s="190">
        <f t="shared" ref="J27:P27" si="7">SUM(J16,J26)</f>
        <v>0</v>
      </c>
      <c r="K27" s="190">
        <f t="shared" si="7"/>
        <v>0</v>
      </c>
      <c r="L27" s="190">
        <f t="shared" si="7"/>
        <v>0</v>
      </c>
      <c r="M27" s="190">
        <f t="shared" si="7"/>
        <v>0</v>
      </c>
      <c r="N27" s="191">
        <f t="shared" si="7"/>
        <v>0</v>
      </c>
      <c r="O27" s="191">
        <f t="shared" si="7"/>
        <v>0</v>
      </c>
      <c r="P27" s="190">
        <f t="shared" si="7"/>
        <v>0</v>
      </c>
      <c r="Q27" s="192"/>
    </row>
    <row r="28" spans="1:18" s="147" customFormat="1">
      <c r="A28" s="114"/>
      <c r="B28" s="54"/>
      <c r="C28" s="54"/>
      <c r="D28" s="54"/>
      <c r="E28" s="54"/>
      <c r="F28" s="54"/>
      <c r="G28" s="54"/>
      <c r="H28" s="54"/>
      <c r="I28" s="55"/>
      <c r="J28" s="54"/>
      <c r="K28" s="54"/>
      <c r="L28" s="54"/>
      <c r="M28" s="54"/>
      <c r="N28" s="54"/>
      <c r="O28" s="196"/>
      <c r="P28" s="196"/>
      <c r="Q28" s="54"/>
    </row>
    <row r="29" spans="1:18" s="147" customFormat="1" ht="9">
      <c r="A29" s="412" t="s">
        <v>466</v>
      </c>
      <c r="B29" s="412"/>
      <c r="C29" s="412"/>
      <c r="D29" s="412"/>
      <c r="E29" s="412"/>
      <c r="F29" s="412"/>
      <c r="G29" s="412"/>
      <c r="H29" s="412"/>
      <c r="I29" s="412"/>
      <c r="J29" s="412"/>
      <c r="K29" s="412"/>
      <c r="L29" s="412"/>
      <c r="M29" s="412"/>
      <c r="N29" s="412"/>
      <c r="O29" s="412"/>
      <c r="P29" s="197"/>
      <c r="Q29" s="56"/>
    </row>
  </sheetData>
  <mergeCells count="3">
    <mergeCell ref="A1:Q1"/>
    <mergeCell ref="A2:Q2"/>
    <mergeCell ref="A29:O29"/>
  </mergeCells>
  <phoneticPr fontId="7" type="noConversion"/>
  <pageMargins left="0.25" right="0.25" top="0.5" bottom="0.75" header="0.5" footer="0.5"/>
  <pageSetup scale="64" orientation="landscape" r:id="rId1"/>
  <headerFooter alignWithMargins="0"/>
</worksheet>
</file>

<file path=xl/worksheets/sheet38.xml><?xml version="1.0" encoding="utf-8"?>
<worksheet xmlns="http://schemas.openxmlformats.org/spreadsheetml/2006/main" xmlns:r="http://schemas.openxmlformats.org/officeDocument/2006/relationships">
  <sheetPr>
    <pageSetUpPr fitToPage="1"/>
  </sheetPr>
  <dimension ref="A1:S62"/>
  <sheetViews>
    <sheetView zoomScaleNormal="100" workbookViewId="0">
      <pane xSplit="1" ySplit="3" topLeftCell="B4" activePane="bottomRight" state="frozen"/>
      <selection activeCell="P31" sqref="P31"/>
      <selection pane="topRight" activeCell="P31" sqref="P31"/>
      <selection pane="bottomLeft" activeCell="P31" sqref="P31"/>
      <selection pane="bottomRight" activeCell="P25" sqref="P25"/>
    </sheetView>
  </sheetViews>
  <sheetFormatPr defaultRowHeight="11.25"/>
  <cols>
    <col min="1" max="1" width="36.5703125" style="114" customWidth="1"/>
    <col min="2" max="2" width="8.85546875" style="54" bestFit="1" customWidth="1"/>
    <col min="3" max="3" width="8" style="54" hidden="1" customWidth="1"/>
    <col min="4" max="4" width="8.42578125" style="54" bestFit="1" customWidth="1"/>
    <col min="5" max="5" width="9.28515625" style="54" bestFit="1" customWidth="1"/>
    <col min="6" max="6" width="8.140625" style="54" customWidth="1"/>
    <col min="7" max="7" width="9.28515625" style="54" bestFit="1" customWidth="1"/>
    <col min="8" max="8" width="8.85546875" style="54" customWidth="1"/>
    <col min="9" max="9" width="9.42578125" style="55" bestFit="1" customWidth="1"/>
    <col min="10" max="11" width="6.85546875" style="54" bestFit="1" customWidth="1"/>
    <col min="12" max="12" width="9.140625" style="54" customWidth="1"/>
    <col min="13" max="13" width="7.85546875" style="54" hidden="1" customWidth="1"/>
    <col min="14" max="14" width="10.140625" style="54" customWidth="1"/>
    <col min="15" max="15" width="10.140625" style="196" bestFit="1" customWidth="1"/>
    <col min="16" max="16" width="10" style="196" bestFit="1" customWidth="1"/>
    <col min="17" max="17" width="2.5703125" style="54" bestFit="1" customWidth="1"/>
    <col min="18" max="19" width="0" style="114" hidden="1" customWidth="1"/>
    <col min="20" max="20" width="11.140625" style="114" customWidth="1"/>
    <col min="21" max="21" width="8.5703125" style="114" customWidth="1"/>
    <col min="22" max="16384" width="9.140625" style="114"/>
  </cols>
  <sheetData>
    <row r="1" spans="1:19">
      <c r="A1" s="410" t="s">
        <v>299</v>
      </c>
      <c r="B1" s="410"/>
      <c r="C1" s="410"/>
      <c r="D1" s="410"/>
      <c r="E1" s="410"/>
      <c r="F1" s="410"/>
      <c r="G1" s="410"/>
      <c r="H1" s="410"/>
      <c r="I1" s="410"/>
      <c r="J1" s="410"/>
      <c r="K1" s="410"/>
      <c r="L1" s="410"/>
      <c r="M1" s="410"/>
      <c r="N1" s="410"/>
      <c r="O1" s="410"/>
      <c r="P1" s="410"/>
      <c r="Q1" s="410"/>
    </row>
    <row r="2" spans="1:19">
      <c r="A2" s="411" t="s">
        <v>300</v>
      </c>
      <c r="B2" s="411"/>
      <c r="C2" s="411"/>
      <c r="D2" s="411"/>
      <c r="E2" s="411"/>
      <c r="F2" s="411"/>
      <c r="G2" s="411"/>
      <c r="H2" s="411"/>
      <c r="I2" s="411"/>
      <c r="J2" s="411"/>
      <c r="K2" s="411"/>
      <c r="L2" s="411"/>
      <c r="M2" s="411"/>
      <c r="N2" s="411"/>
      <c r="O2" s="411"/>
      <c r="P2" s="411"/>
      <c r="Q2" s="411"/>
    </row>
    <row r="3" spans="1:19" s="193" customFormat="1" ht="63">
      <c r="A3" s="45" t="s">
        <v>392</v>
      </c>
      <c r="B3" s="45" t="s">
        <v>393</v>
      </c>
      <c r="C3" s="45" t="s">
        <v>430</v>
      </c>
      <c r="D3" s="45" t="s">
        <v>4</v>
      </c>
      <c r="E3" s="45" t="s">
        <v>94</v>
      </c>
      <c r="F3" s="45" t="s">
        <v>5</v>
      </c>
      <c r="G3" s="12" t="s">
        <v>176</v>
      </c>
      <c r="H3" s="45" t="s">
        <v>459</v>
      </c>
      <c r="I3" s="60" t="s">
        <v>460</v>
      </c>
      <c r="J3" s="100" t="s">
        <v>462</v>
      </c>
      <c r="K3" s="100" t="s">
        <v>463</v>
      </c>
      <c r="L3" s="100" t="s">
        <v>461</v>
      </c>
      <c r="M3" s="45" t="s">
        <v>391</v>
      </c>
      <c r="N3" s="45" t="s">
        <v>8</v>
      </c>
      <c r="O3" s="100" t="s">
        <v>96</v>
      </c>
      <c r="P3" s="100" t="s">
        <v>175</v>
      </c>
      <c r="Q3" s="182" t="s">
        <v>394</v>
      </c>
      <c r="R3" s="193" t="s">
        <v>307</v>
      </c>
      <c r="S3" s="193" t="s">
        <v>308</v>
      </c>
    </row>
    <row r="4" spans="1:19" s="147" customFormat="1" ht="9">
      <c r="A4" s="194" t="s">
        <v>405</v>
      </c>
      <c r="B4" s="179" t="s">
        <v>433</v>
      </c>
      <c r="C4" s="179"/>
      <c r="D4" s="181"/>
      <c r="E4" s="181"/>
      <c r="F4" s="181"/>
      <c r="G4" s="179"/>
      <c r="H4" s="179"/>
      <c r="I4" s="183"/>
      <c r="J4" s="179"/>
      <c r="K4" s="179"/>
      <c r="L4" s="179"/>
      <c r="M4" s="179"/>
      <c r="N4" s="181"/>
      <c r="O4" s="181"/>
      <c r="P4" s="181"/>
      <c r="Q4" s="249"/>
    </row>
    <row r="5" spans="1:19" s="147" customFormat="1" ht="9">
      <c r="A5" s="143" t="s">
        <v>406</v>
      </c>
      <c r="B5" s="44" t="s">
        <v>433</v>
      </c>
      <c r="C5" s="44"/>
      <c r="D5" s="52"/>
      <c r="E5" s="52"/>
      <c r="F5" s="52"/>
      <c r="G5" s="44"/>
      <c r="H5" s="44"/>
      <c r="I5" s="92"/>
      <c r="J5" s="44"/>
      <c r="K5" s="44"/>
      <c r="L5" s="44"/>
      <c r="M5" s="44"/>
      <c r="N5" s="52"/>
      <c r="O5" s="52"/>
      <c r="P5" s="52"/>
      <c r="Q5" s="94"/>
    </row>
    <row r="6" spans="1:19" s="147" customFormat="1" ht="9">
      <c r="A6" s="143" t="s">
        <v>407</v>
      </c>
      <c r="B6" s="44"/>
      <c r="C6" s="44"/>
      <c r="D6" s="52"/>
      <c r="E6" s="52"/>
      <c r="F6" s="52"/>
      <c r="G6" s="44"/>
      <c r="H6" s="44"/>
      <c r="I6" s="92"/>
      <c r="J6" s="44"/>
      <c r="K6" s="44"/>
      <c r="L6" s="44"/>
      <c r="M6" s="44"/>
      <c r="N6" s="52"/>
      <c r="O6" s="52"/>
      <c r="P6" s="52"/>
      <c r="Q6" s="94"/>
    </row>
    <row r="7" spans="1:19" s="147" customFormat="1" ht="9">
      <c r="A7" s="143" t="s">
        <v>408</v>
      </c>
      <c r="B7" s="44">
        <v>40</v>
      </c>
      <c r="C7" s="44"/>
      <c r="D7" s="52">
        <v>0</v>
      </c>
      <c r="E7" s="52">
        <v>0</v>
      </c>
      <c r="F7" s="52">
        <v>0</v>
      </c>
      <c r="G7" s="44">
        <v>1</v>
      </c>
      <c r="H7" s="44">
        <f>B7*G7</f>
        <v>40</v>
      </c>
      <c r="I7" s="91">
        <v>0</v>
      </c>
      <c r="J7" s="91">
        <f>H7*I7</f>
        <v>0</v>
      </c>
      <c r="K7" s="91">
        <f>J7*0.1</f>
        <v>0</v>
      </c>
      <c r="L7" s="91">
        <f>J7*0.05</f>
        <v>0</v>
      </c>
      <c r="M7" s="44">
        <f>C7*G7*I7</f>
        <v>0</v>
      </c>
      <c r="N7" s="52">
        <f>(J7*'Base Data'!$C$5)+(K7*'Base Data'!$C$6)+(L7*'Base Data'!$C$7)</f>
        <v>0</v>
      </c>
      <c r="O7" s="52">
        <f>(D7+E7+F7)*G7*I7</f>
        <v>0</v>
      </c>
      <c r="P7" s="92">
        <v>0</v>
      </c>
      <c r="Q7" s="94" t="s">
        <v>387</v>
      </c>
    </row>
    <row r="8" spans="1:19" s="147" customFormat="1" ht="9">
      <c r="A8" s="143" t="s">
        <v>409</v>
      </c>
      <c r="B8" s="44"/>
      <c r="C8" s="44"/>
      <c r="D8" s="52"/>
      <c r="E8" s="52"/>
      <c r="F8" s="52"/>
      <c r="G8" s="44"/>
      <c r="H8" s="44"/>
      <c r="I8" s="92"/>
      <c r="J8" s="44"/>
      <c r="K8" s="44"/>
      <c r="L8" s="44"/>
      <c r="M8" s="44"/>
      <c r="N8" s="52"/>
      <c r="O8" s="52"/>
      <c r="P8" s="92"/>
      <c r="Q8" s="94"/>
    </row>
    <row r="9" spans="1:19" s="147" customFormat="1" ht="9">
      <c r="A9" s="143" t="s">
        <v>500</v>
      </c>
      <c r="B9" s="44">
        <v>12</v>
      </c>
      <c r="C9" s="44"/>
      <c r="D9" s="52">
        <v>0</v>
      </c>
      <c r="E9" s="52">
        <v>2228</v>
      </c>
      <c r="F9" s="52">
        <v>0</v>
      </c>
      <c r="G9" s="44">
        <v>0.5</v>
      </c>
      <c r="H9" s="44">
        <f>B9*G9</f>
        <v>6</v>
      </c>
      <c r="I9" s="91">
        <v>0</v>
      </c>
      <c r="J9" s="91">
        <f>H9*I9</f>
        <v>0</v>
      </c>
      <c r="K9" s="91">
        <f>J9*0.1</f>
        <v>0</v>
      </c>
      <c r="L9" s="91">
        <f>J9*0.05</f>
        <v>0</v>
      </c>
      <c r="M9" s="92"/>
      <c r="N9" s="52">
        <f>(J9*'Base Data'!$C$5)+(K9*'Base Data'!$C$6)+(L9*'Base Data'!$C$7)</f>
        <v>0</v>
      </c>
      <c r="O9" s="52">
        <f>(D9+E9+F9)*I9</f>
        <v>0</v>
      </c>
      <c r="P9" s="92">
        <v>0</v>
      </c>
      <c r="Q9" s="94"/>
    </row>
    <row r="10" spans="1:19" s="147" customFormat="1" ht="9">
      <c r="A10" s="143" t="s">
        <v>415</v>
      </c>
      <c r="B10" s="44" t="s">
        <v>433</v>
      </c>
      <c r="C10" s="44"/>
      <c r="D10" s="52"/>
      <c r="E10" s="52"/>
      <c r="F10" s="52"/>
      <c r="G10" s="44"/>
      <c r="H10" s="44"/>
      <c r="I10" s="92"/>
      <c r="J10" s="44"/>
      <c r="K10" s="44"/>
      <c r="L10" s="44"/>
      <c r="M10" s="44"/>
      <c r="N10" s="52"/>
      <c r="O10" s="52"/>
      <c r="P10" s="92"/>
      <c r="Q10" s="94"/>
    </row>
    <row r="11" spans="1:19" s="147" customFormat="1" ht="9">
      <c r="A11" s="143" t="s">
        <v>416</v>
      </c>
      <c r="B11" s="44" t="s">
        <v>433</v>
      </c>
      <c r="C11" s="44"/>
      <c r="D11" s="52"/>
      <c r="E11" s="52"/>
      <c r="F11" s="52"/>
      <c r="G11" s="44"/>
      <c r="H11" s="44"/>
      <c r="I11" s="92"/>
      <c r="J11" s="44"/>
      <c r="K11" s="44"/>
      <c r="L11" s="44"/>
      <c r="M11" s="44"/>
      <c r="N11" s="52"/>
      <c r="O11" s="52"/>
      <c r="P11" s="92"/>
      <c r="Q11" s="94"/>
    </row>
    <row r="12" spans="1:19" s="147" customFormat="1" ht="9">
      <c r="A12" s="143" t="s">
        <v>417</v>
      </c>
      <c r="B12" s="44"/>
      <c r="C12" s="44"/>
      <c r="D12" s="52"/>
      <c r="E12" s="52"/>
      <c r="F12" s="52"/>
      <c r="G12" s="44"/>
      <c r="H12" s="44"/>
      <c r="I12" s="92"/>
      <c r="J12" s="44"/>
      <c r="K12" s="44"/>
      <c r="L12" s="44"/>
      <c r="M12" s="44"/>
      <c r="N12" s="52"/>
      <c r="O12" s="52"/>
      <c r="P12" s="92"/>
      <c r="Q12" s="94"/>
    </row>
    <row r="13" spans="1:19" s="147" customFormat="1" ht="9">
      <c r="A13" s="177" t="s">
        <v>435</v>
      </c>
      <c r="B13" s="44">
        <v>2</v>
      </c>
      <c r="C13" s="44"/>
      <c r="D13" s="52">
        <v>0</v>
      </c>
      <c r="E13" s="52">
        <v>0</v>
      </c>
      <c r="F13" s="52">
        <v>0</v>
      </c>
      <c r="G13" s="44">
        <v>1</v>
      </c>
      <c r="H13" s="44">
        <f>B13*G13</f>
        <v>2</v>
      </c>
      <c r="I13" s="91">
        <v>0</v>
      </c>
      <c r="J13" s="91">
        <f>H13*I13</f>
        <v>0</v>
      </c>
      <c r="K13" s="91">
        <f>J13*0.1</f>
        <v>0</v>
      </c>
      <c r="L13" s="91">
        <f>J13*0.05</f>
        <v>0</v>
      </c>
      <c r="M13" s="44">
        <f>C13*G13*I13</f>
        <v>0</v>
      </c>
      <c r="N13" s="52">
        <f>(J13*'Base Data'!$C$5)+(K13*'Base Data'!$C$6)+(L13*'Base Data'!$C$7)</f>
        <v>0</v>
      </c>
      <c r="O13" s="52">
        <f>(D13+E13+F13)*G13*I13</f>
        <v>0</v>
      </c>
      <c r="P13" s="92">
        <f>G13*I13</f>
        <v>0</v>
      </c>
      <c r="Q13" s="94"/>
    </row>
    <row r="14" spans="1:19" s="147" customFormat="1" ht="9">
      <c r="A14" s="177" t="s">
        <v>377</v>
      </c>
      <c r="B14" s="44">
        <v>8</v>
      </c>
      <c r="C14" s="44"/>
      <c r="D14" s="52">
        <v>0</v>
      </c>
      <c r="E14" s="52">
        <v>0</v>
      </c>
      <c r="F14" s="52">
        <v>0</v>
      </c>
      <c r="G14" s="44">
        <v>1</v>
      </c>
      <c r="H14" s="44">
        <f>B14*G14</f>
        <v>8</v>
      </c>
      <c r="I14" s="92">
        <v>0</v>
      </c>
      <c r="J14" s="91">
        <f>H14*I14</f>
        <v>0</v>
      </c>
      <c r="K14" s="91">
        <f>J14*0.1</f>
        <v>0</v>
      </c>
      <c r="L14" s="91">
        <f>J14*0.05</f>
        <v>0</v>
      </c>
      <c r="M14" s="44">
        <f>C14*G14*I14</f>
        <v>0</v>
      </c>
      <c r="N14" s="52">
        <f>(J14*'Base Data'!$C$5)+(K14*'Base Data'!$C$6)+(L14*'Base Data'!$C$7)</f>
        <v>0</v>
      </c>
      <c r="O14" s="52">
        <f>(D14+E14+F14)*G14*I14</f>
        <v>0</v>
      </c>
      <c r="P14" s="92">
        <f>G14*I14</f>
        <v>0</v>
      </c>
      <c r="Q14" s="94"/>
    </row>
    <row r="15" spans="1:19" s="147" customFormat="1" ht="9">
      <c r="A15" s="177" t="s">
        <v>11</v>
      </c>
      <c r="B15" s="44">
        <v>5</v>
      </c>
      <c r="C15" s="44"/>
      <c r="D15" s="52">
        <v>0</v>
      </c>
      <c r="E15" s="52">
        <v>0</v>
      </c>
      <c r="F15" s="52">
        <v>0</v>
      </c>
      <c r="G15" s="44">
        <v>0.5</v>
      </c>
      <c r="H15" s="44">
        <f>B15*G15</f>
        <v>2.5</v>
      </c>
      <c r="I15" s="92">
        <v>0</v>
      </c>
      <c r="J15" s="91">
        <f>H15*I15</f>
        <v>0</v>
      </c>
      <c r="K15" s="91">
        <f>J15*0.1</f>
        <v>0</v>
      </c>
      <c r="L15" s="91">
        <f>J15*0.05</f>
        <v>0</v>
      </c>
      <c r="M15" s="44">
        <f>C15*G15*I15</f>
        <v>0</v>
      </c>
      <c r="N15" s="52">
        <f>(J15*'Base Data'!$C$5)+(K15*'Base Data'!$C$6)+(L15*'Base Data'!$C$7)</f>
        <v>0</v>
      </c>
      <c r="O15" s="52">
        <f>(D15+E15+F15)*G15*I15</f>
        <v>0</v>
      </c>
      <c r="P15" s="92">
        <f>G15*I15</f>
        <v>0</v>
      </c>
      <c r="Q15" s="94"/>
    </row>
    <row r="16" spans="1:19" s="147" customFormat="1" ht="9">
      <c r="A16" s="148" t="s">
        <v>7</v>
      </c>
      <c r="B16" s="44"/>
      <c r="C16" s="44"/>
      <c r="D16" s="52"/>
      <c r="E16" s="52"/>
      <c r="F16" s="52"/>
      <c r="G16" s="44"/>
      <c r="H16" s="44"/>
      <c r="I16" s="92"/>
      <c r="J16" s="92">
        <f t="shared" ref="J16:O16" si="0">SUM(J7:J15)</f>
        <v>0</v>
      </c>
      <c r="K16" s="92">
        <f t="shared" si="0"/>
        <v>0</v>
      </c>
      <c r="L16" s="92">
        <f t="shared" si="0"/>
        <v>0</v>
      </c>
      <c r="M16" s="92">
        <f t="shared" si="0"/>
        <v>0</v>
      </c>
      <c r="N16" s="92">
        <f t="shared" si="0"/>
        <v>0</v>
      </c>
      <c r="O16" s="92">
        <f t="shared" si="0"/>
        <v>0</v>
      </c>
      <c r="P16" s="92">
        <f>SUM(P13:P15)</f>
        <v>0</v>
      </c>
      <c r="Q16" s="94"/>
      <c r="R16" s="149">
        <f>SUM(O7:O9)</f>
        <v>0</v>
      </c>
      <c r="S16" s="147">
        <f>0</f>
        <v>0</v>
      </c>
    </row>
    <row r="17" spans="1:18" s="147" customFormat="1" ht="9">
      <c r="A17" s="143" t="s">
        <v>431</v>
      </c>
      <c r="B17" s="44"/>
      <c r="C17" s="44"/>
      <c r="D17" s="52"/>
      <c r="E17" s="52"/>
      <c r="F17" s="52"/>
      <c r="G17" s="44"/>
      <c r="H17" s="44"/>
      <c r="I17" s="92"/>
      <c r="J17" s="44"/>
      <c r="K17" s="44"/>
      <c r="L17" s="44"/>
      <c r="M17" s="44"/>
      <c r="N17" s="52"/>
      <c r="O17" s="52"/>
      <c r="P17" s="92"/>
      <c r="Q17" s="94"/>
    </row>
    <row r="18" spans="1:18" s="147" customFormat="1" ht="9">
      <c r="A18" s="143" t="s">
        <v>418</v>
      </c>
      <c r="B18" s="44" t="s">
        <v>422</v>
      </c>
      <c r="C18" s="44"/>
      <c r="D18" s="52"/>
      <c r="E18" s="52"/>
      <c r="F18" s="52"/>
      <c r="G18" s="44"/>
      <c r="H18" s="44"/>
      <c r="I18" s="92"/>
      <c r="J18" s="44"/>
      <c r="K18" s="44"/>
      <c r="L18" s="44"/>
      <c r="M18" s="44"/>
      <c r="N18" s="52"/>
      <c r="O18" s="52"/>
      <c r="P18" s="92"/>
      <c r="Q18" s="94"/>
    </row>
    <row r="19" spans="1:18" s="147" customFormat="1" ht="9">
      <c r="A19" s="143" t="s">
        <v>419</v>
      </c>
      <c r="B19" s="44" t="s">
        <v>433</v>
      </c>
      <c r="C19" s="44"/>
      <c r="D19" s="52"/>
      <c r="E19" s="52"/>
      <c r="F19" s="52"/>
      <c r="G19" s="44"/>
      <c r="H19" s="44"/>
      <c r="I19" s="92"/>
      <c r="J19" s="44"/>
      <c r="K19" s="44"/>
      <c r="L19" s="44"/>
      <c r="M19" s="44"/>
      <c r="N19" s="52"/>
      <c r="O19" s="52"/>
      <c r="P19" s="92"/>
      <c r="Q19" s="94"/>
    </row>
    <row r="20" spans="1:18" s="147" customFormat="1" ht="9">
      <c r="A20" s="143" t="s">
        <v>420</v>
      </c>
      <c r="B20" s="44" t="s">
        <v>433</v>
      </c>
      <c r="C20" s="44"/>
      <c r="D20" s="52"/>
      <c r="E20" s="52"/>
      <c r="F20" s="52"/>
      <c r="G20" s="44"/>
      <c r="H20" s="44"/>
      <c r="I20" s="92"/>
      <c r="J20" s="44"/>
      <c r="K20" s="44"/>
      <c r="L20" s="44"/>
      <c r="M20" s="44"/>
      <c r="N20" s="52"/>
      <c r="O20" s="52"/>
      <c r="P20" s="92"/>
      <c r="Q20" s="94"/>
    </row>
    <row r="21" spans="1:18" s="147" customFormat="1" ht="9">
      <c r="A21" s="143" t="s">
        <v>421</v>
      </c>
      <c r="B21" s="44"/>
      <c r="C21" s="44"/>
      <c r="D21" s="52"/>
      <c r="E21" s="52"/>
      <c r="F21" s="52"/>
      <c r="G21" s="44"/>
      <c r="H21" s="44"/>
      <c r="I21" s="92"/>
      <c r="J21" s="44"/>
      <c r="K21" s="44"/>
      <c r="L21" s="44"/>
      <c r="M21" s="44"/>
      <c r="N21" s="52"/>
      <c r="O21" s="52"/>
      <c r="P21" s="92"/>
      <c r="Q21" s="94"/>
    </row>
    <row r="22" spans="1:18" s="147" customFormat="1" ht="19.5" customHeight="1">
      <c r="A22" s="177" t="s">
        <v>375</v>
      </c>
      <c r="B22" s="44">
        <v>2</v>
      </c>
      <c r="C22" s="44">
        <v>0</v>
      </c>
      <c r="D22" s="52">
        <v>0</v>
      </c>
      <c r="E22" s="52">
        <v>0</v>
      </c>
      <c r="F22" s="52">
        <v>0</v>
      </c>
      <c r="G22" s="44">
        <v>0.5</v>
      </c>
      <c r="H22" s="44">
        <f>B22*G22</f>
        <v>1</v>
      </c>
      <c r="I22" s="92">
        <v>0</v>
      </c>
      <c r="J22" s="91">
        <f>H22*I22</f>
        <v>0</v>
      </c>
      <c r="K22" s="91">
        <f>J22*0.1</f>
        <v>0</v>
      </c>
      <c r="L22" s="91">
        <f>J22*0.05</f>
        <v>0</v>
      </c>
      <c r="M22" s="44">
        <f>C22*G22*I22</f>
        <v>0</v>
      </c>
      <c r="N22" s="52">
        <f>(J22*'Base Data'!$C$5)+(K22*'Base Data'!$C$6)+(L22*'Base Data'!$C$7)</f>
        <v>0</v>
      </c>
      <c r="O22" s="52">
        <f>(D22+E22+F22)*G22*I22</f>
        <v>0</v>
      </c>
      <c r="P22" s="92">
        <f>G22*I22</f>
        <v>0</v>
      </c>
      <c r="Q22" s="94"/>
    </row>
    <row r="23" spans="1:18" s="147" customFormat="1" ht="9">
      <c r="A23" s="177" t="s">
        <v>251</v>
      </c>
      <c r="B23" s="44">
        <v>0.5</v>
      </c>
      <c r="C23" s="44"/>
      <c r="D23" s="52">
        <v>0</v>
      </c>
      <c r="E23" s="52">
        <v>0</v>
      </c>
      <c r="F23" s="52">
        <v>0</v>
      </c>
      <c r="G23" s="44">
        <v>0.5</v>
      </c>
      <c r="H23" s="44">
        <f>B23*G23</f>
        <v>0.25</v>
      </c>
      <c r="I23" s="92">
        <v>0</v>
      </c>
      <c r="J23" s="91">
        <f>H23*I23</f>
        <v>0</v>
      </c>
      <c r="K23" s="91">
        <f>J23*0.1</f>
        <v>0</v>
      </c>
      <c r="L23" s="91">
        <f>J23*0.05</f>
        <v>0</v>
      </c>
      <c r="M23" s="44">
        <f>C23*G23*I23</f>
        <v>0</v>
      </c>
      <c r="N23" s="52">
        <f>(J23*'Base Data'!$C$5)+(K23*'Base Data'!$C$6)+(L23*'Base Data'!$C$7)</f>
        <v>0</v>
      </c>
      <c r="O23" s="52">
        <f>(D23+E23+F23)*G23*I23</f>
        <v>0</v>
      </c>
      <c r="P23" s="92">
        <f>G23*I23</f>
        <v>0</v>
      </c>
      <c r="Q23" s="94"/>
    </row>
    <row r="24" spans="1:18" s="6" customFormat="1" ht="9">
      <c r="A24" s="142" t="s">
        <v>427</v>
      </c>
      <c r="B24" s="44">
        <v>40</v>
      </c>
      <c r="C24" s="18"/>
      <c r="D24" s="39">
        <v>0</v>
      </c>
      <c r="E24" s="39">
        <v>0</v>
      </c>
      <c r="F24" s="39">
        <v>0</v>
      </c>
      <c r="G24" s="18">
        <v>1</v>
      </c>
      <c r="H24" s="18">
        <f t="shared" ref="H24" si="1">B24*G24</f>
        <v>40</v>
      </c>
      <c r="I24" s="91">
        <v>0</v>
      </c>
      <c r="J24" s="19">
        <f t="shared" ref="J24" si="2">H24*I24</f>
        <v>0</v>
      </c>
      <c r="K24" s="19">
        <f t="shared" ref="K24" si="3">J24*0.1</f>
        <v>0</v>
      </c>
      <c r="L24" s="19">
        <f t="shared" ref="L24" si="4">J24*0.05</f>
        <v>0</v>
      </c>
      <c r="M24" s="18"/>
      <c r="N24" s="39">
        <f>(J24*'Base Data'!$C$5)+(K24*'Base Data'!$C$6)+(L24*'Base Data'!$C$7)</f>
        <v>0</v>
      </c>
      <c r="O24" s="39">
        <f t="shared" ref="O24" si="5">(D24+E24+F24)*G24*I24</f>
        <v>0</v>
      </c>
      <c r="P24" s="39">
        <v>0</v>
      </c>
      <c r="Q24" s="29"/>
    </row>
    <row r="25" spans="1:18" s="147" customFormat="1" ht="9">
      <c r="A25" s="143" t="s">
        <v>428</v>
      </c>
      <c r="B25" s="44" t="s">
        <v>433</v>
      </c>
      <c r="C25" s="44"/>
      <c r="D25" s="52"/>
      <c r="E25" s="52"/>
      <c r="F25" s="52"/>
      <c r="G25" s="44"/>
      <c r="H25" s="44"/>
      <c r="I25" s="92"/>
      <c r="J25" s="44"/>
      <c r="K25" s="44"/>
      <c r="L25" s="44"/>
      <c r="M25" s="44"/>
      <c r="N25" s="52"/>
      <c r="O25" s="52"/>
      <c r="P25" s="92"/>
      <c r="Q25" s="94"/>
    </row>
    <row r="26" spans="1:18" s="147" customFormat="1" ht="9">
      <c r="A26" s="256" t="s">
        <v>27</v>
      </c>
      <c r="B26" s="239"/>
      <c r="C26" s="239"/>
      <c r="D26" s="240"/>
      <c r="E26" s="240"/>
      <c r="F26" s="240"/>
      <c r="G26" s="239"/>
      <c r="H26" s="239"/>
      <c r="I26" s="241"/>
      <c r="J26" s="239">
        <f t="shared" ref="J26:O26" si="6">SUM(J18:J25)</f>
        <v>0</v>
      </c>
      <c r="K26" s="239">
        <f t="shared" si="6"/>
        <v>0</v>
      </c>
      <c r="L26" s="239">
        <f t="shared" si="6"/>
        <v>0</v>
      </c>
      <c r="M26" s="239">
        <f t="shared" si="6"/>
        <v>0</v>
      </c>
      <c r="N26" s="240">
        <f t="shared" si="6"/>
        <v>0</v>
      </c>
      <c r="O26" s="240">
        <f t="shared" si="6"/>
        <v>0</v>
      </c>
      <c r="P26" s="241">
        <f>SUM(P18:P25)</f>
        <v>0</v>
      </c>
      <c r="Q26" s="242"/>
      <c r="R26" s="149">
        <f>SUM(O18:O26)</f>
        <v>0</v>
      </c>
    </row>
    <row r="27" spans="1:18" s="147" customFormat="1">
      <c r="A27" s="186" t="s">
        <v>400</v>
      </c>
      <c r="B27" s="187"/>
      <c r="C27" s="187"/>
      <c r="D27" s="187"/>
      <c r="E27" s="187"/>
      <c r="F27" s="187"/>
      <c r="G27" s="187"/>
      <c r="H27" s="187"/>
      <c r="I27" s="189"/>
      <c r="J27" s="190">
        <f t="shared" ref="J27:P27" si="7">SUM(J16,J26)</f>
        <v>0</v>
      </c>
      <c r="K27" s="190">
        <f t="shared" si="7"/>
        <v>0</v>
      </c>
      <c r="L27" s="190">
        <f t="shared" si="7"/>
        <v>0</v>
      </c>
      <c r="M27" s="190">
        <f t="shared" si="7"/>
        <v>0</v>
      </c>
      <c r="N27" s="191">
        <f t="shared" si="7"/>
        <v>0</v>
      </c>
      <c r="O27" s="191">
        <f t="shared" si="7"/>
        <v>0</v>
      </c>
      <c r="P27" s="190">
        <f t="shared" si="7"/>
        <v>0</v>
      </c>
      <c r="Q27" s="192"/>
    </row>
    <row r="28" spans="1:18" s="147" customFormat="1">
      <c r="A28" s="114"/>
      <c r="B28" s="54"/>
      <c r="C28" s="54"/>
      <c r="D28" s="54"/>
      <c r="E28" s="54"/>
      <c r="F28" s="54"/>
      <c r="G28" s="54"/>
      <c r="H28" s="54"/>
      <c r="I28" s="55"/>
      <c r="J28" s="54"/>
      <c r="K28" s="54"/>
      <c r="L28" s="54"/>
      <c r="M28" s="54"/>
      <c r="N28" s="54"/>
      <c r="O28" s="196"/>
      <c r="P28" s="196"/>
      <c r="Q28" s="54"/>
    </row>
    <row r="29" spans="1:18" s="147" customFormat="1" ht="9">
      <c r="A29" s="412" t="s">
        <v>466</v>
      </c>
      <c r="B29" s="412"/>
      <c r="C29" s="412"/>
      <c r="D29" s="412"/>
      <c r="E29" s="412"/>
      <c r="F29" s="412"/>
      <c r="G29" s="412"/>
      <c r="H29" s="412"/>
      <c r="I29" s="412"/>
      <c r="J29" s="412"/>
      <c r="K29" s="412"/>
      <c r="L29" s="412"/>
      <c r="M29" s="412"/>
      <c r="N29" s="412"/>
      <c r="O29" s="412"/>
      <c r="P29" s="197"/>
      <c r="Q29" s="56"/>
    </row>
    <row r="30" spans="1:18" s="53" customFormat="1" ht="9">
      <c r="B30" s="56"/>
      <c r="C30" s="56"/>
      <c r="D30" s="56"/>
      <c r="E30" s="56"/>
      <c r="F30" s="56"/>
      <c r="G30" s="56"/>
      <c r="H30" s="56"/>
      <c r="I30" s="57"/>
      <c r="J30" s="56"/>
      <c r="K30" s="56"/>
      <c r="L30" s="56"/>
      <c r="M30" s="56"/>
      <c r="N30" s="56"/>
      <c r="O30" s="197"/>
      <c r="P30" s="197"/>
      <c r="Q30" s="56"/>
    </row>
    <row r="31" spans="1:18" s="53" customFormat="1" ht="9">
      <c r="B31" s="56"/>
      <c r="C31" s="56"/>
      <c r="D31" s="56"/>
      <c r="E31" s="56"/>
      <c r="F31" s="56"/>
      <c r="G31" s="56"/>
      <c r="H31" s="56"/>
      <c r="I31" s="57"/>
      <c r="J31" s="56"/>
      <c r="K31" s="56"/>
      <c r="L31" s="56"/>
      <c r="M31" s="56"/>
      <c r="N31" s="56"/>
      <c r="O31" s="197"/>
      <c r="P31" s="197"/>
      <c r="Q31" s="56"/>
    </row>
    <row r="32" spans="1:18" s="53" customFormat="1" ht="9">
      <c r="B32" s="56"/>
      <c r="C32" s="56"/>
      <c r="D32" s="56"/>
      <c r="E32" s="56"/>
      <c r="F32" s="56"/>
      <c r="G32" s="56"/>
      <c r="H32" s="56"/>
      <c r="I32" s="57"/>
      <c r="J32" s="56"/>
      <c r="K32" s="56"/>
      <c r="L32" s="56"/>
      <c r="M32" s="56"/>
      <c r="N32" s="56"/>
      <c r="O32" s="197"/>
      <c r="P32" s="197"/>
      <c r="Q32" s="56"/>
    </row>
    <row r="33" spans="2:17" s="53" customFormat="1" ht="9">
      <c r="B33" s="56"/>
      <c r="C33" s="56"/>
      <c r="D33" s="56"/>
      <c r="E33" s="56"/>
      <c r="F33" s="56"/>
      <c r="G33" s="56"/>
      <c r="H33" s="56"/>
      <c r="I33" s="57"/>
      <c r="J33" s="56"/>
      <c r="K33" s="56"/>
      <c r="L33" s="56"/>
      <c r="M33" s="56"/>
      <c r="N33" s="56"/>
      <c r="O33" s="197"/>
      <c r="P33" s="197"/>
      <c r="Q33" s="56"/>
    </row>
    <row r="34" spans="2:17" s="53" customFormat="1" ht="9">
      <c r="B34" s="56"/>
      <c r="C34" s="56"/>
      <c r="D34" s="56"/>
      <c r="E34" s="56"/>
      <c r="F34" s="56"/>
      <c r="G34" s="56"/>
      <c r="H34" s="56"/>
      <c r="I34" s="57"/>
      <c r="J34" s="56"/>
      <c r="K34" s="56"/>
      <c r="L34" s="56"/>
      <c r="M34" s="56"/>
      <c r="N34" s="56"/>
      <c r="O34" s="197"/>
      <c r="P34" s="197"/>
      <c r="Q34" s="56"/>
    </row>
    <row r="35" spans="2:17" s="53" customFormat="1" ht="9">
      <c r="B35" s="56"/>
      <c r="C35" s="56"/>
      <c r="D35" s="56"/>
      <c r="E35" s="56"/>
      <c r="F35" s="56"/>
      <c r="G35" s="56"/>
      <c r="H35" s="56"/>
      <c r="I35" s="57"/>
      <c r="J35" s="56"/>
      <c r="K35" s="56"/>
      <c r="L35" s="56"/>
      <c r="M35" s="56"/>
      <c r="N35" s="56"/>
      <c r="O35" s="197"/>
      <c r="P35" s="197"/>
      <c r="Q35" s="56"/>
    </row>
    <row r="36" spans="2:17" s="53" customFormat="1" ht="9">
      <c r="B36" s="56"/>
      <c r="C36" s="56"/>
      <c r="D36" s="56"/>
      <c r="E36" s="56"/>
      <c r="F36" s="56"/>
      <c r="G36" s="56"/>
      <c r="H36" s="56"/>
      <c r="I36" s="57"/>
      <c r="J36" s="56"/>
      <c r="K36" s="56"/>
      <c r="L36" s="56"/>
      <c r="M36" s="56"/>
      <c r="N36" s="56"/>
      <c r="O36" s="197"/>
      <c r="P36" s="197"/>
      <c r="Q36" s="56"/>
    </row>
    <row r="37" spans="2:17" s="53" customFormat="1" ht="9">
      <c r="B37" s="56"/>
      <c r="C37" s="56"/>
      <c r="D37" s="56"/>
      <c r="E37" s="56"/>
      <c r="F37" s="56"/>
      <c r="G37" s="56"/>
      <c r="H37" s="56"/>
      <c r="I37" s="57"/>
      <c r="J37" s="56"/>
      <c r="K37" s="56"/>
      <c r="L37" s="56"/>
      <c r="M37" s="56"/>
      <c r="N37" s="56"/>
      <c r="O37" s="197"/>
      <c r="P37" s="197"/>
      <c r="Q37" s="56"/>
    </row>
    <row r="38" spans="2:17" s="53" customFormat="1" ht="9">
      <c r="B38" s="56"/>
      <c r="C38" s="56"/>
      <c r="D38" s="56"/>
      <c r="E38" s="56"/>
      <c r="F38" s="56"/>
      <c r="G38" s="56"/>
      <c r="H38" s="56"/>
      <c r="I38" s="57"/>
      <c r="J38" s="56"/>
      <c r="K38" s="56"/>
      <c r="L38" s="56"/>
      <c r="M38" s="56"/>
      <c r="N38" s="56"/>
      <c r="O38" s="197"/>
      <c r="P38" s="197"/>
      <c r="Q38" s="56"/>
    </row>
    <row r="39" spans="2:17" s="53" customFormat="1" ht="9">
      <c r="B39" s="56"/>
      <c r="C39" s="56"/>
      <c r="D39" s="56"/>
      <c r="E39" s="56"/>
      <c r="F39" s="56"/>
      <c r="G39" s="56"/>
      <c r="H39" s="56"/>
      <c r="I39" s="57"/>
      <c r="J39" s="56"/>
      <c r="K39" s="56"/>
      <c r="L39" s="56"/>
      <c r="M39" s="56"/>
      <c r="N39" s="56"/>
      <c r="O39" s="197"/>
      <c r="P39" s="197"/>
      <c r="Q39" s="56"/>
    </row>
    <row r="40" spans="2:17" s="53" customFormat="1" ht="9">
      <c r="B40" s="56"/>
      <c r="C40" s="56"/>
      <c r="D40" s="56"/>
      <c r="E40" s="56"/>
      <c r="F40" s="56"/>
      <c r="G40" s="56"/>
      <c r="H40" s="56"/>
      <c r="I40" s="57"/>
      <c r="J40" s="56"/>
      <c r="K40" s="56"/>
      <c r="L40" s="56"/>
      <c r="M40" s="56"/>
      <c r="N40" s="56"/>
      <c r="O40" s="197"/>
      <c r="P40" s="197"/>
      <c r="Q40" s="56"/>
    </row>
    <row r="41" spans="2:17" s="53" customFormat="1" ht="9">
      <c r="B41" s="56"/>
      <c r="C41" s="56"/>
      <c r="D41" s="56"/>
      <c r="E41" s="56"/>
      <c r="F41" s="56"/>
      <c r="G41" s="56"/>
      <c r="H41" s="56"/>
      <c r="I41" s="57"/>
      <c r="J41" s="56"/>
      <c r="K41" s="56"/>
      <c r="L41" s="56"/>
      <c r="M41" s="56"/>
      <c r="N41" s="56"/>
      <c r="O41" s="197"/>
      <c r="P41" s="197"/>
      <c r="Q41" s="56"/>
    </row>
    <row r="42" spans="2:17" s="53" customFormat="1" ht="9">
      <c r="B42" s="56"/>
      <c r="C42" s="56"/>
      <c r="D42" s="56"/>
      <c r="E42" s="56"/>
      <c r="F42" s="56"/>
      <c r="G42" s="56"/>
      <c r="H42" s="56"/>
      <c r="I42" s="57"/>
      <c r="J42" s="56"/>
      <c r="K42" s="56"/>
      <c r="L42" s="56"/>
      <c r="M42" s="56"/>
      <c r="N42" s="56"/>
      <c r="O42" s="197"/>
      <c r="P42" s="197"/>
      <c r="Q42" s="56"/>
    </row>
    <row r="43" spans="2:17" s="53" customFormat="1" ht="9">
      <c r="B43" s="56"/>
      <c r="C43" s="56"/>
      <c r="D43" s="56"/>
      <c r="E43" s="56"/>
      <c r="F43" s="56"/>
      <c r="G43" s="56"/>
      <c r="H43" s="56"/>
      <c r="I43" s="57"/>
      <c r="J43" s="56"/>
      <c r="K43" s="56"/>
      <c r="L43" s="56"/>
      <c r="M43" s="56"/>
      <c r="N43" s="56"/>
      <c r="O43" s="197"/>
      <c r="P43" s="197"/>
      <c r="Q43" s="56"/>
    </row>
    <row r="44" spans="2:17" s="53" customFormat="1" ht="9">
      <c r="B44" s="56"/>
      <c r="C44" s="56"/>
      <c r="D44" s="56"/>
      <c r="E44" s="56"/>
      <c r="F44" s="56"/>
      <c r="G44" s="56"/>
      <c r="H44" s="56"/>
      <c r="I44" s="57"/>
      <c r="J44" s="56"/>
      <c r="K44" s="56"/>
      <c r="L44" s="56"/>
      <c r="M44" s="56"/>
      <c r="N44" s="56"/>
      <c r="O44" s="197"/>
      <c r="P44" s="197"/>
      <c r="Q44" s="56"/>
    </row>
    <row r="45" spans="2:17" s="53" customFormat="1" ht="9">
      <c r="B45" s="56"/>
      <c r="C45" s="56"/>
      <c r="D45" s="56"/>
      <c r="E45" s="56"/>
      <c r="F45" s="56"/>
      <c r="G45" s="56"/>
      <c r="H45" s="56"/>
      <c r="I45" s="57"/>
      <c r="J45" s="56"/>
      <c r="K45" s="56"/>
      <c r="L45" s="56"/>
      <c r="M45" s="56"/>
      <c r="N45" s="56"/>
      <c r="O45" s="197"/>
      <c r="P45" s="197"/>
      <c r="Q45" s="56"/>
    </row>
    <row r="46" spans="2:17" s="53" customFormat="1" ht="9">
      <c r="B46" s="56"/>
      <c r="C46" s="56"/>
      <c r="D46" s="56"/>
      <c r="E46" s="56"/>
      <c r="F46" s="56"/>
      <c r="G46" s="56"/>
      <c r="H46" s="56"/>
      <c r="I46" s="57"/>
      <c r="J46" s="56"/>
      <c r="K46" s="56"/>
      <c r="L46" s="56"/>
      <c r="M46" s="56"/>
      <c r="N46" s="56"/>
      <c r="O46" s="197"/>
      <c r="P46" s="197"/>
      <c r="Q46" s="56"/>
    </row>
    <row r="47" spans="2:17" s="53" customFormat="1" ht="9">
      <c r="B47" s="56"/>
      <c r="C47" s="56"/>
      <c r="D47" s="56"/>
      <c r="E47" s="56"/>
      <c r="F47" s="56"/>
      <c r="G47" s="56"/>
      <c r="H47" s="56"/>
      <c r="I47" s="57"/>
      <c r="J47" s="56"/>
      <c r="K47" s="56"/>
      <c r="L47" s="56"/>
      <c r="M47" s="56"/>
      <c r="N47" s="56"/>
      <c r="O47" s="197"/>
      <c r="P47" s="197"/>
      <c r="Q47" s="56"/>
    </row>
    <row r="48" spans="2:17" s="53" customFormat="1" ht="9">
      <c r="B48" s="56"/>
      <c r="C48" s="56"/>
      <c r="D48" s="56"/>
      <c r="E48" s="56"/>
      <c r="F48" s="56"/>
      <c r="G48" s="56"/>
      <c r="H48" s="56"/>
      <c r="I48" s="57"/>
      <c r="J48" s="56"/>
      <c r="K48" s="56"/>
      <c r="L48" s="56"/>
      <c r="M48" s="56"/>
      <c r="N48" s="56"/>
      <c r="O48" s="197"/>
      <c r="P48" s="197"/>
      <c r="Q48" s="56"/>
    </row>
    <row r="49" spans="2:17" s="53" customFormat="1" ht="9">
      <c r="B49" s="56"/>
      <c r="C49" s="56"/>
      <c r="D49" s="56"/>
      <c r="E49" s="56"/>
      <c r="F49" s="56"/>
      <c r="G49" s="56"/>
      <c r="H49" s="56"/>
      <c r="I49" s="57"/>
      <c r="J49" s="56"/>
      <c r="K49" s="56"/>
      <c r="L49" s="56"/>
      <c r="M49" s="56"/>
      <c r="N49" s="56"/>
      <c r="O49" s="197"/>
      <c r="P49" s="197"/>
      <c r="Q49" s="56"/>
    </row>
    <row r="50" spans="2:17" s="53" customFormat="1" ht="9">
      <c r="B50" s="56"/>
      <c r="C50" s="56"/>
      <c r="D50" s="56"/>
      <c r="E50" s="56"/>
      <c r="F50" s="56"/>
      <c r="G50" s="56"/>
      <c r="H50" s="56"/>
      <c r="I50" s="57"/>
      <c r="J50" s="56"/>
      <c r="K50" s="56"/>
      <c r="L50" s="56"/>
      <c r="M50" s="56"/>
      <c r="N50" s="56"/>
      <c r="O50" s="197"/>
      <c r="P50" s="197"/>
      <c r="Q50" s="56"/>
    </row>
    <row r="51" spans="2:17" s="53" customFormat="1" ht="9">
      <c r="B51" s="56"/>
      <c r="C51" s="56"/>
      <c r="D51" s="56"/>
      <c r="E51" s="56"/>
      <c r="F51" s="56"/>
      <c r="G51" s="56"/>
      <c r="H51" s="56"/>
      <c r="I51" s="57"/>
      <c r="J51" s="56"/>
      <c r="K51" s="56"/>
      <c r="L51" s="56"/>
      <c r="M51" s="56"/>
      <c r="N51" s="56"/>
      <c r="O51" s="197"/>
      <c r="P51" s="197"/>
      <c r="Q51" s="56"/>
    </row>
    <row r="52" spans="2:17" s="53" customFormat="1" ht="9">
      <c r="B52" s="56"/>
      <c r="C52" s="56"/>
      <c r="D52" s="56"/>
      <c r="E52" s="56"/>
      <c r="F52" s="56"/>
      <c r="G52" s="56"/>
      <c r="H52" s="56"/>
      <c r="I52" s="57"/>
      <c r="J52" s="56"/>
      <c r="K52" s="56"/>
      <c r="L52" s="56"/>
      <c r="M52" s="56"/>
      <c r="N52" s="56"/>
      <c r="O52" s="197"/>
      <c r="P52" s="197"/>
      <c r="Q52" s="56"/>
    </row>
    <row r="53" spans="2:17" s="53" customFormat="1" ht="9">
      <c r="B53" s="56"/>
      <c r="C53" s="56"/>
      <c r="D53" s="56"/>
      <c r="E53" s="56"/>
      <c r="F53" s="56"/>
      <c r="G53" s="56"/>
      <c r="H53" s="56"/>
      <c r="I53" s="57"/>
      <c r="J53" s="56"/>
      <c r="K53" s="56"/>
      <c r="L53" s="56"/>
      <c r="M53" s="56"/>
      <c r="N53" s="56"/>
      <c r="O53" s="197"/>
      <c r="P53" s="197"/>
      <c r="Q53" s="56"/>
    </row>
    <row r="54" spans="2:17" s="53" customFormat="1" ht="9">
      <c r="B54" s="56"/>
      <c r="C54" s="56"/>
      <c r="D54" s="56"/>
      <c r="E54" s="56"/>
      <c r="F54" s="56"/>
      <c r="G54" s="56"/>
      <c r="H54" s="56"/>
      <c r="I54" s="57"/>
      <c r="J54" s="56"/>
      <c r="K54" s="56"/>
      <c r="L54" s="56"/>
      <c r="M54" s="56"/>
      <c r="N54" s="56"/>
      <c r="O54" s="197"/>
      <c r="P54" s="197"/>
      <c r="Q54" s="56"/>
    </row>
    <row r="55" spans="2:17" s="53" customFormat="1" ht="9">
      <c r="B55" s="56"/>
      <c r="C55" s="56"/>
      <c r="D55" s="56"/>
      <c r="E55" s="56"/>
      <c r="F55" s="56"/>
      <c r="G55" s="56"/>
      <c r="H55" s="56"/>
      <c r="I55" s="57"/>
      <c r="J55" s="56"/>
      <c r="K55" s="56"/>
      <c r="L55" s="56"/>
      <c r="M55" s="56"/>
      <c r="N55" s="56"/>
      <c r="O55" s="197"/>
      <c r="P55" s="197"/>
      <c r="Q55" s="56"/>
    </row>
    <row r="56" spans="2:17" s="53" customFormat="1" ht="9">
      <c r="B56" s="56"/>
      <c r="C56" s="56"/>
      <c r="D56" s="56"/>
      <c r="E56" s="56"/>
      <c r="F56" s="56"/>
      <c r="G56" s="56"/>
      <c r="H56" s="56"/>
      <c r="I56" s="57"/>
      <c r="J56" s="56"/>
      <c r="K56" s="56"/>
      <c r="L56" s="56"/>
      <c r="M56" s="56"/>
      <c r="N56" s="56"/>
      <c r="O56" s="197"/>
      <c r="P56" s="197"/>
      <c r="Q56" s="56"/>
    </row>
    <row r="57" spans="2:17" s="53" customFormat="1" ht="9">
      <c r="B57" s="56"/>
      <c r="C57" s="56"/>
      <c r="D57" s="56"/>
      <c r="E57" s="56"/>
      <c r="F57" s="56"/>
      <c r="G57" s="56"/>
      <c r="H57" s="56"/>
      <c r="I57" s="57"/>
      <c r="J57" s="56"/>
      <c r="K57" s="56"/>
      <c r="L57" s="56"/>
      <c r="M57" s="56"/>
      <c r="N57" s="56"/>
      <c r="O57" s="197"/>
      <c r="P57" s="197"/>
      <c r="Q57" s="56"/>
    </row>
    <row r="58" spans="2:17" s="53" customFormat="1" ht="9">
      <c r="B58" s="56"/>
      <c r="C58" s="56"/>
      <c r="D58" s="56"/>
      <c r="E58" s="56"/>
      <c r="F58" s="56"/>
      <c r="G58" s="56"/>
      <c r="H58" s="56"/>
      <c r="I58" s="57"/>
      <c r="J58" s="56"/>
      <c r="K58" s="56"/>
      <c r="L58" s="56"/>
      <c r="M58" s="56"/>
      <c r="N58" s="56"/>
      <c r="O58" s="197"/>
      <c r="P58" s="197"/>
      <c r="Q58" s="56"/>
    </row>
    <row r="59" spans="2:17" s="53" customFormat="1" ht="9">
      <c r="B59" s="56"/>
      <c r="C59" s="56"/>
      <c r="D59" s="56"/>
      <c r="E59" s="56"/>
      <c r="F59" s="56"/>
      <c r="G59" s="56"/>
      <c r="H59" s="56"/>
      <c r="I59" s="57"/>
      <c r="J59" s="56"/>
      <c r="K59" s="56"/>
      <c r="L59" s="56"/>
      <c r="M59" s="56"/>
      <c r="N59" s="56"/>
      <c r="O59" s="197"/>
      <c r="P59" s="197"/>
      <c r="Q59" s="56"/>
    </row>
    <row r="60" spans="2:17" s="53" customFormat="1" ht="9">
      <c r="B60" s="56"/>
      <c r="C60" s="56"/>
      <c r="D60" s="56"/>
      <c r="E60" s="56"/>
      <c r="F60" s="56"/>
      <c r="G60" s="56"/>
      <c r="H60" s="56"/>
      <c r="I60" s="57"/>
      <c r="J60" s="56"/>
      <c r="K60" s="56"/>
      <c r="L60" s="56"/>
      <c r="M60" s="56"/>
      <c r="N60" s="56"/>
      <c r="O60" s="197"/>
      <c r="P60" s="197"/>
      <c r="Q60" s="56"/>
    </row>
    <row r="61" spans="2:17" s="53" customFormat="1" ht="9">
      <c r="B61" s="56"/>
      <c r="C61" s="56"/>
      <c r="D61" s="56"/>
      <c r="E61" s="56"/>
      <c r="F61" s="56"/>
      <c r="G61" s="56"/>
      <c r="H61" s="56"/>
      <c r="I61" s="57"/>
      <c r="J61" s="56"/>
      <c r="K61" s="56"/>
      <c r="L61" s="56"/>
      <c r="M61" s="56"/>
      <c r="N61" s="56"/>
      <c r="O61" s="197"/>
      <c r="P61" s="197"/>
      <c r="Q61" s="56"/>
    </row>
    <row r="62" spans="2:17" s="53" customFormat="1" ht="9">
      <c r="B62" s="56"/>
      <c r="C62" s="56"/>
      <c r="D62" s="56"/>
      <c r="E62" s="56"/>
      <c r="F62" s="56"/>
      <c r="G62" s="56"/>
      <c r="H62" s="56"/>
      <c r="I62" s="57"/>
      <c r="J62" s="56"/>
      <c r="K62" s="56"/>
      <c r="L62" s="56"/>
      <c r="M62" s="56"/>
      <c r="N62" s="56"/>
      <c r="O62" s="197"/>
      <c r="P62" s="197"/>
      <c r="Q62" s="56"/>
    </row>
  </sheetData>
  <mergeCells count="3">
    <mergeCell ref="A1:Q1"/>
    <mergeCell ref="A2:Q2"/>
    <mergeCell ref="A29:O29"/>
  </mergeCells>
  <phoneticPr fontId="7" type="noConversion"/>
  <pageMargins left="0.25" right="0.25" top="0.5" bottom="0.75" header="0.5" footer="0.5"/>
  <pageSetup scale="64" orientation="landscape" r:id="rId1"/>
  <headerFooter alignWithMargins="0"/>
</worksheet>
</file>

<file path=xl/worksheets/sheet39.xml><?xml version="1.0" encoding="utf-8"?>
<worksheet xmlns="http://schemas.openxmlformats.org/spreadsheetml/2006/main" xmlns:r="http://schemas.openxmlformats.org/officeDocument/2006/relationships">
  <sheetPr>
    <pageSetUpPr fitToPage="1"/>
  </sheetPr>
  <dimension ref="A1:S52"/>
  <sheetViews>
    <sheetView zoomScaleNormal="100" workbookViewId="0">
      <pane xSplit="1" ySplit="2" topLeftCell="B3" activePane="bottomRight" state="frozen"/>
      <selection activeCell="P31" sqref="P31"/>
      <selection pane="topRight" activeCell="P31" sqref="P31"/>
      <selection pane="bottomLeft" activeCell="P31" sqref="P31"/>
      <selection pane="bottomRight" activeCell="P10" sqref="P10"/>
    </sheetView>
  </sheetViews>
  <sheetFormatPr defaultRowHeight="11.25"/>
  <cols>
    <col min="1" max="1" width="36.5703125" style="114" customWidth="1"/>
    <col min="2" max="2" width="8.85546875" style="54" bestFit="1" customWidth="1"/>
    <col min="3" max="3" width="8" style="54" hidden="1" customWidth="1"/>
    <col min="4" max="4" width="8.42578125" style="54" bestFit="1" customWidth="1"/>
    <col min="5" max="5" width="9.28515625" style="54" bestFit="1" customWidth="1"/>
    <col min="6" max="6" width="7.85546875" style="54" customWidth="1"/>
    <col min="7" max="7" width="9.28515625" style="54" bestFit="1" customWidth="1"/>
    <col min="8" max="8" width="8.85546875" style="54" customWidth="1"/>
    <col min="9" max="9" width="9.42578125" style="55" bestFit="1" customWidth="1"/>
    <col min="10" max="11" width="6.85546875" style="54" bestFit="1" customWidth="1"/>
    <col min="12" max="12" width="9" style="54" customWidth="1"/>
    <col min="13" max="13" width="7.85546875" style="54" hidden="1" customWidth="1"/>
    <col min="14" max="14" width="10.140625" style="54" customWidth="1"/>
    <col min="15" max="15" width="10.140625" style="196" bestFit="1" customWidth="1"/>
    <col min="16" max="16" width="10" style="196" bestFit="1" customWidth="1"/>
    <col min="17" max="17" width="2.5703125" style="54" bestFit="1" customWidth="1"/>
    <col min="18" max="19" width="9.140625" style="114" hidden="1" customWidth="1"/>
    <col min="20" max="20" width="11.140625" style="114" customWidth="1"/>
    <col min="21" max="21" width="8.5703125" style="114" customWidth="1"/>
    <col min="22" max="16384" width="9.140625" style="114"/>
  </cols>
  <sheetData>
    <row r="1" spans="1:19">
      <c r="A1" s="410" t="s">
        <v>292</v>
      </c>
      <c r="B1" s="410"/>
      <c r="C1" s="410"/>
      <c r="D1" s="410"/>
      <c r="E1" s="410"/>
      <c r="F1" s="410"/>
      <c r="G1" s="410"/>
      <c r="H1" s="410"/>
      <c r="I1" s="410"/>
      <c r="J1" s="410"/>
      <c r="K1" s="410"/>
      <c r="L1" s="410"/>
      <c r="M1" s="410"/>
      <c r="N1" s="410"/>
      <c r="O1" s="410"/>
      <c r="P1" s="410"/>
      <c r="Q1" s="410"/>
    </row>
    <row r="2" spans="1:19">
      <c r="A2" s="411" t="s">
        <v>303</v>
      </c>
      <c r="B2" s="411"/>
      <c r="C2" s="411"/>
      <c r="D2" s="411"/>
      <c r="E2" s="411"/>
      <c r="F2" s="411"/>
      <c r="G2" s="411"/>
      <c r="H2" s="411"/>
      <c r="I2" s="411"/>
      <c r="J2" s="411"/>
      <c r="K2" s="411"/>
      <c r="L2" s="411"/>
      <c r="M2" s="411"/>
      <c r="N2" s="411"/>
      <c r="O2" s="411"/>
      <c r="P2" s="411"/>
      <c r="Q2" s="411"/>
    </row>
    <row r="3" spans="1:19" s="193" customFormat="1" ht="63">
      <c r="A3" s="45" t="s">
        <v>392</v>
      </c>
      <c r="B3" s="45" t="s">
        <v>393</v>
      </c>
      <c r="C3" s="45" t="s">
        <v>430</v>
      </c>
      <c r="D3" s="45" t="s">
        <v>4</v>
      </c>
      <c r="E3" s="45" t="s">
        <v>94</v>
      </c>
      <c r="F3" s="45" t="s">
        <v>5</v>
      </c>
      <c r="G3" s="12" t="s">
        <v>176</v>
      </c>
      <c r="H3" s="45" t="s">
        <v>459</v>
      </c>
      <c r="I3" s="60" t="s">
        <v>460</v>
      </c>
      <c r="J3" s="100" t="s">
        <v>462</v>
      </c>
      <c r="K3" s="100" t="s">
        <v>463</v>
      </c>
      <c r="L3" s="100" t="s">
        <v>461</v>
      </c>
      <c r="M3" s="45" t="s">
        <v>391</v>
      </c>
      <c r="N3" s="45" t="s">
        <v>8</v>
      </c>
      <c r="O3" s="100" t="s">
        <v>96</v>
      </c>
      <c r="P3" s="100" t="s">
        <v>175</v>
      </c>
      <c r="Q3" s="182" t="s">
        <v>394</v>
      </c>
      <c r="R3" s="193" t="s">
        <v>307</v>
      </c>
      <c r="S3" s="193" t="s">
        <v>308</v>
      </c>
    </row>
    <row r="4" spans="1:19" s="147" customFormat="1" ht="9">
      <c r="A4" s="194" t="s">
        <v>405</v>
      </c>
      <c r="B4" s="179" t="s">
        <v>433</v>
      </c>
      <c r="C4" s="179"/>
      <c r="D4" s="181"/>
      <c r="E4" s="181"/>
      <c r="F4" s="181"/>
      <c r="G4" s="179"/>
      <c r="H4" s="179"/>
      <c r="I4" s="183"/>
      <c r="J4" s="179"/>
      <c r="K4" s="179"/>
      <c r="L4" s="179"/>
      <c r="M4" s="179"/>
      <c r="N4" s="181"/>
      <c r="O4" s="181"/>
      <c r="P4" s="181"/>
      <c r="Q4" s="249"/>
    </row>
    <row r="5" spans="1:19" s="147" customFormat="1" ht="9">
      <c r="A5" s="143" t="s">
        <v>406</v>
      </c>
      <c r="B5" s="44" t="s">
        <v>433</v>
      </c>
      <c r="C5" s="44"/>
      <c r="D5" s="52"/>
      <c r="E5" s="52"/>
      <c r="F5" s="52"/>
      <c r="G5" s="44"/>
      <c r="H5" s="44"/>
      <c r="I5" s="92"/>
      <c r="J5" s="44"/>
      <c r="K5" s="44"/>
      <c r="L5" s="44"/>
      <c r="M5" s="44"/>
      <c r="N5" s="52"/>
      <c r="O5" s="52"/>
      <c r="P5" s="52"/>
      <c r="Q5" s="94"/>
    </row>
    <row r="6" spans="1:19" s="147" customFormat="1" ht="9">
      <c r="A6" s="143" t="s">
        <v>407</v>
      </c>
      <c r="B6" s="44"/>
      <c r="C6" s="44"/>
      <c r="D6" s="52"/>
      <c r="E6" s="52"/>
      <c r="F6" s="52"/>
      <c r="G6" s="44"/>
      <c r="H6" s="44"/>
      <c r="I6" s="92"/>
      <c r="J6" s="44"/>
      <c r="K6" s="44"/>
      <c r="L6" s="44"/>
      <c r="M6" s="44"/>
      <c r="N6" s="52"/>
      <c r="O6" s="52"/>
      <c r="P6" s="52"/>
      <c r="Q6" s="94"/>
    </row>
    <row r="7" spans="1:19" s="147" customFormat="1" ht="9">
      <c r="A7" s="143" t="s">
        <v>408</v>
      </c>
      <c r="B7" s="44">
        <v>40</v>
      </c>
      <c r="C7" s="44"/>
      <c r="D7" s="52">
        <v>0</v>
      </c>
      <c r="E7" s="52">
        <v>0</v>
      </c>
      <c r="F7" s="52">
        <v>0</v>
      </c>
      <c r="G7" s="44">
        <v>1</v>
      </c>
      <c r="H7" s="44">
        <f>B7*G7</f>
        <v>40</v>
      </c>
      <c r="I7" s="91">
        <f>'Base Data'!$H$78</f>
        <v>1</v>
      </c>
      <c r="J7" s="91">
        <f>H7*I7</f>
        <v>40</v>
      </c>
      <c r="K7" s="91">
        <f>J7*0.1</f>
        <v>4</v>
      </c>
      <c r="L7" s="91">
        <f>J7*0.05</f>
        <v>2</v>
      </c>
      <c r="M7" s="44">
        <f>C7*G7*I7</f>
        <v>0</v>
      </c>
      <c r="N7" s="52">
        <f>(J7*'Base Data'!$C$5)+(K7*'Base Data'!$C$6)+(L7*'Base Data'!$C$7)</f>
        <v>4351.0999999999995</v>
      </c>
      <c r="O7" s="52">
        <f>(D7+E7+F7)*G7*I7</f>
        <v>0</v>
      </c>
      <c r="P7" s="92">
        <v>0</v>
      </c>
      <c r="Q7" s="94" t="s">
        <v>387</v>
      </c>
    </row>
    <row r="8" spans="1:19" s="147" customFormat="1" ht="9">
      <c r="A8" s="143" t="s">
        <v>409</v>
      </c>
      <c r="B8" s="44"/>
      <c r="C8" s="44"/>
      <c r="D8" s="52"/>
      <c r="E8" s="52"/>
      <c r="F8" s="52"/>
      <c r="G8" s="44"/>
      <c r="H8" s="44"/>
      <c r="I8" s="92"/>
      <c r="J8" s="44"/>
      <c r="K8" s="44"/>
      <c r="L8" s="44"/>
      <c r="M8" s="44"/>
      <c r="N8" s="52"/>
      <c r="O8" s="52"/>
      <c r="P8" s="92"/>
      <c r="Q8" s="94"/>
    </row>
    <row r="9" spans="1:19" s="147" customFormat="1" ht="9">
      <c r="A9" s="143" t="s">
        <v>500</v>
      </c>
      <c r="B9" s="44">
        <v>12</v>
      </c>
      <c r="C9" s="44"/>
      <c r="D9" s="52">
        <v>0</v>
      </c>
      <c r="E9" s="52">
        <v>2228</v>
      </c>
      <c r="F9" s="52">
        <v>0</v>
      </c>
      <c r="G9" s="44">
        <v>0.5</v>
      </c>
      <c r="H9" s="44">
        <f>B9*G9</f>
        <v>6</v>
      </c>
      <c r="I9" s="91">
        <f>'Base Data'!$D$78</f>
        <v>3</v>
      </c>
      <c r="J9" s="91">
        <f>H9*I9</f>
        <v>18</v>
      </c>
      <c r="K9" s="91">
        <f>J9*0.1</f>
        <v>1.8</v>
      </c>
      <c r="L9" s="91">
        <f>J9*0.05</f>
        <v>0.9</v>
      </c>
      <c r="M9" s="92"/>
      <c r="N9" s="52">
        <f>(J9*'Base Data'!$C$5)+(K9*'Base Data'!$C$6)+(L9*'Base Data'!$C$7)</f>
        <v>1957.9950000000001</v>
      </c>
      <c r="O9" s="52">
        <f>(D9+E9+F9)*I9</f>
        <v>6684</v>
      </c>
      <c r="P9" s="92">
        <v>0</v>
      </c>
      <c r="Q9" s="94" t="s">
        <v>388</v>
      </c>
    </row>
    <row r="10" spans="1:19" s="147" customFormat="1" ht="9">
      <c r="A10" s="143" t="s">
        <v>415</v>
      </c>
      <c r="B10" s="44" t="s">
        <v>433</v>
      </c>
      <c r="C10" s="44"/>
      <c r="D10" s="52"/>
      <c r="E10" s="52"/>
      <c r="F10" s="52"/>
      <c r="G10" s="44"/>
      <c r="H10" s="44"/>
      <c r="I10" s="92"/>
      <c r="J10" s="44"/>
      <c r="K10" s="44"/>
      <c r="L10" s="44"/>
      <c r="M10" s="44"/>
      <c r="N10" s="52"/>
      <c r="O10" s="52"/>
      <c r="P10" s="92"/>
      <c r="Q10" s="94"/>
    </row>
    <row r="11" spans="1:19" s="147" customFormat="1" ht="9">
      <c r="A11" s="143" t="s">
        <v>416</v>
      </c>
      <c r="B11" s="44" t="s">
        <v>433</v>
      </c>
      <c r="C11" s="44"/>
      <c r="D11" s="52"/>
      <c r="E11" s="52"/>
      <c r="F11" s="52"/>
      <c r="G11" s="44"/>
      <c r="H11" s="44"/>
      <c r="I11" s="92"/>
      <c r="J11" s="44"/>
      <c r="K11" s="44"/>
      <c r="L11" s="44"/>
      <c r="M11" s="44"/>
      <c r="N11" s="52"/>
      <c r="O11" s="52"/>
      <c r="P11" s="92"/>
      <c r="Q11" s="94"/>
    </row>
    <row r="12" spans="1:19" s="147" customFormat="1" ht="9">
      <c r="A12" s="143" t="s">
        <v>417</v>
      </c>
      <c r="B12" s="44"/>
      <c r="C12" s="44"/>
      <c r="D12" s="52"/>
      <c r="E12" s="52"/>
      <c r="F12" s="52"/>
      <c r="G12" s="44"/>
      <c r="H12" s="44"/>
      <c r="I12" s="92"/>
      <c r="J12" s="44"/>
      <c r="K12" s="44"/>
      <c r="L12" s="44"/>
      <c r="M12" s="44"/>
      <c r="N12" s="52"/>
      <c r="O12" s="52"/>
      <c r="P12" s="92"/>
      <c r="Q12" s="94"/>
    </row>
    <row r="13" spans="1:19" s="147" customFormat="1" ht="9">
      <c r="A13" s="177" t="s">
        <v>435</v>
      </c>
      <c r="B13" s="44">
        <v>2</v>
      </c>
      <c r="C13" s="44"/>
      <c r="D13" s="52">
        <v>0</v>
      </c>
      <c r="E13" s="52">
        <v>0</v>
      </c>
      <c r="F13" s="52">
        <v>0</v>
      </c>
      <c r="G13" s="44">
        <v>1</v>
      </c>
      <c r="H13" s="44">
        <f>B13*G13</f>
        <v>2</v>
      </c>
      <c r="I13" s="91">
        <f>'Base Data'!$H$78</f>
        <v>1</v>
      </c>
      <c r="J13" s="91">
        <f>H13*I13</f>
        <v>2</v>
      </c>
      <c r="K13" s="91">
        <f>J13*0.1</f>
        <v>0.2</v>
      </c>
      <c r="L13" s="91">
        <f>J13*0.05</f>
        <v>0.1</v>
      </c>
      <c r="M13" s="44">
        <f>C13*G13*I13</f>
        <v>0</v>
      </c>
      <c r="N13" s="52">
        <f>(J13*'Base Data'!$C$5)+(K13*'Base Data'!$C$6)+(L13*'Base Data'!$C$7)</f>
        <v>217.55500000000001</v>
      </c>
      <c r="O13" s="52">
        <f>(D13+E13+F13)*G13*I13</f>
        <v>0</v>
      </c>
      <c r="P13" s="92">
        <f>G13*I13</f>
        <v>1</v>
      </c>
      <c r="Q13" s="94" t="s">
        <v>387</v>
      </c>
    </row>
    <row r="14" spans="1:19" s="147" customFormat="1" ht="9">
      <c r="A14" s="177" t="s">
        <v>377</v>
      </c>
      <c r="B14" s="44">
        <v>8</v>
      </c>
      <c r="C14" s="44"/>
      <c r="D14" s="52">
        <v>0</v>
      </c>
      <c r="E14" s="52">
        <v>0</v>
      </c>
      <c r="F14" s="52">
        <v>0</v>
      </c>
      <c r="G14" s="44">
        <v>1</v>
      </c>
      <c r="H14" s="44">
        <f>B14*G14</f>
        <v>8</v>
      </c>
      <c r="I14" s="91">
        <f>'Base Data'!$H$78</f>
        <v>1</v>
      </c>
      <c r="J14" s="91">
        <f>H14*I14</f>
        <v>8</v>
      </c>
      <c r="K14" s="91">
        <f>J14*0.1</f>
        <v>0.8</v>
      </c>
      <c r="L14" s="91">
        <f>J14*0.05</f>
        <v>0.4</v>
      </c>
      <c r="M14" s="44">
        <f>C14*G14*I14</f>
        <v>0</v>
      </c>
      <c r="N14" s="52">
        <f>(J14*'Base Data'!$C$5)+(K14*'Base Data'!$C$6)+(L14*'Base Data'!$C$7)</f>
        <v>870.22</v>
      </c>
      <c r="O14" s="52">
        <f>(D14+E14+F14)*G14*I14</f>
        <v>0</v>
      </c>
      <c r="P14" s="92">
        <f>G14*I14</f>
        <v>1</v>
      </c>
      <c r="Q14" s="94" t="s">
        <v>388</v>
      </c>
    </row>
    <row r="15" spans="1:19" s="147" customFormat="1" ht="9">
      <c r="A15" s="177" t="s">
        <v>11</v>
      </c>
      <c r="B15" s="44">
        <v>5</v>
      </c>
      <c r="C15" s="44"/>
      <c r="D15" s="52">
        <v>0</v>
      </c>
      <c r="E15" s="52">
        <v>0</v>
      </c>
      <c r="F15" s="52">
        <v>0</v>
      </c>
      <c r="G15" s="44">
        <v>0.5</v>
      </c>
      <c r="H15" s="44">
        <f>B15*G15</f>
        <v>2.5</v>
      </c>
      <c r="I15" s="91">
        <f>'Base Data'!$H$78</f>
        <v>1</v>
      </c>
      <c r="J15" s="91">
        <f>H15*I15</f>
        <v>2.5</v>
      </c>
      <c r="K15" s="91">
        <f>J15*0.1</f>
        <v>0.25</v>
      </c>
      <c r="L15" s="91">
        <f>J15*0.05</f>
        <v>0.125</v>
      </c>
      <c r="M15" s="44">
        <f>C15*G15*I15</f>
        <v>0</v>
      </c>
      <c r="N15" s="52">
        <f>(J15*'Base Data'!$C$5)+(K15*'Base Data'!$C$6)+(L15*'Base Data'!$C$7)</f>
        <v>271.94374999999997</v>
      </c>
      <c r="O15" s="52">
        <f>(D15+E15+F15)*G15*I15</f>
        <v>0</v>
      </c>
      <c r="P15" s="92">
        <f>G15*I15</f>
        <v>0.5</v>
      </c>
      <c r="Q15" s="94"/>
    </row>
    <row r="16" spans="1:19" s="147" customFormat="1" ht="9">
      <c r="A16" s="148" t="s">
        <v>7</v>
      </c>
      <c r="B16" s="44"/>
      <c r="C16" s="44"/>
      <c r="D16" s="52"/>
      <c r="E16" s="52"/>
      <c r="F16" s="52"/>
      <c r="G16" s="44"/>
      <c r="H16" s="44"/>
      <c r="I16" s="92"/>
      <c r="J16" s="92">
        <f t="shared" ref="J16:O16" si="0">SUM(J7:J15)</f>
        <v>70.5</v>
      </c>
      <c r="K16" s="92">
        <f t="shared" si="0"/>
        <v>7.05</v>
      </c>
      <c r="L16" s="92">
        <f t="shared" si="0"/>
        <v>3.5249999999999999</v>
      </c>
      <c r="M16" s="92">
        <f t="shared" si="0"/>
        <v>0</v>
      </c>
      <c r="N16" s="92">
        <f t="shared" si="0"/>
        <v>7668.8137500000003</v>
      </c>
      <c r="O16" s="92">
        <f t="shared" si="0"/>
        <v>6684</v>
      </c>
      <c r="P16" s="92">
        <f>ROUND(SUM(P13:P15),0)</f>
        <v>3</v>
      </c>
      <c r="Q16" s="94"/>
      <c r="R16" s="149">
        <f>SUM(O7:O9)</f>
        <v>6684</v>
      </c>
      <c r="S16" s="147">
        <f>0</f>
        <v>0</v>
      </c>
    </row>
    <row r="17" spans="1:18" s="147" customFormat="1" ht="9">
      <c r="A17" s="143" t="s">
        <v>431</v>
      </c>
      <c r="B17" s="44"/>
      <c r="C17" s="44"/>
      <c r="D17" s="52"/>
      <c r="E17" s="52"/>
      <c r="F17" s="52"/>
      <c r="G17" s="44"/>
      <c r="H17" s="44"/>
      <c r="I17" s="92"/>
      <c r="J17" s="44"/>
      <c r="K17" s="44"/>
      <c r="L17" s="44"/>
      <c r="M17" s="44"/>
      <c r="N17" s="52"/>
      <c r="O17" s="52"/>
      <c r="P17" s="92"/>
      <c r="Q17" s="94"/>
    </row>
    <row r="18" spans="1:18" s="147" customFormat="1" ht="9">
      <c r="A18" s="143" t="s">
        <v>418</v>
      </c>
      <c r="B18" s="44" t="s">
        <v>422</v>
      </c>
      <c r="C18" s="44"/>
      <c r="D18" s="52"/>
      <c r="E18" s="52"/>
      <c r="F18" s="52"/>
      <c r="G18" s="44"/>
      <c r="H18" s="44"/>
      <c r="I18" s="92"/>
      <c r="J18" s="44"/>
      <c r="K18" s="44"/>
      <c r="L18" s="44"/>
      <c r="M18" s="44"/>
      <c r="N18" s="52"/>
      <c r="O18" s="52"/>
      <c r="P18" s="92"/>
      <c r="Q18" s="94"/>
    </row>
    <row r="19" spans="1:18" s="147" customFormat="1" ht="9">
      <c r="A19" s="143" t="s">
        <v>419</v>
      </c>
      <c r="B19" s="44" t="s">
        <v>433</v>
      </c>
      <c r="C19" s="44"/>
      <c r="D19" s="52"/>
      <c r="E19" s="52"/>
      <c r="F19" s="52"/>
      <c r="G19" s="44"/>
      <c r="H19" s="44"/>
      <c r="I19" s="92"/>
      <c r="J19" s="44"/>
      <c r="K19" s="44"/>
      <c r="L19" s="44"/>
      <c r="M19" s="44"/>
      <c r="N19" s="52"/>
      <c r="O19" s="52"/>
      <c r="P19" s="92"/>
      <c r="Q19" s="94"/>
    </row>
    <row r="20" spans="1:18" s="147" customFormat="1" ht="9">
      <c r="A20" s="143" t="s">
        <v>420</v>
      </c>
      <c r="B20" s="44" t="s">
        <v>433</v>
      </c>
      <c r="C20" s="44"/>
      <c r="D20" s="52"/>
      <c r="E20" s="52"/>
      <c r="F20" s="52"/>
      <c r="G20" s="44"/>
      <c r="H20" s="44"/>
      <c r="I20" s="92"/>
      <c r="J20" s="44"/>
      <c r="K20" s="44"/>
      <c r="L20" s="44"/>
      <c r="M20" s="44"/>
      <c r="N20" s="52"/>
      <c r="O20" s="52"/>
      <c r="P20" s="92"/>
      <c r="Q20" s="94" t="s">
        <v>132</v>
      </c>
    </row>
    <row r="21" spans="1:18" s="147" customFormat="1" ht="9">
      <c r="A21" s="143" t="s">
        <v>421</v>
      </c>
      <c r="B21" s="44"/>
      <c r="C21" s="44"/>
      <c r="D21" s="52"/>
      <c r="E21" s="52"/>
      <c r="F21" s="52"/>
      <c r="G21" s="44"/>
      <c r="H21" s="44"/>
      <c r="I21" s="92"/>
      <c r="J21" s="44"/>
      <c r="K21" s="44"/>
      <c r="L21" s="44"/>
      <c r="M21" s="44"/>
      <c r="N21" s="52"/>
      <c r="O21" s="52"/>
      <c r="P21" s="92"/>
      <c r="Q21" s="94"/>
    </row>
    <row r="22" spans="1:18" s="147" customFormat="1" ht="19.5" customHeight="1">
      <c r="A22" s="177" t="s">
        <v>375</v>
      </c>
      <c r="B22" s="44">
        <v>2</v>
      </c>
      <c r="C22" s="44">
        <v>0</v>
      </c>
      <c r="D22" s="52">
        <v>0</v>
      </c>
      <c r="E22" s="52">
        <v>0</v>
      </c>
      <c r="F22" s="52">
        <v>0</v>
      </c>
      <c r="G22" s="44">
        <v>0.5</v>
      </c>
      <c r="H22" s="44">
        <f>B22*G22</f>
        <v>1</v>
      </c>
      <c r="I22" s="92">
        <f>$I$9</f>
        <v>3</v>
      </c>
      <c r="J22" s="91">
        <f>H22*I22</f>
        <v>3</v>
      </c>
      <c r="K22" s="91">
        <f>J22*0.1</f>
        <v>0.30000000000000004</v>
      </c>
      <c r="L22" s="91">
        <f>J22*0.05</f>
        <v>0.15000000000000002</v>
      </c>
      <c r="M22" s="44">
        <f>C22*G22*I22</f>
        <v>0</v>
      </c>
      <c r="N22" s="52">
        <f>(J22*'Base Data'!$C$5)+(K22*'Base Data'!$C$6)+(L22*'Base Data'!$C$7)</f>
        <v>326.33250000000004</v>
      </c>
      <c r="O22" s="52">
        <f>(D22+E22+F22)*G22*I22</f>
        <v>0</v>
      </c>
      <c r="P22" s="92">
        <v>0</v>
      </c>
      <c r="Q22" s="94"/>
    </row>
    <row r="23" spans="1:18" s="147" customFormat="1" ht="9">
      <c r="A23" s="177" t="s">
        <v>501</v>
      </c>
      <c r="B23" s="44">
        <v>0.5</v>
      </c>
      <c r="C23" s="44"/>
      <c r="D23" s="52">
        <v>0</v>
      </c>
      <c r="E23" s="52">
        <v>0</v>
      </c>
      <c r="F23" s="52">
        <v>0</v>
      </c>
      <c r="G23" s="44">
        <v>0.5</v>
      </c>
      <c r="H23" s="44">
        <f>B23*G23</f>
        <v>0.25</v>
      </c>
      <c r="I23" s="92">
        <f>$I$9</f>
        <v>3</v>
      </c>
      <c r="J23" s="91">
        <f>H23*I23</f>
        <v>0.75</v>
      </c>
      <c r="K23" s="91">
        <f>J23*0.1</f>
        <v>7.5000000000000011E-2</v>
      </c>
      <c r="L23" s="91">
        <f>J23*0.05</f>
        <v>3.7500000000000006E-2</v>
      </c>
      <c r="M23" s="44">
        <f>C23*G23*I23</f>
        <v>0</v>
      </c>
      <c r="N23" s="52">
        <f>(J23*'Base Data'!$C$5)+(K23*'Base Data'!$C$6)+(L23*'Base Data'!$C$7)</f>
        <v>81.58312500000001</v>
      </c>
      <c r="O23" s="52">
        <f>(D23+E23+F23)*G23*I23</f>
        <v>0</v>
      </c>
      <c r="P23" s="92">
        <v>0</v>
      </c>
      <c r="Q23" s="94"/>
    </row>
    <row r="24" spans="1:18" s="6" customFormat="1" ht="9">
      <c r="A24" s="142" t="s">
        <v>427</v>
      </c>
      <c r="B24" s="44">
        <v>40</v>
      </c>
      <c r="C24" s="18"/>
      <c r="D24" s="39">
        <v>0</v>
      </c>
      <c r="E24" s="39">
        <v>0</v>
      </c>
      <c r="F24" s="39">
        <v>0</v>
      </c>
      <c r="G24" s="18">
        <v>1</v>
      </c>
      <c r="H24" s="18">
        <f t="shared" ref="H24" si="1">B24*G24</f>
        <v>40</v>
      </c>
      <c r="I24" s="91">
        <f>$I$7</f>
        <v>1</v>
      </c>
      <c r="J24" s="19">
        <f t="shared" ref="J24" si="2">H24*I24</f>
        <v>40</v>
      </c>
      <c r="K24" s="19">
        <f t="shared" ref="K24" si="3">J24*0.1</f>
        <v>4</v>
      </c>
      <c r="L24" s="19">
        <f t="shared" ref="L24" si="4">J24*0.05</f>
        <v>2</v>
      </c>
      <c r="M24" s="18"/>
      <c r="N24" s="39">
        <f>(J24*'Base Data'!$C$5)+(K24*'Base Data'!$C$6)+(L24*'Base Data'!$C$7)</f>
        <v>4351.0999999999995</v>
      </c>
      <c r="O24" s="39">
        <f t="shared" ref="O24" si="5">(D24+E24+F24)*G24*I24</f>
        <v>0</v>
      </c>
      <c r="P24" s="92">
        <v>0</v>
      </c>
      <c r="Q24" s="29" t="s">
        <v>272</v>
      </c>
    </row>
    <row r="25" spans="1:18" s="147" customFormat="1" ht="9">
      <c r="A25" s="143" t="s">
        <v>428</v>
      </c>
      <c r="B25" s="44" t="s">
        <v>433</v>
      </c>
      <c r="C25" s="44"/>
      <c r="D25" s="52"/>
      <c r="E25" s="52"/>
      <c r="F25" s="52"/>
      <c r="G25" s="44"/>
      <c r="H25" s="44"/>
      <c r="I25" s="92"/>
      <c r="J25" s="44"/>
      <c r="K25" s="44"/>
      <c r="L25" s="44"/>
      <c r="M25" s="44"/>
      <c r="N25" s="52"/>
      <c r="O25" s="52"/>
      <c r="P25" s="92"/>
      <c r="Q25" s="94"/>
    </row>
    <row r="26" spans="1:18" s="147" customFormat="1" ht="9">
      <c r="A26" s="256" t="s">
        <v>27</v>
      </c>
      <c r="B26" s="239"/>
      <c r="C26" s="239"/>
      <c r="D26" s="240"/>
      <c r="E26" s="240"/>
      <c r="F26" s="240"/>
      <c r="G26" s="239"/>
      <c r="H26" s="239"/>
      <c r="I26" s="241"/>
      <c r="J26" s="239">
        <f t="shared" ref="J26:O26" si="6">SUM(J18:J25)</f>
        <v>43.75</v>
      </c>
      <c r="K26" s="239">
        <f t="shared" si="6"/>
        <v>4.375</v>
      </c>
      <c r="L26" s="239">
        <f t="shared" si="6"/>
        <v>2.1875</v>
      </c>
      <c r="M26" s="239">
        <f t="shared" si="6"/>
        <v>0</v>
      </c>
      <c r="N26" s="240">
        <f t="shared" si="6"/>
        <v>4759.0156249999991</v>
      </c>
      <c r="O26" s="240">
        <f t="shared" si="6"/>
        <v>0</v>
      </c>
      <c r="P26" s="241">
        <f>SUM(P18:P25)</f>
        <v>0</v>
      </c>
      <c r="Q26" s="242"/>
      <c r="R26" s="149">
        <f>SUM(O18:O26)</f>
        <v>0</v>
      </c>
    </row>
    <row r="27" spans="1:18" s="147" customFormat="1">
      <c r="A27" s="186" t="s">
        <v>400</v>
      </c>
      <c r="B27" s="187"/>
      <c r="C27" s="187"/>
      <c r="D27" s="187"/>
      <c r="E27" s="187"/>
      <c r="F27" s="187"/>
      <c r="G27" s="187"/>
      <c r="H27" s="187"/>
      <c r="I27" s="189"/>
      <c r="J27" s="190">
        <f t="shared" ref="J27:P27" si="7">SUM(J16,J26)</f>
        <v>114.25</v>
      </c>
      <c r="K27" s="190">
        <f t="shared" si="7"/>
        <v>11.425000000000001</v>
      </c>
      <c r="L27" s="190">
        <f t="shared" si="7"/>
        <v>5.7125000000000004</v>
      </c>
      <c r="M27" s="190">
        <f t="shared" si="7"/>
        <v>0</v>
      </c>
      <c r="N27" s="191">
        <f t="shared" si="7"/>
        <v>12427.829374999999</v>
      </c>
      <c r="O27" s="191">
        <f t="shared" si="7"/>
        <v>6684</v>
      </c>
      <c r="P27" s="190">
        <f t="shared" si="7"/>
        <v>3</v>
      </c>
      <c r="Q27" s="192"/>
    </row>
    <row r="28" spans="1:18" s="53" customFormat="1" ht="9">
      <c r="B28" s="56"/>
      <c r="C28" s="56"/>
      <c r="D28" s="56"/>
      <c r="E28" s="56"/>
      <c r="F28" s="56"/>
      <c r="G28" s="56"/>
      <c r="H28" s="56"/>
      <c r="I28" s="57"/>
      <c r="J28" s="56"/>
      <c r="K28" s="56"/>
      <c r="L28" s="56"/>
      <c r="M28" s="56"/>
      <c r="N28" s="56"/>
      <c r="O28" s="197"/>
      <c r="P28" s="197"/>
      <c r="Q28" s="56"/>
    </row>
    <row r="29" spans="1:18" s="53" customFormat="1" ht="9">
      <c r="A29" s="412" t="s">
        <v>502</v>
      </c>
      <c r="B29" s="412"/>
      <c r="C29" s="412"/>
      <c r="D29" s="412"/>
      <c r="E29" s="412"/>
      <c r="F29" s="412"/>
      <c r="G29" s="412"/>
      <c r="H29" s="412"/>
      <c r="I29" s="412"/>
      <c r="J29" s="412"/>
      <c r="K29" s="412"/>
      <c r="L29" s="412"/>
      <c r="M29" s="412"/>
      <c r="N29" s="412"/>
      <c r="O29" s="197"/>
      <c r="P29" s="197"/>
      <c r="Q29" s="56"/>
    </row>
    <row r="30" spans="1:18" s="53" customFormat="1" ht="9">
      <c r="A30" s="409" t="s">
        <v>131</v>
      </c>
      <c r="B30" s="409"/>
      <c r="C30" s="409"/>
      <c r="D30" s="409"/>
      <c r="E30" s="409"/>
      <c r="F30" s="409"/>
      <c r="G30" s="409"/>
      <c r="H30" s="409"/>
      <c r="I30" s="409"/>
      <c r="J30" s="409"/>
      <c r="K30" s="409"/>
      <c r="L30" s="409"/>
      <c r="M30" s="409"/>
      <c r="N30" s="409"/>
      <c r="O30" s="409"/>
      <c r="P30" s="197"/>
      <c r="Q30" s="56"/>
    </row>
    <row r="31" spans="1:18" s="53" customFormat="1" ht="9">
      <c r="A31" s="53" t="s">
        <v>503</v>
      </c>
      <c r="B31" s="119"/>
      <c r="C31" s="119"/>
      <c r="D31" s="119"/>
      <c r="E31" s="119"/>
      <c r="F31" s="119"/>
      <c r="G31" s="119"/>
      <c r="H31" s="119"/>
      <c r="I31" s="119"/>
      <c r="J31" s="119"/>
      <c r="K31" s="119"/>
      <c r="L31" s="119"/>
      <c r="M31" s="119"/>
      <c r="N31" s="119"/>
      <c r="O31" s="119"/>
      <c r="P31" s="197"/>
      <c r="Q31" s="56"/>
    </row>
    <row r="32" spans="1:18" s="53" customFormat="1" ht="9">
      <c r="A32" s="14" t="s">
        <v>573</v>
      </c>
      <c r="B32" s="119"/>
      <c r="C32" s="119"/>
      <c r="D32" s="119"/>
      <c r="E32" s="119"/>
      <c r="F32" s="119"/>
      <c r="G32" s="119"/>
      <c r="H32" s="119"/>
      <c r="I32" s="119"/>
      <c r="J32" s="119"/>
      <c r="K32" s="119"/>
      <c r="L32" s="119"/>
      <c r="M32" s="119"/>
      <c r="N32" s="119"/>
      <c r="O32" s="119"/>
      <c r="P32" s="197"/>
      <c r="Q32" s="56"/>
    </row>
    <row r="33" spans="2:18" s="53" customFormat="1" ht="9">
      <c r="B33" s="56"/>
      <c r="C33" s="56"/>
      <c r="D33" s="56"/>
      <c r="E33" s="56"/>
      <c r="F33" s="56"/>
      <c r="G33" s="56"/>
      <c r="H33" s="56"/>
      <c r="I33" s="57"/>
      <c r="J33" s="56"/>
      <c r="K33" s="56"/>
      <c r="L33" s="56"/>
      <c r="M33" s="56"/>
      <c r="N33" s="56"/>
      <c r="O33" s="197"/>
      <c r="P33" s="197"/>
      <c r="Q33" s="56"/>
    </row>
    <row r="34" spans="2:18" s="53" customFormat="1" ht="9">
      <c r="B34" s="56"/>
      <c r="C34" s="56"/>
      <c r="D34" s="56"/>
      <c r="E34" s="56"/>
      <c r="F34" s="56"/>
      <c r="G34" s="56"/>
      <c r="H34" s="56"/>
      <c r="I34" s="57"/>
      <c r="J34" s="56"/>
      <c r="K34" s="56"/>
      <c r="L34" s="56"/>
      <c r="M34" s="56"/>
      <c r="N34" s="56"/>
      <c r="O34" s="197"/>
      <c r="P34" s="197"/>
      <c r="Q34" s="56"/>
    </row>
    <row r="35" spans="2:18" s="53" customFormat="1" ht="9">
      <c r="B35" s="56"/>
      <c r="C35" s="56"/>
      <c r="D35" s="56"/>
      <c r="E35" s="56"/>
      <c r="F35" s="56"/>
      <c r="G35" s="56"/>
      <c r="H35" s="56"/>
      <c r="I35" s="57"/>
      <c r="J35" s="56"/>
      <c r="K35" s="56"/>
      <c r="L35" s="56"/>
      <c r="M35" s="56"/>
      <c r="N35" s="56"/>
      <c r="O35" s="197"/>
      <c r="P35" s="197"/>
      <c r="Q35" s="56"/>
    </row>
    <row r="36" spans="2:18" s="53" customFormat="1" ht="9">
      <c r="B36" s="56"/>
      <c r="C36" s="56"/>
      <c r="D36" s="56"/>
      <c r="E36" s="56"/>
      <c r="F36" s="56"/>
      <c r="G36" s="56"/>
      <c r="H36" s="56"/>
      <c r="I36" s="57"/>
      <c r="J36" s="56"/>
      <c r="K36" s="56"/>
      <c r="L36" s="56"/>
      <c r="M36" s="56"/>
      <c r="N36" s="56"/>
      <c r="O36" s="197"/>
      <c r="P36" s="197"/>
      <c r="Q36" s="56"/>
    </row>
    <row r="37" spans="2:18" s="53" customFormat="1" ht="9">
      <c r="B37" s="56"/>
      <c r="C37" s="56"/>
      <c r="D37" s="56"/>
      <c r="E37" s="56"/>
      <c r="F37" s="56"/>
      <c r="G37" s="56"/>
      <c r="H37" s="56"/>
      <c r="I37" s="57"/>
      <c r="J37" s="56"/>
      <c r="K37" s="56"/>
      <c r="L37" s="56"/>
      <c r="M37" s="56"/>
      <c r="N37" s="56"/>
      <c r="O37" s="197"/>
      <c r="P37" s="197"/>
      <c r="Q37" s="56"/>
    </row>
    <row r="38" spans="2:18" s="53" customFormat="1">
      <c r="B38" s="56"/>
      <c r="C38" s="56"/>
      <c r="D38" s="56"/>
      <c r="E38" s="56"/>
      <c r="F38" s="56"/>
      <c r="G38" s="56"/>
      <c r="H38" s="56"/>
      <c r="I38" s="57"/>
      <c r="J38" s="56"/>
      <c r="K38" s="56"/>
      <c r="L38" s="56"/>
      <c r="M38" s="56"/>
      <c r="N38" s="56"/>
      <c r="O38" s="197"/>
      <c r="P38" s="197"/>
      <c r="Q38" s="56"/>
      <c r="R38" s="114"/>
    </row>
    <row r="49" spans="2:15">
      <c r="B49" s="114"/>
      <c r="C49" s="114"/>
      <c r="D49" s="114"/>
      <c r="E49" s="114"/>
      <c r="F49" s="114"/>
      <c r="G49" s="114"/>
      <c r="H49" s="114"/>
      <c r="I49" s="114"/>
      <c r="J49" s="114"/>
      <c r="K49" s="114"/>
      <c r="L49" s="114"/>
      <c r="M49" s="114"/>
      <c r="N49" s="114"/>
      <c r="O49" s="114"/>
    </row>
    <row r="50" spans="2:15">
      <c r="B50" s="114"/>
      <c r="C50" s="114"/>
      <c r="D50" s="114"/>
      <c r="E50" s="114"/>
      <c r="F50" s="114"/>
      <c r="G50" s="114"/>
      <c r="H50" s="114"/>
      <c r="I50" s="114"/>
      <c r="J50" s="114"/>
      <c r="K50" s="114"/>
      <c r="L50" s="114"/>
      <c r="M50" s="114"/>
      <c r="N50" s="114"/>
      <c r="O50" s="114"/>
    </row>
    <row r="51" spans="2:15">
      <c r="B51" s="114"/>
      <c r="C51" s="114"/>
      <c r="D51" s="114"/>
      <c r="E51" s="114"/>
      <c r="F51" s="114"/>
      <c r="G51" s="114"/>
      <c r="H51" s="114"/>
      <c r="I51" s="114"/>
      <c r="J51" s="114"/>
      <c r="K51" s="114"/>
      <c r="L51" s="114"/>
      <c r="M51" s="114"/>
      <c r="N51" s="114"/>
      <c r="O51" s="114"/>
    </row>
    <row r="52" spans="2:15">
      <c r="B52" s="114"/>
      <c r="C52" s="114"/>
      <c r="D52" s="114"/>
      <c r="E52" s="114"/>
      <c r="F52" s="114"/>
      <c r="G52" s="114"/>
      <c r="H52" s="114"/>
      <c r="I52" s="114"/>
      <c r="J52" s="114"/>
      <c r="K52" s="114"/>
      <c r="L52" s="114"/>
      <c r="M52" s="114"/>
      <c r="N52" s="114"/>
      <c r="O52" s="114"/>
    </row>
  </sheetData>
  <mergeCells count="4">
    <mergeCell ref="A30:O30"/>
    <mergeCell ref="A1:Q1"/>
    <mergeCell ref="A2:Q2"/>
    <mergeCell ref="A29:N29"/>
  </mergeCells>
  <phoneticPr fontId="7" type="noConversion"/>
  <pageMargins left="0.25" right="0.25" top="0.5" bottom="0.75" header="0.5" footer="0.5"/>
  <pageSetup scale="61" orientation="landscape" r:id="rId1"/>
  <headerFooter alignWithMargins="0"/>
</worksheet>
</file>

<file path=xl/worksheets/sheet4.xml><?xml version="1.0" encoding="utf-8"?>
<worksheet xmlns="http://schemas.openxmlformats.org/spreadsheetml/2006/main" xmlns:r="http://schemas.openxmlformats.org/officeDocument/2006/relationships">
  <dimension ref="A1:D21"/>
  <sheetViews>
    <sheetView topLeftCell="A4" zoomScale="85" workbookViewId="0">
      <selection activeCell="A2" sqref="A2:Q2"/>
    </sheetView>
  </sheetViews>
  <sheetFormatPr defaultRowHeight="12.75"/>
  <cols>
    <col min="1" max="3" width="16.5703125" customWidth="1"/>
    <col min="4" max="4" width="24.85546875" customWidth="1"/>
  </cols>
  <sheetData>
    <row r="1" spans="1:4" ht="13.5" thickBot="1">
      <c r="A1" s="157" t="s">
        <v>210</v>
      </c>
      <c r="B1" s="158" t="s">
        <v>212</v>
      </c>
      <c r="C1" s="158" t="s">
        <v>214</v>
      </c>
      <c r="D1" s="167" t="s">
        <v>216</v>
      </c>
    </row>
    <row r="2" spans="1:4" ht="39" thickBot="1">
      <c r="A2" s="162" t="s">
        <v>310</v>
      </c>
      <c r="B2" s="163" t="s">
        <v>311</v>
      </c>
      <c r="C2" s="163" t="s">
        <v>327</v>
      </c>
      <c r="D2" s="169" t="s">
        <v>328</v>
      </c>
    </row>
    <row r="3" spans="1:4" ht="25.5">
      <c r="A3" s="161" t="s">
        <v>315</v>
      </c>
      <c r="B3" s="355">
        <f>SUM('Summary 2'!$D$3:$D$4)</f>
        <v>119</v>
      </c>
      <c r="C3" s="369">
        <f>'Fac-ExistLrgSolid-Yr1'!$P$52+'Fac-ExistLrgSolid-Yr2'!$P$52+'Fac-ExistLrgSolid-Yr3'!$P$52</f>
        <v>595</v>
      </c>
      <c r="D3" s="168">
        <f>C3/3</f>
        <v>198.33333333333334</v>
      </c>
    </row>
    <row r="4" spans="1:4" ht="25.5">
      <c r="A4" s="151" t="s">
        <v>316</v>
      </c>
      <c r="B4" s="75">
        <f>SUM('Summary 2'!$B$3:$B$4)</f>
        <v>0</v>
      </c>
      <c r="C4" s="370">
        <v>0</v>
      </c>
      <c r="D4" s="153">
        <f t="shared" ref="D4:D14" si="0">C4/3</f>
        <v>0</v>
      </c>
    </row>
    <row r="5" spans="1:4" ht="25.5">
      <c r="A5" s="151" t="s">
        <v>317</v>
      </c>
      <c r="B5" s="69">
        <f>SUM('Summary 2'!$D$9:$D$10)</f>
        <v>4</v>
      </c>
      <c r="C5" s="370">
        <f>'Fac - ExistSmlSolid-Yr1'!$P$20+'Fac - ExistSmlSolid-Yr2'!$P$20+'Fac - ExistSmlSolid-Yr3'!$P$20</f>
        <v>14</v>
      </c>
      <c r="D5" s="153">
        <f t="shared" si="0"/>
        <v>4.666666666666667</v>
      </c>
    </row>
    <row r="6" spans="1:4" ht="25.5">
      <c r="A6" s="151" t="s">
        <v>318</v>
      </c>
      <c r="B6" s="75">
        <f>SUM('Summary 2'!$B$9:$B$10)</f>
        <v>0</v>
      </c>
      <c r="C6" s="370">
        <v>0</v>
      </c>
      <c r="D6" s="153">
        <f t="shared" si="0"/>
        <v>0</v>
      </c>
    </row>
    <row r="7" spans="1:4" ht="25.5">
      <c r="A7" s="151" t="s">
        <v>319</v>
      </c>
      <c r="B7" s="75">
        <f>SUM('Summary 2'!$D$5)</f>
        <v>58</v>
      </c>
      <c r="C7" s="370">
        <f>'Fac-ExistLrgLiquid-Yr1'!$P$52+'Fac-ExistLrgLiquid-Yr2'!$P$52+'Fac-ExistLrgLiquid-Yr3'!$P$52</f>
        <v>290</v>
      </c>
      <c r="D7" s="153">
        <f t="shared" si="0"/>
        <v>96.666666666666671</v>
      </c>
    </row>
    <row r="8" spans="1:4" ht="25.5">
      <c r="A8" s="151" t="s">
        <v>320</v>
      </c>
      <c r="B8" s="75">
        <f>SUM('Summary 2'!$B$5)</f>
        <v>4</v>
      </c>
      <c r="C8" s="370">
        <f>'Fac-NewLrgLiquid-Yr1'!$P$48+'Fac-NewLrgLiquid-Yr2'!$P$48+'Fac-NewLrgLiquid-Yr3'!$P$48</f>
        <v>26</v>
      </c>
      <c r="D8" s="153">
        <f t="shared" si="0"/>
        <v>8.6666666666666661</v>
      </c>
    </row>
    <row r="9" spans="1:4" ht="25.5">
      <c r="A9" s="151" t="s">
        <v>321</v>
      </c>
      <c r="B9" s="75">
        <f>SUM('Summary 2'!$D$11)</f>
        <v>42</v>
      </c>
      <c r="C9" s="370">
        <f>SUM('Fac - ExistSmlLiquid-Yr1'!$P$20+'Fac - ExistSmlLiquid-Yr2'!$P$20+'Fac - ExistSmlLiquid-Yr3'!$P$20)</f>
        <v>147</v>
      </c>
      <c r="D9" s="153">
        <f t="shared" si="0"/>
        <v>49</v>
      </c>
    </row>
    <row r="10" spans="1:4" ht="25.5">
      <c r="A10" s="151" t="s">
        <v>322</v>
      </c>
      <c r="B10" s="75">
        <f>SUM('Summary 2'!$B$11)</f>
        <v>1</v>
      </c>
      <c r="C10" s="370">
        <f>'Fac-NewSmlLiquid-Yr1'!P16+'Fac-NewSmlLiquid-Yr2'!P16+'Fac-NewSmlLiquid-Yr3'!P16</f>
        <v>5</v>
      </c>
      <c r="D10" s="153">
        <f t="shared" si="0"/>
        <v>1.6666666666666667</v>
      </c>
    </row>
    <row r="11" spans="1:4" ht="25.5">
      <c r="A11" s="151" t="s">
        <v>323</v>
      </c>
      <c r="B11" s="75">
        <f>SUM('Summary 2'!$D$6:$D$8)</f>
        <v>529</v>
      </c>
      <c r="C11" s="370">
        <f>'Fac-ExistLrgGas-Yr1'!$P$53+'Fac-ExistLrgGas-Yr2'!$P$53+'Fac-ExistLrgGas-Yr3'!$P$53</f>
        <v>2905</v>
      </c>
      <c r="D11" s="153">
        <f t="shared" si="0"/>
        <v>968.33333333333337</v>
      </c>
    </row>
    <row r="12" spans="1:4" ht="25.5">
      <c r="A12" s="151" t="s">
        <v>324</v>
      </c>
      <c r="B12" s="75">
        <f>SUM('Summary 2'!$B$6:$B$8)</f>
        <v>2</v>
      </c>
      <c r="C12" s="370">
        <f>'Fac-NewLrgGas-Yr1'!$P$49+'Fac-NewLrgGas-Yr2'!$P$49+'Fac-NewLrgGas-Yr3'!$P$49</f>
        <v>25</v>
      </c>
      <c r="D12" s="153">
        <f t="shared" si="0"/>
        <v>8.3333333333333339</v>
      </c>
    </row>
    <row r="13" spans="1:4" ht="25.5">
      <c r="A13" s="151" t="s">
        <v>325</v>
      </c>
      <c r="B13" s="75">
        <f>SUM('Summary 2'!$D$12)</f>
        <v>887</v>
      </c>
      <c r="C13" s="370">
        <f>'Fac - ExistSmlGas-Yr1'!$P$20+'Fac - ExistSmlGas-Yr2'!$P$20+'Fac - ExistSmlGas-Yr3'!$P$20</f>
        <v>3104.5</v>
      </c>
      <c r="D13" s="153">
        <f t="shared" si="0"/>
        <v>1034.8333333333333</v>
      </c>
    </row>
    <row r="14" spans="1:4" ht="26.25" thickBot="1">
      <c r="A14" s="152" t="s">
        <v>326</v>
      </c>
      <c r="B14" s="360">
        <f>SUM('Summary 2'!$B$12)</f>
        <v>9</v>
      </c>
      <c r="C14" s="371">
        <f>'Fac-NewSmlGas-Yr1'!P16+'Fac-NewSmlGas-Yr2'!P16+'Fac-NewSmlGas-Yr3'!P16</f>
        <v>27</v>
      </c>
      <c r="D14" s="154">
        <f t="shared" si="0"/>
        <v>9</v>
      </c>
    </row>
    <row r="21" spans="3:3">
      <c r="C21" s="346">
        <f>SUM(C3:C14)</f>
        <v>7138.5</v>
      </c>
    </row>
  </sheetData>
  <phoneticPr fontId="7" type="noConversion"/>
  <pageMargins left="0.75" right="0.75" top="1" bottom="1" header="0.5" footer="0.5"/>
  <headerFooter alignWithMargins="0"/>
</worksheet>
</file>

<file path=xl/worksheets/sheet40.xml><?xml version="1.0" encoding="utf-8"?>
<worksheet xmlns="http://schemas.openxmlformats.org/spreadsheetml/2006/main" xmlns:r="http://schemas.openxmlformats.org/officeDocument/2006/relationships">
  <sheetPr>
    <pageSetUpPr fitToPage="1"/>
  </sheetPr>
  <dimension ref="A1:S50"/>
  <sheetViews>
    <sheetView zoomScaleNormal="100" workbookViewId="0">
      <pane xSplit="1" ySplit="2" topLeftCell="B3" activePane="bottomRight" state="frozen"/>
      <selection activeCell="P31" sqref="P31"/>
      <selection pane="topRight" activeCell="P31" sqref="P31"/>
      <selection pane="bottomLeft" activeCell="P31" sqref="P31"/>
      <selection pane="bottomRight" activeCell="P10" sqref="P10"/>
    </sheetView>
  </sheetViews>
  <sheetFormatPr defaultRowHeight="11.25"/>
  <cols>
    <col min="1" max="1" width="36.5703125" style="114" customWidth="1"/>
    <col min="2" max="2" width="9.7109375" style="54" customWidth="1"/>
    <col min="3" max="3" width="8" style="54" hidden="1" customWidth="1"/>
    <col min="4" max="5" width="9.42578125" style="54" customWidth="1"/>
    <col min="6" max="6" width="7.42578125" style="54" customWidth="1"/>
    <col min="7" max="7" width="9.85546875" style="54" customWidth="1"/>
    <col min="8" max="8" width="8.140625" style="54" customWidth="1"/>
    <col min="9" max="9" width="10.140625" style="55" customWidth="1"/>
    <col min="10" max="10" width="7.5703125" style="54" customWidth="1"/>
    <col min="11" max="11" width="7.140625" style="54" customWidth="1"/>
    <col min="12" max="12" width="7.5703125" style="54" customWidth="1"/>
    <col min="13" max="13" width="7.85546875" style="54" hidden="1" customWidth="1"/>
    <col min="14" max="14" width="10.140625" style="54" customWidth="1"/>
    <col min="15" max="16" width="10.85546875" style="196" customWidth="1"/>
    <col min="17" max="17" width="2.5703125" style="54" bestFit="1" customWidth="1"/>
    <col min="18" max="19" width="0" style="114" hidden="1" customWidth="1"/>
    <col min="20" max="20" width="11.140625" style="114" customWidth="1"/>
    <col min="21" max="21" width="8.5703125" style="114" customWidth="1"/>
    <col min="22" max="16384" width="9.140625" style="114"/>
  </cols>
  <sheetData>
    <row r="1" spans="1:19">
      <c r="A1" s="410" t="s">
        <v>293</v>
      </c>
      <c r="B1" s="410"/>
      <c r="C1" s="410"/>
      <c r="D1" s="410"/>
      <c r="E1" s="410"/>
      <c r="F1" s="410"/>
      <c r="G1" s="410"/>
      <c r="H1" s="410"/>
      <c r="I1" s="410"/>
      <c r="J1" s="410"/>
      <c r="K1" s="410"/>
      <c r="L1" s="410"/>
      <c r="M1" s="410"/>
      <c r="N1" s="410"/>
      <c r="O1" s="410"/>
      <c r="P1" s="410"/>
      <c r="Q1" s="410"/>
    </row>
    <row r="2" spans="1:19">
      <c r="A2" s="411" t="s">
        <v>305</v>
      </c>
      <c r="B2" s="411"/>
      <c r="C2" s="411"/>
      <c r="D2" s="411"/>
      <c r="E2" s="411"/>
      <c r="F2" s="411"/>
      <c r="G2" s="411"/>
      <c r="H2" s="411"/>
      <c r="I2" s="411"/>
      <c r="J2" s="411"/>
      <c r="K2" s="411"/>
      <c r="L2" s="411"/>
      <c r="M2" s="411"/>
      <c r="N2" s="411"/>
      <c r="O2" s="411"/>
      <c r="P2" s="411"/>
      <c r="Q2" s="411"/>
    </row>
    <row r="3" spans="1:19" s="193" customFormat="1" ht="63">
      <c r="A3" s="45" t="s">
        <v>392</v>
      </c>
      <c r="B3" s="45" t="s">
        <v>393</v>
      </c>
      <c r="C3" s="45" t="s">
        <v>430</v>
      </c>
      <c r="D3" s="45" t="s">
        <v>4</v>
      </c>
      <c r="E3" s="45" t="s">
        <v>94</v>
      </c>
      <c r="F3" s="45" t="s">
        <v>5</v>
      </c>
      <c r="G3" s="12" t="s">
        <v>176</v>
      </c>
      <c r="H3" s="45" t="s">
        <v>459</v>
      </c>
      <c r="I3" s="60" t="s">
        <v>460</v>
      </c>
      <c r="J3" s="100" t="s">
        <v>462</v>
      </c>
      <c r="K3" s="100" t="s">
        <v>463</v>
      </c>
      <c r="L3" s="100" t="s">
        <v>461</v>
      </c>
      <c r="M3" s="45" t="s">
        <v>391</v>
      </c>
      <c r="N3" s="45" t="s">
        <v>8</v>
      </c>
      <c r="O3" s="100" t="s">
        <v>96</v>
      </c>
      <c r="P3" s="100" t="s">
        <v>175</v>
      </c>
      <c r="Q3" s="182" t="s">
        <v>394</v>
      </c>
      <c r="R3" s="193" t="s">
        <v>307</v>
      </c>
      <c r="S3" s="193" t="s">
        <v>308</v>
      </c>
    </row>
    <row r="4" spans="1:19" s="147" customFormat="1" ht="9">
      <c r="A4" s="194" t="s">
        <v>405</v>
      </c>
      <c r="B4" s="179" t="s">
        <v>433</v>
      </c>
      <c r="C4" s="179"/>
      <c r="D4" s="181"/>
      <c r="E4" s="181"/>
      <c r="F4" s="181"/>
      <c r="G4" s="179"/>
      <c r="H4" s="179"/>
      <c r="I4" s="183"/>
      <c r="J4" s="179"/>
      <c r="K4" s="179"/>
      <c r="L4" s="179"/>
      <c r="M4" s="179"/>
      <c r="N4" s="181"/>
      <c r="O4" s="181"/>
      <c r="P4" s="181"/>
      <c r="Q4" s="249"/>
    </row>
    <row r="5" spans="1:19" s="147" customFormat="1" ht="9">
      <c r="A5" s="143" t="s">
        <v>406</v>
      </c>
      <c r="B5" s="44" t="s">
        <v>433</v>
      </c>
      <c r="C5" s="44"/>
      <c r="D5" s="52"/>
      <c r="E5" s="52"/>
      <c r="F5" s="52"/>
      <c r="G5" s="44"/>
      <c r="H5" s="44"/>
      <c r="I5" s="92"/>
      <c r="J5" s="44"/>
      <c r="K5" s="44"/>
      <c r="L5" s="44"/>
      <c r="M5" s="44"/>
      <c r="N5" s="52"/>
      <c r="O5" s="52"/>
      <c r="P5" s="52"/>
      <c r="Q5" s="94"/>
    </row>
    <row r="6" spans="1:19" s="147" customFormat="1" ht="9">
      <c r="A6" s="143" t="s">
        <v>407</v>
      </c>
      <c r="B6" s="44"/>
      <c r="C6" s="44"/>
      <c r="D6" s="52"/>
      <c r="E6" s="52"/>
      <c r="F6" s="52"/>
      <c r="G6" s="44"/>
      <c r="H6" s="44"/>
      <c r="I6" s="92"/>
      <c r="J6" s="44"/>
      <c r="K6" s="44"/>
      <c r="L6" s="44"/>
      <c r="M6" s="44"/>
      <c r="N6" s="52"/>
      <c r="O6" s="52"/>
      <c r="P6" s="52"/>
      <c r="Q6" s="94"/>
    </row>
    <row r="7" spans="1:19" s="147" customFormat="1" ht="9">
      <c r="A7" s="143" t="s">
        <v>408</v>
      </c>
      <c r="B7" s="44">
        <v>40</v>
      </c>
      <c r="C7" s="44"/>
      <c r="D7" s="52">
        <v>0</v>
      </c>
      <c r="E7" s="52">
        <v>0</v>
      </c>
      <c r="F7" s="52">
        <v>0</v>
      </c>
      <c r="G7" s="44">
        <v>1</v>
      </c>
      <c r="H7" s="44">
        <f>B7*G7</f>
        <v>40</v>
      </c>
      <c r="I7" s="91">
        <v>0</v>
      </c>
      <c r="J7" s="91">
        <f>H7*I7</f>
        <v>0</v>
      </c>
      <c r="K7" s="91">
        <f>J7*0.1</f>
        <v>0</v>
      </c>
      <c r="L7" s="91">
        <f>J7*0.05</f>
        <v>0</v>
      </c>
      <c r="M7" s="44">
        <f>C7*G7*I7</f>
        <v>0</v>
      </c>
      <c r="N7" s="52">
        <f>(J7*'Base Data'!$C$5)+(K7*'Base Data'!$C$6)+(L7*'Base Data'!$C$7)</f>
        <v>0</v>
      </c>
      <c r="O7" s="52">
        <f>(D7+E7+F7)*G7*I7</f>
        <v>0</v>
      </c>
      <c r="P7" s="92">
        <v>0</v>
      </c>
      <c r="Q7" s="94" t="s">
        <v>387</v>
      </c>
    </row>
    <row r="8" spans="1:19" s="147" customFormat="1" ht="9">
      <c r="A8" s="143" t="s">
        <v>409</v>
      </c>
      <c r="B8" s="44"/>
      <c r="C8" s="44"/>
      <c r="D8" s="52"/>
      <c r="E8" s="52"/>
      <c r="F8" s="52"/>
      <c r="G8" s="44"/>
      <c r="H8" s="44"/>
      <c r="I8" s="92"/>
      <c r="J8" s="44"/>
      <c r="K8" s="44"/>
      <c r="L8" s="44"/>
      <c r="M8" s="44"/>
      <c r="N8" s="52"/>
      <c r="O8" s="52"/>
      <c r="P8" s="92"/>
      <c r="Q8" s="94"/>
    </row>
    <row r="9" spans="1:19" s="147" customFormat="1" ht="9">
      <c r="A9" s="143" t="s">
        <v>500</v>
      </c>
      <c r="B9" s="44">
        <v>12</v>
      </c>
      <c r="C9" s="44"/>
      <c r="D9" s="52">
        <v>0</v>
      </c>
      <c r="E9" s="52">
        <v>2228</v>
      </c>
      <c r="F9" s="52">
        <v>0</v>
      </c>
      <c r="G9" s="44">
        <v>0.5</v>
      </c>
      <c r="H9" s="44">
        <f>B9*G9</f>
        <v>6</v>
      </c>
      <c r="I9" s="91">
        <v>0</v>
      </c>
      <c r="J9" s="91">
        <f>H9*I9</f>
        <v>0</v>
      </c>
      <c r="K9" s="91">
        <f>J9*0.1</f>
        <v>0</v>
      </c>
      <c r="L9" s="91">
        <f>J9*0.05</f>
        <v>0</v>
      </c>
      <c r="M9" s="92"/>
      <c r="N9" s="52">
        <f>(J9*'Base Data'!$C$5)+(K9*'Base Data'!$C$6)+(L9*'Base Data'!$C$7)</f>
        <v>0</v>
      </c>
      <c r="O9" s="52">
        <f>(D9+E9+F9)*I9</f>
        <v>0</v>
      </c>
      <c r="P9" s="92">
        <v>0</v>
      </c>
      <c r="Q9" s="94" t="s">
        <v>388</v>
      </c>
    </row>
    <row r="10" spans="1:19" s="147" customFormat="1" ht="9">
      <c r="A10" s="143" t="s">
        <v>415</v>
      </c>
      <c r="B10" s="44" t="s">
        <v>433</v>
      </c>
      <c r="C10" s="44"/>
      <c r="D10" s="52"/>
      <c r="E10" s="52"/>
      <c r="F10" s="52"/>
      <c r="G10" s="44"/>
      <c r="H10" s="44"/>
      <c r="I10" s="92"/>
      <c r="J10" s="44"/>
      <c r="K10" s="44"/>
      <c r="L10" s="44"/>
      <c r="M10" s="44"/>
      <c r="N10" s="52"/>
      <c r="O10" s="52"/>
      <c r="P10" s="92"/>
      <c r="Q10" s="94"/>
    </row>
    <row r="11" spans="1:19" s="147" customFormat="1" ht="9">
      <c r="A11" s="143" t="s">
        <v>416</v>
      </c>
      <c r="B11" s="44" t="s">
        <v>433</v>
      </c>
      <c r="C11" s="44"/>
      <c r="D11" s="52"/>
      <c r="E11" s="52"/>
      <c r="F11" s="52"/>
      <c r="G11" s="44"/>
      <c r="H11" s="44"/>
      <c r="I11" s="92"/>
      <c r="J11" s="44"/>
      <c r="K11" s="44"/>
      <c r="L11" s="44"/>
      <c r="M11" s="44"/>
      <c r="N11" s="52"/>
      <c r="O11" s="52"/>
      <c r="P11" s="92"/>
      <c r="Q11" s="94"/>
    </row>
    <row r="12" spans="1:19" s="147" customFormat="1" ht="9">
      <c r="A12" s="143" t="s">
        <v>417</v>
      </c>
      <c r="B12" s="44"/>
      <c r="C12" s="44"/>
      <c r="D12" s="52"/>
      <c r="E12" s="52"/>
      <c r="F12" s="52"/>
      <c r="G12" s="44"/>
      <c r="H12" s="44"/>
      <c r="I12" s="92"/>
      <c r="J12" s="44"/>
      <c r="K12" s="44"/>
      <c r="L12" s="44"/>
      <c r="M12" s="44"/>
      <c r="N12" s="52"/>
      <c r="O12" s="52"/>
      <c r="P12" s="92"/>
      <c r="Q12" s="94"/>
    </row>
    <row r="13" spans="1:19" s="147" customFormat="1" ht="9">
      <c r="A13" s="177" t="s">
        <v>435</v>
      </c>
      <c r="B13" s="44">
        <v>2</v>
      </c>
      <c r="C13" s="44"/>
      <c r="D13" s="52">
        <v>0</v>
      </c>
      <c r="E13" s="52">
        <v>0</v>
      </c>
      <c r="F13" s="52">
        <v>0</v>
      </c>
      <c r="G13" s="44">
        <v>1</v>
      </c>
      <c r="H13" s="44">
        <f>B13*G13</f>
        <v>2</v>
      </c>
      <c r="I13" s="91">
        <v>0</v>
      </c>
      <c r="J13" s="91">
        <f>H13*I13</f>
        <v>0</v>
      </c>
      <c r="K13" s="91">
        <f>J13*0.1</f>
        <v>0</v>
      </c>
      <c r="L13" s="91">
        <f>J13*0.05</f>
        <v>0</v>
      </c>
      <c r="M13" s="44">
        <f>C13*G13*I13</f>
        <v>0</v>
      </c>
      <c r="N13" s="52">
        <f>(J13*'Base Data'!$C$5)+(K13*'Base Data'!$C$6)+(L13*'Base Data'!$C$7)</f>
        <v>0</v>
      </c>
      <c r="O13" s="52">
        <f>(D13+E13+F13)*G13*I13</f>
        <v>0</v>
      </c>
      <c r="P13" s="92">
        <f>G13*I13</f>
        <v>0</v>
      </c>
      <c r="Q13" s="94"/>
    </row>
    <row r="14" spans="1:19" s="147" customFormat="1" ht="9">
      <c r="A14" s="177" t="s">
        <v>377</v>
      </c>
      <c r="B14" s="44">
        <v>8</v>
      </c>
      <c r="C14" s="44"/>
      <c r="D14" s="52">
        <v>0</v>
      </c>
      <c r="E14" s="52">
        <v>0</v>
      </c>
      <c r="F14" s="52">
        <v>0</v>
      </c>
      <c r="G14" s="44">
        <v>1</v>
      </c>
      <c r="H14" s="44">
        <f>B14*G14</f>
        <v>8</v>
      </c>
      <c r="I14" s="92">
        <v>0</v>
      </c>
      <c r="J14" s="91">
        <f>H14*I14</f>
        <v>0</v>
      </c>
      <c r="K14" s="91">
        <f>J14*0.1</f>
        <v>0</v>
      </c>
      <c r="L14" s="91">
        <f>J14*0.05</f>
        <v>0</v>
      </c>
      <c r="M14" s="44">
        <f>C14*G14*I14</f>
        <v>0</v>
      </c>
      <c r="N14" s="52">
        <f>(J14*'Base Data'!$C$5)+(K14*'Base Data'!$C$6)+(L14*'Base Data'!$C$7)</f>
        <v>0</v>
      </c>
      <c r="O14" s="52">
        <f>(D14+E14+F14)*G14*I14</f>
        <v>0</v>
      </c>
      <c r="P14" s="92">
        <f>G14*I14</f>
        <v>0</v>
      </c>
      <c r="Q14" s="94"/>
    </row>
    <row r="15" spans="1:19" s="147" customFormat="1" ht="9">
      <c r="A15" s="177" t="s">
        <v>11</v>
      </c>
      <c r="B15" s="44">
        <v>5</v>
      </c>
      <c r="C15" s="44"/>
      <c r="D15" s="52">
        <v>0</v>
      </c>
      <c r="E15" s="52">
        <v>0</v>
      </c>
      <c r="F15" s="52">
        <v>0</v>
      </c>
      <c r="G15" s="44">
        <v>0.5</v>
      </c>
      <c r="H15" s="44">
        <f>B15*G15</f>
        <v>2.5</v>
      </c>
      <c r="I15" s="91">
        <f>'Base Data'!$H$78</f>
        <v>1</v>
      </c>
      <c r="J15" s="91">
        <f>H15*I15</f>
        <v>2.5</v>
      </c>
      <c r="K15" s="91">
        <f>J15*0.1</f>
        <v>0.25</v>
      </c>
      <c r="L15" s="91">
        <f>J15*0.05</f>
        <v>0.125</v>
      </c>
      <c r="M15" s="44">
        <f>C15*G15*I15</f>
        <v>0</v>
      </c>
      <c r="N15" s="52">
        <f>(J15*'Base Data'!$C$5)+(K15*'Base Data'!$C$6)+(L15*'Base Data'!$C$7)</f>
        <v>271.94374999999997</v>
      </c>
      <c r="O15" s="52">
        <f>(D15+E15+F15)*G15*I15</f>
        <v>0</v>
      </c>
      <c r="P15" s="92">
        <f>G15*I15</f>
        <v>0.5</v>
      </c>
      <c r="Q15" s="94"/>
    </row>
    <row r="16" spans="1:19" s="147" customFormat="1" ht="9">
      <c r="A16" s="148" t="s">
        <v>7</v>
      </c>
      <c r="B16" s="44"/>
      <c r="C16" s="44"/>
      <c r="D16" s="52"/>
      <c r="E16" s="52"/>
      <c r="F16" s="52"/>
      <c r="G16" s="44"/>
      <c r="H16" s="44"/>
      <c r="I16" s="92"/>
      <c r="J16" s="92">
        <f t="shared" ref="J16:O16" si="0">SUM(J7:J15)</f>
        <v>2.5</v>
      </c>
      <c r="K16" s="92">
        <f t="shared" si="0"/>
        <v>0.25</v>
      </c>
      <c r="L16" s="92">
        <f t="shared" si="0"/>
        <v>0.125</v>
      </c>
      <c r="M16" s="92">
        <f t="shared" si="0"/>
        <v>0</v>
      </c>
      <c r="N16" s="92">
        <f t="shared" si="0"/>
        <v>271.94374999999997</v>
      </c>
      <c r="O16" s="92">
        <f t="shared" si="0"/>
        <v>0</v>
      </c>
      <c r="P16" s="92">
        <f>ROUND(SUM(P13:P15),0)</f>
        <v>1</v>
      </c>
      <c r="Q16" s="94"/>
      <c r="R16" s="149">
        <f>SUM(O7:O9)</f>
        <v>0</v>
      </c>
      <c r="S16" s="147">
        <f>0</f>
        <v>0</v>
      </c>
    </row>
    <row r="17" spans="1:18" s="147" customFormat="1" ht="9">
      <c r="A17" s="143" t="s">
        <v>431</v>
      </c>
      <c r="B17" s="44"/>
      <c r="C17" s="44"/>
      <c r="D17" s="52"/>
      <c r="E17" s="52"/>
      <c r="F17" s="52"/>
      <c r="G17" s="44"/>
      <c r="H17" s="44"/>
      <c r="I17" s="92"/>
      <c r="J17" s="44"/>
      <c r="K17" s="44"/>
      <c r="L17" s="44"/>
      <c r="M17" s="44"/>
      <c r="N17" s="52"/>
      <c r="O17" s="52"/>
      <c r="P17" s="92"/>
      <c r="Q17" s="94"/>
    </row>
    <row r="18" spans="1:18" s="147" customFormat="1" ht="9">
      <c r="A18" s="143" t="s">
        <v>418</v>
      </c>
      <c r="B18" s="44" t="s">
        <v>422</v>
      </c>
      <c r="C18" s="44"/>
      <c r="D18" s="52"/>
      <c r="E18" s="52"/>
      <c r="F18" s="52"/>
      <c r="G18" s="44"/>
      <c r="H18" s="44"/>
      <c r="I18" s="92"/>
      <c r="J18" s="44"/>
      <c r="K18" s="44"/>
      <c r="L18" s="44"/>
      <c r="M18" s="44"/>
      <c r="N18" s="52"/>
      <c r="O18" s="52"/>
      <c r="P18" s="92"/>
      <c r="Q18" s="94"/>
    </row>
    <row r="19" spans="1:18" s="147" customFormat="1" ht="9">
      <c r="A19" s="143" t="s">
        <v>419</v>
      </c>
      <c r="B19" s="44" t="s">
        <v>433</v>
      </c>
      <c r="C19" s="44"/>
      <c r="D19" s="52"/>
      <c r="E19" s="52"/>
      <c r="F19" s="52"/>
      <c r="G19" s="44"/>
      <c r="H19" s="44"/>
      <c r="I19" s="92"/>
      <c r="J19" s="44"/>
      <c r="K19" s="44"/>
      <c r="L19" s="44"/>
      <c r="M19" s="44"/>
      <c r="N19" s="52"/>
      <c r="O19" s="52"/>
      <c r="P19" s="92"/>
      <c r="Q19" s="94"/>
    </row>
    <row r="20" spans="1:18" s="147" customFormat="1" ht="9">
      <c r="A20" s="143" t="s">
        <v>420</v>
      </c>
      <c r="B20" s="44" t="s">
        <v>433</v>
      </c>
      <c r="C20" s="44"/>
      <c r="D20" s="52"/>
      <c r="E20" s="52"/>
      <c r="F20" s="52"/>
      <c r="G20" s="44"/>
      <c r="H20" s="44"/>
      <c r="I20" s="92"/>
      <c r="J20" s="44"/>
      <c r="K20" s="44"/>
      <c r="L20" s="44"/>
      <c r="M20" s="44"/>
      <c r="N20" s="52"/>
      <c r="O20" s="52"/>
      <c r="P20" s="92"/>
      <c r="Q20" s="94" t="s">
        <v>132</v>
      </c>
    </row>
    <row r="21" spans="1:18" s="147" customFormat="1" ht="9">
      <c r="A21" s="143" t="s">
        <v>421</v>
      </c>
      <c r="B21" s="44"/>
      <c r="C21" s="44"/>
      <c r="D21" s="52"/>
      <c r="E21" s="52"/>
      <c r="F21" s="52"/>
      <c r="G21" s="44"/>
      <c r="H21" s="44"/>
      <c r="I21" s="92"/>
      <c r="J21" s="44"/>
      <c r="K21" s="44"/>
      <c r="L21" s="44"/>
      <c r="M21" s="44"/>
      <c r="N21" s="52"/>
      <c r="O21" s="52"/>
      <c r="P21" s="92"/>
      <c r="Q21" s="94"/>
    </row>
    <row r="22" spans="1:18" s="147" customFormat="1" ht="19.5" customHeight="1">
      <c r="A22" s="177" t="s">
        <v>375</v>
      </c>
      <c r="B22" s="44">
        <v>2</v>
      </c>
      <c r="C22" s="44">
        <v>0</v>
      </c>
      <c r="D22" s="52">
        <v>0</v>
      </c>
      <c r="E22" s="52">
        <v>0</v>
      </c>
      <c r="F22" s="52">
        <v>0</v>
      </c>
      <c r="G22" s="44">
        <v>0.5</v>
      </c>
      <c r="H22" s="44">
        <f>B22*G22</f>
        <v>1</v>
      </c>
      <c r="I22" s="91">
        <f>'Base Data'!$D$78</f>
        <v>3</v>
      </c>
      <c r="J22" s="91">
        <f>H22*I22</f>
        <v>3</v>
      </c>
      <c r="K22" s="91">
        <f>J22*0.1</f>
        <v>0.30000000000000004</v>
      </c>
      <c r="L22" s="91">
        <f>J22*0.05</f>
        <v>0.15000000000000002</v>
      </c>
      <c r="M22" s="44">
        <f>C22*G22*I22</f>
        <v>0</v>
      </c>
      <c r="N22" s="52">
        <f>(J22*'Base Data'!$C$5)+(K22*'Base Data'!$C$6)+(L22*'Base Data'!$C$7)</f>
        <v>326.33250000000004</v>
      </c>
      <c r="O22" s="52">
        <f>(D22+E22+F22)*G22*I22</f>
        <v>0</v>
      </c>
      <c r="P22" s="92">
        <v>0</v>
      </c>
      <c r="Q22" s="94"/>
    </row>
    <row r="23" spans="1:18" s="147" customFormat="1" ht="9">
      <c r="A23" s="177" t="s">
        <v>501</v>
      </c>
      <c r="B23" s="44">
        <v>0.5</v>
      </c>
      <c r="C23" s="44"/>
      <c r="D23" s="52">
        <v>0</v>
      </c>
      <c r="E23" s="52">
        <v>0</v>
      </c>
      <c r="F23" s="52">
        <v>0</v>
      </c>
      <c r="G23" s="44">
        <v>0.5</v>
      </c>
      <c r="H23" s="44">
        <f>B23*G23</f>
        <v>0.25</v>
      </c>
      <c r="I23" s="91">
        <f>'Base Data'!$D$78</f>
        <v>3</v>
      </c>
      <c r="J23" s="91">
        <f>H23*I23</f>
        <v>0.75</v>
      </c>
      <c r="K23" s="91">
        <f>J23*0.1</f>
        <v>7.5000000000000011E-2</v>
      </c>
      <c r="L23" s="91">
        <f>J23*0.05</f>
        <v>3.7500000000000006E-2</v>
      </c>
      <c r="M23" s="44">
        <f>C23*G23*I23</f>
        <v>0</v>
      </c>
      <c r="N23" s="52">
        <f>(J23*'Base Data'!$C$5)+(K23*'Base Data'!$C$6)+(L23*'Base Data'!$C$7)</f>
        <v>81.58312500000001</v>
      </c>
      <c r="O23" s="52">
        <f>(D23+E23+F23)*G23*I23</f>
        <v>0</v>
      </c>
      <c r="P23" s="92">
        <v>0</v>
      </c>
      <c r="Q23" s="94"/>
    </row>
    <row r="24" spans="1:18" s="6" customFormat="1" ht="9">
      <c r="A24" s="142" t="s">
        <v>427</v>
      </c>
      <c r="B24" s="44">
        <v>40</v>
      </c>
      <c r="C24" s="18"/>
      <c r="D24" s="39">
        <v>0</v>
      </c>
      <c r="E24" s="39">
        <v>0</v>
      </c>
      <c r="F24" s="39">
        <v>0</v>
      </c>
      <c r="G24" s="18">
        <v>1</v>
      </c>
      <c r="H24" s="18">
        <f t="shared" ref="H24" si="1">B24*G24</f>
        <v>40</v>
      </c>
      <c r="I24" s="91">
        <v>0</v>
      </c>
      <c r="J24" s="19">
        <f t="shared" ref="J24" si="2">H24*I24</f>
        <v>0</v>
      </c>
      <c r="K24" s="19">
        <f t="shared" ref="K24" si="3">J24*0.1</f>
        <v>0</v>
      </c>
      <c r="L24" s="19">
        <f t="shared" ref="L24" si="4">J24*0.05</f>
        <v>0</v>
      </c>
      <c r="M24" s="18"/>
      <c r="N24" s="39">
        <f>(J24*'Base Data'!$C$5)+(K24*'Base Data'!$C$6)+(L24*'Base Data'!$C$7)</f>
        <v>0</v>
      </c>
      <c r="O24" s="39">
        <f t="shared" ref="O24" si="5">(D24+E24+F24)*G24*I24</f>
        <v>0</v>
      </c>
      <c r="P24" s="92">
        <v>0</v>
      </c>
      <c r="Q24" s="29" t="s">
        <v>272</v>
      </c>
    </row>
    <row r="25" spans="1:18" s="147" customFormat="1" ht="9">
      <c r="A25" s="143" t="s">
        <v>428</v>
      </c>
      <c r="B25" s="44" t="s">
        <v>433</v>
      </c>
      <c r="C25" s="44"/>
      <c r="D25" s="52"/>
      <c r="E25" s="52"/>
      <c r="F25" s="52"/>
      <c r="G25" s="44"/>
      <c r="H25" s="44"/>
      <c r="I25" s="92"/>
      <c r="J25" s="44"/>
      <c r="K25" s="44"/>
      <c r="L25" s="44"/>
      <c r="M25" s="44"/>
      <c r="N25" s="52"/>
      <c r="O25" s="52"/>
      <c r="P25" s="92"/>
      <c r="Q25" s="94"/>
    </row>
    <row r="26" spans="1:18" s="147" customFormat="1" ht="9">
      <c r="A26" s="256" t="s">
        <v>27</v>
      </c>
      <c r="B26" s="239"/>
      <c r="C26" s="239"/>
      <c r="D26" s="240"/>
      <c r="E26" s="240"/>
      <c r="F26" s="240"/>
      <c r="G26" s="239"/>
      <c r="H26" s="239"/>
      <c r="I26" s="241"/>
      <c r="J26" s="239">
        <f t="shared" ref="J26:O26" si="6">SUM(J18:J25)</f>
        <v>3.75</v>
      </c>
      <c r="K26" s="239">
        <f t="shared" si="6"/>
        <v>0.37500000000000006</v>
      </c>
      <c r="L26" s="239">
        <f t="shared" si="6"/>
        <v>0.18750000000000003</v>
      </c>
      <c r="M26" s="239">
        <f t="shared" si="6"/>
        <v>0</v>
      </c>
      <c r="N26" s="240">
        <f t="shared" si="6"/>
        <v>407.91562500000003</v>
      </c>
      <c r="O26" s="240">
        <f t="shared" si="6"/>
        <v>0</v>
      </c>
      <c r="P26" s="241">
        <f>SUM(P18:P25)</f>
        <v>0</v>
      </c>
      <c r="Q26" s="242"/>
      <c r="R26" s="149">
        <f>SUM(O18:O26)</f>
        <v>0</v>
      </c>
    </row>
    <row r="27" spans="1:18" s="147" customFormat="1">
      <c r="A27" s="186" t="s">
        <v>400</v>
      </c>
      <c r="B27" s="187"/>
      <c r="C27" s="187"/>
      <c r="D27" s="187"/>
      <c r="E27" s="187"/>
      <c r="F27" s="187"/>
      <c r="G27" s="187"/>
      <c r="H27" s="187"/>
      <c r="I27" s="189"/>
      <c r="J27" s="190">
        <f t="shared" ref="J27:P27" si="7">SUM(J16,J26)</f>
        <v>6.25</v>
      </c>
      <c r="K27" s="190">
        <f t="shared" si="7"/>
        <v>0.625</v>
      </c>
      <c r="L27" s="190">
        <f t="shared" si="7"/>
        <v>0.3125</v>
      </c>
      <c r="M27" s="190">
        <f t="shared" si="7"/>
        <v>0</v>
      </c>
      <c r="N27" s="191">
        <f t="shared" si="7"/>
        <v>679.859375</v>
      </c>
      <c r="O27" s="191">
        <f t="shared" si="7"/>
        <v>0</v>
      </c>
      <c r="P27" s="190">
        <f t="shared" si="7"/>
        <v>1</v>
      </c>
      <c r="Q27" s="192"/>
    </row>
    <row r="28" spans="1:18" s="53" customFormat="1" ht="9">
      <c r="B28" s="56"/>
      <c r="C28" s="56"/>
      <c r="D28" s="56"/>
      <c r="E28" s="56"/>
      <c r="F28" s="56"/>
      <c r="G28" s="56"/>
      <c r="H28" s="56"/>
      <c r="I28" s="57"/>
      <c r="J28" s="56"/>
      <c r="K28" s="56"/>
      <c r="L28" s="56"/>
      <c r="M28" s="56"/>
      <c r="N28" s="56"/>
      <c r="O28" s="197"/>
      <c r="P28" s="197"/>
      <c r="Q28" s="56"/>
    </row>
    <row r="29" spans="1:18" s="53" customFormat="1" ht="9">
      <c r="B29" s="56"/>
      <c r="C29" s="56"/>
      <c r="D29" s="56"/>
      <c r="E29" s="56"/>
      <c r="F29" s="56"/>
      <c r="G29" s="56"/>
      <c r="H29" s="56"/>
      <c r="I29" s="57"/>
      <c r="J29" s="56"/>
      <c r="K29" s="56"/>
      <c r="L29" s="56"/>
      <c r="M29" s="56"/>
      <c r="N29" s="56"/>
      <c r="O29" s="197"/>
      <c r="P29" s="197"/>
      <c r="Q29" s="56"/>
    </row>
    <row r="30" spans="1:18" s="53" customFormat="1" ht="9">
      <c r="B30" s="56"/>
      <c r="C30" s="56"/>
      <c r="D30" s="56"/>
      <c r="E30" s="56"/>
      <c r="F30" s="56"/>
      <c r="G30" s="56"/>
      <c r="H30" s="56"/>
      <c r="I30" s="57"/>
      <c r="J30" s="56"/>
      <c r="K30" s="56"/>
      <c r="L30" s="56"/>
      <c r="M30" s="56"/>
      <c r="N30" s="56"/>
      <c r="O30" s="197"/>
      <c r="P30" s="197"/>
      <c r="Q30" s="56"/>
    </row>
    <row r="31" spans="1:18" s="53" customFormat="1" ht="9">
      <c r="A31" s="255" t="s">
        <v>467</v>
      </c>
      <c r="B31" s="97"/>
      <c r="C31" s="97"/>
      <c r="D31" s="97"/>
      <c r="E31" s="97"/>
      <c r="F31" s="97"/>
      <c r="G31" s="97"/>
      <c r="H31" s="97"/>
      <c r="I31" s="97"/>
      <c r="J31" s="97"/>
      <c r="K31" s="97"/>
      <c r="L31" s="97"/>
      <c r="M31" s="97"/>
      <c r="N31" s="97"/>
      <c r="O31" s="141"/>
      <c r="P31" s="197"/>
      <c r="Q31" s="56"/>
    </row>
    <row r="32" spans="1:18" s="53" customFormat="1" ht="9">
      <c r="A32" s="409" t="s">
        <v>131</v>
      </c>
      <c r="B32" s="409"/>
      <c r="C32" s="409"/>
      <c r="D32" s="409"/>
      <c r="E32" s="409"/>
      <c r="F32" s="409"/>
      <c r="G32" s="409"/>
      <c r="H32" s="409"/>
      <c r="I32" s="409"/>
      <c r="J32" s="409"/>
      <c r="K32" s="409"/>
      <c r="L32" s="409"/>
      <c r="M32" s="409"/>
      <c r="N32" s="409"/>
      <c r="O32" s="409"/>
      <c r="P32" s="197"/>
      <c r="Q32" s="56"/>
    </row>
    <row r="33" spans="1:18" s="53" customFormat="1" ht="9">
      <c r="A33" s="53" t="s">
        <v>503</v>
      </c>
      <c r="B33" s="56"/>
      <c r="C33" s="56"/>
      <c r="D33" s="56"/>
      <c r="E33" s="56"/>
      <c r="F33" s="56"/>
      <c r="G33" s="56"/>
      <c r="H33" s="56"/>
      <c r="I33" s="57"/>
      <c r="J33" s="56"/>
      <c r="K33" s="56"/>
      <c r="L33" s="56"/>
      <c r="M33" s="56"/>
      <c r="N33" s="56"/>
      <c r="O33" s="197"/>
      <c r="P33" s="197"/>
      <c r="Q33" s="56"/>
    </row>
    <row r="34" spans="1:18" s="53" customFormat="1" ht="9">
      <c r="A34" s="14" t="s">
        <v>573</v>
      </c>
      <c r="B34" s="56"/>
      <c r="C34" s="56"/>
      <c r="D34" s="56"/>
      <c r="E34" s="56"/>
      <c r="F34" s="56"/>
      <c r="G34" s="56"/>
      <c r="H34" s="56"/>
      <c r="I34" s="57"/>
      <c r="J34" s="56"/>
      <c r="K34" s="56"/>
      <c r="L34" s="56"/>
      <c r="M34" s="56"/>
      <c r="N34" s="56"/>
      <c r="O34" s="197"/>
      <c r="P34" s="197"/>
      <c r="Q34" s="56"/>
    </row>
    <row r="35" spans="1:18" s="53" customFormat="1" ht="9">
      <c r="B35" s="56"/>
      <c r="C35" s="56"/>
      <c r="D35" s="56"/>
      <c r="E35" s="56"/>
      <c r="F35" s="56"/>
      <c r="G35" s="56"/>
      <c r="H35" s="56"/>
      <c r="I35" s="57"/>
      <c r="J35" s="56"/>
      <c r="K35" s="56"/>
      <c r="L35" s="56"/>
      <c r="M35" s="56"/>
      <c r="N35" s="56"/>
      <c r="O35" s="197"/>
      <c r="P35" s="197"/>
      <c r="Q35" s="56"/>
    </row>
    <row r="36" spans="1:18" s="53" customFormat="1" ht="9">
      <c r="B36" s="56"/>
      <c r="C36" s="56"/>
      <c r="D36" s="56"/>
      <c r="E36" s="56"/>
      <c r="F36" s="56"/>
      <c r="G36" s="56"/>
      <c r="H36" s="56"/>
      <c r="I36" s="57"/>
      <c r="J36" s="56"/>
      <c r="K36" s="56"/>
      <c r="L36" s="56"/>
      <c r="M36" s="56"/>
      <c r="N36" s="56"/>
      <c r="O36" s="197"/>
      <c r="P36" s="197"/>
      <c r="Q36" s="56"/>
    </row>
    <row r="37" spans="1:18" s="53" customFormat="1" ht="9">
      <c r="B37" s="56"/>
      <c r="C37" s="56"/>
      <c r="D37" s="56"/>
      <c r="E37" s="56"/>
      <c r="F37" s="56"/>
      <c r="G37" s="56"/>
      <c r="H37" s="56"/>
      <c r="I37" s="57"/>
      <c r="J37" s="56"/>
      <c r="K37" s="56"/>
      <c r="L37" s="56"/>
      <c r="M37" s="56"/>
      <c r="N37" s="56"/>
      <c r="O37" s="197"/>
      <c r="P37" s="197"/>
      <c r="Q37" s="56"/>
    </row>
    <row r="38" spans="1:18" s="53" customFormat="1" ht="9">
      <c r="B38" s="56"/>
      <c r="C38" s="56"/>
      <c r="D38" s="56"/>
      <c r="E38" s="56"/>
      <c r="F38" s="56"/>
      <c r="G38" s="56"/>
      <c r="H38" s="56"/>
      <c r="I38" s="57"/>
      <c r="J38" s="56"/>
      <c r="K38" s="56"/>
      <c r="L38" s="56"/>
      <c r="M38" s="56"/>
      <c r="N38" s="56"/>
      <c r="O38" s="197"/>
      <c r="P38" s="197"/>
      <c r="Q38" s="56"/>
    </row>
    <row r="39" spans="1:18" s="53" customFormat="1">
      <c r="B39" s="56"/>
      <c r="C39" s="56"/>
      <c r="D39" s="56"/>
      <c r="E39" s="56"/>
      <c r="F39" s="56"/>
      <c r="G39" s="56"/>
      <c r="H39" s="56"/>
      <c r="I39" s="57"/>
      <c r="J39" s="56"/>
      <c r="K39" s="56"/>
      <c r="L39" s="56"/>
      <c r="M39" s="56"/>
      <c r="N39" s="56"/>
      <c r="O39" s="197"/>
      <c r="P39" s="197"/>
      <c r="Q39" s="56"/>
      <c r="R39" s="114"/>
    </row>
    <row r="49" spans="2:15">
      <c r="B49" s="114"/>
      <c r="C49" s="114"/>
      <c r="D49" s="114"/>
      <c r="E49" s="114"/>
      <c r="F49" s="114"/>
      <c r="G49" s="114"/>
      <c r="H49" s="114"/>
      <c r="I49" s="114"/>
      <c r="J49" s="114"/>
      <c r="K49" s="114"/>
      <c r="L49" s="114"/>
      <c r="M49" s="114"/>
      <c r="N49" s="114"/>
      <c r="O49" s="114"/>
    </row>
    <row r="50" spans="2:15">
      <c r="B50" s="114"/>
      <c r="C50" s="114"/>
      <c r="D50" s="114"/>
      <c r="E50" s="114"/>
      <c r="F50" s="114"/>
      <c r="G50" s="114"/>
      <c r="H50" s="114"/>
      <c r="I50" s="114"/>
      <c r="J50" s="114"/>
      <c r="K50" s="114"/>
      <c r="L50" s="114"/>
      <c r="M50" s="114"/>
      <c r="N50" s="114"/>
      <c r="O50" s="114"/>
    </row>
  </sheetData>
  <mergeCells count="3">
    <mergeCell ref="A32:O32"/>
    <mergeCell ref="A1:Q1"/>
    <mergeCell ref="A2:Q2"/>
  </mergeCells>
  <phoneticPr fontId="7" type="noConversion"/>
  <pageMargins left="0.25" right="0.25" top="0.5" bottom="0.75" header="0.5" footer="0.5"/>
  <pageSetup scale="64" orientation="landscape" r:id="rId1"/>
  <headerFooter alignWithMargins="0"/>
</worksheet>
</file>

<file path=xl/worksheets/sheet41.xml><?xml version="1.0" encoding="utf-8"?>
<worksheet xmlns="http://schemas.openxmlformats.org/spreadsheetml/2006/main" xmlns:r="http://schemas.openxmlformats.org/officeDocument/2006/relationships">
  <sheetPr>
    <pageSetUpPr fitToPage="1"/>
  </sheetPr>
  <dimension ref="A1:S54"/>
  <sheetViews>
    <sheetView zoomScaleNormal="100" workbookViewId="0">
      <pane xSplit="1" ySplit="2" topLeftCell="B3" activePane="bottomRight" state="frozen"/>
      <selection activeCell="P31" sqref="P31"/>
      <selection pane="topRight" activeCell="P31" sqref="P31"/>
      <selection pane="bottomLeft" activeCell="P31" sqref="P31"/>
      <selection pane="bottomRight" activeCell="P10" sqref="P10"/>
    </sheetView>
  </sheetViews>
  <sheetFormatPr defaultRowHeight="11.25"/>
  <cols>
    <col min="1" max="1" width="36.5703125" style="114" customWidth="1"/>
    <col min="2" max="2" width="9.7109375" style="54" customWidth="1"/>
    <col min="3" max="3" width="8" style="54" hidden="1" customWidth="1"/>
    <col min="4" max="5" width="9.42578125" style="54" customWidth="1"/>
    <col min="6" max="6" width="7.42578125" style="54" customWidth="1"/>
    <col min="7" max="7" width="9.85546875" style="54" customWidth="1"/>
    <col min="8" max="8" width="8.140625" style="54" customWidth="1"/>
    <col min="9" max="9" width="10.140625" style="55" customWidth="1"/>
    <col min="10" max="10" width="7.5703125" style="54" customWidth="1"/>
    <col min="11" max="11" width="7.140625" style="54" customWidth="1"/>
    <col min="12" max="12" width="8.85546875" style="54" customWidth="1"/>
    <col min="13" max="13" width="7.85546875" style="54" hidden="1" customWidth="1"/>
    <col min="14" max="14" width="10.140625" style="54" customWidth="1"/>
    <col min="15" max="16" width="10.85546875" style="196" customWidth="1"/>
    <col min="17" max="17" width="2.5703125" style="54" bestFit="1" customWidth="1"/>
    <col min="18" max="19" width="0" style="114" hidden="1" customWidth="1"/>
    <col min="20" max="20" width="11.140625" style="114" customWidth="1"/>
    <col min="21" max="21" width="8.5703125" style="114" customWidth="1"/>
    <col min="22" max="16384" width="9.140625" style="114"/>
  </cols>
  <sheetData>
    <row r="1" spans="1:19">
      <c r="A1" s="410" t="s">
        <v>294</v>
      </c>
      <c r="B1" s="410"/>
      <c r="C1" s="410"/>
      <c r="D1" s="410"/>
      <c r="E1" s="410"/>
      <c r="F1" s="410"/>
      <c r="G1" s="410"/>
      <c r="H1" s="410"/>
      <c r="I1" s="410"/>
      <c r="J1" s="410"/>
      <c r="K1" s="410"/>
      <c r="L1" s="410"/>
      <c r="M1" s="410"/>
      <c r="N1" s="410"/>
      <c r="O1" s="410"/>
      <c r="P1" s="410"/>
      <c r="Q1" s="410"/>
    </row>
    <row r="2" spans="1:19">
      <c r="A2" s="411" t="s">
        <v>304</v>
      </c>
      <c r="B2" s="411"/>
      <c r="C2" s="411"/>
      <c r="D2" s="411"/>
      <c r="E2" s="411"/>
      <c r="F2" s="411"/>
      <c r="G2" s="411"/>
      <c r="H2" s="411"/>
      <c r="I2" s="411"/>
      <c r="J2" s="411"/>
      <c r="K2" s="411"/>
      <c r="L2" s="411"/>
      <c r="M2" s="411"/>
      <c r="N2" s="411"/>
      <c r="O2" s="411"/>
      <c r="P2" s="411"/>
      <c r="Q2" s="411"/>
    </row>
    <row r="3" spans="1:19" s="193" customFormat="1" ht="63">
      <c r="A3" s="45" t="s">
        <v>392</v>
      </c>
      <c r="B3" s="45" t="s">
        <v>393</v>
      </c>
      <c r="C3" s="45" t="s">
        <v>430</v>
      </c>
      <c r="D3" s="45" t="s">
        <v>4</v>
      </c>
      <c r="E3" s="45" t="s">
        <v>94</v>
      </c>
      <c r="F3" s="45" t="s">
        <v>5</v>
      </c>
      <c r="G3" s="12" t="s">
        <v>176</v>
      </c>
      <c r="H3" s="45" t="s">
        <v>459</v>
      </c>
      <c r="I3" s="60" t="s">
        <v>460</v>
      </c>
      <c r="J3" s="100" t="s">
        <v>462</v>
      </c>
      <c r="K3" s="100" t="s">
        <v>463</v>
      </c>
      <c r="L3" s="100" t="s">
        <v>461</v>
      </c>
      <c r="M3" s="45" t="s">
        <v>391</v>
      </c>
      <c r="N3" s="45" t="s">
        <v>8</v>
      </c>
      <c r="O3" s="100" t="s">
        <v>96</v>
      </c>
      <c r="P3" s="100" t="s">
        <v>175</v>
      </c>
      <c r="Q3" s="182" t="s">
        <v>394</v>
      </c>
      <c r="R3" s="193" t="s">
        <v>307</v>
      </c>
      <c r="S3" s="193" t="s">
        <v>308</v>
      </c>
    </row>
    <row r="4" spans="1:19" s="147" customFormat="1" ht="9">
      <c r="A4" s="194" t="s">
        <v>405</v>
      </c>
      <c r="B4" s="179" t="s">
        <v>433</v>
      </c>
      <c r="C4" s="179"/>
      <c r="D4" s="181"/>
      <c r="E4" s="181"/>
      <c r="F4" s="181"/>
      <c r="G4" s="179"/>
      <c r="H4" s="179"/>
      <c r="I4" s="183"/>
      <c r="J4" s="179"/>
      <c r="K4" s="179"/>
      <c r="L4" s="179"/>
      <c r="M4" s="179"/>
      <c r="N4" s="181"/>
      <c r="O4" s="181"/>
      <c r="P4" s="181"/>
      <c r="Q4" s="249"/>
    </row>
    <row r="5" spans="1:19" s="147" customFormat="1" ht="9">
      <c r="A5" s="143" t="s">
        <v>406</v>
      </c>
      <c r="B5" s="44" t="s">
        <v>433</v>
      </c>
      <c r="C5" s="44"/>
      <c r="D5" s="52"/>
      <c r="E5" s="52"/>
      <c r="F5" s="52"/>
      <c r="G5" s="44"/>
      <c r="H5" s="44"/>
      <c r="I5" s="92"/>
      <c r="J5" s="44"/>
      <c r="K5" s="44"/>
      <c r="L5" s="44"/>
      <c r="M5" s="44"/>
      <c r="N5" s="52"/>
      <c r="O5" s="52"/>
      <c r="P5" s="52"/>
      <c r="Q5" s="94"/>
    </row>
    <row r="6" spans="1:19" s="147" customFormat="1" ht="9">
      <c r="A6" s="143" t="s">
        <v>407</v>
      </c>
      <c r="B6" s="44"/>
      <c r="C6" s="44"/>
      <c r="D6" s="52"/>
      <c r="E6" s="52"/>
      <c r="F6" s="52"/>
      <c r="G6" s="44"/>
      <c r="H6" s="44"/>
      <c r="I6" s="92"/>
      <c r="J6" s="44"/>
      <c r="K6" s="44"/>
      <c r="L6" s="44"/>
      <c r="M6" s="44"/>
      <c r="N6" s="52"/>
      <c r="O6" s="52"/>
      <c r="P6" s="52"/>
      <c r="Q6" s="94"/>
    </row>
    <row r="7" spans="1:19" s="147" customFormat="1" ht="9">
      <c r="A7" s="143" t="s">
        <v>408</v>
      </c>
      <c r="B7" s="44">
        <v>40</v>
      </c>
      <c r="C7" s="44"/>
      <c r="D7" s="52">
        <v>0</v>
      </c>
      <c r="E7" s="52">
        <v>0</v>
      </c>
      <c r="F7" s="52">
        <v>0</v>
      </c>
      <c r="G7" s="44">
        <v>1</v>
      </c>
      <c r="H7" s="44">
        <f>B7*G7</f>
        <v>40</v>
      </c>
      <c r="I7" s="91">
        <v>0</v>
      </c>
      <c r="J7" s="91">
        <f>H7*I7</f>
        <v>0</v>
      </c>
      <c r="K7" s="91">
        <f>J7*0.1</f>
        <v>0</v>
      </c>
      <c r="L7" s="91">
        <f>J7*0.05</f>
        <v>0</v>
      </c>
      <c r="M7" s="44">
        <f>C7*G7*I7</f>
        <v>0</v>
      </c>
      <c r="N7" s="52">
        <f>(J7*'Base Data'!$C$5)+(K7*'Base Data'!$C$6)+(L7*'Base Data'!$C$7)</f>
        <v>0</v>
      </c>
      <c r="O7" s="52">
        <f>(D7+E7+F7)*G7*I7</f>
        <v>0</v>
      </c>
      <c r="P7" s="92">
        <v>0</v>
      </c>
      <c r="Q7" s="94" t="s">
        <v>387</v>
      </c>
    </row>
    <row r="8" spans="1:19" s="147" customFormat="1" ht="9">
      <c r="A8" s="143" t="s">
        <v>409</v>
      </c>
      <c r="B8" s="44"/>
      <c r="C8" s="44"/>
      <c r="D8" s="52"/>
      <c r="E8" s="52"/>
      <c r="F8" s="52"/>
      <c r="G8" s="44"/>
      <c r="H8" s="44"/>
      <c r="I8" s="92"/>
      <c r="J8" s="44"/>
      <c r="K8" s="44"/>
      <c r="L8" s="44"/>
      <c r="M8" s="44"/>
      <c r="N8" s="52"/>
      <c r="O8" s="52"/>
      <c r="P8" s="92"/>
      <c r="Q8" s="94"/>
    </row>
    <row r="9" spans="1:19" s="147" customFormat="1" ht="9">
      <c r="A9" s="143" t="s">
        <v>500</v>
      </c>
      <c r="B9" s="44">
        <v>12</v>
      </c>
      <c r="C9" s="44"/>
      <c r="D9" s="52">
        <v>0</v>
      </c>
      <c r="E9" s="52">
        <v>2228</v>
      </c>
      <c r="F9" s="52">
        <v>0</v>
      </c>
      <c r="G9" s="44">
        <v>0.5</v>
      </c>
      <c r="H9" s="44">
        <f>B9*G9</f>
        <v>6</v>
      </c>
      <c r="I9" s="91">
        <v>0</v>
      </c>
      <c r="J9" s="91">
        <f>H9*I9</f>
        <v>0</v>
      </c>
      <c r="K9" s="91">
        <f>J9*0.1</f>
        <v>0</v>
      </c>
      <c r="L9" s="91">
        <f>J9*0.05</f>
        <v>0</v>
      </c>
      <c r="M9" s="92"/>
      <c r="N9" s="52">
        <f>(J9*'Base Data'!$C$5)+(K9*'Base Data'!$C$6)+(L9*'Base Data'!$C$7)</f>
        <v>0</v>
      </c>
      <c r="O9" s="52">
        <f>(D9+E9+F9)*I9</f>
        <v>0</v>
      </c>
      <c r="P9" s="92">
        <v>0</v>
      </c>
      <c r="Q9" s="94" t="s">
        <v>388</v>
      </c>
    </row>
    <row r="10" spans="1:19" s="147" customFormat="1" ht="9">
      <c r="A10" s="143" t="s">
        <v>415</v>
      </c>
      <c r="B10" s="44" t="s">
        <v>433</v>
      </c>
      <c r="C10" s="44"/>
      <c r="D10" s="52"/>
      <c r="E10" s="52"/>
      <c r="F10" s="52"/>
      <c r="G10" s="44"/>
      <c r="H10" s="44"/>
      <c r="I10" s="92"/>
      <c r="J10" s="44"/>
      <c r="K10" s="44"/>
      <c r="L10" s="44"/>
      <c r="M10" s="44"/>
      <c r="N10" s="52"/>
      <c r="O10" s="52"/>
      <c r="P10" s="92"/>
      <c r="Q10" s="94"/>
    </row>
    <row r="11" spans="1:19" s="147" customFormat="1" ht="9">
      <c r="A11" s="143" t="s">
        <v>416</v>
      </c>
      <c r="B11" s="44" t="s">
        <v>433</v>
      </c>
      <c r="C11" s="44"/>
      <c r="D11" s="52"/>
      <c r="E11" s="52"/>
      <c r="F11" s="52"/>
      <c r="G11" s="44"/>
      <c r="H11" s="44"/>
      <c r="I11" s="92"/>
      <c r="J11" s="44"/>
      <c r="K11" s="44"/>
      <c r="L11" s="44"/>
      <c r="M11" s="44"/>
      <c r="N11" s="52"/>
      <c r="O11" s="52"/>
      <c r="P11" s="92"/>
      <c r="Q11" s="94"/>
    </row>
    <row r="12" spans="1:19" s="147" customFormat="1" ht="9">
      <c r="A12" s="143" t="s">
        <v>417</v>
      </c>
      <c r="B12" s="44"/>
      <c r="C12" s="44"/>
      <c r="D12" s="52"/>
      <c r="E12" s="52"/>
      <c r="F12" s="52"/>
      <c r="G12" s="44"/>
      <c r="H12" s="44"/>
      <c r="I12" s="92"/>
      <c r="J12" s="44"/>
      <c r="K12" s="44"/>
      <c r="L12" s="44"/>
      <c r="M12" s="44"/>
      <c r="N12" s="52"/>
      <c r="O12" s="52"/>
      <c r="P12" s="92"/>
      <c r="Q12" s="94"/>
    </row>
    <row r="13" spans="1:19" s="147" customFormat="1" ht="9">
      <c r="A13" s="177" t="s">
        <v>435</v>
      </c>
      <c r="B13" s="44">
        <v>2</v>
      </c>
      <c r="C13" s="44"/>
      <c r="D13" s="52">
        <v>0</v>
      </c>
      <c r="E13" s="52">
        <v>0</v>
      </c>
      <c r="F13" s="52">
        <v>0</v>
      </c>
      <c r="G13" s="44">
        <v>1</v>
      </c>
      <c r="H13" s="44">
        <f>B13*G13</f>
        <v>2</v>
      </c>
      <c r="I13" s="91">
        <v>0</v>
      </c>
      <c r="J13" s="91">
        <f>H13*I13</f>
        <v>0</v>
      </c>
      <c r="K13" s="91">
        <f>J13*0.1</f>
        <v>0</v>
      </c>
      <c r="L13" s="91">
        <f>J13*0.05</f>
        <v>0</v>
      </c>
      <c r="M13" s="44">
        <f>C13*G13*I13</f>
        <v>0</v>
      </c>
      <c r="N13" s="52">
        <f>(J13*'Base Data'!$C$5)+(K13*'Base Data'!$C$6)+(L13*'Base Data'!$C$7)</f>
        <v>0</v>
      </c>
      <c r="O13" s="52">
        <f>(D13+E13+F13)*G13*I13</f>
        <v>0</v>
      </c>
      <c r="P13" s="92">
        <f>G13*I13</f>
        <v>0</v>
      </c>
      <c r="Q13" s="94"/>
    </row>
    <row r="14" spans="1:19" s="147" customFormat="1" ht="9">
      <c r="A14" s="177" t="s">
        <v>377</v>
      </c>
      <c r="B14" s="44">
        <v>8</v>
      </c>
      <c r="C14" s="44"/>
      <c r="D14" s="52">
        <v>0</v>
      </c>
      <c r="E14" s="52">
        <v>0</v>
      </c>
      <c r="F14" s="52">
        <v>0</v>
      </c>
      <c r="G14" s="44">
        <v>1</v>
      </c>
      <c r="H14" s="44">
        <f>B14*G14</f>
        <v>8</v>
      </c>
      <c r="I14" s="92">
        <v>0</v>
      </c>
      <c r="J14" s="91">
        <f>H14*I14</f>
        <v>0</v>
      </c>
      <c r="K14" s="91">
        <f>J14*0.1</f>
        <v>0</v>
      </c>
      <c r="L14" s="91">
        <f>J14*0.05</f>
        <v>0</v>
      </c>
      <c r="M14" s="44">
        <f>C14*G14*I14</f>
        <v>0</v>
      </c>
      <c r="N14" s="52">
        <f>(J14*'Base Data'!$C$5)+(K14*'Base Data'!$C$6)+(L14*'Base Data'!$C$7)</f>
        <v>0</v>
      </c>
      <c r="O14" s="52">
        <f>(D14+E14+F14)*G14*I14</f>
        <v>0</v>
      </c>
      <c r="P14" s="92">
        <f>G14*I14</f>
        <v>0</v>
      </c>
      <c r="Q14" s="94"/>
    </row>
    <row r="15" spans="1:19" s="147" customFormat="1" ht="9">
      <c r="A15" s="177" t="s">
        <v>11</v>
      </c>
      <c r="B15" s="44">
        <v>5</v>
      </c>
      <c r="C15" s="44"/>
      <c r="D15" s="52">
        <v>0</v>
      </c>
      <c r="E15" s="52">
        <v>0</v>
      </c>
      <c r="F15" s="52">
        <v>0</v>
      </c>
      <c r="G15" s="44">
        <v>0.5</v>
      </c>
      <c r="H15" s="44">
        <f>B15*G15</f>
        <v>2.5</v>
      </c>
      <c r="I15" s="91">
        <f>'Base Data'!$H$78</f>
        <v>1</v>
      </c>
      <c r="J15" s="91">
        <f>H15*I15</f>
        <v>2.5</v>
      </c>
      <c r="K15" s="91">
        <f>J15*0.1</f>
        <v>0.25</v>
      </c>
      <c r="L15" s="91">
        <f>J15*0.05</f>
        <v>0.125</v>
      </c>
      <c r="M15" s="44">
        <f>C15*G15*I15</f>
        <v>0</v>
      </c>
      <c r="N15" s="52">
        <f>(J15*'Base Data'!$C$5)+(K15*'Base Data'!$C$6)+(L15*'Base Data'!$C$7)</f>
        <v>271.94374999999997</v>
      </c>
      <c r="O15" s="52">
        <f>(D15+E15+F15)*G15*I15</f>
        <v>0</v>
      </c>
      <c r="P15" s="92">
        <f>G15*I15</f>
        <v>0.5</v>
      </c>
      <c r="Q15" s="94"/>
    </row>
    <row r="16" spans="1:19" s="147" customFormat="1" ht="9">
      <c r="A16" s="148" t="s">
        <v>7</v>
      </c>
      <c r="B16" s="44"/>
      <c r="C16" s="44"/>
      <c r="D16" s="52"/>
      <c r="E16" s="52"/>
      <c r="F16" s="52"/>
      <c r="G16" s="44"/>
      <c r="H16" s="44"/>
      <c r="I16" s="92"/>
      <c r="J16" s="92">
        <f t="shared" ref="J16:O16" si="0">SUM(J7:J15)</f>
        <v>2.5</v>
      </c>
      <c r="K16" s="92">
        <f t="shared" si="0"/>
        <v>0.25</v>
      </c>
      <c r="L16" s="92">
        <f t="shared" si="0"/>
        <v>0.125</v>
      </c>
      <c r="M16" s="92">
        <f t="shared" si="0"/>
        <v>0</v>
      </c>
      <c r="N16" s="92">
        <f t="shared" si="0"/>
        <v>271.94374999999997</v>
      </c>
      <c r="O16" s="92">
        <f t="shared" si="0"/>
        <v>0</v>
      </c>
      <c r="P16" s="92">
        <f>ROUND(SUM(P13:P15),0)</f>
        <v>1</v>
      </c>
      <c r="Q16" s="94"/>
      <c r="R16" s="149">
        <f>SUM(O7:O9)</f>
        <v>0</v>
      </c>
      <c r="S16" s="147">
        <f>0</f>
        <v>0</v>
      </c>
    </row>
    <row r="17" spans="1:18" s="147" customFormat="1" ht="9">
      <c r="A17" s="143" t="s">
        <v>431</v>
      </c>
      <c r="B17" s="44"/>
      <c r="C17" s="44"/>
      <c r="D17" s="52"/>
      <c r="E17" s="52"/>
      <c r="F17" s="52"/>
      <c r="G17" s="44"/>
      <c r="H17" s="44"/>
      <c r="I17" s="92"/>
      <c r="J17" s="44"/>
      <c r="K17" s="44"/>
      <c r="L17" s="44"/>
      <c r="M17" s="44"/>
      <c r="N17" s="52"/>
      <c r="O17" s="52"/>
      <c r="P17" s="92"/>
      <c r="Q17" s="94"/>
    </row>
    <row r="18" spans="1:18" s="147" customFormat="1" ht="9">
      <c r="A18" s="143" t="s">
        <v>418</v>
      </c>
      <c r="B18" s="44" t="s">
        <v>422</v>
      </c>
      <c r="C18" s="44"/>
      <c r="D18" s="52"/>
      <c r="E18" s="52"/>
      <c r="F18" s="52"/>
      <c r="G18" s="44"/>
      <c r="H18" s="44"/>
      <c r="I18" s="92"/>
      <c r="J18" s="44"/>
      <c r="K18" s="44"/>
      <c r="L18" s="44"/>
      <c r="M18" s="44"/>
      <c r="N18" s="52"/>
      <c r="O18" s="52"/>
      <c r="P18" s="92"/>
      <c r="Q18" s="94"/>
    </row>
    <row r="19" spans="1:18" s="147" customFormat="1" ht="9">
      <c r="A19" s="143" t="s">
        <v>419</v>
      </c>
      <c r="B19" s="44" t="s">
        <v>433</v>
      </c>
      <c r="C19" s="44"/>
      <c r="D19" s="52"/>
      <c r="E19" s="52"/>
      <c r="F19" s="52"/>
      <c r="G19" s="44"/>
      <c r="H19" s="44"/>
      <c r="I19" s="92"/>
      <c r="J19" s="44"/>
      <c r="K19" s="44"/>
      <c r="L19" s="44"/>
      <c r="M19" s="44"/>
      <c r="N19" s="52"/>
      <c r="O19" s="52"/>
      <c r="P19" s="92"/>
      <c r="Q19" s="94"/>
    </row>
    <row r="20" spans="1:18" s="147" customFormat="1" ht="9">
      <c r="A20" s="143" t="s">
        <v>420</v>
      </c>
      <c r="B20" s="44" t="s">
        <v>433</v>
      </c>
      <c r="C20" s="44"/>
      <c r="D20" s="52"/>
      <c r="E20" s="52"/>
      <c r="F20" s="52"/>
      <c r="G20" s="44"/>
      <c r="H20" s="44"/>
      <c r="I20" s="92"/>
      <c r="J20" s="44"/>
      <c r="K20" s="44"/>
      <c r="L20" s="44"/>
      <c r="M20" s="44"/>
      <c r="N20" s="52"/>
      <c r="O20" s="52"/>
      <c r="P20" s="92"/>
      <c r="Q20" s="94" t="s">
        <v>132</v>
      </c>
    </row>
    <row r="21" spans="1:18" s="147" customFormat="1" ht="9">
      <c r="A21" s="143" t="s">
        <v>421</v>
      </c>
      <c r="B21" s="44"/>
      <c r="C21" s="44"/>
      <c r="D21" s="52"/>
      <c r="E21" s="52"/>
      <c r="F21" s="52"/>
      <c r="G21" s="44"/>
      <c r="H21" s="44"/>
      <c r="I21" s="92"/>
      <c r="J21" s="44"/>
      <c r="K21" s="44"/>
      <c r="L21" s="44"/>
      <c r="M21" s="44"/>
      <c r="N21" s="52"/>
      <c r="O21" s="52"/>
      <c r="P21" s="92"/>
      <c r="Q21" s="94"/>
    </row>
    <row r="22" spans="1:18" s="147" customFormat="1" ht="19.5" customHeight="1">
      <c r="A22" s="177" t="s">
        <v>375</v>
      </c>
      <c r="B22" s="44">
        <v>2</v>
      </c>
      <c r="C22" s="44">
        <v>0</v>
      </c>
      <c r="D22" s="52">
        <v>0</v>
      </c>
      <c r="E22" s="52">
        <v>0</v>
      </c>
      <c r="F22" s="52">
        <v>0</v>
      </c>
      <c r="G22" s="44">
        <v>0.5</v>
      </c>
      <c r="H22" s="44">
        <f>B22*G22</f>
        <v>1</v>
      </c>
      <c r="I22" s="91">
        <f>'Base Data'!$D$78</f>
        <v>3</v>
      </c>
      <c r="J22" s="91">
        <f>H22*I22</f>
        <v>3</v>
      </c>
      <c r="K22" s="91">
        <f>J22*0.1</f>
        <v>0.30000000000000004</v>
      </c>
      <c r="L22" s="91">
        <f>J22*0.05</f>
        <v>0.15000000000000002</v>
      </c>
      <c r="M22" s="44">
        <f>C22*G22*I22</f>
        <v>0</v>
      </c>
      <c r="N22" s="52">
        <f>(J22*'Base Data'!$C$5)+(K22*'Base Data'!$C$6)+(L22*'Base Data'!$C$7)</f>
        <v>326.33250000000004</v>
      </c>
      <c r="O22" s="52">
        <f>(D22+E22+F22)*G22*I22</f>
        <v>0</v>
      </c>
      <c r="P22" s="92">
        <v>0</v>
      </c>
      <c r="Q22" s="94"/>
    </row>
    <row r="23" spans="1:18" s="147" customFormat="1" ht="9">
      <c r="A23" s="177" t="s">
        <v>501</v>
      </c>
      <c r="B23" s="44">
        <v>0.5</v>
      </c>
      <c r="C23" s="44"/>
      <c r="D23" s="52">
        <v>0</v>
      </c>
      <c r="E23" s="52">
        <v>0</v>
      </c>
      <c r="F23" s="52">
        <v>0</v>
      </c>
      <c r="G23" s="44">
        <v>0.5</v>
      </c>
      <c r="H23" s="44">
        <f>B23*G23</f>
        <v>0.25</v>
      </c>
      <c r="I23" s="91">
        <f>'Base Data'!$D$78</f>
        <v>3</v>
      </c>
      <c r="J23" s="91">
        <f>H23*I23</f>
        <v>0.75</v>
      </c>
      <c r="K23" s="91">
        <f>J23*0.1</f>
        <v>7.5000000000000011E-2</v>
      </c>
      <c r="L23" s="91">
        <f>J23*0.05</f>
        <v>3.7500000000000006E-2</v>
      </c>
      <c r="M23" s="44">
        <f>C23*G23*I23</f>
        <v>0</v>
      </c>
      <c r="N23" s="52">
        <f>(J23*'Base Data'!$C$5)+(K23*'Base Data'!$C$6)+(L23*'Base Data'!$C$7)</f>
        <v>81.58312500000001</v>
      </c>
      <c r="O23" s="52">
        <f>(D23+E23+F23)*G23*I23</f>
        <v>0</v>
      </c>
      <c r="P23" s="92">
        <v>0</v>
      </c>
      <c r="Q23" s="94"/>
    </row>
    <row r="24" spans="1:18" s="6" customFormat="1" ht="9">
      <c r="A24" s="142" t="s">
        <v>427</v>
      </c>
      <c r="B24" s="44">
        <v>40</v>
      </c>
      <c r="C24" s="18"/>
      <c r="D24" s="39">
        <v>0</v>
      </c>
      <c r="E24" s="39">
        <v>0</v>
      </c>
      <c r="F24" s="39">
        <v>0</v>
      </c>
      <c r="G24" s="18">
        <v>1</v>
      </c>
      <c r="H24" s="18">
        <f t="shared" ref="H24" si="1">B24*G24</f>
        <v>40</v>
      </c>
      <c r="I24" s="91">
        <v>0</v>
      </c>
      <c r="J24" s="19">
        <f t="shared" ref="J24" si="2">H24*I24</f>
        <v>0</v>
      </c>
      <c r="K24" s="19">
        <f t="shared" ref="K24" si="3">J24*0.1</f>
        <v>0</v>
      </c>
      <c r="L24" s="19">
        <f t="shared" ref="L24" si="4">J24*0.05</f>
        <v>0</v>
      </c>
      <c r="M24" s="18"/>
      <c r="N24" s="39">
        <f>(J24*'Base Data'!$C$5)+(K24*'Base Data'!$C$6)+(L24*'Base Data'!$C$7)</f>
        <v>0</v>
      </c>
      <c r="O24" s="39">
        <f t="shared" ref="O24" si="5">(D24+E24+F24)*G24*I24</f>
        <v>0</v>
      </c>
      <c r="P24" s="92">
        <v>0</v>
      </c>
      <c r="Q24" s="29" t="s">
        <v>272</v>
      </c>
    </row>
    <row r="25" spans="1:18" s="147" customFormat="1" ht="9">
      <c r="A25" s="143" t="s">
        <v>428</v>
      </c>
      <c r="B25" s="44" t="s">
        <v>433</v>
      </c>
      <c r="C25" s="44"/>
      <c r="D25" s="52"/>
      <c r="E25" s="52"/>
      <c r="F25" s="52"/>
      <c r="G25" s="44"/>
      <c r="H25" s="44"/>
      <c r="I25" s="92"/>
      <c r="J25" s="44"/>
      <c r="K25" s="44"/>
      <c r="L25" s="44"/>
      <c r="M25" s="44"/>
      <c r="N25" s="52"/>
      <c r="O25" s="52"/>
      <c r="P25" s="92"/>
      <c r="Q25" s="94"/>
    </row>
    <row r="26" spans="1:18" s="147" customFormat="1" ht="9">
      <c r="A26" s="256" t="s">
        <v>27</v>
      </c>
      <c r="B26" s="239"/>
      <c r="C26" s="239"/>
      <c r="D26" s="240"/>
      <c r="E26" s="240"/>
      <c r="F26" s="240"/>
      <c r="G26" s="239"/>
      <c r="H26" s="239"/>
      <c r="I26" s="241"/>
      <c r="J26" s="239">
        <f t="shared" ref="J26:O26" si="6">SUM(J18:J25)</f>
        <v>3.75</v>
      </c>
      <c r="K26" s="239">
        <f t="shared" si="6"/>
        <v>0.37500000000000006</v>
      </c>
      <c r="L26" s="239">
        <f t="shared" si="6"/>
        <v>0.18750000000000003</v>
      </c>
      <c r="M26" s="239">
        <f t="shared" si="6"/>
        <v>0</v>
      </c>
      <c r="N26" s="240">
        <f t="shared" si="6"/>
        <v>407.91562500000003</v>
      </c>
      <c r="O26" s="240">
        <f t="shared" si="6"/>
        <v>0</v>
      </c>
      <c r="P26" s="241">
        <f>SUM(P18:P25)</f>
        <v>0</v>
      </c>
      <c r="Q26" s="242"/>
      <c r="R26" s="149">
        <f>SUM(O18:O26)</f>
        <v>0</v>
      </c>
    </row>
    <row r="27" spans="1:18" s="147" customFormat="1">
      <c r="A27" s="186" t="s">
        <v>400</v>
      </c>
      <c r="B27" s="187"/>
      <c r="C27" s="187"/>
      <c r="D27" s="187"/>
      <c r="E27" s="187"/>
      <c r="F27" s="187"/>
      <c r="G27" s="187"/>
      <c r="H27" s="187"/>
      <c r="I27" s="189"/>
      <c r="J27" s="190">
        <f t="shared" ref="J27:P27" si="7">SUM(J16,J26)</f>
        <v>6.25</v>
      </c>
      <c r="K27" s="190">
        <f t="shared" si="7"/>
        <v>0.625</v>
      </c>
      <c r="L27" s="190">
        <f t="shared" si="7"/>
        <v>0.3125</v>
      </c>
      <c r="M27" s="190">
        <f t="shared" si="7"/>
        <v>0</v>
      </c>
      <c r="N27" s="191">
        <f t="shared" si="7"/>
        <v>679.859375</v>
      </c>
      <c r="O27" s="191">
        <f t="shared" si="7"/>
        <v>0</v>
      </c>
      <c r="P27" s="190">
        <f t="shared" si="7"/>
        <v>1</v>
      </c>
      <c r="Q27" s="192"/>
    </row>
    <row r="28" spans="1:18" s="53" customFormat="1" ht="9">
      <c r="B28" s="56"/>
      <c r="C28" s="56"/>
      <c r="D28" s="56"/>
      <c r="E28" s="56"/>
      <c r="F28" s="56"/>
      <c r="G28" s="56"/>
      <c r="H28" s="56"/>
      <c r="I28" s="57"/>
      <c r="J28" s="56"/>
      <c r="K28" s="56"/>
      <c r="L28" s="56"/>
      <c r="M28" s="56"/>
      <c r="N28" s="56"/>
      <c r="O28" s="197"/>
      <c r="P28" s="197"/>
      <c r="Q28" s="56"/>
    </row>
    <row r="29" spans="1:18" s="53" customFormat="1" ht="9">
      <c r="B29" s="56"/>
      <c r="C29" s="56"/>
      <c r="D29" s="56"/>
      <c r="E29" s="56"/>
      <c r="F29" s="56"/>
      <c r="G29" s="56"/>
      <c r="H29" s="56"/>
      <c r="I29" s="57"/>
      <c r="J29" s="56"/>
      <c r="K29" s="56"/>
      <c r="L29" s="56"/>
      <c r="M29" s="56"/>
      <c r="N29" s="56"/>
      <c r="O29" s="197"/>
      <c r="P29" s="197"/>
      <c r="Q29" s="56"/>
    </row>
    <row r="30" spans="1:18" s="53" customFormat="1" ht="9">
      <c r="B30" s="56"/>
      <c r="C30" s="56"/>
      <c r="D30" s="56"/>
      <c r="E30" s="56"/>
      <c r="F30" s="56"/>
      <c r="G30" s="56"/>
      <c r="H30" s="56"/>
      <c r="I30" s="57"/>
      <c r="J30" s="56"/>
      <c r="K30" s="56"/>
      <c r="L30" s="56"/>
      <c r="M30" s="56"/>
      <c r="N30" s="56"/>
      <c r="O30" s="197"/>
      <c r="P30" s="197"/>
      <c r="Q30" s="56"/>
    </row>
    <row r="31" spans="1:18" s="53" customFormat="1" ht="9">
      <c r="A31" s="255" t="s">
        <v>467</v>
      </c>
      <c r="B31" s="97"/>
      <c r="C31" s="97"/>
      <c r="D31" s="97"/>
      <c r="E31" s="97"/>
      <c r="F31" s="97"/>
      <c r="G31" s="97"/>
      <c r="H31" s="97"/>
      <c r="I31" s="97"/>
      <c r="J31" s="97"/>
      <c r="K31" s="97"/>
      <c r="L31" s="97"/>
      <c r="M31" s="97"/>
      <c r="N31" s="97"/>
      <c r="O31" s="141"/>
      <c r="P31" s="197"/>
      <c r="Q31" s="56"/>
    </row>
    <row r="32" spans="1:18" s="53" customFormat="1" ht="9">
      <c r="A32" s="409" t="s">
        <v>131</v>
      </c>
      <c r="B32" s="409"/>
      <c r="C32" s="409"/>
      <c r="D32" s="409"/>
      <c r="E32" s="409"/>
      <c r="F32" s="409"/>
      <c r="G32" s="409"/>
      <c r="H32" s="409"/>
      <c r="I32" s="409"/>
      <c r="J32" s="409"/>
      <c r="K32" s="409"/>
      <c r="L32" s="409"/>
      <c r="M32" s="409"/>
      <c r="N32" s="409"/>
      <c r="O32" s="409"/>
      <c r="P32" s="197"/>
      <c r="Q32" s="56"/>
    </row>
    <row r="33" spans="1:18" s="53" customFormat="1" ht="9">
      <c r="A33" s="53" t="s">
        <v>503</v>
      </c>
      <c r="B33" s="56"/>
      <c r="C33" s="56"/>
      <c r="D33" s="56"/>
      <c r="E33" s="56"/>
      <c r="F33" s="56"/>
      <c r="G33" s="56"/>
      <c r="H33" s="56"/>
      <c r="I33" s="57"/>
      <c r="J33" s="56"/>
      <c r="K33" s="56"/>
      <c r="L33" s="56"/>
      <c r="M33" s="56"/>
      <c r="N33" s="56"/>
      <c r="O33" s="197"/>
      <c r="P33" s="197"/>
      <c r="Q33" s="56"/>
    </row>
    <row r="34" spans="1:18" s="53" customFormat="1" ht="9">
      <c r="A34" s="14" t="s">
        <v>573</v>
      </c>
      <c r="B34" s="56"/>
      <c r="C34" s="56"/>
      <c r="D34" s="56"/>
      <c r="E34" s="56"/>
      <c r="F34" s="56"/>
      <c r="G34" s="56"/>
      <c r="H34" s="56"/>
      <c r="I34" s="57"/>
      <c r="J34" s="56"/>
      <c r="K34" s="56"/>
      <c r="L34" s="56"/>
      <c r="M34" s="56"/>
      <c r="N34" s="56"/>
      <c r="O34" s="197"/>
      <c r="P34" s="197"/>
      <c r="Q34" s="56"/>
    </row>
    <row r="35" spans="1:18" s="53" customFormat="1" ht="9">
      <c r="B35" s="56"/>
      <c r="C35" s="56"/>
      <c r="D35" s="56"/>
      <c r="E35" s="56"/>
      <c r="F35" s="56"/>
      <c r="G35" s="56"/>
      <c r="H35" s="56"/>
      <c r="I35" s="57"/>
      <c r="J35" s="56"/>
      <c r="K35" s="56"/>
      <c r="L35" s="56"/>
      <c r="M35" s="56"/>
      <c r="N35" s="56"/>
      <c r="O35" s="197"/>
      <c r="P35" s="197"/>
      <c r="Q35" s="56"/>
    </row>
    <row r="36" spans="1:18" s="53" customFormat="1" ht="9">
      <c r="B36" s="56"/>
      <c r="C36" s="56"/>
      <c r="D36" s="56"/>
      <c r="E36" s="56"/>
      <c r="F36" s="56"/>
      <c r="G36" s="56"/>
      <c r="H36" s="56"/>
      <c r="I36" s="57"/>
      <c r="J36" s="56"/>
      <c r="K36" s="56"/>
      <c r="L36" s="56"/>
      <c r="M36" s="56"/>
      <c r="N36" s="56"/>
      <c r="O36" s="197"/>
      <c r="P36" s="197"/>
      <c r="Q36" s="56"/>
    </row>
    <row r="37" spans="1:18" s="53" customFormat="1" ht="9">
      <c r="B37" s="56"/>
      <c r="C37" s="56"/>
      <c r="D37" s="56"/>
      <c r="E37" s="56"/>
      <c r="F37" s="56"/>
      <c r="G37" s="56"/>
      <c r="H37" s="56"/>
      <c r="I37" s="57"/>
      <c r="J37" s="56"/>
      <c r="K37" s="56"/>
      <c r="L37" s="56"/>
      <c r="M37" s="56"/>
      <c r="N37" s="56"/>
      <c r="O37" s="197"/>
      <c r="P37" s="197"/>
      <c r="Q37" s="56"/>
    </row>
    <row r="38" spans="1:18" s="53" customFormat="1" ht="9">
      <c r="B38" s="56"/>
      <c r="C38" s="56"/>
      <c r="D38" s="56"/>
      <c r="E38" s="56"/>
      <c r="F38" s="56"/>
      <c r="G38" s="56"/>
      <c r="H38" s="56"/>
      <c r="I38" s="57"/>
      <c r="J38" s="56"/>
      <c r="K38" s="56"/>
      <c r="L38" s="56"/>
      <c r="M38" s="56"/>
      <c r="N38" s="56"/>
      <c r="O38" s="197"/>
      <c r="P38" s="197"/>
      <c r="Q38" s="56"/>
    </row>
    <row r="39" spans="1:18" s="53" customFormat="1" ht="9">
      <c r="B39" s="56"/>
      <c r="C39" s="56"/>
      <c r="D39" s="56"/>
      <c r="E39" s="56"/>
      <c r="F39" s="56"/>
      <c r="G39" s="56"/>
      <c r="H39" s="56"/>
      <c r="I39" s="57"/>
      <c r="J39" s="56"/>
      <c r="K39" s="56"/>
      <c r="L39" s="56"/>
      <c r="M39" s="56"/>
      <c r="N39" s="56"/>
      <c r="O39" s="197"/>
      <c r="P39" s="197"/>
      <c r="Q39" s="56"/>
    </row>
    <row r="40" spans="1:18" s="53" customFormat="1">
      <c r="B40" s="56"/>
      <c r="C40" s="56"/>
      <c r="D40" s="56"/>
      <c r="E40" s="56"/>
      <c r="F40" s="56"/>
      <c r="G40" s="56"/>
      <c r="H40" s="56"/>
      <c r="I40" s="57"/>
      <c r="J40" s="56"/>
      <c r="K40" s="56"/>
      <c r="L40" s="56"/>
      <c r="M40" s="56"/>
      <c r="N40" s="56"/>
      <c r="O40" s="197"/>
      <c r="P40" s="197"/>
      <c r="Q40" s="54"/>
    </row>
    <row r="41" spans="1:18" s="53" customFormat="1">
      <c r="B41" s="56"/>
      <c r="C41" s="56"/>
      <c r="D41" s="56"/>
      <c r="E41" s="56"/>
      <c r="F41" s="56"/>
      <c r="G41" s="56"/>
      <c r="H41" s="56"/>
      <c r="I41" s="57"/>
      <c r="J41" s="56"/>
      <c r="K41" s="56"/>
      <c r="L41" s="56"/>
      <c r="M41" s="56"/>
      <c r="N41" s="56"/>
      <c r="O41" s="197"/>
      <c r="P41" s="197"/>
      <c r="Q41" s="54"/>
    </row>
    <row r="42" spans="1:18" s="53" customFormat="1">
      <c r="B42" s="56"/>
      <c r="C42" s="56"/>
      <c r="D42" s="56"/>
      <c r="E42" s="56"/>
      <c r="F42" s="56"/>
      <c r="G42" s="56"/>
      <c r="H42" s="56"/>
      <c r="I42" s="57"/>
      <c r="J42" s="56"/>
      <c r="K42" s="56"/>
      <c r="L42" s="56"/>
      <c r="M42" s="56"/>
      <c r="N42" s="56"/>
      <c r="O42" s="197"/>
      <c r="P42" s="197"/>
      <c r="Q42" s="54"/>
    </row>
    <row r="43" spans="1:18" s="53" customFormat="1">
      <c r="B43" s="56"/>
      <c r="C43" s="56"/>
      <c r="D43" s="56"/>
      <c r="E43" s="56"/>
      <c r="F43" s="56"/>
      <c r="G43" s="56"/>
      <c r="H43" s="56"/>
      <c r="I43" s="57"/>
      <c r="J43" s="56"/>
      <c r="K43" s="56"/>
      <c r="L43" s="56"/>
      <c r="M43" s="56"/>
      <c r="N43" s="56"/>
      <c r="O43" s="197"/>
      <c r="P43" s="197"/>
      <c r="Q43" s="54"/>
    </row>
    <row r="44" spans="1:18" s="53" customFormat="1">
      <c r="B44" s="56"/>
      <c r="C44" s="56"/>
      <c r="D44" s="56"/>
      <c r="E44" s="56"/>
      <c r="F44" s="56"/>
      <c r="G44" s="56"/>
      <c r="H44" s="56"/>
      <c r="I44" s="57"/>
      <c r="J44" s="56"/>
      <c r="K44" s="56"/>
      <c r="L44" s="56"/>
      <c r="M44" s="56"/>
      <c r="N44" s="56"/>
      <c r="O44" s="197"/>
      <c r="P44" s="197"/>
      <c r="Q44" s="54"/>
      <c r="R44" s="114"/>
    </row>
    <row r="53" spans="2:15">
      <c r="B53" s="114"/>
      <c r="C53" s="114"/>
      <c r="D53" s="114"/>
      <c r="E53" s="114"/>
      <c r="F53" s="114"/>
      <c r="G53" s="114"/>
      <c r="H53" s="114"/>
      <c r="I53" s="114"/>
      <c r="J53" s="114"/>
      <c r="K53" s="114"/>
      <c r="L53" s="114"/>
      <c r="M53" s="114"/>
      <c r="N53" s="114"/>
      <c r="O53" s="114"/>
    </row>
    <row r="54" spans="2:15">
      <c r="B54" s="114"/>
      <c r="C54" s="114"/>
      <c r="D54" s="114"/>
      <c r="E54" s="114"/>
      <c r="F54" s="114"/>
      <c r="G54" s="114"/>
      <c r="H54" s="114"/>
      <c r="I54" s="114"/>
      <c r="J54" s="114"/>
      <c r="K54" s="114"/>
      <c r="L54" s="114"/>
      <c r="M54" s="114"/>
      <c r="N54" s="114"/>
      <c r="O54" s="114"/>
    </row>
  </sheetData>
  <mergeCells count="3">
    <mergeCell ref="A32:O32"/>
    <mergeCell ref="A1:Q1"/>
    <mergeCell ref="A2:Q2"/>
  </mergeCells>
  <phoneticPr fontId="7" type="noConversion"/>
  <pageMargins left="0.25" right="0.25" top="0.5" bottom="0.75" header="0.5" footer="0.5"/>
  <pageSetup scale="64" orientation="landscape" r:id="rId1"/>
  <headerFooter alignWithMargins="0"/>
</worksheet>
</file>

<file path=xl/worksheets/sheet42.xml><?xml version="1.0" encoding="utf-8"?>
<worksheet xmlns="http://schemas.openxmlformats.org/spreadsheetml/2006/main" xmlns:r="http://schemas.openxmlformats.org/officeDocument/2006/relationships">
  <sheetPr>
    <pageSetUpPr fitToPage="1"/>
  </sheetPr>
  <dimension ref="A1:S42"/>
  <sheetViews>
    <sheetView zoomScaleNormal="100" workbookViewId="0">
      <pane xSplit="1" ySplit="2" topLeftCell="B3" activePane="bottomRight" state="frozen"/>
      <selection activeCell="P31" sqref="P31"/>
      <selection pane="topRight" activeCell="P31" sqref="P31"/>
      <selection pane="bottomLeft" activeCell="P31" sqref="P31"/>
      <selection pane="bottomRight" activeCell="P10" sqref="P10"/>
    </sheetView>
  </sheetViews>
  <sheetFormatPr defaultRowHeight="11.25"/>
  <cols>
    <col min="1" max="1" width="36.5703125" style="114" customWidth="1"/>
    <col min="2" max="2" width="8.85546875" style="54" bestFit="1" customWidth="1"/>
    <col min="3" max="3" width="8" style="54" hidden="1" customWidth="1"/>
    <col min="4" max="4" width="8.42578125" style="54" bestFit="1" customWidth="1"/>
    <col min="5" max="5" width="9.28515625" style="54" bestFit="1" customWidth="1"/>
    <col min="6" max="6" width="8.28515625" style="54" customWidth="1"/>
    <col min="7" max="7" width="9.28515625" style="54" bestFit="1" customWidth="1"/>
    <col min="8" max="8" width="7.85546875" style="54" bestFit="1" customWidth="1"/>
    <col min="9" max="9" width="9.42578125" style="55" bestFit="1" customWidth="1"/>
    <col min="10" max="10" width="8.85546875" style="54" bestFit="1" customWidth="1"/>
    <col min="11" max="11" width="7.28515625" style="54" customWidth="1"/>
    <col min="12" max="12" width="8.85546875" style="54" customWidth="1"/>
    <col min="13" max="13" width="7.85546875" style="54" hidden="1" customWidth="1"/>
    <col min="14" max="14" width="10.140625" style="54" customWidth="1"/>
    <col min="15" max="15" width="10.140625" style="196" bestFit="1" customWidth="1"/>
    <col min="16" max="16" width="10" style="196" bestFit="1" customWidth="1"/>
    <col min="17" max="17" width="3.7109375" style="54" customWidth="1"/>
    <col min="18" max="19" width="0" style="114" hidden="1" customWidth="1"/>
    <col min="20" max="20" width="11.140625" style="114" customWidth="1"/>
    <col min="21" max="21" width="8.5703125" style="114" customWidth="1"/>
    <col min="22" max="16384" width="9.140625" style="114"/>
  </cols>
  <sheetData>
    <row r="1" spans="1:19">
      <c r="A1" s="410" t="s">
        <v>128</v>
      </c>
      <c r="B1" s="410"/>
      <c r="C1" s="410"/>
      <c r="D1" s="410"/>
      <c r="E1" s="410"/>
      <c r="F1" s="410"/>
      <c r="G1" s="410"/>
      <c r="H1" s="410"/>
      <c r="I1" s="410"/>
      <c r="J1" s="410"/>
      <c r="K1" s="410"/>
      <c r="L1" s="410"/>
      <c r="M1" s="410"/>
      <c r="N1" s="410"/>
      <c r="O1" s="410"/>
      <c r="P1" s="410"/>
      <c r="Q1" s="410"/>
    </row>
    <row r="2" spans="1:19">
      <c r="A2" s="411" t="s">
        <v>306</v>
      </c>
      <c r="B2" s="411"/>
      <c r="C2" s="411"/>
      <c r="D2" s="411"/>
      <c r="E2" s="411"/>
      <c r="F2" s="411"/>
      <c r="G2" s="411"/>
      <c r="H2" s="411"/>
      <c r="I2" s="411"/>
      <c r="J2" s="411"/>
      <c r="K2" s="411"/>
      <c r="L2" s="411"/>
      <c r="M2" s="411"/>
      <c r="N2" s="411"/>
      <c r="O2" s="411"/>
      <c r="P2" s="411"/>
      <c r="Q2" s="411"/>
    </row>
    <row r="3" spans="1:19" s="193" customFormat="1" ht="63">
      <c r="A3" s="45" t="s">
        <v>392</v>
      </c>
      <c r="B3" s="45" t="s">
        <v>393</v>
      </c>
      <c r="C3" s="45" t="s">
        <v>430</v>
      </c>
      <c r="D3" s="45" t="s">
        <v>4</v>
      </c>
      <c r="E3" s="45" t="s">
        <v>94</v>
      </c>
      <c r="F3" s="45" t="s">
        <v>5</v>
      </c>
      <c r="G3" s="12" t="s">
        <v>176</v>
      </c>
      <c r="H3" s="45" t="s">
        <v>459</v>
      </c>
      <c r="I3" s="60" t="s">
        <v>460</v>
      </c>
      <c r="J3" s="100" t="s">
        <v>462</v>
      </c>
      <c r="K3" s="100" t="s">
        <v>463</v>
      </c>
      <c r="L3" s="100" t="s">
        <v>461</v>
      </c>
      <c r="M3" s="45" t="s">
        <v>391</v>
      </c>
      <c r="N3" s="45" t="s">
        <v>8</v>
      </c>
      <c r="O3" s="100" t="s">
        <v>96</v>
      </c>
      <c r="P3" s="100" t="s">
        <v>175</v>
      </c>
      <c r="Q3" s="182" t="s">
        <v>394</v>
      </c>
      <c r="R3" s="193" t="s">
        <v>307</v>
      </c>
      <c r="S3" s="193" t="s">
        <v>308</v>
      </c>
    </row>
    <row r="4" spans="1:19" s="147" customFormat="1" ht="9">
      <c r="A4" s="194" t="s">
        <v>405</v>
      </c>
      <c r="B4" s="179" t="s">
        <v>433</v>
      </c>
      <c r="C4" s="179"/>
      <c r="D4" s="181"/>
      <c r="E4" s="181"/>
      <c r="F4" s="181"/>
      <c r="G4" s="179"/>
      <c r="H4" s="179"/>
      <c r="I4" s="183"/>
      <c r="J4" s="179"/>
      <c r="K4" s="179"/>
      <c r="L4" s="179"/>
      <c r="M4" s="179"/>
      <c r="N4" s="181"/>
      <c r="O4" s="181"/>
      <c r="P4" s="181"/>
      <c r="Q4" s="249"/>
    </row>
    <row r="5" spans="1:19" s="147" customFormat="1" ht="9">
      <c r="A5" s="143" t="s">
        <v>406</v>
      </c>
      <c r="B5" s="44" t="s">
        <v>433</v>
      </c>
      <c r="C5" s="44"/>
      <c r="D5" s="52"/>
      <c r="E5" s="52"/>
      <c r="F5" s="52"/>
      <c r="G5" s="44"/>
      <c r="H5" s="44"/>
      <c r="I5" s="92"/>
      <c r="J5" s="44"/>
      <c r="K5" s="44"/>
      <c r="L5" s="44"/>
      <c r="M5" s="44"/>
      <c r="N5" s="52"/>
      <c r="O5" s="52"/>
      <c r="P5" s="52"/>
      <c r="Q5" s="94"/>
    </row>
    <row r="6" spans="1:19" s="147" customFormat="1" ht="9">
      <c r="A6" s="143" t="s">
        <v>407</v>
      </c>
      <c r="B6" s="44"/>
      <c r="C6" s="44"/>
      <c r="D6" s="52"/>
      <c r="E6" s="52"/>
      <c r="F6" s="52"/>
      <c r="G6" s="44"/>
      <c r="H6" s="44"/>
      <c r="I6" s="92"/>
      <c r="J6" s="44"/>
      <c r="K6" s="44"/>
      <c r="L6" s="44"/>
      <c r="M6" s="44"/>
      <c r="N6" s="52"/>
      <c r="O6" s="52"/>
      <c r="P6" s="52"/>
      <c r="Q6" s="94"/>
    </row>
    <row r="7" spans="1:19" s="147" customFormat="1" ht="9">
      <c r="A7" s="143" t="s">
        <v>408</v>
      </c>
      <c r="B7" s="44">
        <v>40</v>
      </c>
      <c r="C7" s="44"/>
      <c r="D7" s="52">
        <v>0</v>
      </c>
      <c r="E7" s="52">
        <v>0</v>
      </c>
      <c r="F7" s="52">
        <v>0</v>
      </c>
      <c r="G7" s="44">
        <v>1</v>
      </c>
      <c r="H7" s="44">
        <f>B7*G7</f>
        <v>40</v>
      </c>
      <c r="I7" s="91">
        <f>ROUND('Base Data'!$H$70/3,0)</f>
        <v>3</v>
      </c>
      <c r="J7" s="91">
        <f>H7*I7</f>
        <v>120</v>
      </c>
      <c r="K7" s="91">
        <f>J7*0.1</f>
        <v>12</v>
      </c>
      <c r="L7" s="91">
        <f>J7*0.05</f>
        <v>6</v>
      </c>
      <c r="M7" s="44">
        <f>C7*G7*I7</f>
        <v>0</v>
      </c>
      <c r="N7" s="52">
        <f>(J7*'Base Data'!$C$5)+(K7*'Base Data'!$C$6)+(L7*'Base Data'!$C$7)</f>
        <v>13053.300000000001</v>
      </c>
      <c r="O7" s="52">
        <f>(D7+E7+F7)*G7*I7</f>
        <v>0</v>
      </c>
      <c r="P7" s="92">
        <v>0</v>
      </c>
      <c r="Q7" s="94" t="s">
        <v>387</v>
      </c>
    </row>
    <row r="8" spans="1:19" s="147" customFormat="1" ht="9">
      <c r="A8" s="143" t="s">
        <v>409</v>
      </c>
      <c r="B8" s="44"/>
      <c r="C8" s="44"/>
      <c r="D8" s="52"/>
      <c r="E8" s="52"/>
      <c r="F8" s="52"/>
      <c r="G8" s="44"/>
      <c r="H8" s="44"/>
      <c r="I8" s="92"/>
      <c r="J8" s="44"/>
      <c r="K8" s="44"/>
      <c r="L8" s="44"/>
      <c r="M8" s="44"/>
      <c r="N8" s="52"/>
      <c r="O8" s="52"/>
      <c r="P8" s="92"/>
      <c r="Q8" s="94"/>
    </row>
    <row r="9" spans="1:19" s="147" customFormat="1" ht="9">
      <c r="A9" s="143" t="s">
        <v>500</v>
      </c>
      <c r="B9" s="44">
        <v>12</v>
      </c>
      <c r="C9" s="44"/>
      <c r="D9" s="52">
        <v>0</v>
      </c>
      <c r="E9" s="52">
        <v>2228</v>
      </c>
      <c r="F9" s="52">
        <v>0</v>
      </c>
      <c r="G9" s="44">
        <v>0.5</v>
      </c>
      <c r="H9" s="44">
        <f>B9*G9</f>
        <v>6</v>
      </c>
      <c r="I9" s="91">
        <f>ROUNDUP('Base Data'!$D$70/3,0)</f>
        <v>10</v>
      </c>
      <c r="J9" s="91">
        <f>H9*I9</f>
        <v>60</v>
      </c>
      <c r="K9" s="91">
        <f>J9*0.1</f>
        <v>6</v>
      </c>
      <c r="L9" s="91">
        <f>J9*0.05</f>
        <v>3</v>
      </c>
      <c r="M9" s="92"/>
      <c r="N9" s="52">
        <f>(J9*'Base Data'!$C$5)+(K9*'Base Data'!$C$6)+(L9*'Base Data'!$C$7)</f>
        <v>6526.6500000000005</v>
      </c>
      <c r="O9" s="52">
        <f>(D9+E9+F9)*I9</f>
        <v>22280</v>
      </c>
      <c r="P9" s="92">
        <v>0</v>
      </c>
      <c r="Q9" s="94" t="s">
        <v>387</v>
      </c>
    </row>
    <row r="10" spans="1:19" s="147" customFormat="1" ht="9">
      <c r="A10" s="143" t="s">
        <v>415</v>
      </c>
      <c r="B10" s="44" t="s">
        <v>433</v>
      </c>
      <c r="C10" s="44"/>
      <c r="D10" s="52"/>
      <c r="E10" s="52"/>
      <c r="F10" s="52"/>
      <c r="G10" s="44"/>
      <c r="H10" s="44"/>
      <c r="I10" s="92"/>
      <c r="J10" s="44"/>
      <c r="K10" s="44"/>
      <c r="L10" s="44"/>
      <c r="M10" s="44"/>
      <c r="N10" s="52"/>
      <c r="O10" s="52"/>
      <c r="P10" s="92"/>
      <c r="Q10" s="94"/>
    </row>
    <row r="11" spans="1:19" s="147" customFormat="1" ht="9">
      <c r="A11" s="143" t="s">
        <v>416</v>
      </c>
      <c r="B11" s="44" t="s">
        <v>433</v>
      </c>
      <c r="C11" s="44"/>
      <c r="D11" s="52"/>
      <c r="E11" s="52"/>
      <c r="F11" s="52"/>
      <c r="G11" s="44"/>
      <c r="H11" s="44"/>
      <c r="I11" s="92"/>
      <c r="J11" s="44"/>
      <c r="K11" s="44"/>
      <c r="L11" s="44"/>
      <c r="M11" s="44"/>
      <c r="N11" s="52"/>
      <c r="O11" s="52"/>
      <c r="P11" s="92"/>
      <c r="Q11" s="94"/>
    </row>
    <row r="12" spans="1:19" s="147" customFormat="1" ht="9">
      <c r="A12" s="143" t="s">
        <v>417</v>
      </c>
      <c r="B12" s="44"/>
      <c r="C12" s="44"/>
      <c r="D12" s="52"/>
      <c r="E12" s="52"/>
      <c r="F12" s="52"/>
      <c r="G12" s="44"/>
      <c r="H12" s="44"/>
      <c r="I12" s="92"/>
      <c r="J12" s="44"/>
      <c r="K12" s="44"/>
      <c r="L12" s="44"/>
      <c r="M12" s="44"/>
      <c r="N12" s="52"/>
      <c r="O12" s="52"/>
      <c r="P12" s="92"/>
      <c r="Q12" s="94"/>
    </row>
    <row r="13" spans="1:19" s="147" customFormat="1" ht="9">
      <c r="A13" s="177" t="s">
        <v>435</v>
      </c>
      <c r="B13" s="44">
        <v>2</v>
      </c>
      <c r="C13" s="44"/>
      <c r="D13" s="52">
        <v>0</v>
      </c>
      <c r="E13" s="52">
        <v>0</v>
      </c>
      <c r="F13" s="52">
        <v>0</v>
      </c>
      <c r="G13" s="44">
        <v>1</v>
      </c>
      <c r="H13" s="44">
        <f>B13*G13</f>
        <v>2</v>
      </c>
      <c r="I13" s="91">
        <f>$I$7</f>
        <v>3</v>
      </c>
      <c r="J13" s="91">
        <f>H13*I13</f>
        <v>6</v>
      </c>
      <c r="K13" s="91">
        <f>J13*0.1</f>
        <v>0.60000000000000009</v>
      </c>
      <c r="L13" s="91">
        <f>J13*0.05</f>
        <v>0.30000000000000004</v>
      </c>
      <c r="M13" s="44">
        <f>C13*G13*I13</f>
        <v>0</v>
      </c>
      <c r="N13" s="52">
        <f>(J13*'Base Data'!$C$5)+(K13*'Base Data'!$C$6)+(L13*'Base Data'!$C$7)</f>
        <v>652.66500000000008</v>
      </c>
      <c r="O13" s="52">
        <f>(D13+E13+F13)*G13*I13</f>
        <v>0</v>
      </c>
      <c r="P13" s="92">
        <f>G13*I13</f>
        <v>3</v>
      </c>
      <c r="Q13" s="94" t="s">
        <v>387</v>
      </c>
    </row>
    <row r="14" spans="1:19" s="147" customFormat="1" ht="9">
      <c r="A14" s="177" t="s">
        <v>377</v>
      </c>
      <c r="B14" s="44">
        <v>8</v>
      </c>
      <c r="C14" s="44"/>
      <c r="D14" s="52">
        <v>0</v>
      </c>
      <c r="E14" s="52">
        <v>0</v>
      </c>
      <c r="F14" s="52">
        <v>0</v>
      </c>
      <c r="G14" s="44">
        <v>1</v>
      </c>
      <c r="H14" s="44">
        <f>B14*G14</f>
        <v>8</v>
      </c>
      <c r="I14" s="91">
        <f>$I$7</f>
        <v>3</v>
      </c>
      <c r="J14" s="91">
        <f>H14*I14</f>
        <v>24</v>
      </c>
      <c r="K14" s="91">
        <f>J14*0.1</f>
        <v>2.4000000000000004</v>
      </c>
      <c r="L14" s="91">
        <f>J14*0.05</f>
        <v>1.2000000000000002</v>
      </c>
      <c r="M14" s="44">
        <f>C14*G14*I14</f>
        <v>0</v>
      </c>
      <c r="N14" s="52">
        <f>(J14*'Base Data'!$C$5)+(K14*'Base Data'!$C$6)+(L14*'Base Data'!$C$7)</f>
        <v>2610.6600000000003</v>
      </c>
      <c r="O14" s="52">
        <f>(D14+E14+F14)*G14*I14</f>
        <v>0</v>
      </c>
      <c r="P14" s="92">
        <f>G14*I14</f>
        <v>3</v>
      </c>
      <c r="Q14" s="94" t="s">
        <v>387</v>
      </c>
    </row>
    <row r="15" spans="1:19" s="147" customFormat="1" ht="9">
      <c r="A15" s="177" t="s">
        <v>11</v>
      </c>
      <c r="B15" s="44">
        <v>5</v>
      </c>
      <c r="C15" s="44"/>
      <c r="D15" s="52">
        <v>0</v>
      </c>
      <c r="E15" s="52">
        <v>0</v>
      </c>
      <c r="F15" s="52">
        <v>0</v>
      </c>
      <c r="G15" s="44">
        <v>0.5</v>
      </c>
      <c r="H15" s="44">
        <f>B15*G15</f>
        <v>2.5</v>
      </c>
      <c r="I15" s="91">
        <f>$I$7</f>
        <v>3</v>
      </c>
      <c r="J15" s="91">
        <f>H15*I15</f>
        <v>7.5</v>
      </c>
      <c r="K15" s="91">
        <f>J15*0.1</f>
        <v>0.75</v>
      </c>
      <c r="L15" s="91">
        <f>J15*0.05</f>
        <v>0.375</v>
      </c>
      <c r="M15" s="44">
        <f>C15*G15*I15</f>
        <v>0</v>
      </c>
      <c r="N15" s="52">
        <f>(J15*'Base Data'!$C$5)+(K15*'Base Data'!$C$6)+(L15*'Base Data'!$C$7)</f>
        <v>815.83125000000007</v>
      </c>
      <c r="O15" s="52">
        <f>(D15+E15+F15)*G15*I15</f>
        <v>0</v>
      </c>
      <c r="P15" s="92">
        <f>G15*I15</f>
        <v>1.5</v>
      </c>
      <c r="Q15" s="94" t="s">
        <v>387</v>
      </c>
    </row>
    <row r="16" spans="1:19" s="147" customFormat="1" ht="9">
      <c r="A16" s="148" t="s">
        <v>7</v>
      </c>
      <c r="B16" s="44"/>
      <c r="C16" s="44"/>
      <c r="D16" s="52"/>
      <c r="E16" s="52"/>
      <c r="F16" s="52"/>
      <c r="G16" s="44"/>
      <c r="H16" s="44"/>
      <c r="I16" s="92"/>
      <c r="J16" s="92">
        <f t="shared" ref="J16:O16" si="0">SUM(J7:J15)</f>
        <v>217.5</v>
      </c>
      <c r="K16" s="92">
        <f t="shared" si="0"/>
        <v>21.75</v>
      </c>
      <c r="L16" s="92">
        <f t="shared" si="0"/>
        <v>10.875</v>
      </c>
      <c r="M16" s="92">
        <f t="shared" si="0"/>
        <v>0</v>
      </c>
      <c r="N16" s="92">
        <f t="shared" si="0"/>
        <v>23659.106250000001</v>
      </c>
      <c r="O16" s="92">
        <f t="shared" si="0"/>
        <v>22280</v>
      </c>
      <c r="P16" s="92">
        <f>SUM(P13:P15)</f>
        <v>7.5</v>
      </c>
      <c r="Q16" s="94"/>
      <c r="R16" s="149">
        <f>SUM(O7:O9)</f>
        <v>22280</v>
      </c>
      <c r="S16" s="147">
        <f>0</f>
        <v>0</v>
      </c>
    </row>
    <row r="17" spans="1:18" s="147" customFormat="1" ht="9">
      <c r="A17" s="143" t="s">
        <v>431</v>
      </c>
      <c r="B17" s="44"/>
      <c r="C17" s="44"/>
      <c r="D17" s="52"/>
      <c r="E17" s="52"/>
      <c r="F17" s="52"/>
      <c r="G17" s="44"/>
      <c r="H17" s="44"/>
      <c r="I17" s="92"/>
      <c r="J17" s="44"/>
      <c r="K17" s="44"/>
      <c r="L17" s="44"/>
      <c r="M17" s="44"/>
      <c r="N17" s="52"/>
      <c r="O17" s="52"/>
      <c r="P17" s="92"/>
      <c r="Q17" s="94"/>
    </row>
    <row r="18" spans="1:18" s="147" customFormat="1" ht="9">
      <c r="A18" s="143" t="s">
        <v>418</v>
      </c>
      <c r="B18" s="44" t="s">
        <v>422</v>
      </c>
      <c r="C18" s="44"/>
      <c r="D18" s="52"/>
      <c r="E18" s="52"/>
      <c r="F18" s="52"/>
      <c r="G18" s="44"/>
      <c r="H18" s="44"/>
      <c r="I18" s="92"/>
      <c r="J18" s="44"/>
      <c r="K18" s="44"/>
      <c r="L18" s="44"/>
      <c r="M18" s="44"/>
      <c r="N18" s="52"/>
      <c r="O18" s="52"/>
      <c r="P18" s="92"/>
      <c r="Q18" s="94"/>
    </row>
    <row r="19" spans="1:18" s="147" customFormat="1" ht="9">
      <c r="A19" s="143" t="s">
        <v>419</v>
      </c>
      <c r="B19" s="44" t="s">
        <v>433</v>
      </c>
      <c r="C19" s="44"/>
      <c r="D19" s="52"/>
      <c r="E19" s="52"/>
      <c r="F19" s="52"/>
      <c r="G19" s="44"/>
      <c r="H19" s="44"/>
      <c r="I19" s="92"/>
      <c r="J19" s="44"/>
      <c r="K19" s="44"/>
      <c r="L19" s="44"/>
      <c r="M19" s="44"/>
      <c r="N19" s="52"/>
      <c r="O19" s="52"/>
      <c r="P19" s="92"/>
      <c r="Q19" s="94"/>
    </row>
    <row r="20" spans="1:18" s="147" customFormat="1" ht="9">
      <c r="A20" s="143" t="s">
        <v>420</v>
      </c>
      <c r="B20" s="44" t="s">
        <v>433</v>
      </c>
      <c r="C20" s="44"/>
      <c r="D20" s="52"/>
      <c r="E20" s="52"/>
      <c r="F20" s="52"/>
      <c r="G20" s="44"/>
      <c r="H20" s="44"/>
      <c r="I20" s="92"/>
      <c r="J20" s="44"/>
      <c r="K20" s="44"/>
      <c r="L20" s="44"/>
      <c r="M20" s="44"/>
      <c r="N20" s="52"/>
      <c r="O20" s="52"/>
      <c r="P20" s="92"/>
      <c r="Q20" s="94" t="s">
        <v>132</v>
      </c>
    </row>
    <row r="21" spans="1:18" s="147" customFormat="1" ht="9">
      <c r="A21" s="143" t="s">
        <v>421</v>
      </c>
      <c r="B21" s="44"/>
      <c r="C21" s="44"/>
      <c r="D21" s="52"/>
      <c r="E21" s="52"/>
      <c r="F21" s="52"/>
      <c r="G21" s="44"/>
      <c r="H21" s="44"/>
      <c r="I21" s="92"/>
      <c r="J21" s="44"/>
      <c r="K21" s="44"/>
      <c r="L21" s="44"/>
      <c r="M21" s="44"/>
      <c r="N21" s="52"/>
      <c r="O21" s="52"/>
      <c r="P21" s="92"/>
      <c r="Q21" s="94"/>
    </row>
    <row r="22" spans="1:18" s="147" customFormat="1" ht="19.5" customHeight="1">
      <c r="A22" s="177" t="s">
        <v>375</v>
      </c>
      <c r="B22" s="44">
        <v>2</v>
      </c>
      <c r="C22" s="44">
        <v>0</v>
      </c>
      <c r="D22" s="52">
        <v>0</v>
      </c>
      <c r="E22" s="52">
        <v>0</v>
      </c>
      <c r="F22" s="52">
        <v>0</v>
      </c>
      <c r="G22" s="44">
        <v>0.5</v>
      </c>
      <c r="H22" s="44">
        <f>B22*G22</f>
        <v>1</v>
      </c>
      <c r="I22" s="92">
        <f>$I$9</f>
        <v>10</v>
      </c>
      <c r="J22" s="91">
        <f>H22*I22</f>
        <v>10</v>
      </c>
      <c r="K22" s="91">
        <f>J22*0.1</f>
        <v>1</v>
      </c>
      <c r="L22" s="91">
        <f>J22*0.05</f>
        <v>0.5</v>
      </c>
      <c r="M22" s="44">
        <f>C22*G22*I22</f>
        <v>0</v>
      </c>
      <c r="N22" s="52">
        <f>(J22*'Base Data'!$C$5)+(K22*'Base Data'!$C$6)+(L22*'Base Data'!$C$7)</f>
        <v>1087.7749999999999</v>
      </c>
      <c r="O22" s="52">
        <f>(D22+E22+F22)*G22*I22</f>
        <v>0</v>
      </c>
      <c r="P22" s="92">
        <v>0</v>
      </c>
      <c r="Q22" s="94" t="s">
        <v>387</v>
      </c>
    </row>
    <row r="23" spans="1:18" s="147" customFormat="1" ht="9">
      <c r="A23" s="177" t="s">
        <v>501</v>
      </c>
      <c r="B23" s="44">
        <v>0.5</v>
      </c>
      <c r="C23" s="44"/>
      <c r="D23" s="52">
        <v>0</v>
      </c>
      <c r="E23" s="52">
        <v>0</v>
      </c>
      <c r="F23" s="52">
        <v>0</v>
      </c>
      <c r="G23" s="44">
        <v>0.5</v>
      </c>
      <c r="H23" s="44">
        <f>B23*G23</f>
        <v>0.25</v>
      </c>
      <c r="I23" s="92">
        <f>$I$9</f>
        <v>10</v>
      </c>
      <c r="J23" s="91">
        <f>H23*I23</f>
        <v>2.5</v>
      </c>
      <c r="K23" s="91">
        <f>J23*0.1</f>
        <v>0.25</v>
      </c>
      <c r="L23" s="91">
        <f>J23*0.05</f>
        <v>0.125</v>
      </c>
      <c r="M23" s="44">
        <f>C23*G23*I23</f>
        <v>0</v>
      </c>
      <c r="N23" s="52">
        <f>(J23*'Base Data'!$C$5)+(K23*'Base Data'!$C$6)+(L23*'Base Data'!$C$7)</f>
        <v>271.94374999999997</v>
      </c>
      <c r="O23" s="52">
        <f>(D23+E23+F23)*G23*I23</f>
        <v>0</v>
      </c>
      <c r="P23" s="92">
        <v>0</v>
      </c>
      <c r="Q23" s="94" t="s">
        <v>387</v>
      </c>
    </row>
    <row r="24" spans="1:18" s="6" customFormat="1" ht="9">
      <c r="A24" s="142" t="s">
        <v>427</v>
      </c>
      <c r="B24" s="44">
        <v>40</v>
      </c>
      <c r="C24" s="18"/>
      <c r="D24" s="39">
        <v>0</v>
      </c>
      <c r="E24" s="39">
        <v>0</v>
      </c>
      <c r="F24" s="39">
        <v>0</v>
      </c>
      <c r="G24" s="18">
        <v>1</v>
      </c>
      <c r="H24" s="18">
        <f t="shared" ref="H24" si="1">B24*G24</f>
        <v>40</v>
      </c>
      <c r="I24" s="91">
        <f>$I$7</f>
        <v>3</v>
      </c>
      <c r="J24" s="19">
        <f t="shared" ref="J24" si="2">H24*I24</f>
        <v>120</v>
      </c>
      <c r="K24" s="19">
        <f t="shared" ref="K24" si="3">J24*0.1</f>
        <v>12</v>
      </c>
      <c r="L24" s="19">
        <f t="shared" ref="L24" si="4">J24*0.05</f>
        <v>6</v>
      </c>
      <c r="M24" s="18"/>
      <c r="N24" s="39">
        <f>(J24*'Base Data'!$C$5)+(K24*'Base Data'!$C$6)+(L24*'Base Data'!$C$7)</f>
        <v>13053.300000000001</v>
      </c>
      <c r="O24" s="39">
        <f t="shared" ref="O24" si="5">(D24+E24+F24)*G24*I24</f>
        <v>0</v>
      </c>
      <c r="P24" s="92">
        <v>0</v>
      </c>
      <c r="Q24" s="29" t="s">
        <v>388</v>
      </c>
    </row>
    <row r="25" spans="1:18" s="147" customFormat="1" ht="9">
      <c r="A25" s="143" t="s">
        <v>428</v>
      </c>
      <c r="B25" s="44" t="s">
        <v>433</v>
      </c>
      <c r="C25" s="44"/>
      <c r="D25" s="52"/>
      <c r="E25" s="52"/>
      <c r="F25" s="52"/>
      <c r="G25" s="44"/>
      <c r="H25" s="44"/>
      <c r="I25" s="92"/>
      <c r="J25" s="44"/>
      <c r="K25" s="44"/>
      <c r="L25" s="44"/>
      <c r="M25" s="44"/>
      <c r="N25" s="52"/>
      <c r="O25" s="52"/>
      <c r="P25" s="92"/>
      <c r="Q25" s="94"/>
    </row>
    <row r="26" spans="1:18" s="147" customFormat="1" ht="9">
      <c r="A26" s="256" t="s">
        <v>27</v>
      </c>
      <c r="B26" s="239"/>
      <c r="C26" s="239"/>
      <c r="D26" s="240"/>
      <c r="E26" s="240"/>
      <c r="F26" s="240"/>
      <c r="G26" s="239"/>
      <c r="H26" s="239"/>
      <c r="I26" s="241"/>
      <c r="J26" s="239">
        <f t="shared" ref="J26:O26" si="6">SUM(J18:J25)</f>
        <v>132.5</v>
      </c>
      <c r="K26" s="239">
        <f t="shared" si="6"/>
        <v>13.25</v>
      </c>
      <c r="L26" s="239">
        <f t="shared" si="6"/>
        <v>6.625</v>
      </c>
      <c r="M26" s="239">
        <f t="shared" si="6"/>
        <v>0</v>
      </c>
      <c r="N26" s="240">
        <f t="shared" si="6"/>
        <v>14413.018750000001</v>
      </c>
      <c r="O26" s="240">
        <f t="shared" si="6"/>
        <v>0</v>
      </c>
      <c r="P26" s="241">
        <f>SUM(P18:P25)</f>
        <v>0</v>
      </c>
      <c r="Q26" s="242"/>
      <c r="R26" s="149">
        <f>SUM(O18:O26)</f>
        <v>0</v>
      </c>
    </row>
    <row r="27" spans="1:18" s="147" customFormat="1">
      <c r="A27" s="186" t="s">
        <v>400</v>
      </c>
      <c r="B27" s="187"/>
      <c r="C27" s="187"/>
      <c r="D27" s="187"/>
      <c r="E27" s="187"/>
      <c r="F27" s="187"/>
      <c r="G27" s="187"/>
      <c r="H27" s="187"/>
      <c r="I27" s="189"/>
      <c r="J27" s="190">
        <f t="shared" ref="J27:P27" si="7">SUM(J16,J26)</f>
        <v>350</v>
      </c>
      <c r="K27" s="190">
        <f t="shared" si="7"/>
        <v>35</v>
      </c>
      <c r="L27" s="190">
        <f t="shared" si="7"/>
        <v>17.5</v>
      </c>
      <c r="M27" s="190">
        <f t="shared" si="7"/>
        <v>0</v>
      </c>
      <c r="N27" s="191">
        <f t="shared" si="7"/>
        <v>38072.125</v>
      </c>
      <c r="O27" s="191">
        <f t="shared" si="7"/>
        <v>22280</v>
      </c>
      <c r="P27" s="190">
        <f t="shared" si="7"/>
        <v>7.5</v>
      </c>
      <c r="Q27" s="192"/>
    </row>
    <row r="28" spans="1:18" s="53" customFormat="1" ht="9">
      <c r="B28" s="56"/>
      <c r="C28" s="56"/>
      <c r="D28" s="56"/>
      <c r="E28" s="56"/>
      <c r="F28" s="56"/>
      <c r="G28" s="56"/>
      <c r="H28" s="56"/>
      <c r="I28" s="57"/>
      <c r="J28" s="56"/>
      <c r="K28" s="56"/>
      <c r="L28" s="56"/>
      <c r="M28" s="56"/>
      <c r="N28" s="56"/>
      <c r="O28" s="197"/>
      <c r="P28" s="197"/>
      <c r="Q28" s="56"/>
    </row>
    <row r="29" spans="1:18" s="53" customFormat="1" ht="21.75" customHeight="1">
      <c r="A29" s="412" t="s">
        <v>545</v>
      </c>
      <c r="B29" s="412"/>
      <c r="C29" s="412"/>
      <c r="D29" s="412"/>
      <c r="E29" s="412"/>
      <c r="F29" s="412"/>
      <c r="G29" s="412"/>
      <c r="H29" s="412"/>
      <c r="I29" s="412"/>
      <c r="J29" s="412"/>
      <c r="K29" s="412"/>
      <c r="L29" s="412"/>
      <c r="M29" s="412"/>
      <c r="N29" s="412"/>
      <c r="O29" s="412"/>
      <c r="P29" s="197"/>
      <c r="Q29" s="56"/>
    </row>
    <row r="30" spans="1:18" s="53" customFormat="1" ht="9">
      <c r="A30" s="409" t="s">
        <v>131</v>
      </c>
      <c r="B30" s="409"/>
      <c r="C30" s="409"/>
      <c r="D30" s="409"/>
      <c r="E30" s="409"/>
      <c r="F30" s="409"/>
      <c r="G30" s="409"/>
      <c r="H30" s="409"/>
      <c r="I30" s="409"/>
      <c r="J30" s="409"/>
      <c r="K30" s="409"/>
      <c r="L30" s="409"/>
      <c r="M30" s="409"/>
      <c r="N30" s="409"/>
      <c r="O30" s="409"/>
      <c r="P30" s="197"/>
      <c r="Q30" s="56"/>
    </row>
    <row r="31" spans="1:18" s="53" customFormat="1" ht="9">
      <c r="A31" s="14" t="s">
        <v>574</v>
      </c>
      <c r="B31" s="119"/>
      <c r="C31" s="119"/>
      <c r="D31" s="119"/>
      <c r="E31" s="119"/>
      <c r="F31" s="119"/>
      <c r="G31" s="119"/>
      <c r="H31" s="119"/>
      <c r="I31" s="119"/>
      <c r="J31" s="119"/>
      <c r="K31" s="119"/>
      <c r="L31" s="119"/>
      <c r="M31" s="119"/>
      <c r="N31" s="119"/>
      <c r="O31" s="119"/>
      <c r="P31" s="197"/>
      <c r="Q31" s="56"/>
    </row>
    <row r="32" spans="1:18" s="53" customFormat="1" ht="9">
      <c r="B32" s="56"/>
      <c r="C32" s="56"/>
      <c r="D32" s="56"/>
      <c r="E32" s="56"/>
      <c r="F32" s="56"/>
      <c r="G32" s="56"/>
      <c r="H32" s="56"/>
      <c r="I32" s="57"/>
      <c r="J32" s="56"/>
      <c r="K32" s="56"/>
      <c r="L32" s="56"/>
      <c r="M32" s="56"/>
      <c r="N32" s="56"/>
      <c r="O32" s="197"/>
      <c r="P32" s="197"/>
      <c r="Q32" s="56"/>
    </row>
    <row r="33" spans="2:18" s="53" customFormat="1" ht="9">
      <c r="P33" s="197"/>
      <c r="Q33" s="56"/>
    </row>
    <row r="34" spans="2:18" s="53" customFormat="1" ht="9">
      <c r="B34" s="56"/>
      <c r="C34" s="56"/>
      <c r="D34" s="56"/>
      <c r="E34" s="56"/>
      <c r="F34" s="56"/>
      <c r="G34" s="56"/>
      <c r="H34" s="56"/>
      <c r="I34" s="57"/>
      <c r="J34" s="56"/>
      <c r="K34" s="56"/>
      <c r="L34" s="56"/>
      <c r="M34" s="56"/>
      <c r="N34" s="56"/>
      <c r="O34" s="197"/>
      <c r="P34" s="197"/>
      <c r="Q34" s="56"/>
    </row>
    <row r="35" spans="2:18" s="53" customFormat="1" ht="9">
      <c r="P35" s="197"/>
      <c r="Q35" s="56"/>
    </row>
    <row r="36" spans="2:18" s="53" customFormat="1" ht="9">
      <c r="P36" s="197"/>
      <c r="Q36" s="56"/>
    </row>
    <row r="37" spans="2:18" s="53" customFormat="1" ht="9">
      <c r="B37" s="56"/>
      <c r="C37" s="56"/>
      <c r="D37" s="56"/>
      <c r="E37" s="56"/>
      <c r="F37" s="56"/>
      <c r="G37" s="56"/>
      <c r="H37" s="56"/>
      <c r="I37" s="57"/>
      <c r="J37" s="56"/>
      <c r="K37" s="56"/>
      <c r="L37" s="56"/>
      <c r="M37" s="56"/>
      <c r="N37" s="56"/>
      <c r="O37" s="197"/>
      <c r="P37" s="197"/>
      <c r="Q37" s="56"/>
    </row>
    <row r="38" spans="2:18" s="53" customFormat="1" ht="9">
      <c r="B38" s="56"/>
      <c r="C38" s="56"/>
      <c r="D38" s="56"/>
      <c r="E38" s="56"/>
      <c r="F38" s="56"/>
      <c r="G38" s="56"/>
      <c r="H38" s="56"/>
      <c r="I38" s="57"/>
      <c r="J38" s="56"/>
      <c r="K38" s="56"/>
      <c r="L38" s="56"/>
      <c r="M38" s="56"/>
      <c r="N38" s="56"/>
      <c r="O38" s="197"/>
      <c r="P38" s="197"/>
      <c r="Q38" s="56"/>
    </row>
    <row r="39" spans="2:18" s="53" customFormat="1" ht="9">
      <c r="B39" s="56"/>
      <c r="C39" s="56"/>
      <c r="D39" s="56"/>
      <c r="E39" s="56"/>
      <c r="F39" s="56"/>
      <c r="G39" s="56"/>
      <c r="H39" s="56"/>
      <c r="I39" s="57"/>
      <c r="J39" s="56"/>
      <c r="K39" s="56"/>
      <c r="L39" s="56"/>
      <c r="M39" s="56"/>
      <c r="N39" s="56"/>
      <c r="O39" s="197"/>
      <c r="P39" s="197"/>
      <c r="Q39" s="56"/>
    </row>
    <row r="40" spans="2:18" s="53" customFormat="1" ht="9">
      <c r="B40" s="56"/>
      <c r="C40" s="56"/>
      <c r="D40" s="56"/>
      <c r="E40" s="56"/>
      <c r="F40" s="56"/>
      <c r="G40" s="56"/>
      <c r="H40" s="56"/>
      <c r="I40" s="57"/>
      <c r="J40" s="56"/>
      <c r="K40" s="56"/>
      <c r="L40" s="56"/>
      <c r="M40" s="56"/>
      <c r="N40" s="56"/>
      <c r="O40" s="197"/>
      <c r="P40" s="197"/>
      <c r="Q40" s="56"/>
    </row>
    <row r="41" spans="2:18" s="53" customFormat="1" ht="9">
      <c r="B41" s="56"/>
      <c r="C41" s="56"/>
      <c r="D41" s="56"/>
      <c r="E41" s="56"/>
      <c r="F41" s="56"/>
      <c r="G41" s="56"/>
      <c r="H41" s="56"/>
      <c r="I41" s="57"/>
      <c r="J41" s="56"/>
      <c r="K41" s="56"/>
      <c r="L41" s="56"/>
      <c r="M41" s="56"/>
      <c r="N41" s="56"/>
      <c r="O41" s="197"/>
      <c r="P41" s="197"/>
      <c r="Q41" s="56"/>
    </row>
    <row r="42" spans="2:18" s="53" customFormat="1">
      <c r="B42" s="56"/>
      <c r="C42" s="56"/>
      <c r="D42" s="56"/>
      <c r="E42" s="56"/>
      <c r="F42" s="56"/>
      <c r="G42" s="56"/>
      <c r="H42" s="56"/>
      <c r="I42" s="57"/>
      <c r="J42" s="56"/>
      <c r="K42" s="56"/>
      <c r="L42" s="56"/>
      <c r="M42" s="56"/>
      <c r="N42" s="56"/>
      <c r="O42" s="197"/>
      <c r="P42" s="197"/>
      <c r="Q42" s="56"/>
      <c r="R42" s="114"/>
    </row>
  </sheetData>
  <mergeCells count="4">
    <mergeCell ref="A1:Q1"/>
    <mergeCell ref="A2:Q2"/>
    <mergeCell ref="A30:O30"/>
    <mergeCell ref="A29:O29"/>
  </mergeCells>
  <phoneticPr fontId="7" type="noConversion"/>
  <pageMargins left="0.25" right="0.25" top="0.5" bottom="0.75" header="0.5" footer="0.5"/>
  <pageSetup scale="56" orientation="landscape" r:id="rId1"/>
  <headerFooter alignWithMargins="0"/>
</worksheet>
</file>

<file path=xl/worksheets/sheet43.xml><?xml version="1.0" encoding="utf-8"?>
<worksheet xmlns="http://schemas.openxmlformats.org/spreadsheetml/2006/main" xmlns:r="http://schemas.openxmlformats.org/officeDocument/2006/relationships">
  <sheetPr>
    <pageSetUpPr fitToPage="1"/>
  </sheetPr>
  <dimension ref="A1:S58"/>
  <sheetViews>
    <sheetView zoomScaleNormal="100" workbookViewId="0">
      <pane xSplit="1" ySplit="2" topLeftCell="B3" activePane="bottomRight" state="frozen"/>
      <selection activeCell="P31" sqref="P31"/>
      <selection pane="topRight" activeCell="P31" sqref="P31"/>
      <selection pane="bottomLeft" activeCell="P31" sqref="P31"/>
      <selection pane="bottomRight" activeCell="P10" sqref="P10"/>
    </sheetView>
  </sheetViews>
  <sheetFormatPr defaultRowHeight="11.25"/>
  <cols>
    <col min="1" max="1" width="36.5703125" style="114" customWidth="1"/>
    <col min="2" max="2" width="8.85546875" style="54" bestFit="1" customWidth="1"/>
    <col min="3" max="3" width="8" style="54" hidden="1" customWidth="1"/>
    <col min="4" max="4" width="8.42578125" style="54" bestFit="1" customWidth="1"/>
    <col min="5" max="5" width="9.28515625" style="54" bestFit="1" customWidth="1"/>
    <col min="6" max="6" width="8.7109375" style="54" customWidth="1"/>
    <col min="7" max="7" width="9.28515625" style="54" bestFit="1" customWidth="1"/>
    <col min="8" max="8" width="7.85546875" style="54" bestFit="1" customWidth="1"/>
    <col min="9" max="9" width="9.42578125" style="55" bestFit="1" customWidth="1"/>
    <col min="10" max="11" width="6.85546875" style="54" bestFit="1" customWidth="1"/>
    <col min="12" max="12" width="8.7109375" style="54" customWidth="1"/>
    <col min="13" max="13" width="7.85546875" style="54" hidden="1" customWidth="1"/>
    <col min="14" max="14" width="10.140625" style="54" customWidth="1"/>
    <col min="15" max="15" width="10.140625" style="196" bestFit="1" customWidth="1"/>
    <col min="16" max="16" width="10" style="196" bestFit="1" customWidth="1"/>
    <col min="17" max="17" width="2.5703125" style="54" bestFit="1" customWidth="1"/>
    <col min="18" max="19" width="0" style="114" hidden="1" customWidth="1"/>
    <col min="20" max="20" width="11.140625" style="114" customWidth="1"/>
    <col min="21" max="21" width="8.5703125" style="114" customWidth="1"/>
    <col min="22" max="16384" width="9.140625" style="114"/>
  </cols>
  <sheetData>
    <row r="1" spans="1:19">
      <c r="A1" s="410" t="s">
        <v>129</v>
      </c>
      <c r="B1" s="410"/>
      <c r="C1" s="410"/>
      <c r="D1" s="410"/>
      <c r="E1" s="410"/>
      <c r="F1" s="410"/>
      <c r="G1" s="410"/>
      <c r="H1" s="410"/>
      <c r="I1" s="410"/>
      <c r="J1" s="410"/>
      <c r="K1" s="410"/>
      <c r="L1" s="410"/>
      <c r="M1" s="410"/>
      <c r="N1" s="410"/>
      <c r="O1" s="410"/>
      <c r="P1" s="410"/>
      <c r="Q1" s="410"/>
    </row>
    <row r="2" spans="1:19">
      <c r="A2" s="411" t="s">
        <v>330</v>
      </c>
      <c r="B2" s="411"/>
      <c r="C2" s="411"/>
      <c r="D2" s="411"/>
      <c r="E2" s="411"/>
      <c r="F2" s="411"/>
      <c r="G2" s="411"/>
      <c r="H2" s="411"/>
      <c r="I2" s="411"/>
      <c r="J2" s="411"/>
      <c r="K2" s="411"/>
      <c r="L2" s="411"/>
      <c r="M2" s="411"/>
      <c r="N2" s="411"/>
      <c r="O2" s="411"/>
      <c r="P2" s="411"/>
      <c r="Q2" s="411"/>
    </row>
    <row r="3" spans="1:19" s="193" customFormat="1" ht="63">
      <c r="A3" s="45" t="s">
        <v>392</v>
      </c>
      <c r="B3" s="45" t="s">
        <v>393</v>
      </c>
      <c r="C3" s="45" t="s">
        <v>430</v>
      </c>
      <c r="D3" s="45" t="s">
        <v>4</v>
      </c>
      <c r="E3" s="45" t="s">
        <v>94</v>
      </c>
      <c r="F3" s="45" t="s">
        <v>5</v>
      </c>
      <c r="G3" s="12" t="s">
        <v>176</v>
      </c>
      <c r="H3" s="45" t="s">
        <v>459</v>
      </c>
      <c r="I3" s="60" t="s">
        <v>460</v>
      </c>
      <c r="J3" s="100" t="s">
        <v>462</v>
      </c>
      <c r="K3" s="100" t="s">
        <v>463</v>
      </c>
      <c r="L3" s="100" t="s">
        <v>461</v>
      </c>
      <c r="M3" s="45" t="s">
        <v>391</v>
      </c>
      <c r="N3" s="45" t="s">
        <v>8</v>
      </c>
      <c r="O3" s="100" t="s">
        <v>96</v>
      </c>
      <c r="P3" s="100" t="s">
        <v>175</v>
      </c>
      <c r="Q3" s="182" t="s">
        <v>394</v>
      </c>
      <c r="R3" s="193" t="s">
        <v>307</v>
      </c>
      <c r="S3" s="193" t="s">
        <v>308</v>
      </c>
    </row>
    <row r="4" spans="1:19" s="147" customFormat="1" ht="9">
      <c r="A4" s="194" t="s">
        <v>405</v>
      </c>
      <c r="B4" s="179" t="s">
        <v>433</v>
      </c>
      <c r="C4" s="179"/>
      <c r="D4" s="181"/>
      <c r="E4" s="181"/>
      <c r="F4" s="181"/>
      <c r="G4" s="179"/>
      <c r="H4" s="179"/>
      <c r="I4" s="183"/>
      <c r="J4" s="179"/>
      <c r="K4" s="179"/>
      <c r="L4" s="179"/>
      <c r="M4" s="179"/>
      <c r="N4" s="181"/>
      <c r="O4" s="181"/>
      <c r="P4" s="181"/>
      <c r="Q4" s="249"/>
    </row>
    <row r="5" spans="1:19" s="147" customFormat="1" ht="9">
      <c r="A5" s="143" t="s">
        <v>406</v>
      </c>
      <c r="B5" s="44" t="s">
        <v>433</v>
      </c>
      <c r="C5" s="44"/>
      <c r="D5" s="52"/>
      <c r="E5" s="52"/>
      <c r="F5" s="52"/>
      <c r="G5" s="44"/>
      <c r="H5" s="44"/>
      <c r="I5" s="92"/>
      <c r="J5" s="44"/>
      <c r="K5" s="44"/>
      <c r="L5" s="44"/>
      <c r="M5" s="44"/>
      <c r="N5" s="52"/>
      <c r="O5" s="52"/>
      <c r="P5" s="52"/>
      <c r="Q5" s="94"/>
    </row>
    <row r="6" spans="1:19" s="147" customFormat="1" ht="9">
      <c r="A6" s="143" t="s">
        <v>407</v>
      </c>
      <c r="B6" s="44"/>
      <c r="C6" s="44"/>
      <c r="D6" s="52"/>
      <c r="E6" s="52"/>
      <c r="F6" s="52"/>
      <c r="G6" s="44"/>
      <c r="H6" s="44"/>
      <c r="I6" s="92"/>
      <c r="J6" s="44"/>
      <c r="K6" s="44"/>
      <c r="L6" s="44"/>
      <c r="M6" s="44"/>
      <c r="N6" s="52"/>
      <c r="O6" s="52"/>
      <c r="P6" s="52"/>
      <c r="Q6" s="94"/>
    </row>
    <row r="7" spans="1:19" s="147" customFormat="1" ht="9">
      <c r="A7" s="143" t="s">
        <v>408</v>
      </c>
      <c r="B7" s="44">
        <v>40</v>
      </c>
      <c r="C7" s="44"/>
      <c r="D7" s="52">
        <v>0</v>
      </c>
      <c r="E7" s="52">
        <v>0</v>
      </c>
      <c r="F7" s="52">
        <v>0</v>
      </c>
      <c r="G7" s="44">
        <v>1</v>
      </c>
      <c r="H7" s="44">
        <f>B7*G7</f>
        <v>40</v>
      </c>
      <c r="I7" s="91">
        <f>ROUND('Base Data'!$H$70/3,0)</f>
        <v>3</v>
      </c>
      <c r="J7" s="91">
        <f>H7*I7</f>
        <v>120</v>
      </c>
      <c r="K7" s="91">
        <f>J7*0.1</f>
        <v>12</v>
      </c>
      <c r="L7" s="91">
        <f>J7*0.05</f>
        <v>6</v>
      </c>
      <c r="M7" s="44">
        <f>C7*G7*I7</f>
        <v>0</v>
      </c>
      <c r="N7" s="52">
        <f>(J7*'Base Data'!$C$5)+(K7*'Base Data'!$C$6)+(L7*'Base Data'!$C$7)</f>
        <v>13053.300000000001</v>
      </c>
      <c r="O7" s="52">
        <f>(D7+E7+F7)*G7*I7</f>
        <v>0</v>
      </c>
      <c r="P7" s="92">
        <v>0</v>
      </c>
      <c r="Q7" s="94" t="s">
        <v>387</v>
      </c>
    </row>
    <row r="8" spans="1:19" s="147" customFormat="1" ht="9">
      <c r="A8" s="143" t="s">
        <v>409</v>
      </c>
      <c r="B8" s="44"/>
      <c r="C8" s="44"/>
      <c r="D8" s="52"/>
      <c r="E8" s="52"/>
      <c r="F8" s="52"/>
      <c r="G8" s="44"/>
      <c r="H8" s="44"/>
      <c r="I8" s="92"/>
      <c r="J8" s="44"/>
      <c r="K8" s="44"/>
      <c r="L8" s="44"/>
      <c r="M8" s="44"/>
      <c r="N8" s="52"/>
      <c r="O8" s="52"/>
      <c r="P8" s="92"/>
      <c r="Q8" s="94"/>
    </row>
    <row r="9" spans="1:19" s="147" customFormat="1" ht="9">
      <c r="A9" s="143" t="s">
        <v>500</v>
      </c>
      <c r="B9" s="44">
        <v>12</v>
      </c>
      <c r="C9" s="44"/>
      <c r="D9" s="52">
        <v>0</v>
      </c>
      <c r="E9" s="52">
        <v>2228</v>
      </c>
      <c r="F9" s="52">
        <v>0</v>
      </c>
      <c r="G9" s="44">
        <v>0.5</v>
      </c>
      <c r="H9" s="44">
        <f>B9*G9</f>
        <v>6</v>
      </c>
      <c r="I9" s="91">
        <f>ROUND('Base Data'!$D$70/3,0)</f>
        <v>9</v>
      </c>
      <c r="J9" s="91">
        <f>H9*I9</f>
        <v>54</v>
      </c>
      <c r="K9" s="91">
        <f>J9*0.1</f>
        <v>5.4</v>
      </c>
      <c r="L9" s="91">
        <f>J9*0.05</f>
        <v>2.7</v>
      </c>
      <c r="M9" s="92"/>
      <c r="N9" s="52">
        <f>(J9*'Base Data'!$C$5)+(K9*'Base Data'!$C$6)+(L9*'Base Data'!$C$7)</f>
        <v>5873.9849999999997</v>
      </c>
      <c r="O9" s="52">
        <f>(D9+E9+F9)*I9</f>
        <v>20052</v>
      </c>
      <c r="P9" s="92">
        <v>0</v>
      </c>
      <c r="Q9" s="94" t="s">
        <v>387</v>
      </c>
    </row>
    <row r="10" spans="1:19" s="147" customFormat="1" ht="9">
      <c r="A10" s="143" t="s">
        <v>415</v>
      </c>
      <c r="B10" s="44" t="s">
        <v>433</v>
      </c>
      <c r="C10" s="44"/>
      <c r="D10" s="52"/>
      <c r="E10" s="52"/>
      <c r="F10" s="52"/>
      <c r="G10" s="44"/>
      <c r="H10" s="44"/>
      <c r="I10" s="92"/>
      <c r="J10" s="44"/>
      <c r="K10" s="44"/>
      <c r="L10" s="44"/>
      <c r="M10" s="44"/>
      <c r="N10" s="52"/>
      <c r="O10" s="52"/>
      <c r="P10" s="92"/>
      <c r="Q10" s="94"/>
    </row>
    <row r="11" spans="1:19" s="147" customFormat="1" ht="9">
      <c r="A11" s="143" t="s">
        <v>416</v>
      </c>
      <c r="B11" s="44" t="s">
        <v>433</v>
      </c>
      <c r="C11" s="44"/>
      <c r="D11" s="52"/>
      <c r="E11" s="52"/>
      <c r="F11" s="52"/>
      <c r="G11" s="44"/>
      <c r="H11" s="44"/>
      <c r="I11" s="92"/>
      <c r="J11" s="44"/>
      <c r="K11" s="44"/>
      <c r="L11" s="44"/>
      <c r="M11" s="44"/>
      <c r="N11" s="52"/>
      <c r="O11" s="52"/>
      <c r="P11" s="92"/>
      <c r="Q11" s="94"/>
    </row>
    <row r="12" spans="1:19" s="147" customFormat="1" ht="9">
      <c r="A12" s="143" t="s">
        <v>417</v>
      </c>
      <c r="B12" s="44"/>
      <c r="C12" s="44"/>
      <c r="D12" s="52"/>
      <c r="E12" s="52"/>
      <c r="F12" s="52"/>
      <c r="G12" s="44"/>
      <c r="H12" s="44"/>
      <c r="I12" s="92"/>
      <c r="J12" s="44"/>
      <c r="K12" s="44"/>
      <c r="L12" s="44"/>
      <c r="M12" s="44"/>
      <c r="N12" s="52"/>
      <c r="O12" s="52"/>
      <c r="P12" s="92"/>
      <c r="Q12" s="94"/>
    </row>
    <row r="13" spans="1:19" s="147" customFormat="1" ht="9">
      <c r="A13" s="177" t="s">
        <v>435</v>
      </c>
      <c r="B13" s="44">
        <v>2</v>
      </c>
      <c r="C13" s="44"/>
      <c r="D13" s="52">
        <v>0</v>
      </c>
      <c r="E13" s="52">
        <v>0</v>
      </c>
      <c r="F13" s="52">
        <v>0</v>
      </c>
      <c r="G13" s="44">
        <v>1</v>
      </c>
      <c r="H13" s="44">
        <f>B13*G13</f>
        <v>2</v>
      </c>
      <c r="I13" s="91">
        <f>$I$7</f>
        <v>3</v>
      </c>
      <c r="J13" s="91">
        <f>H13*I13</f>
        <v>6</v>
      </c>
      <c r="K13" s="91">
        <f>J13*0.1</f>
        <v>0.60000000000000009</v>
      </c>
      <c r="L13" s="91">
        <f>J13*0.05</f>
        <v>0.30000000000000004</v>
      </c>
      <c r="M13" s="44">
        <f>C13*G13*I13</f>
        <v>0</v>
      </c>
      <c r="N13" s="52">
        <f>(J13*'Base Data'!$C$5)+(K13*'Base Data'!$C$6)+(L13*'Base Data'!$C$7)</f>
        <v>652.66500000000008</v>
      </c>
      <c r="O13" s="52">
        <f>(D13+E13+F13)*G13*I13</f>
        <v>0</v>
      </c>
      <c r="P13" s="92">
        <f>G13*I13</f>
        <v>3</v>
      </c>
      <c r="Q13" s="94" t="s">
        <v>387</v>
      </c>
    </row>
    <row r="14" spans="1:19" s="147" customFormat="1" ht="9">
      <c r="A14" s="177" t="s">
        <v>377</v>
      </c>
      <c r="B14" s="44">
        <v>8</v>
      </c>
      <c r="C14" s="44"/>
      <c r="D14" s="52">
        <v>0</v>
      </c>
      <c r="E14" s="52">
        <v>0</v>
      </c>
      <c r="F14" s="52">
        <v>0</v>
      </c>
      <c r="G14" s="44">
        <v>1</v>
      </c>
      <c r="H14" s="44">
        <f>B14*G14</f>
        <v>8</v>
      </c>
      <c r="I14" s="91">
        <f>$I$7</f>
        <v>3</v>
      </c>
      <c r="J14" s="91">
        <f>H14*I14</f>
        <v>24</v>
      </c>
      <c r="K14" s="91">
        <f>J14*0.1</f>
        <v>2.4000000000000004</v>
      </c>
      <c r="L14" s="91">
        <f>J14*0.05</f>
        <v>1.2000000000000002</v>
      </c>
      <c r="M14" s="44">
        <f>C14*G14*I14</f>
        <v>0</v>
      </c>
      <c r="N14" s="52">
        <f>(J14*'Base Data'!$C$5)+(K14*'Base Data'!$C$6)+(L14*'Base Data'!$C$7)</f>
        <v>2610.6600000000003</v>
      </c>
      <c r="O14" s="52">
        <f>(D14+E14+F14)*G14*I14</f>
        <v>0</v>
      </c>
      <c r="P14" s="92">
        <f>G14*I14</f>
        <v>3</v>
      </c>
      <c r="Q14" s="94" t="s">
        <v>387</v>
      </c>
    </row>
    <row r="15" spans="1:19" s="147" customFormat="1" ht="9">
      <c r="A15" s="177" t="s">
        <v>11</v>
      </c>
      <c r="B15" s="44">
        <v>5</v>
      </c>
      <c r="C15" s="44"/>
      <c r="D15" s="52">
        <v>0</v>
      </c>
      <c r="E15" s="52">
        <v>0</v>
      </c>
      <c r="F15" s="52">
        <v>0</v>
      </c>
      <c r="G15" s="44">
        <v>0.5</v>
      </c>
      <c r="H15" s="44">
        <f>B15*G15</f>
        <v>2.5</v>
      </c>
      <c r="I15" s="91">
        <f>$I$7+'Fac-NewSmlGas-Yr1'!$I$15</f>
        <v>6</v>
      </c>
      <c r="J15" s="91">
        <f>H15*I15</f>
        <v>15</v>
      </c>
      <c r="K15" s="91">
        <f>J15*0.1</f>
        <v>1.5</v>
      </c>
      <c r="L15" s="91">
        <f>J15*0.05</f>
        <v>0.75</v>
      </c>
      <c r="M15" s="44">
        <f>C15*G15*I15</f>
        <v>0</v>
      </c>
      <c r="N15" s="52">
        <f>(J15*'Base Data'!$C$5)+(K15*'Base Data'!$C$6)+(L15*'Base Data'!$C$7)</f>
        <v>1631.6625000000001</v>
      </c>
      <c r="O15" s="52">
        <f>(D15+E15+F15)*G15*I15</f>
        <v>0</v>
      </c>
      <c r="P15" s="92">
        <f>G15*I15</f>
        <v>3</v>
      </c>
      <c r="Q15" s="94" t="s">
        <v>387</v>
      </c>
    </row>
    <row r="16" spans="1:19" s="147" customFormat="1" ht="9">
      <c r="A16" s="148" t="s">
        <v>7</v>
      </c>
      <c r="B16" s="44"/>
      <c r="C16" s="44"/>
      <c r="D16" s="52"/>
      <c r="E16" s="52"/>
      <c r="F16" s="52"/>
      <c r="G16" s="44"/>
      <c r="H16" s="44"/>
      <c r="I16" s="92"/>
      <c r="J16" s="92">
        <f t="shared" ref="J16:O16" si="0">SUM(J7:J15)</f>
        <v>219</v>
      </c>
      <c r="K16" s="92">
        <f t="shared" si="0"/>
        <v>21.9</v>
      </c>
      <c r="L16" s="92">
        <f t="shared" si="0"/>
        <v>10.95</v>
      </c>
      <c r="M16" s="92">
        <f t="shared" si="0"/>
        <v>0</v>
      </c>
      <c r="N16" s="92">
        <f t="shared" si="0"/>
        <v>23822.272499999999</v>
      </c>
      <c r="O16" s="92">
        <f t="shared" si="0"/>
        <v>20052</v>
      </c>
      <c r="P16" s="92">
        <f>SUM(P13:P15)</f>
        <v>9</v>
      </c>
      <c r="Q16" s="94"/>
      <c r="R16" s="149">
        <f>SUM(O7:O9)</f>
        <v>20052</v>
      </c>
      <c r="S16" s="147">
        <f>0</f>
        <v>0</v>
      </c>
    </row>
    <row r="17" spans="1:18" s="147" customFormat="1" ht="9">
      <c r="A17" s="143" t="s">
        <v>431</v>
      </c>
      <c r="B17" s="44"/>
      <c r="C17" s="44"/>
      <c r="D17" s="52"/>
      <c r="E17" s="52"/>
      <c r="F17" s="52"/>
      <c r="G17" s="44"/>
      <c r="H17" s="44"/>
      <c r="I17" s="92"/>
      <c r="J17" s="44"/>
      <c r="K17" s="44"/>
      <c r="L17" s="44"/>
      <c r="M17" s="44"/>
      <c r="N17" s="52"/>
      <c r="O17" s="52"/>
      <c r="P17" s="92"/>
      <c r="Q17" s="94"/>
    </row>
    <row r="18" spans="1:18" s="147" customFormat="1" ht="9">
      <c r="A18" s="143" t="s">
        <v>418</v>
      </c>
      <c r="B18" s="44" t="s">
        <v>422</v>
      </c>
      <c r="C18" s="44"/>
      <c r="D18" s="52"/>
      <c r="E18" s="52"/>
      <c r="F18" s="52"/>
      <c r="G18" s="44"/>
      <c r="H18" s="44"/>
      <c r="I18" s="92"/>
      <c r="J18" s="44"/>
      <c r="K18" s="44"/>
      <c r="L18" s="44"/>
      <c r="M18" s="44"/>
      <c r="N18" s="52"/>
      <c r="O18" s="52"/>
      <c r="P18" s="92"/>
      <c r="Q18" s="94"/>
    </row>
    <row r="19" spans="1:18" s="147" customFormat="1" ht="9">
      <c r="A19" s="143" t="s">
        <v>419</v>
      </c>
      <c r="B19" s="44" t="s">
        <v>433</v>
      </c>
      <c r="C19" s="44"/>
      <c r="D19" s="52"/>
      <c r="E19" s="52"/>
      <c r="F19" s="52"/>
      <c r="G19" s="44"/>
      <c r="H19" s="44"/>
      <c r="I19" s="92"/>
      <c r="J19" s="44"/>
      <c r="K19" s="44"/>
      <c r="L19" s="44"/>
      <c r="M19" s="44"/>
      <c r="N19" s="52"/>
      <c r="O19" s="52"/>
      <c r="P19" s="92"/>
      <c r="Q19" s="94"/>
    </row>
    <row r="20" spans="1:18" s="147" customFormat="1" ht="9">
      <c r="A20" s="143" t="s">
        <v>420</v>
      </c>
      <c r="B20" s="44" t="s">
        <v>433</v>
      </c>
      <c r="C20" s="44"/>
      <c r="D20" s="52"/>
      <c r="E20" s="52"/>
      <c r="F20" s="52"/>
      <c r="G20" s="44"/>
      <c r="H20" s="44"/>
      <c r="I20" s="92"/>
      <c r="J20" s="44"/>
      <c r="K20" s="44"/>
      <c r="L20" s="44"/>
      <c r="M20" s="44"/>
      <c r="N20" s="52"/>
      <c r="O20" s="52"/>
      <c r="P20" s="92"/>
      <c r="Q20" s="94" t="s">
        <v>132</v>
      </c>
    </row>
    <row r="21" spans="1:18" s="147" customFormat="1" ht="9">
      <c r="A21" s="143" t="s">
        <v>421</v>
      </c>
      <c r="B21" s="44"/>
      <c r="C21" s="44"/>
      <c r="D21" s="52"/>
      <c r="E21" s="52"/>
      <c r="F21" s="52"/>
      <c r="G21" s="44"/>
      <c r="H21" s="44"/>
      <c r="I21" s="92"/>
      <c r="J21" s="44"/>
      <c r="K21" s="44"/>
      <c r="L21" s="44"/>
      <c r="M21" s="44"/>
      <c r="N21" s="52"/>
      <c r="O21" s="52"/>
      <c r="P21" s="92"/>
      <c r="Q21" s="94"/>
    </row>
    <row r="22" spans="1:18" s="147" customFormat="1" ht="19.5" customHeight="1">
      <c r="A22" s="177" t="s">
        <v>375</v>
      </c>
      <c r="B22" s="44">
        <v>2</v>
      </c>
      <c r="C22" s="44">
        <v>0</v>
      </c>
      <c r="D22" s="52">
        <v>0</v>
      </c>
      <c r="E22" s="52">
        <v>0</v>
      </c>
      <c r="F22" s="52">
        <v>0</v>
      </c>
      <c r="G22" s="44">
        <v>0.5</v>
      </c>
      <c r="H22" s="44">
        <f>B22*G22</f>
        <v>1</v>
      </c>
      <c r="I22" s="92">
        <f>'Fac-NewSmlGas-Yr1'!$I$22+'Fac-NewSmlGas-Yr2'!$I$9</f>
        <v>19</v>
      </c>
      <c r="J22" s="91">
        <f>H22*I22</f>
        <v>19</v>
      </c>
      <c r="K22" s="91">
        <f>J22*0.1</f>
        <v>1.9000000000000001</v>
      </c>
      <c r="L22" s="91">
        <f>J22*0.05</f>
        <v>0.95000000000000007</v>
      </c>
      <c r="M22" s="44">
        <f>C22*G22*I22</f>
        <v>0</v>
      </c>
      <c r="N22" s="52">
        <f>(J22*'Base Data'!$C$5)+(K22*'Base Data'!$C$6)+(L22*'Base Data'!$C$7)</f>
        <v>2066.7725</v>
      </c>
      <c r="O22" s="52">
        <f>(D22+E22+F22)*G22*I22</f>
        <v>0</v>
      </c>
      <c r="P22" s="92">
        <v>0</v>
      </c>
      <c r="Q22" s="94" t="s">
        <v>387</v>
      </c>
    </row>
    <row r="23" spans="1:18" s="147" customFormat="1" ht="9">
      <c r="A23" s="177" t="s">
        <v>501</v>
      </c>
      <c r="B23" s="44">
        <v>0.5</v>
      </c>
      <c r="C23" s="44"/>
      <c r="D23" s="52">
        <v>0</v>
      </c>
      <c r="E23" s="52">
        <v>0</v>
      </c>
      <c r="F23" s="52">
        <v>0</v>
      </c>
      <c r="G23" s="44">
        <v>0.5</v>
      </c>
      <c r="H23" s="44">
        <f>B23*G23</f>
        <v>0.25</v>
      </c>
      <c r="I23" s="92">
        <f>'Fac-NewSmlGas-Yr1'!$I$22+'Fac-NewSmlGas-Yr2'!$I$9</f>
        <v>19</v>
      </c>
      <c r="J23" s="91">
        <f>H23*I23</f>
        <v>4.75</v>
      </c>
      <c r="K23" s="91">
        <f>J23*0.1</f>
        <v>0.47500000000000003</v>
      </c>
      <c r="L23" s="91">
        <f>J23*0.05</f>
        <v>0.23750000000000002</v>
      </c>
      <c r="M23" s="44">
        <f>C23*G23*I23</f>
        <v>0</v>
      </c>
      <c r="N23" s="52">
        <f>(J23*'Base Data'!$C$5)+(K23*'Base Data'!$C$6)+(L23*'Base Data'!$C$7)</f>
        <v>516.69312500000001</v>
      </c>
      <c r="O23" s="52">
        <f>(D23+E23+F23)*G23*I23</f>
        <v>0</v>
      </c>
      <c r="P23" s="92">
        <v>0</v>
      </c>
      <c r="Q23" s="94" t="s">
        <v>387</v>
      </c>
    </row>
    <row r="24" spans="1:18" s="6" customFormat="1" ht="9">
      <c r="A24" s="142" t="s">
        <v>427</v>
      </c>
      <c r="B24" s="44">
        <v>40</v>
      </c>
      <c r="C24" s="18"/>
      <c r="D24" s="39">
        <v>0</v>
      </c>
      <c r="E24" s="39">
        <v>0</v>
      </c>
      <c r="F24" s="39">
        <v>0</v>
      </c>
      <c r="G24" s="18">
        <v>1</v>
      </c>
      <c r="H24" s="18">
        <f t="shared" ref="H24" si="1">B24*G24</f>
        <v>40</v>
      </c>
      <c r="I24" s="91">
        <f>$I$7</f>
        <v>3</v>
      </c>
      <c r="J24" s="19">
        <f t="shared" ref="J24" si="2">H24*I24</f>
        <v>120</v>
      </c>
      <c r="K24" s="19">
        <f t="shared" ref="K24" si="3">J24*0.1</f>
        <v>12</v>
      </c>
      <c r="L24" s="19">
        <f t="shared" ref="L24" si="4">J24*0.05</f>
        <v>6</v>
      </c>
      <c r="M24" s="18"/>
      <c r="N24" s="39">
        <f>(J24*'Base Data'!$C$5)+(K24*'Base Data'!$C$6)+(L24*'Base Data'!$C$7)</f>
        <v>13053.300000000001</v>
      </c>
      <c r="O24" s="39">
        <f t="shared" ref="O24" si="5">(D24+E24+F24)*G24*I24</f>
        <v>0</v>
      </c>
      <c r="P24" s="92">
        <v>0</v>
      </c>
      <c r="Q24" s="29" t="s">
        <v>387</v>
      </c>
    </row>
    <row r="25" spans="1:18" s="147" customFormat="1" ht="9">
      <c r="A25" s="143" t="s">
        <v>428</v>
      </c>
      <c r="B25" s="44" t="s">
        <v>433</v>
      </c>
      <c r="C25" s="44"/>
      <c r="D25" s="52"/>
      <c r="E25" s="52"/>
      <c r="F25" s="52"/>
      <c r="G25" s="44"/>
      <c r="H25" s="44"/>
      <c r="I25" s="92"/>
      <c r="J25" s="44"/>
      <c r="K25" s="44"/>
      <c r="L25" s="44"/>
      <c r="M25" s="44"/>
      <c r="N25" s="52"/>
      <c r="O25" s="52"/>
      <c r="P25" s="92"/>
      <c r="Q25" s="94"/>
    </row>
    <row r="26" spans="1:18" s="147" customFormat="1" ht="9">
      <c r="A26" s="256" t="s">
        <v>27</v>
      </c>
      <c r="B26" s="239"/>
      <c r="C26" s="239"/>
      <c r="D26" s="240"/>
      <c r="E26" s="240"/>
      <c r="F26" s="240"/>
      <c r="G26" s="239"/>
      <c r="H26" s="239"/>
      <c r="I26" s="241"/>
      <c r="J26" s="239">
        <f t="shared" ref="J26:O26" si="6">SUM(J18:J25)</f>
        <v>143.75</v>
      </c>
      <c r="K26" s="239">
        <f t="shared" si="6"/>
        <v>14.375</v>
      </c>
      <c r="L26" s="239">
        <f t="shared" si="6"/>
        <v>7.1875</v>
      </c>
      <c r="M26" s="239">
        <f t="shared" si="6"/>
        <v>0</v>
      </c>
      <c r="N26" s="240">
        <f t="shared" si="6"/>
        <v>15636.765625</v>
      </c>
      <c r="O26" s="240">
        <f t="shared" si="6"/>
        <v>0</v>
      </c>
      <c r="P26" s="241">
        <f>SUM(P18:P25)</f>
        <v>0</v>
      </c>
      <c r="Q26" s="242"/>
      <c r="R26" s="149">
        <f>SUM(O18:O26)</f>
        <v>0</v>
      </c>
    </row>
    <row r="27" spans="1:18" s="147" customFormat="1">
      <c r="A27" s="186" t="s">
        <v>400</v>
      </c>
      <c r="B27" s="187"/>
      <c r="C27" s="187"/>
      <c r="D27" s="187"/>
      <c r="E27" s="187"/>
      <c r="F27" s="187"/>
      <c r="G27" s="187"/>
      <c r="H27" s="187"/>
      <c r="I27" s="189"/>
      <c r="J27" s="190">
        <f t="shared" ref="J27:P27" si="7">SUM(J16,J26)</f>
        <v>362.75</v>
      </c>
      <c r="K27" s="190">
        <f t="shared" si="7"/>
        <v>36.274999999999999</v>
      </c>
      <c r="L27" s="190">
        <f t="shared" si="7"/>
        <v>18.137499999999999</v>
      </c>
      <c r="M27" s="190">
        <f t="shared" si="7"/>
        <v>0</v>
      </c>
      <c r="N27" s="191">
        <f t="shared" si="7"/>
        <v>39459.038124999999</v>
      </c>
      <c r="O27" s="191">
        <f t="shared" si="7"/>
        <v>20052</v>
      </c>
      <c r="P27" s="190">
        <f t="shared" si="7"/>
        <v>9</v>
      </c>
      <c r="Q27" s="192"/>
    </row>
    <row r="28" spans="1:18" s="53" customFormat="1" ht="9">
      <c r="B28" s="56"/>
      <c r="C28" s="56"/>
      <c r="D28" s="56"/>
      <c r="E28" s="56"/>
      <c r="F28" s="56"/>
      <c r="G28" s="56"/>
      <c r="H28" s="56"/>
      <c r="I28" s="57"/>
      <c r="J28" s="56"/>
      <c r="K28" s="56"/>
      <c r="L28" s="56"/>
      <c r="M28" s="56"/>
      <c r="N28" s="56"/>
      <c r="O28" s="197"/>
      <c r="P28" s="197"/>
      <c r="Q28" s="56"/>
    </row>
    <row r="29" spans="1:18" s="53" customFormat="1" ht="9">
      <c r="A29" s="412" t="s">
        <v>504</v>
      </c>
      <c r="B29" s="412"/>
      <c r="C29" s="412"/>
      <c r="D29" s="412"/>
      <c r="E29" s="412"/>
      <c r="F29" s="412"/>
      <c r="G29" s="412"/>
      <c r="H29" s="412"/>
      <c r="I29" s="412"/>
      <c r="J29" s="412"/>
      <c r="K29" s="412"/>
      <c r="L29" s="412"/>
      <c r="M29" s="412"/>
      <c r="N29" s="412"/>
      <c r="O29" s="412"/>
      <c r="P29" s="197"/>
      <c r="Q29" s="56"/>
    </row>
    <row r="30" spans="1:18" s="53" customFormat="1" ht="9" customHeight="1">
      <c r="A30" s="409" t="s">
        <v>131</v>
      </c>
      <c r="B30" s="409"/>
      <c r="C30" s="409"/>
      <c r="D30" s="409"/>
      <c r="E30" s="409"/>
      <c r="F30" s="409"/>
      <c r="G30" s="409"/>
      <c r="H30" s="409"/>
      <c r="I30" s="409"/>
      <c r="J30" s="409"/>
      <c r="K30" s="409"/>
      <c r="L30" s="409"/>
      <c r="M30" s="409"/>
      <c r="N30" s="409"/>
      <c r="O30" s="409"/>
      <c r="P30" s="197"/>
      <c r="Q30" s="56"/>
    </row>
    <row r="31" spans="1:18" s="53" customFormat="1" ht="9">
      <c r="A31" s="14" t="s">
        <v>574</v>
      </c>
      <c r="B31" s="56"/>
      <c r="C31" s="56"/>
      <c r="D31" s="56"/>
      <c r="E31" s="56"/>
      <c r="F31" s="56"/>
      <c r="G31" s="56"/>
      <c r="H31" s="56"/>
      <c r="I31" s="57"/>
      <c r="J31" s="56"/>
      <c r="K31" s="56"/>
      <c r="L31" s="56"/>
      <c r="M31" s="56"/>
      <c r="N31" s="56"/>
      <c r="O31" s="197"/>
      <c r="P31" s="197"/>
      <c r="Q31" s="56"/>
    </row>
    <row r="32" spans="1:18" s="53" customFormat="1" ht="9">
      <c r="B32" s="56"/>
      <c r="C32" s="56"/>
      <c r="D32" s="56"/>
      <c r="E32" s="56"/>
      <c r="F32" s="56"/>
      <c r="G32" s="56"/>
      <c r="H32" s="56"/>
      <c r="I32" s="57"/>
      <c r="J32" s="56"/>
      <c r="K32" s="56"/>
      <c r="L32" s="56"/>
      <c r="M32" s="56"/>
      <c r="N32" s="56"/>
      <c r="O32" s="197"/>
      <c r="P32" s="197"/>
      <c r="Q32" s="56"/>
    </row>
    <row r="33" spans="1:18" s="53" customFormat="1" ht="9">
      <c r="B33" s="56"/>
      <c r="C33" s="56"/>
      <c r="D33" s="56"/>
      <c r="E33" s="56"/>
      <c r="F33" s="56"/>
      <c r="G33" s="56"/>
      <c r="H33" s="56"/>
      <c r="I33" s="57"/>
      <c r="J33" s="56"/>
      <c r="K33" s="56"/>
      <c r="L33" s="56"/>
      <c r="M33" s="56"/>
      <c r="N33" s="56"/>
      <c r="O33" s="197"/>
      <c r="P33" s="197"/>
      <c r="Q33" s="56"/>
    </row>
    <row r="34" spans="1:18" s="53" customFormat="1" ht="9">
      <c r="B34" s="56"/>
      <c r="C34" s="56"/>
      <c r="D34" s="56"/>
      <c r="E34" s="56"/>
      <c r="F34" s="56"/>
      <c r="G34" s="56"/>
      <c r="H34" s="56"/>
      <c r="I34" s="57"/>
      <c r="J34" s="56"/>
      <c r="K34" s="56"/>
      <c r="L34" s="56"/>
      <c r="M34" s="56"/>
      <c r="N34" s="56"/>
      <c r="O34" s="197"/>
      <c r="P34" s="197"/>
      <c r="Q34" s="56"/>
    </row>
    <row r="35" spans="1:18" s="53" customFormat="1" ht="9">
      <c r="B35" s="56"/>
      <c r="C35" s="56"/>
      <c r="D35" s="56"/>
      <c r="E35" s="56"/>
      <c r="F35" s="56"/>
      <c r="G35" s="56"/>
      <c r="H35" s="56"/>
      <c r="I35" s="57"/>
      <c r="J35" s="56"/>
      <c r="K35" s="56"/>
      <c r="L35" s="56"/>
      <c r="M35" s="56"/>
      <c r="N35" s="56"/>
      <c r="O35" s="197"/>
      <c r="P35" s="197"/>
      <c r="Q35" s="56"/>
    </row>
    <row r="36" spans="1:18" s="53" customFormat="1" ht="9">
      <c r="A36" s="409"/>
      <c r="B36" s="409"/>
      <c r="C36" s="409"/>
      <c r="D36" s="409"/>
      <c r="E36" s="409"/>
      <c r="F36" s="409"/>
      <c r="G36" s="409"/>
      <c r="H36" s="409"/>
      <c r="I36" s="409"/>
      <c r="J36" s="409"/>
      <c r="K36" s="409"/>
      <c r="L36" s="409"/>
      <c r="M36" s="409"/>
      <c r="N36" s="409"/>
      <c r="O36" s="409"/>
      <c r="P36" s="197"/>
      <c r="Q36" s="56"/>
    </row>
    <row r="37" spans="1:18" s="53" customFormat="1" ht="9">
      <c r="A37" s="120"/>
      <c r="B37" s="119"/>
      <c r="C37" s="119"/>
      <c r="D37" s="119"/>
      <c r="E37" s="119"/>
      <c r="F37" s="119"/>
      <c r="G37" s="119"/>
      <c r="H37" s="119"/>
      <c r="I37" s="119"/>
      <c r="J37" s="119"/>
      <c r="K37" s="119"/>
      <c r="L37" s="119"/>
      <c r="M37" s="119"/>
      <c r="N37" s="119"/>
      <c r="O37" s="119"/>
      <c r="P37" s="197"/>
      <c r="Q37" s="56"/>
    </row>
    <row r="38" spans="1:18" s="53" customFormat="1" ht="9">
      <c r="A38" s="120"/>
      <c r="B38" s="119"/>
      <c r="C38" s="119"/>
      <c r="D38" s="119"/>
      <c r="E38" s="119"/>
      <c r="F38" s="119"/>
      <c r="G38" s="119"/>
      <c r="H38" s="119"/>
      <c r="I38" s="119"/>
      <c r="J38" s="119"/>
      <c r="K38" s="119"/>
      <c r="L38" s="119"/>
      <c r="M38" s="119"/>
      <c r="N38" s="119"/>
      <c r="O38" s="119"/>
      <c r="P38" s="197"/>
      <c r="Q38" s="56"/>
    </row>
    <row r="39" spans="1:18" s="53" customFormat="1" ht="9">
      <c r="B39" s="56"/>
      <c r="C39" s="56"/>
      <c r="D39" s="56"/>
      <c r="E39" s="56"/>
      <c r="F39" s="56"/>
      <c r="G39" s="56"/>
      <c r="H39" s="56"/>
      <c r="I39" s="57"/>
      <c r="J39" s="56"/>
      <c r="K39" s="56"/>
      <c r="L39" s="56"/>
      <c r="M39" s="56"/>
      <c r="N39" s="56"/>
      <c r="O39" s="197"/>
      <c r="P39" s="197"/>
      <c r="Q39" s="56"/>
    </row>
    <row r="40" spans="1:18" s="53" customFormat="1">
      <c r="B40" s="56"/>
      <c r="C40" s="56"/>
      <c r="D40" s="56"/>
      <c r="E40" s="56"/>
      <c r="F40" s="56"/>
      <c r="G40" s="56"/>
      <c r="H40" s="56"/>
      <c r="I40" s="57"/>
      <c r="J40" s="56"/>
      <c r="K40" s="56"/>
      <c r="L40" s="56"/>
      <c r="M40" s="56"/>
      <c r="N40" s="56"/>
      <c r="O40" s="197"/>
      <c r="P40" s="197"/>
      <c r="Q40" s="56"/>
      <c r="R40" s="114"/>
    </row>
    <row r="41" spans="1:18">
      <c r="Q41" s="56"/>
    </row>
    <row r="42" spans="1:18">
      <c r="Q42" s="56"/>
    </row>
    <row r="43" spans="1:18">
      <c r="Q43" s="56"/>
    </row>
    <row r="44" spans="1:18">
      <c r="Q44" s="56"/>
    </row>
    <row r="45" spans="1:18">
      <c r="Q45" s="56"/>
    </row>
    <row r="46" spans="1:18">
      <c r="Q46" s="56"/>
    </row>
    <row r="47" spans="1:18">
      <c r="Q47" s="56"/>
    </row>
    <row r="48" spans="1:18">
      <c r="Q48" s="56"/>
    </row>
    <row r="49" spans="17:17">
      <c r="Q49" s="56"/>
    </row>
    <row r="50" spans="17:17">
      <c r="Q50" s="56"/>
    </row>
    <row r="51" spans="17:17">
      <c r="Q51" s="56"/>
    </row>
    <row r="52" spans="17:17">
      <c r="Q52" s="56"/>
    </row>
    <row r="53" spans="17:17">
      <c r="Q53" s="56"/>
    </row>
    <row r="54" spans="17:17">
      <c r="Q54" s="56"/>
    </row>
    <row r="55" spans="17:17">
      <c r="Q55" s="56"/>
    </row>
    <row r="56" spans="17:17">
      <c r="Q56" s="56"/>
    </row>
    <row r="57" spans="17:17">
      <c r="Q57" s="56"/>
    </row>
    <row r="58" spans="17:17">
      <c r="Q58" s="56"/>
    </row>
  </sheetData>
  <mergeCells count="5">
    <mergeCell ref="A36:O36"/>
    <mergeCell ref="A1:Q1"/>
    <mergeCell ref="A2:Q2"/>
    <mergeCell ref="A30:O30"/>
    <mergeCell ref="A29:O29"/>
  </mergeCells>
  <phoneticPr fontId="7" type="noConversion"/>
  <pageMargins left="0.25" right="0.25" top="0.5" bottom="0.75" header="0.5" footer="0.5"/>
  <pageSetup scale="60" orientation="landscape" r:id="rId1"/>
  <headerFooter alignWithMargins="0"/>
</worksheet>
</file>

<file path=xl/worksheets/sheet44.xml><?xml version="1.0" encoding="utf-8"?>
<worksheet xmlns="http://schemas.openxmlformats.org/spreadsheetml/2006/main" xmlns:r="http://schemas.openxmlformats.org/officeDocument/2006/relationships">
  <sheetPr>
    <pageSetUpPr fitToPage="1"/>
  </sheetPr>
  <dimension ref="A1:S59"/>
  <sheetViews>
    <sheetView zoomScaleNormal="100" workbookViewId="0">
      <pane xSplit="1" ySplit="2" topLeftCell="B3" activePane="bottomRight" state="frozen"/>
      <selection activeCell="P31" sqref="P31"/>
      <selection pane="topRight" activeCell="P31" sqref="P31"/>
      <selection pane="bottomLeft" activeCell="P31" sqref="P31"/>
      <selection pane="bottomRight" activeCell="P10" sqref="P10"/>
    </sheetView>
  </sheetViews>
  <sheetFormatPr defaultRowHeight="11.25"/>
  <cols>
    <col min="1" max="1" width="36.5703125" style="114" customWidth="1"/>
    <col min="2" max="2" width="8.85546875" style="54" bestFit="1" customWidth="1"/>
    <col min="3" max="3" width="8" style="54" hidden="1" customWidth="1"/>
    <col min="4" max="4" width="8.42578125" style="54" bestFit="1" customWidth="1"/>
    <col min="5" max="5" width="9.28515625" style="54" bestFit="1" customWidth="1"/>
    <col min="6" max="6" width="7.42578125" style="54" customWidth="1"/>
    <col min="7" max="7" width="9.28515625" style="54" bestFit="1" customWidth="1"/>
    <col min="8" max="8" width="7.85546875" style="54" bestFit="1" customWidth="1"/>
    <col min="9" max="9" width="9.42578125" style="55" bestFit="1" customWidth="1"/>
    <col min="10" max="11" width="6.85546875" style="54" bestFit="1" customWidth="1"/>
    <col min="12" max="12" width="9" style="54" customWidth="1"/>
    <col min="13" max="13" width="7.85546875" style="54" hidden="1" customWidth="1"/>
    <col min="14" max="14" width="10.140625" style="54" customWidth="1"/>
    <col min="15" max="15" width="10.140625" style="196" bestFit="1" customWidth="1"/>
    <col min="16" max="16" width="10" style="196" bestFit="1" customWidth="1"/>
    <col min="17" max="17" width="2.5703125" style="54" bestFit="1" customWidth="1"/>
    <col min="18" max="19" width="0" style="114" hidden="1" customWidth="1"/>
    <col min="20" max="20" width="11.140625" style="114" customWidth="1"/>
    <col min="21" max="21" width="8.5703125" style="114" customWidth="1"/>
    <col min="22" max="16384" width="9.140625" style="114"/>
  </cols>
  <sheetData>
    <row r="1" spans="1:19">
      <c r="A1" s="410" t="s">
        <v>130</v>
      </c>
      <c r="B1" s="410"/>
      <c r="C1" s="410"/>
      <c r="D1" s="410"/>
      <c r="E1" s="410"/>
      <c r="F1" s="410"/>
      <c r="G1" s="410"/>
      <c r="H1" s="410"/>
      <c r="I1" s="410"/>
      <c r="J1" s="410"/>
      <c r="K1" s="410"/>
      <c r="L1" s="410"/>
      <c r="M1" s="410"/>
      <c r="N1" s="410"/>
      <c r="O1" s="410"/>
      <c r="P1" s="410"/>
      <c r="Q1" s="410"/>
    </row>
    <row r="2" spans="1:19">
      <c r="A2" s="411" t="s">
        <v>329</v>
      </c>
      <c r="B2" s="411"/>
      <c r="C2" s="411"/>
      <c r="D2" s="411"/>
      <c r="E2" s="411"/>
      <c r="F2" s="411"/>
      <c r="G2" s="411"/>
      <c r="H2" s="411"/>
      <c r="I2" s="411"/>
      <c r="J2" s="411"/>
      <c r="K2" s="411"/>
      <c r="L2" s="411"/>
      <c r="M2" s="411"/>
      <c r="N2" s="411"/>
      <c r="O2" s="411"/>
      <c r="P2" s="411"/>
      <c r="Q2" s="411"/>
    </row>
    <row r="3" spans="1:19" s="193" customFormat="1" ht="63">
      <c r="A3" s="45" t="s">
        <v>392</v>
      </c>
      <c r="B3" s="45" t="s">
        <v>393</v>
      </c>
      <c r="C3" s="45" t="s">
        <v>430</v>
      </c>
      <c r="D3" s="45" t="s">
        <v>4</v>
      </c>
      <c r="E3" s="45" t="s">
        <v>94</v>
      </c>
      <c r="F3" s="45" t="s">
        <v>5</v>
      </c>
      <c r="G3" s="12" t="s">
        <v>176</v>
      </c>
      <c r="H3" s="45" t="s">
        <v>459</v>
      </c>
      <c r="I3" s="60" t="s">
        <v>460</v>
      </c>
      <c r="J3" s="100" t="s">
        <v>462</v>
      </c>
      <c r="K3" s="100" t="s">
        <v>463</v>
      </c>
      <c r="L3" s="100" t="s">
        <v>461</v>
      </c>
      <c r="M3" s="45" t="s">
        <v>391</v>
      </c>
      <c r="N3" s="45" t="s">
        <v>8</v>
      </c>
      <c r="O3" s="100" t="s">
        <v>96</v>
      </c>
      <c r="P3" s="100" t="s">
        <v>175</v>
      </c>
      <c r="Q3" s="182" t="s">
        <v>394</v>
      </c>
      <c r="R3" s="193" t="s">
        <v>307</v>
      </c>
      <c r="S3" s="193" t="s">
        <v>308</v>
      </c>
    </row>
    <row r="4" spans="1:19" s="147" customFormat="1" ht="9">
      <c r="A4" s="194" t="s">
        <v>405</v>
      </c>
      <c r="B4" s="179" t="s">
        <v>433</v>
      </c>
      <c r="C4" s="179"/>
      <c r="D4" s="181"/>
      <c r="E4" s="181"/>
      <c r="F4" s="181"/>
      <c r="G4" s="179"/>
      <c r="H4" s="179"/>
      <c r="I4" s="183"/>
      <c r="J4" s="179"/>
      <c r="K4" s="179"/>
      <c r="L4" s="179"/>
      <c r="M4" s="179"/>
      <c r="N4" s="181"/>
      <c r="O4" s="181"/>
      <c r="P4" s="181"/>
      <c r="Q4" s="249"/>
    </row>
    <row r="5" spans="1:19" s="147" customFormat="1" ht="9">
      <c r="A5" s="143" t="s">
        <v>406</v>
      </c>
      <c r="B5" s="44" t="s">
        <v>433</v>
      </c>
      <c r="C5" s="44"/>
      <c r="D5" s="52"/>
      <c r="E5" s="52"/>
      <c r="F5" s="52"/>
      <c r="G5" s="44"/>
      <c r="H5" s="44"/>
      <c r="I5" s="92"/>
      <c r="J5" s="44"/>
      <c r="K5" s="44"/>
      <c r="L5" s="44"/>
      <c r="M5" s="44"/>
      <c r="N5" s="52"/>
      <c r="O5" s="52"/>
      <c r="P5" s="52"/>
      <c r="Q5" s="94"/>
    </row>
    <row r="6" spans="1:19" s="147" customFormat="1" ht="9">
      <c r="A6" s="143" t="s">
        <v>407</v>
      </c>
      <c r="B6" s="44"/>
      <c r="C6" s="44"/>
      <c r="D6" s="52"/>
      <c r="E6" s="52"/>
      <c r="F6" s="52"/>
      <c r="G6" s="44"/>
      <c r="H6" s="44"/>
      <c r="I6" s="92"/>
      <c r="J6" s="44"/>
      <c r="K6" s="44"/>
      <c r="L6" s="44"/>
      <c r="M6" s="44"/>
      <c r="N6" s="52"/>
      <c r="O6" s="52"/>
      <c r="P6" s="52"/>
      <c r="Q6" s="94"/>
    </row>
    <row r="7" spans="1:19" s="147" customFormat="1" ht="9">
      <c r="A7" s="143" t="s">
        <v>408</v>
      </c>
      <c r="B7" s="44">
        <v>40</v>
      </c>
      <c r="C7" s="44"/>
      <c r="D7" s="52">
        <v>0</v>
      </c>
      <c r="E7" s="52">
        <v>0</v>
      </c>
      <c r="F7" s="52">
        <v>0</v>
      </c>
      <c r="G7" s="44">
        <v>1</v>
      </c>
      <c r="H7" s="44">
        <f>B7*G7</f>
        <v>40</v>
      </c>
      <c r="I7" s="91">
        <f>ROUND('Base Data'!$H$70/3,0)</f>
        <v>3</v>
      </c>
      <c r="J7" s="91">
        <f>H7*I7</f>
        <v>120</v>
      </c>
      <c r="K7" s="91">
        <f>J7*0.1</f>
        <v>12</v>
      </c>
      <c r="L7" s="91">
        <f>J7*0.05</f>
        <v>6</v>
      </c>
      <c r="M7" s="44">
        <f>C7*G7*I7</f>
        <v>0</v>
      </c>
      <c r="N7" s="52">
        <f>(J7*'Base Data'!$C$5)+(K7*'Base Data'!$C$6)+(L7*'Base Data'!$C$7)</f>
        <v>13053.300000000001</v>
      </c>
      <c r="O7" s="52">
        <f>(D7+E7+F7)*G7*I7</f>
        <v>0</v>
      </c>
      <c r="P7" s="92">
        <v>0</v>
      </c>
      <c r="Q7" s="94" t="s">
        <v>387</v>
      </c>
    </row>
    <row r="8" spans="1:19" s="147" customFormat="1" ht="9">
      <c r="A8" s="143" t="s">
        <v>409</v>
      </c>
      <c r="B8" s="44"/>
      <c r="C8" s="44"/>
      <c r="D8" s="52"/>
      <c r="E8" s="52"/>
      <c r="F8" s="52"/>
      <c r="G8" s="44"/>
      <c r="H8" s="44"/>
      <c r="I8" s="92"/>
      <c r="J8" s="44"/>
      <c r="K8" s="44"/>
      <c r="L8" s="44"/>
      <c r="M8" s="44"/>
      <c r="N8" s="52"/>
      <c r="O8" s="52"/>
      <c r="P8" s="92"/>
      <c r="Q8" s="94"/>
    </row>
    <row r="9" spans="1:19" s="147" customFormat="1" ht="9">
      <c r="A9" s="143" t="s">
        <v>500</v>
      </c>
      <c r="B9" s="44">
        <v>12</v>
      </c>
      <c r="C9" s="44"/>
      <c r="D9" s="52">
        <v>0</v>
      </c>
      <c r="E9" s="52">
        <v>2228</v>
      </c>
      <c r="F9" s="52">
        <v>0</v>
      </c>
      <c r="G9" s="44">
        <v>0.5</v>
      </c>
      <c r="H9" s="44">
        <f>B9*G9</f>
        <v>6</v>
      </c>
      <c r="I9" s="91">
        <f>ROUND('Base Data'!$D$70/3,0)</f>
        <v>9</v>
      </c>
      <c r="J9" s="91">
        <f>H9*I9</f>
        <v>54</v>
      </c>
      <c r="K9" s="91">
        <f>J9*0.1</f>
        <v>5.4</v>
      </c>
      <c r="L9" s="91">
        <f>J9*0.05</f>
        <v>2.7</v>
      </c>
      <c r="M9" s="92"/>
      <c r="N9" s="52">
        <f>(J9*'Base Data'!$C$5)+(K9*'Base Data'!$C$6)+(L9*'Base Data'!$C$7)</f>
        <v>5873.9849999999997</v>
      </c>
      <c r="O9" s="52">
        <f>(D9+E9+F9)*I9</f>
        <v>20052</v>
      </c>
      <c r="P9" s="92">
        <v>0</v>
      </c>
      <c r="Q9" s="94" t="s">
        <v>387</v>
      </c>
    </row>
    <row r="10" spans="1:19" s="147" customFormat="1" ht="9">
      <c r="A10" s="143" t="s">
        <v>415</v>
      </c>
      <c r="B10" s="44" t="s">
        <v>433</v>
      </c>
      <c r="C10" s="44"/>
      <c r="D10" s="52"/>
      <c r="E10" s="52"/>
      <c r="F10" s="52"/>
      <c r="G10" s="44"/>
      <c r="H10" s="44"/>
      <c r="I10" s="92"/>
      <c r="J10" s="44"/>
      <c r="K10" s="44"/>
      <c r="L10" s="44"/>
      <c r="M10" s="44"/>
      <c r="N10" s="52"/>
      <c r="O10" s="52"/>
      <c r="P10" s="92"/>
      <c r="Q10" s="94"/>
    </row>
    <row r="11" spans="1:19" s="147" customFormat="1" ht="9">
      <c r="A11" s="143" t="s">
        <v>416</v>
      </c>
      <c r="B11" s="44" t="s">
        <v>433</v>
      </c>
      <c r="C11" s="44"/>
      <c r="D11" s="52"/>
      <c r="E11" s="52"/>
      <c r="F11" s="52"/>
      <c r="G11" s="44"/>
      <c r="H11" s="44"/>
      <c r="I11" s="92"/>
      <c r="J11" s="44"/>
      <c r="K11" s="44"/>
      <c r="L11" s="44"/>
      <c r="M11" s="44"/>
      <c r="N11" s="52"/>
      <c r="O11" s="52"/>
      <c r="P11" s="92"/>
      <c r="Q11" s="94"/>
    </row>
    <row r="12" spans="1:19" s="147" customFormat="1" ht="9">
      <c r="A12" s="143" t="s">
        <v>417</v>
      </c>
      <c r="B12" s="44"/>
      <c r="C12" s="44"/>
      <c r="D12" s="52"/>
      <c r="E12" s="52"/>
      <c r="F12" s="52"/>
      <c r="G12" s="44"/>
      <c r="H12" s="44"/>
      <c r="I12" s="92"/>
      <c r="J12" s="44"/>
      <c r="K12" s="44"/>
      <c r="L12" s="44"/>
      <c r="M12" s="44"/>
      <c r="N12" s="52"/>
      <c r="O12" s="52"/>
      <c r="P12" s="92"/>
      <c r="Q12" s="94"/>
    </row>
    <row r="13" spans="1:19" s="147" customFormat="1" ht="9">
      <c r="A13" s="177" t="s">
        <v>435</v>
      </c>
      <c r="B13" s="44">
        <v>2</v>
      </c>
      <c r="C13" s="44"/>
      <c r="D13" s="52">
        <v>0</v>
      </c>
      <c r="E13" s="52">
        <v>0</v>
      </c>
      <c r="F13" s="52">
        <v>0</v>
      </c>
      <c r="G13" s="44">
        <v>1</v>
      </c>
      <c r="H13" s="44">
        <f>B13*G13</f>
        <v>2</v>
      </c>
      <c r="I13" s="91">
        <f>$I$7</f>
        <v>3</v>
      </c>
      <c r="J13" s="91">
        <f>H13*I13</f>
        <v>6</v>
      </c>
      <c r="K13" s="91">
        <f>J13*0.1</f>
        <v>0.60000000000000009</v>
      </c>
      <c r="L13" s="91">
        <f>J13*0.05</f>
        <v>0.30000000000000004</v>
      </c>
      <c r="M13" s="44">
        <f>C13*G13*I13</f>
        <v>0</v>
      </c>
      <c r="N13" s="52">
        <f>(J13*'Base Data'!$C$5)+(K13*'Base Data'!$C$6)+(L13*'Base Data'!$C$7)</f>
        <v>652.66500000000008</v>
      </c>
      <c r="O13" s="52">
        <f>(D13+E13+F13)*G13*I13</f>
        <v>0</v>
      </c>
      <c r="P13" s="92">
        <f>G13*I13</f>
        <v>3</v>
      </c>
      <c r="Q13" s="94" t="s">
        <v>387</v>
      </c>
    </row>
    <row r="14" spans="1:19" s="147" customFormat="1" ht="9">
      <c r="A14" s="177" t="s">
        <v>377</v>
      </c>
      <c r="B14" s="44">
        <v>8</v>
      </c>
      <c r="C14" s="44"/>
      <c r="D14" s="52">
        <v>0</v>
      </c>
      <c r="E14" s="52">
        <v>0</v>
      </c>
      <c r="F14" s="52">
        <v>0</v>
      </c>
      <c r="G14" s="44">
        <v>1</v>
      </c>
      <c r="H14" s="44">
        <f>B14*G14</f>
        <v>8</v>
      </c>
      <c r="I14" s="91">
        <f>$I$7</f>
        <v>3</v>
      </c>
      <c r="J14" s="91">
        <f>H14*I14</f>
        <v>24</v>
      </c>
      <c r="K14" s="91">
        <f>J14*0.1</f>
        <v>2.4000000000000004</v>
      </c>
      <c r="L14" s="91">
        <f>J14*0.05</f>
        <v>1.2000000000000002</v>
      </c>
      <c r="M14" s="44">
        <f>C14*G14*I14</f>
        <v>0</v>
      </c>
      <c r="N14" s="52">
        <f>(J14*'Base Data'!$C$5)+(K14*'Base Data'!$C$6)+(L14*'Base Data'!$C$7)</f>
        <v>2610.6600000000003</v>
      </c>
      <c r="O14" s="52">
        <f>(D14+E14+F14)*G14*I14</f>
        <v>0</v>
      </c>
      <c r="P14" s="92">
        <f>G14*I14</f>
        <v>3</v>
      </c>
      <c r="Q14" s="94" t="s">
        <v>387</v>
      </c>
    </row>
    <row r="15" spans="1:19" s="147" customFormat="1" ht="9">
      <c r="A15" s="177" t="s">
        <v>11</v>
      </c>
      <c r="B15" s="44">
        <v>5</v>
      </c>
      <c r="C15" s="44"/>
      <c r="D15" s="52">
        <v>0</v>
      </c>
      <c r="E15" s="52">
        <v>0</v>
      </c>
      <c r="F15" s="52">
        <v>0</v>
      </c>
      <c r="G15" s="44">
        <v>0.5</v>
      </c>
      <c r="H15" s="44">
        <f>B15*G15</f>
        <v>2.5</v>
      </c>
      <c r="I15" s="91">
        <f>$I$7+'Fac-NewSmlGas-Yr2'!$I$15</f>
        <v>9</v>
      </c>
      <c r="J15" s="91">
        <f>H15*I15</f>
        <v>22.5</v>
      </c>
      <c r="K15" s="91">
        <f>J15*0.1</f>
        <v>2.25</v>
      </c>
      <c r="L15" s="91">
        <f>J15*0.05</f>
        <v>1.125</v>
      </c>
      <c r="M15" s="44">
        <f>C15*G15*I15</f>
        <v>0</v>
      </c>
      <c r="N15" s="52">
        <f>(J15*'Base Data'!$C$5)+(K15*'Base Data'!$C$6)+(L15*'Base Data'!$C$7)</f>
        <v>2447.4937500000001</v>
      </c>
      <c r="O15" s="52">
        <f>(D15+E15+F15)*G15*I15</f>
        <v>0</v>
      </c>
      <c r="P15" s="92">
        <f>G15*I15</f>
        <v>4.5</v>
      </c>
      <c r="Q15" s="94" t="s">
        <v>387</v>
      </c>
    </row>
    <row r="16" spans="1:19" s="147" customFormat="1" ht="9">
      <c r="A16" s="148" t="s">
        <v>7</v>
      </c>
      <c r="B16" s="44"/>
      <c r="C16" s="44"/>
      <c r="D16" s="52"/>
      <c r="E16" s="52"/>
      <c r="F16" s="52"/>
      <c r="G16" s="44"/>
      <c r="H16" s="44"/>
      <c r="I16" s="92"/>
      <c r="J16" s="92">
        <f t="shared" ref="J16:O16" si="0">SUM(J7:J15)</f>
        <v>226.5</v>
      </c>
      <c r="K16" s="92">
        <f t="shared" si="0"/>
        <v>22.65</v>
      </c>
      <c r="L16" s="92">
        <f t="shared" si="0"/>
        <v>11.324999999999999</v>
      </c>
      <c r="M16" s="92">
        <f t="shared" si="0"/>
        <v>0</v>
      </c>
      <c r="N16" s="92">
        <f t="shared" si="0"/>
        <v>24638.103750000002</v>
      </c>
      <c r="O16" s="92">
        <f t="shared" si="0"/>
        <v>20052</v>
      </c>
      <c r="P16" s="92">
        <f>SUM(P13:P15)</f>
        <v>10.5</v>
      </c>
      <c r="Q16" s="94"/>
      <c r="R16" s="149">
        <f>SUM(O7:O9)</f>
        <v>20052</v>
      </c>
      <c r="S16" s="147">
        <f>0</f>
        <v>0</v>
      </c>
    </row>
    <row r="17" spans="1:18" s="147" customFormat="1" ht="9">
      <c r="A17" s="143" t="s">
        <v>431</v>
      </c>
      <c r="B17" s="44"/>
      <c r="C17" s="44"/>
      <c r="D17" s="52"/>
      <c r="E17" s="52"/>
      <c r="F17" s="52"/>
      <c r="G17" s="44"/>
      <c r="H17" s="44"/>
      <c r="I17" s="92"/>
      <c r="J17" s="44"/>
      <c r="K17" s="44"/>
      <c r="L17" s="44"/>
      <c r="M17" s="44"/>
      <c r="N17" s="52"/>
      <c r="O17" s="52"/>
      <c r="P17" s="92"/>
      <c r="Q17" s="94"/>
    </row>
    <row r="18" spans="1:18" s="147" customFormat="1" ht="9">
      <c r="A18" s="143" t="s">
        <v>418</v>
      </c>
      <c r="B18" s="44" t="s">
        <v>422</v>
      </c>
      <c r="C18" s="44"/>
      <c r="D18" s="52"/>
      <c r="E18" s="52"/>
      <c r="F18" s="52"/>
      <c r="G18" s="44"/>
      <c r="H18" s="44"/>
      <c r="I18" s="92"/>
      <c r="J18" s="44"/>
      <c r="K18" s="44"/>
      <c r="L18" s="44"/>
      <c r="M18" s="44"/>
      <c r="N18" s="52"/>
      <c r="O18" s="52"/>
      <c r="P18" s="92"/>
      <c r="Q18" s="94"/>
    </row>
    <row r="19" spans="1:18" s="147" customFormat="1" ht="9">
      <c r="A19" s="143" t="s">
        <v>419</v>
      </c>
      <c r="B19" s="44" t="s">
        <v>433</v>
      </c>
      <c r="C19" s="44"/>
      <c r="D19" s="52"/>
      <c r="E19" s="52"/>
      <c r="F19" s="52"/>
      <c r="G19" s="44"/>
      <c r="H19" s="44"/>
      <c r="I19" s="92"/>
      <c r="J19" s="44"/>
      <c r="K19" s="44"/>
      <c r="L19" s="44"/>
      <c r="M19" s="44"/>
      <c r="N19" s="52"/>
      <c r="O19" s="52"/>
      <c r="P19" s="92"/>
      <c r="Q19" s="94"/>
    </row>
    <row r="20" spans="1:18" s="147" customFormat="1" ht="9">
      <c r="A20" s="143" t="s">
        <v>420</v>
      </c>
      <c r="B20" s="44" t="s">
        <v>433</v>
      </c>
      <c r="C20" s="44"/>
      <c r="D20" s="52"/>
      <c r="E20" s="52"/>
      <c r="F20" s="52"/>
      <c r="G20" s="44"/>
      <c r="H20" s="44"/>
      <c r="I20" s="92"/>
      <c r="J20" s="44"/>
      <c r="K20" s="44"/>
      <c r="L20" s="44"/>
      <c r="M20" s="44"/>
      <c r="N20" s="52"/>
      <c r="O20" s="52"/>
      <c r="P20" s="92"/>
      <c r="Q20" s="94" t="s">
        <v>132</v>
      </c>
    </row>
    <row r="21" spans="1:18" s="147" customFormat="1" ht="9">
      <c r="A21" s="143" t="s">
        <v>421</v>
      </c>
      <c r="B21" s="44"/>
      <c r="C21" s="44"/>
      <c r="D21" s="52"/>
      <c r="E21" s="52"/>
      <c r="F21" s="52"/>
      <c r="G21" s="44"/>
      <c r="H21" s="44"/>
      <c r="I21" s="92"/>
      <c r="J21" s="44"/>
      <c r="K21" s="44"/>
      <c r="L21" s="44"/>
      <c r="M21" s="44"/>
      <c r="N21" s="52"/>
      <c r="O21" s="52"/>
      <c r="P21" s="92"/>
      <c r="Q21" s="94"/>
    </row>
    <row r="22" spans="1:18" s="147" customFormat="1" ht="19.5" customHeight="1">
      <c r="A22" s="177" t="s">
        <v>375</v>
      </c>
      <c r="B22" s="44">
        <v>2</v>
      </c>
      <c r="C22" s="44">
        <v>0</v>
      </c>
      <c r="D22" s="52">
        <v>0</v>
      </c>
      <c r="E22" s="52">
        <v>0</v>
      </c>
      <c r="F22" s="52">
        <v>0</v>
      </c>
      <c r="G22" s="44">
        <v>0.5</v>
      </c>
      <c r="H22" s="44">
        <f>B22*G22</f>
        <v>1</v>
      </c>
      <c r="I22" s="92">
        <f>$I$9+'Fac-NewSmlGas-Yr2'!$I$22</f>
        <v>28</v>
      </c>
      <c r="J22" s="91">
        <f>H22*I22</f>
        <v>28</v>
      </c>
      <c r="K22" s="91">
        <f>J22*0.1</f>
        <v>2.8000000000000003</v>
      </c>
      <c r="L22" s="91">
        <f>J22*0.05</f>
        <v>1.4000000000000001</v>
      </c>
      <c r="M22" s="44">
        <f>C22*G22*I22</f>
        <v>0</v>
      </c>
      <c r="N22" s="52">
        <f>(J22*'Base Data'!$C$5)+(K22*'Base Data'!$C$6)+(L22*'Base Data'!$C$7)</f>
        <v>3045.77</v>
      </c>
      <c r="O22" s="52">
        <f>(D22+E22+F22)*G22*I22</f>
        <v>0</v>
      </c>
      <c r="P22" s="92">
        <v>0</v>
      </c>
      <c r="Q22" s="94" t="s">
        <v>387</v>
      </c>
    </row>
    <row r="23" spans="1:18" s="147" customFormat="1" ht="9">
      <c r="A23" s="177" t="s">
        <v>501</v>
      </c>
      <c r="B23" s="44">
        <v>0.5</v>
      </c>
      <c r="C23" s="44"/>
      <c r="D23" s="52">
        <v>0</v>
      </c>
      <c r="E23" s="52">
        <v>0</v>
      </c>
      <c r="F23" s="52">
        <v>0</v>
      </c>
      <c r="G23" s="44">
        <v>0.5</v>
      </c>
      <c r="H23" s="44">
        <f>B23*G23</f>
        <v>0.25</v>
      </c>
      <c r="I23" s="92">
        <f>$I$9+'Fac-NewSmlGas-Yr2'!$I$22</f>
        <v>28</v>
      </c>
      <c r="J23" s="91">
        <f>H23*I23</f>
        <v>7</v>
      </c>
      <c r="K23" s="91">
        <f>J23*0.1</f>
        <v>0.70000000000000007</v>
      </c>
      <c r="L23" s="91">
        <f>J23*0.05</f>
        <v>0.35000000000000003</v>
      </c>
      <c r="M23" s="44">
        <f>C23*G23*I23</f>
        <v>0</v>
      </c>
      <c r="N23" s="52">
        <f>(J23*'Base Data'!$C$5)+(K23*'Base Data'!$C$6)+(L23*'Base Data'!$C$7)</f>
        <v>761.4425</v>
      </c>
      <c r="O23" s="52">
        <f>(D23+E23+F23)*G23*I23</f>
        <v>0</v>
      </c>
      <c r="P23" s="92">
        <v>0</v>
      </c>
      <c r="Q23" s="94" t="s">
        <v>387</v>
      </c>
    </row>
    <row r="24" spans="1:18" s="6" customFormat="1" ht="9">
      <c r="A24" s="142" t="s">
        <v>427</v>
      </c>
      <c r="B24" s="44">
        <v>40</v>
      </c>
      <c r="C24" s="18"/>
      <c r="D24" s="39">
        <v>0</v>
      </c>
      <c r="E24" s="39">
        <v>0</v>
      </c>
      <c r="F24" s="39">
        <v>0</v>
      </c>
      <c r="G24" s="18">
        <v>1</v>
      </c>
      <c r="H24" s="18">
        <f t="shared" ref="H24" si="1">B24*G24</f>
        <v>40</v>
      </c>
      <c r="I24" s="91">
        <f>$I$7</f>
        <v>3</v>
      </c>
      <c r="J24" s="19">
        <f t="shared" ref="J24" si="2">H24*I24</f>
        <v>120</v>
      </c>
      <c r="K24" s="19">
        <f t="shared" ref="K24" si="3">J24*0.1</f>
        <v>12</v>
      </c>
      <c r="L24" s="19">
        <f t="shared" ref="L24" si="4">J24*0.05</f>
        <v>6</v>
      </c>
      <c r="M24" s="18"/>
      <c r="N24" s="39">
        <f>(J24*'Base Data'!$C$5)+(K24*'Base Data'!$C$6)+(L24*'Base Data'!$C$7)</f>
        <v>13053.300000000001</v>
      </c>
      <c r="O24" s="39">
        <f t="shared" ref="O24" si="5">(D24+E24+F24)*G24*I24</f>
        <v>0</v>
      </c>
      <c r="P24" s="92">
        <v>0</v>
      </c>
      <c r="Q24" s="29" t="s">
        <v>388</v>
      </c>
    </row>
    <row r="25" spans="1:18" s="147" customFormat="1" ht="9">
      <c r="A25" s="143" t="s">
        <v>428</v>
      </c>
      <c r="B25" s="44" t="s">
        <v>433</v>
      </c>
      <c r="C25" s="44"/>
      <c r="D25" s="52"/>
      <c r="E25" s="52"/>
      <c r="F25" s="52"/>
      <c r="G25" s="44"/>
      <c r="H25" s="44"/>
      <c r="I25" s="92"/>
      <c r="J25" s="44"/>
      <c r="K25" s="44"/>
      <c r="L25" s="44"/>
      <c r="M25" s="44"/>
      <c r="N25" s="52"/>
      <c r="O25" s="52"/>
      <c r="P25" s="92"/>
      <c r="Q25" s="94"/>
    </row>
    <row r="26" spans="1:18" s="147" customFormat="1" ht="9">
      <c r="A26" s="256" t="s">
        <v>27</v>
      </c>
      <c r="B26" s="239"/>
      <c r="C26" s="239"/>
      <c r="D26" s="240"/>
      <c r="E26" s="240"/>
      <c r="F26" s="240"/>
      <c r="G26" s="239"/>
      <c r="H26" s="239"/>
      <c r="I26" s="241"/>
      <c r="J26" s="239">
        <f t="shared" ref="J26:O26" si="6">SUM(J18:J25)</f>
        <v>155</v>
      </c>
      <c r="K26" s="239">
        <f t="shared" si="6"/>
        <v>15.5</v>
      </c>
      <c r="L26" s="239">
        <f t="shared" si="6"/>
        <v>7.75</v>
      </c>
      <c r="M26" s="239">
        <f t="shared" si="6"/>
        <v>0</v>
      </c>
      <c r="N26" s="240">
        <f t="shared" si="6"/>
        <v>16860.512500000001</v>
      </c>
      <c r="O26" s="240">
        <f t="shared" si="6"/>
        <v>0</v>
      </c>
      <c r="P26" s="241">
        <f>SUM(P18:P25)</f>
        <v>0</v>
      </c>
      <c r="Q26" s="242"/>
      <c r="R26" s="149">
        <f>SUM(O18:O26)</f>
        <v>0</v>
      </c>
    </row>
    <row r="27" spans="1:18" s="147" customFormat="1">
      <c r="A27" s="186" t="s">
        <v>400</v>
      </c>
      <c r="B27" s="187"/>
      <c r="C27" s="187"/>
      <c r="D27" s="187"/>
      <c r="E27" s="187"/>
      <c r="F27" s="187"/>
      <c r="G27" s="187"/>
      <c r="H27" s="187"/>
      <c r="I27" s="189"/>
      <c r="J27" s="190">
        <f t="shared" ref="J27:P27" si="7">SUM(J16,J26)</f>
        <v>381.5</v>
      </c>
      <c r="K27" s="190">
        <f t="shared" si="7"/>
        <v>38.15</v>
      </c>
      <c r="L27" s="190">
        <f t="shared" si="7"/>
        <v>19.074999999999999</v>
      </c>
      <c r="M27" s="190">
        <f t="shared" si="7"/>
        <v>0</v>
      </c>
      <c r="N27" s="191">
        <f t="shared" si="7"/>
        <v>41498.616250000006</v>
      </c>
      <c r="O27" s="191">
        <f t="shared" si="7"/>
        <v>20052</v>
      </c>
      <c r="P27" s="190">
        <f t="shared" si="7"/>
        <v>10.5</v>
      </c>
      <c r="Q27" s="192"/>
    </row>
    <row r="28" spans="1:18" s="53" customFormat="1" ht="9">
      <c r="B28" s="56"/>
      <c r="C28" s="56"/>
      <c r="D28" s="56"/>
      <c r="E28" s="56"/>
      <c r="F28" s="56"/>
      <c r="G28" s="56"/>
      <c r="H28" s="56"/>
      <c r="I28" s="57"/>
      <c r="J28" s="56"/>
      <c r="K28" s="56"/>
      <c r="L28" s="56"/>
      <c r="M28" s="56"/>
      <c r="N28" s="56"/>
      <c r="O28" s="197"/>
      <c r="P28" s="197"/>
      <c r="Q28" s="56"/>
    </row>
    <row r="29" spans="1:18" s="53" customFormat="1" ht="9">
      <c r="A29" s="412" t="s">
        <v>504</v>
      </c>
      <c r="B29" s="412"/>
      <c r="C29" s="412"/>
      <c r="D29" s="412"/>
      <c r="E29" s="412"/>
      <c r="F29" s="412"/>
      <c r="G29" s="412"/>
      <c r="H29" s="412"/>
      <c r="I29" s="412"/>
      <c r="J29" s="412"/>
      <c r="K29" s="412"/>
      <c r="L29" s="412"/>
      <c r="M29" s="412"/>
      <c r="N29" s="412"/>
      <c r="O29" s="412"/>
      <c r="P29" s="197"/>
      <c r="Q29" s="56"/>
    </row>
    <row r="30" spans="1:18" s="53" customFormat="1" ht="9">
      <c r="A30" s="409" t="s">
        <v>131</v>
      </c>
      <c r="B30" s="409"/>
      <c r="C30" s="409"/>
      <c r="D30" s="409"/>
      <c r="E30" s="409"/>
      <c r="F30" s="409"/>
      <c r="G30" s="409"/>
      <c r="H30" s="409"/>
      <c r="I30" s="409"/>
      <c r="J30" s="409"/>
      <c r="K30" s="409"/>
      <c r="L30" s="409"/>
      <c r="M30" s="409"/>
      <c r="N30" s="409"/>
      <c r="O30" s="409"/>
      <c r="P30" s="197"/>
      <c r="Q30" s="56"/>
    </row>
    <row r="31" spans="1:18" s="53" customFormat="1" ht="9">
      <c r="A31" s="14" t="s">
        <v>388</v>
      </c>
      <c r="B31" s="56"/>
      <c r="C31" s="56"/>
      <c r="D31" s="56"/>
      <c r="E31" s="56"/>
      <c r="F31" s="56"/>
      <c r="G31" s="56"/>
      <c r="H31" s="56"/>
      <c r="I31" s="57"/>
      <c r="J31" s="56"/>
      <c r="K31" s="56"/>
      <c r="L31" s="56"/>
      <c r="M31" s="56"/>
      <c r="N31" s="56"/>
      <c r="O31" s="197"/>
      <c r="P31" s="197"/>
      <c r="Q31" s="56"/>
    </row>
    <row r="32" spans="1:18" s="53" customFormat="1" ht="9">
      <c r="B32" s="56"/>
      <c r="C32" s="56"/>
      <c r="D32" s="56"/>
      <c r="E32" s="56"/>
      <c r="F32" s="56"/>
      <c r="G32" s="56"/>
      <c r="H32" s="56"/>
      <c r="I32" s="57"/>
      <c r="J32" s="56"/>
      <c r="K32" s="56"/>
      <c r="L32" s="56"/>
      <c r="M32" s="56"/>
      <c r="N32" s="56"/>
      <c r="O32" s="197"/>
      <c r="P32" s="197"/>
      <c r="Q32" s="56"/>
    </row>
    <row r="33" spans="1:18" s="53" customFormat="1" ht="9">
      <c r="B33" s="56"/>
      <c r="C33" s="56"/>
      <c r="D33" s="56"/>
      <c r="E33" s="56"/>
      <c r="F33" s="56"/>
      <c r="G33" s="56"/>
      <c r="H33" s="56"/>
      <c r="I33" s="57"/>
      <c r="J33" s="56"/>
      <c r="K33" s="56"/>
      <c r="L33" s="56"/>
      <c r="M33" s="56"/>
      <c r="N33" s="56"/>
      <c r="O33" s="197"/>
      <c r="P33" s="197"/>
      <c r="Q33" s="56"/>
    </row>
    <row r="34" spans="1:18" s="53" customFormat="1" ht="9">
      <c r="B34" s="56"/>
      <c r="C34" s="56"/>
      <c r="D34" s="56"/>
      <c r="E34" s="56"/>
      <c r="F34" s="56"/>
      <c r="G34" s="56"/>
      <c r="H34" s="56"/>
      <c r="I34" s="57"/>
      <c r="J34" s="56"/>
      <c r="K34" s="56"/>
      <c r="L34" s="56"/>
      <c r="M34" s="56"/>
      <c r="N34" s="56"/>
      <c r="O34" s="197"/>
      <c r="P34" s="197"/>
      <c r="Q34" s="56"/>
    </row>
    <row r="35" spans="1:18" s="53" customFormat="1" ht="9">
      <c r="B35" s="56"/>
      <c r="C35" s="56"/>
      <c r="D35" s="56"/>
      <c r="E35" s="56"/>
      <c r="F35" s="56"/>
      <c r="G35" s="56"/>
      <c r="H35" s="56"/>
      <c r="I35" s="57"/>
      <c r="J35" s="56"/>
      <c r="K35" s="56"/>
      <c r="L35" s="56"/>
      <c r="M35" s="56"/>
      <c r="N35" s="56"/>
      <c r="O35" s="197"/>
      <c r="P35" s="197"/>
      <c r="Q35" s="56"/>
    </row>
    <row r="36" spans="1:18" s="53" customFormat="1" ht="9">
      <c r="B36" s="56"/>
      <c r="C36" s="56"/>
      <c r="D36" s="56"/>
      <c r="E36" s="56"/>
      <c r="F36" s="56"/>
      <c r="G36" s="56"/>
      <c r="H36" s="56"/>
      <c r="I36" s="57"/>
      <c r="J36" s="56"/>
      <c r="K36" s="56"/>
      <c r="L36" s="56"/>
      <c r="M36" s="56"/>
      <c r="N36" s="56"/>
      <c r="O36" s="197"/>
      <c r="P36" s="197"/>
      <c r="Q36" s="56"/>
    </row>
    <row r="37" spans="1:18" s="53" customFormat="1" ht="9">
      <c r="B37" s="56"/>
      <c r="C37" s="56"/>
      <c r="D37" s="56"/>
      <c r="E37" s="56"/>
      <c r="F37" s="56"/>
      <c r="G37" s="56"/>
      <c r="H37" s="56"/>
      <c r="I37" s="57"/>
      <c r="J37" s="56"/>
      <c r="K37" s="56"/>
      <c r="L37" s="56"/>
      <c r="M37" s="56"/>
      <c r="N37" s="56"/>
      <c r="O37" s="197"/>
      <c r="P37" s="197"/>
      <c r="Q37" s="56"/>
    </row>
    <row r="38" spans="1:18" s="53" customFormat="1" ht="9">
      <c r="A38" s="412"/>
      <c r="B38" s="412"/>
      <c r="C38" s="412"/>
      <c r="D38" s="412"/>
      <c r="E38" s="412"/>
      <c r="F38" s="412"/>
      <c r="G38" s="412"/>
      <c r="H38" s="412"/>
      <c r="I38" s="412"/>
      <c r="J38" s="412"/>
      <c r="K38" s="412"/>
      <c r="L38" s="412"/>
      <c r="M38" s="412"/>
      <c r="N38" s="412"/>
      <c r="O38" s="197"/>
      <c r="P38" s="197"/>
      <c r="Q38" s="56"/>
    </row>
    <row r="39" spans="1:18" s="53" customFormat="1" ht="9">
      <c r="A39" s="409"/>
      <c r="B39" s="409"/>
      <c r="C39" s="409"/>
      <c r="D39" s="409"/>
      <c r="E39" s="409"/>
      <c r="F39" s="409"/>
      <c r="G39" s="409"/>
      <c r="H39" s="409"/>
      <c r="I39" s="409"/>
      <c r="J39" s="409"/>
      <c r="K39" s="409"/>
      <c r="L39" s="409"/>
      <c r="M39" s="409"/>
      <c r="N39" s="409"/>
      <c r="O39" s="409"/>
      <c r="P39" s="197"/>
      <c r="Q39" s="56"/>
    </row>
    <row r="40" spans="1:18" s="53" customFormat="1" ht="9">
      <c r="A40" s="120"/>
      <c r="B40" s="119"/>
      <c r="C40" s="119"/>
      <c r="D40" s="119"/>
      <c r="E40" s="119"/>
      <c r="F40" s="119"/>
      <c r="G40" s="119"/>
      <c r="H40" s="119"/>
      <c r="I40" s="119"/>
      <c r="J40" s="119"/>
      <c r="K40" s="119"/>
      <c r="L40" s="119"/>
      <c r="M40" s="119"/>
      <c r="N40" s="119"/>
      <c r="O40" s="119"/>
      <c r="P40" s="197"/>
      <c r="Q40" s="56"/>
    </row>
    <row r="41" spans="1:18" s="53" customFormat="1" ht="9">
      <c r="A41" s="120"/>
      <c r="B41" s="119"/>
      <c r="C41" s="119"/>
      <c r="D41" s="119"/>
      <c r="E41" s="119"/>
      <c r="F41" s="119"/>
      <c r="G41" s="119"/>
      <c r="H41" s="119"/>
      <c r="I41" s="119"/>
      <c r="J41" s="119"/>
      <c r="K41" s="119"/>
      <c r="L41" s="119"/>
      <c r="M41" s="119"/>
      <c r="N41" s="119"/>
      <c r="O41" s="119"/>
      <c r="P41" s="197"/>
      <c r="Q41" s="56"/>
    </row>
    <row r="42" spans="1:18" s="53" customFormat="1" ht="9">
      <c r="B42" s="56"/>
      <c r="C42" s="56"/>
      <c r="D42" s="56"/>
      <c r="E42" s="56"/>
      <c r="F42" s="56"/>
      <c r="G42" s="56"/>
      <c r="H42" s="56"/>
      <c r="I42" s="57"/>
      <c r="J42" s="56"/>
      <c r="K42" s="56"/>
      <c r="L42" s="56"/>
      <c r="M42" s="56"/>
      <c r="N42" s="56"/>
      <c r="O42" s="197"/>
      <c r="P42" s="197"/>
      <c r="Q42" s="56"/>
    </row>
    <row r="43" spans="1:18" s="53" customFormat="1" ht="9">
      <c r="B43" s="56"/>
      <c r="C43" s="56"/>
      <c r="D43" s="56"/>
      <c r="E43" s="56"/>
      <c r="F43" s="56"/>
      <c r="G43" s="56"/>
      <c r="H43" s="56"/>
      <c r="I43" s="57"/>
      <c r="J43" s="56"/>
      <c r="K43" s="56"/>
      <c r="L43" s="56"/>
      <c r="M43" s="56"/>
      <c r="N43" s="56"/>
      <c r="O43" s="197"/>
      <c r="P43" s="197"/>
      <c r="Q43" s="56"/>
    </row>
    <row r="44" spans="1:18" s="53" customFormat="1">
      <c r="B44" s="56"/>
      <c r="C44" s="56"/>
      <c r="D44" s="56"/>
      <c r="E44" s="56"/>
      <c r="F44" s="56"/>
      <c r="G44" s="56"/>
      <c r="H44" s="56"/>
      <c r="I44" s="57"/>
      <c r="J44" s="56"/>
      <c r="K44" s="56"/>
      <c r="L44" s="56"/>
      <c r="M44" s="56"/>
      <c r="N44" s="56"/>
      <c r="O44" s="197"/>
      <c r="P44" s="197"/>
      <c r="Q44" s="56"/>
      <c r="R44" s="114"/>
    </row>
    <row r="45" spans="1:18">
      <c r="Q45" s="56"/>
    </row>
    <row r="46" spans="1:18">
      <c r="Q46" s="56"/>
    </row>
    <row r="47" spans="1:18">
      <c r="Q47" s="56"/>
    </row>
    <row r="48" spans="1:18">
      <c r="Q48" s="56"/>
    </row>
    <row r="49" spans="17:17">
      <c r="Q49" s="56"/>
    </row>
    <row r="50" spans="17:17">
      <c r="Q50" s="56"/>
    </row>
    <row r="51" spans="17:17">
      <c r="Q51" s="56"/>
    </row>
    <row r="52" spans="17:17">
      <c r="Q52" s="56"/>
    </row>
    <row r="53" spans="17:17">
      <c r="Q53" s="56"/>
    </row>
    <row r="54" spans="17:17">
      <c r="Q54" s="56"/>
    </row>
    <row r="55" spans="17:17">
      <c r="Q55" s="56"/>
    </row>
    <row r="56" spans="17:17">
      <c r="Q56" s="56"/>
    </row>
    <row r="57" spans="17:17">
      <c r="Q57" s="56"/>
    </row>
    <row r="58" spans="17:17">
      <c r="Q58" s="56"/>
    </row>
    <row r="59" spans="17:17">
      <c r="Q59" s="56"/>
    </row>
  </sheetData>
  <mergeCells count="6">
    <mergeCell ref="A39:O39"/>
    <mergeCell ref="A1:Q1"/>
    <mergeCell ref="A2:Q2"/>
    <mergeCell ref="A38:N38"/>
    <mergeCell ref="A30:O30"/>
    <mergeCell ref="A29:O29"/>
  </mergeCells>
  <phoneticPr fontId="7" type="noConversion"/>
  <pageMargins left="0.25" right="0.25" top="0.5" bottom="0.75" header="0.5" footer="0.5"/>
  <pageSetup scale="60" orientation="landscape" r:id="rId1"/>
  <headerFooter alignWithMargins="0"/>
</worksheet>
</file>

<file path=xl/worksheets/sheet45.xml><?xml version="1.0" encoding="utf-8"?>
<worksheet xmlns="http://schemas.openxmlformats.org/spreadsheetml/2006/main" xmlns:r="http://schemas.openxmlformats.org/officeDocument/2006/relationships">
  <dimension ref="B2:E21"/>
  <sheetViews>
    <sheetView workbookViewId="0">
      <selection activeCell="G28" sqref="G28"/>
    </sheetView>
  </sheetViews>
  <sheetFormatPr defaultRowHeight="12.75"/>
  <cols>
    <col min="1" max="1" width="3.28515625" customWidth="1"/>
    <col min="2" max="2" width="13.42578125" customWidth="1"/>
    <col min="4" max="4" width="14" customWidth="1"/>
  </cols>
  <sheetData>
    <row r="2" spans="2:3">
      <c r="B2" s="78" t="s">
        <v>36</v>
      </c>
    </row>
    <row r="4" spans="2:3">
      <c r="B4" s="35" t="s">
        <v>442</v>
      </c>
      <c r="C4" s="41">
        <v>62.27</v>
      </c>
    </row>
    <row r="5" spans="2:3">
      <c r="B5" s="35" t="s">
        <v>444</v>
      </c>
      <c r="C5" s="41">
        <v>25.01</v>
      </c>
    </row>
    <row r="6" spans="2:3">
      <c r="B6" s="35" t="s">
        <v>443</v>
      </c>
      <c r="C6" s="41">
        <v>46.21</v>
      </c>
    </row>
    <row r="9" spans="2:3">
      <c r="B9" s="78" t="s">
        <v>37</v>
      </c>
    </row>
    <row r="11" spans="2:3">
      <c r="B11" s="35" t="s">
        <v>38</v>
      </c>
      <c r="C11" s="112">
        <v>110</v>
      </c>
    </row>
    <row r="12" spans="2:3">
      <c r="B12" s="35" t="s">
        <v>39</v>
      </c>
      <c r="C12" s="112">
        <v>58</v>
      </c>
    </row>
    <row r="13" spans="2:3">
      <c r="B13" s="35" t="s">
        <v>40</v>
      </c>
      <c r="C13" s="112">
        <v>600</v>
      </c>
    </row>
    <row r="14" spans="2:3">
      <c r="B14" s="35" t="s">
        <v>41</v>
      </c>
      <c r="C14" s="35">
        <v>3</v>
      </c>
    </row>
    <row r="17" spans="2:5">
      <c r="B17" s="78" t="s">
        <v>42</v>
      </c>
    </row>
    <row r="19" spans="2:5">
      <c r="B19" s="413" t="s">
        <v>43</v>
      </c>
      <c r="C19" s="413"/>
      <c r="D19" s="413"/>
      <c r="E19" s="113">
        <v>0.2</v>
      </c>
    </row>
    <row r="20" spans="2:5">
      <c r="B20" s="413" t="s">
        <v>44</v>
      </c>
      <c r="C20" s="413"/>
      <c r="D20" s="413"/>
      <c r="E20" s="113">
        <v>0.1</v>
      </c>
    </row>
    <row r="21" spans="2:5">
      <c r="B21" s="413" t="s">
        <v>45</v>
      </c>
      <c r="C21" s="413"/>
      <c r="D21" s="413"/>
      <c r="E21" s="113">
        <v>0.1</v>
      </c>
    </row>
  </sheetData>
  <mergeCells count="3">
    <mergeCell ref="B20:D20"/>
    <mergeCell ref="B19:D19"/>
    <mergeCell ref="B21:D21"/>
  </mergeCells>
  <phoneticPr fontId="7" type="noConversion"/>
  <pageMargins left="0.75" right="0.75" top="1" bottom="1" header="0.5" footer="0.5"/>
  <headerFooter alignWithMargins="0"/>
</worksheet>
</file>

<file path=xl/worksheets/sheet46.xml><?xml version="1.0" encoding="utf-8"?>
<worksheet xmlns="http://schemas.openxmlformats.org/spreadsheetml/2006/main" xmlns:r="http://schemas.openxmlformats.org/officeDocument/2006/relationships">
  <sheetPr>
    <pageSetUpPr fitToPage="1"/>
  </sheetPr>
  <dimension ref="A1:R46"/>
  <sheetViews>
    <sheetView zoomScaleNormal="100" workbookViewId="0">
      <selection activeCell="H8" sqref="H8"/>
    </sheetView>
  </sheetViews>
  <sheetFormatPr defaultRowHeight="12.75"/>
  <cols>
    <col min="1" max="1" width="2.28515625" style="86" customWidth="1"/>
    <col min="2" max="2" width="2.42578125" style="86" customWidth="1"/>
    <col min="3" max="3" width="2.140625" style="86" customWidth="1"/>
    <col min="4" max="4" width="1.42578125" style="86" customWidth="1"/>
    <col min="5" max="5" width="2.42578125" style="86" customWidth="1"/>
    <col min="6" max="6" width="40.7109375" style="86" customWidth="1"/>
    <col min="7" max="7" width="12" style="198" customWidth="1"/>
    <col min="8" max="8" width="13" style="198" customWidth="1"/>
    <col min="9" max="9" width="14.28515625" style="198" customWidth="1"/>
    <col min="10" max="10" width="10.5703125" style="198" customWidth="1"/>
    <col min="11" max="11" width="11" style="198" customWidth="1"/>
    <col min="12" max="12" width="14" style="198" customWidth="1"/>
    <col min="13" max="13" width="13" style="199" customWidth="1"/>
    <col min="14" max="14" width="3.85546875" style="200" bestFit="1" customWidth="1"/>
    <col min="15" max="15" width="15.28515625" style="86" customWidth="1"/>
    <col min="16" max="16384" width="9.140625" style="86"/>
  </cols>
  <sheetData>
    <row r="1" spans="1:15">
      <c r="A1" s="416" t="s">
        <v>46</v>
      </c>
      <c r="B1" s="416"/>
      <c r="C1" s="416"/>
      <c r="D1" s="416"/>
      <c r="E1" s="416"/>
      <c r="F1" s="416"/>
      <c r="G1" s="416"/>
      <c r="H1" s="416"/>
      <c r="I1" s="416"/>
      <c r="J1" s="416"/>
      <c r="K1" s="416"/>
      <c r="L1" s="416"/>
      <c r="M1" s="416"/>
      <c r="N1" s="416"/>
    </row>
    <row r="2" spans="1:15" ht="12" customHeight="1">
      <c r="A2" s="416" t="s">
        <v>275</v>
      </c>
      <c r="B2" s="416"/>
      <c r="C2" s="416"/>
      <c r="D2" s="416"/>
      <c r="E2" s="416"/>
      <c r="F2" s="416"/>
      <c r="G2" s="416"/>
      <c r="H2" s="416"/>
      <c r="I2" s="416"/>
      <c r="J2" s="416"/>
      <c r="K2" s="416"/>
      <c r="L2" s="416"/>
      <c r="M2" s="416"/>
      <c r="N2" s="416"/>
    </row>
    <row r="3" spans="1:15" ht="15" customHeight="1" thickBot="1"/>
    <row r="4" spans="1:15" s="130" customFormat="1" ht="51">
      <c r="A4" s="201" t="s">
        <v>392</v>
      </c>
      <c r="B4" s="202"/>
      <c r="C4" s="202"/>
      <c r="D4" s="202"/>
      <c r="E4" s="202"/>
      <c r="F4" s="202"/>
      <c r="G4" s="203" t="s">
        <v>47</v>
      </c>
      <c r="H4" s="203" t="s">
        <v>48</v>
      </c>
      <c r="I4" s="203" t="s">
        <v>49</v>
      </c>
      <c r="J4" s="203" t="s">
        <v>50</v>
      </c>
      <c r="K4" s="203" t="s">
        <v>51</v>
      </c>
      <c r="L4" s="203" t="s">
        <v>52</v>
      </c>
      <c r="M4" s="204" t="s">
        <v>22</v>
      </c>
      <c r="N4" s="205" t="s">
        <v>394</v>
      </c>
    </row>
    <row r="5" spans="1:15" ht="15" customHeight="1">
      <c r="A5" s="257" t="s">
        <v>53</v>
      </c>
      <c r="B5" s="258" t="s">
        <v>54</v>
      </c>
      <c r="C5" s="258"/>
      <c r="D5" s="258"/>
      <c r="E5" s="258"/>
      <c r="F5" s="259"/>
      <c r="G5" s="260">
        <v>40</v>
      </c>
      <c r="H5" s="260">
        <v>60</v>
      </c>
      <c r="I5" s="261">
        <f>G5*H5</f>
        <v>2400</v>
      </c>
      <c r="J5" s="261">
        <f>I5</f>
        <v>2400</v>
      </c>
      <c r="K5" s="261">
        <f>J5*0.05</f>
        <v>120</v>
      </c>
      <c r="L5" s="261">
        <f>J5*0.1</f>
        <v>240</v>
      </c>
      <c r="M5" s="262">
        <f>(J5*'Agency Base Data'!$C$6)+(K5*'Agency Base Data'!$C$4)+(L5*'Agency Base Data'!$C$5)</f>
        <v>124378.79999999999</v>
      </c>
      <c r="N5" s="263" t="s">
        <v>387</v>
      </c>
      <c r="O5" s="42"/>
    </row>
    <row r="6" spans="1:15" ht="27" customHeight="1">
      <c r="A6" s="264" t="s">
        <v>55</v>
      </c>
      <c r="B6" s="417" t="s">
        <v>56</v>
      </c>
      <c r="C6" s="417"/>
      <c r="D6" s="417"/>
      <c r="E6" s="417"/>
      <c r="F6" s="417"/>
      <c r="G6" s="265">
        <v>2</v>
      </c>
      <c r="H6" s="266">
        <f>SUM('Fac-ExistLrgSolid-Yr1'!$I$48,'Fac-ExistLrgLiquid-Yr1'!$I$48,'Fac-ExistLrgGas-Yr1'!$I$47,'Fac-NewLrgSolid-Yr1'!$I$45,'Fac-NewLrgLiquid-Yr1'!$I$45,'Fac-NewLrgGas-Yr1'!$I$44,'Fac - ExistSmlSolid-Yr1'!$I$16,'Fac - ExistSmlLiquid-Yr1'!$I$16,'Fac - ExistSmlGas-Yr1'!$I$16,'Fac-NewSmlSolid-Yr1'!$I$13,'Fac-NewSmlLiquid-Yr1'!$I$13,'Fac-NewSmlGas-Yr1'!$I$13)</f>
        <v>1646</v>
      </c>
      <c r="I6" s="266">
        <f>G6*H6</f>
        <v>3292</v>
      </c>
      <c r="J6" s="266">
        <f>I6</f>
        <v>3292</v>
      </c>
      <c r="K6" s="266">
        <f>J6*0.05</f>
        <v>164.60000000000002</v>
      </c>
      <c r="L6" s="266">
        <f>J6*0.1</f>
        <v>329.20000000000005</v>
      </c>
      <c r="M6" s="267">
        <f>(J6*'Agency Base Data'!$C$6)+(K6*'Agency Base Data'!$C$4)+(L6*'Agency Base Data'!$C$5)</f>
        <v>170606.25400000002</v>
      </c>
      <c r="N6" s="268" t="s">
        <v>132</v>
      </c>
      <c r="O6" s="207"/>
    </row>
    <row r="7" spans="1:15" ht="15" customHeight="1">
      <c r="A7" s="264" t="s">
        <v>57</v>
      </c>
      <c r="B7" s="269" t="s">
        <v>58</v>
      </c>
      <c r="C7" s="270"/>
      <c r="D7" s="271"/>
      <c r="E7" s="271"/>
      <c r="F7" s="272"/>
      <c r="G7" s="265"/>
      <c r="H7" s="265"/>
      <c r="I7" s="266"/>
      <c r="J7" s="266"/>
      <c r="K7" s="266"/>
      <c r="L7" s="266"/>
      <c r="M7" s="267"/>
      <c r="N7" s="268"/>
      <c r="O7" s="206"/>
    </row>
    <row r="8" spans="1:15" ht="15" customHeight="1">
      <c r="A8" s="264"/>
      <c r="B8" s="269" t="s">
        <v>59</v>
      </c>
      <c r="C8" s="269" t="s">
        <v>60</v>
      </c>
      <c r="D8" s="271"/>
      <c r="E8" s="273"/>
      <c r="F8" s="272"/>
      <c r="G8" s="265">
        <v>40</v>
      </c>
      <c r="H8" s="266">
        <f>ROUND(0.2*SUM('Fac-ExistLrgSolid-Yr1'!$I$12:$I$16,'Fac-ExistLrgLiquid-Yr1'!$I$12:$I$16,'Fac-NewLrgSolid-Yr1'!$I$9:$I$13,'Fac-NewLrgLiquid-Yr1'!$I$9:$I$13,'Fac-ExistLrgGas-Yr1'!I11:I16,'Fac-NewLrgGas-Yr1'!I9:I13),0)</f>
        <v>2</v>
      </c>
      <c r="I8" s="266">
        <f>G8*H8</f>
        <v>80</v>
      </c>
      <c r="J8" s="266">
        <f>I8</f>
        <v>80</v>
      </c>
      <c r="K8" s="266">
        <f>J8*0.05</f>
        <v>4</v>
      </c>
      <c r="L8" s="266">
        <f>J8*0.1</f>
        <v>8</v>
      </c>
      <c r="M8" s="267">
        <f>(J8*'Agency Base Data'!$C$6)+(K8*'Agency Base Data'!$C$4)+(L8*'Agency Base Data'!$C$5)</f>
        <v>4145.96</v>
      </c>
      <c r="N8" s="268" t="s">
        <v>388</v>
      </c>
      <c r="O8" s="208"/>
    </row>
    <row r="9" spans="1:15" ht="15" customHeight="1">
      <c r="A9" s="264"/>
      <c r="B9" s="269" t="s">
        <v>61</v>
      </c>
      <c r="C9" s="269" t="s">
        <v>62</v>
      </c>
      <c r="D9" s="271"/>
      <c r="E9" s="273"/>
      <c r="F9" s="272"/>
      <c r="G9" s="265">
        <v>40</v>
      </c>
      <c r="H9" s="266">
        <f>ROUNDUP(0.1*SUM('Fac-ExistLrgSolid-Yr1'!$I$12:$I$16,'Fac-ExistLrgLiquid-Yr1'!$I$12:$I$16,'Fac-NewLrgSolid-Yr1'!$I$9:$I$13,'Fac-NewLrgLiquid-Yr1'!$I$9:$I$13,'Fac-ExistLrgGas-Yr1'!I11:I16,'Fac-NewLrgGas-Yr1'!I9:I13,'Fac-ExistLrgSolid-Yr1'!I22),0)</f>
        <v>2</v>
      </c>
      <c r="I9" s="266">
        <f>G9*H9</f>
        <v>80</v>
      </c>
      <c r="J9" s="266">
        <f>I9</f>
        <v>80</v>
      </c>
      <c r="K9" s="266">
        <f>J9*0.05</f>
        <v>4</v>
      </c>
      <c r="L9" s="266">
        <f>J9*0.1</f>
        <v>8</v>
      </c>
      <c r="M9" s="267">
        <f>(J9*'Agency Base Data'!$C$6)+(K9*'Agency Base Data'!$C$4)+(L9*'Agency Base Data'!$C$5)</f>
        <v>4145.96</v>
      </c>
      <c r="N9" s="268" t="s">
        <v>272</v>
      </c>
      <c r="O9" s="209"/>
    </row>
    <row r="10" spans="1:15" ht="15" customHeight="1">
      <c r="A10" s="264"/>
      <c r="B10" s="269" t="s">
        <v>63</v>
      </c>
      <c r="C10" s="269" t="s">
        <v>64</v>
      </c>
      <c r="D10" s="271"/>
      <c r="E10" s="273"/>
      <c r="F10" s="272"/>
      <c r="G10" s="265">
        <v>2</v>
      </c>
      <c r="H10" s="266">
        <f>ROUND(SUM('Fac-ExistLrgSolid-Yr1'!$I$12:$I$16,'Fac-ExistLrgLiquid-Yr1'!$I$12:$I$16,'Fac-NewLrgSolid-Yr1'!$I$9:$I$13,'Fac-NewLrgLiquid-Yr1'!$I$9:$I$13,'Fac-ExistLrgGas-Yr1'!I11:I16,'Fac-NewLrgGas-Yr1'!I9:I13),0)</f>
        <v>11</v>
      </c>
      <c r="I10" s="266">
        <f>G10*H10</f>
        <v>22</v>
      </c>
      <c r="J10" s="266">
        <f>I10</f>
        <v>22</v>
      </c>
      <c r="K10" s="266">
        <f>J10*0.05</f>
        <v>1.1000000000000001</v>
      </c>
      <c r="L10" s="266">
        <f>J10*0.1</f>
        <v>2.2000000000000002</v>
      </c>
      <c r="M10" s="267">
        <f>(J10*'Agency Base Data'!$C$6)+(K10*'Agency Base Data'!$C$4)+(L10*'Agency Base Data'!$C$5)</f>
        <v>1140.1389999999999</v>
      </c>
      <c r="N10" s="268" t="s">
        <v>389</v>
      </c>
      <c r="O10" s="207"/>
    </row>
    <row r="11" spans="1:15" ht="15" customHeight="1">
      <c r="A11" s="264"/>
      <c r="B11" s="269" t="s">
        <v>65</v>
      </c>
      <c r="C11" s="269" t="s">
        <v>66</v>
      </c>
      <c r="D11" s="271"/>
      <c r="E11" s="273"/>
      <c r="F11" s="272"/>
      <c r="G11" s="265">
        <v>2</v>
      </c>
      <c r="H11" s="266">
        <f>SUM('Fac-ExistLrgSolid-Yr1'!I58,'Fac-ExistLrgLiquid-Yr1'!I58,'Fac-NewLrgSolid-Yr1'!I54,'Fac-NewLrgLiquid-Yr1'!I54,'Fac-ExistLrgGas-Yr1'!I59,'Fac-NewLrgGas-Yr1'!I55)</f>
        <v>4</v>
      </c>
      <c r="I11" s="266">
        <f>G11*H11</f>
        <v>8</v>
      </c>
      <c r="J11" s="266">
        <f>I11</f>
        <v>8</v>
      </c>
      <c r="K11" s="266">
        <f>J11*0.05</f>
        <v>0.4</v>
      </c>
      <c r="L11" s="266">
        <f>J11*0.1</f>
        <v>0.8</v>
      </c>
      <c r="M11" s="267">
        <f>(J11*'Agency Base Data'!$C$6)+(K11*'Agency Base Data'!$C$4)+(L11*'Agency Base Data'!$C$5)</f>
        <v>414.596</v>
      </c>
      <c r="N11" s="268" t="s">
        <v>273</v>
      </c>
      <c r="O11" s="206"/>
    </row>
    <row r="12" spans="1:15" ht="15" customHeight="1">
      <c r="A12" s="264" t="s">
        <v>67</v>
      </c>
      <c r="B12" s="269" t="s">
        <v>68</v>
      </c>
      <c r="C12" s="269"/>
      <c r="D12" s="271"/>
      <c r="E12" s="273"/>
      <c r="F12" s="272"/>
      <c r="G12" s="265">
        <v>24</v>
      </c>
      <c r="H12" s="266">
        <f>ROUNDUP(0.1*SUM(MAX('Fac-ExistLrgSolid-Yr1'!$I$12:$I$16),MAX('Fac-ExistLrgLiquid-Yr1'!$I$12:$I$16),MAX('Fac-NewLrgSolid-Yr1'!$I$9:$I$13),MAX('Fac-NewLrgLiquid-Yr1'!$I$9:$I$13),MAX('Fac-ExistLrgGas-Yr1'!I11:I16),MAX('Fac-NewLrgGas-Yr1'!I9:I13)),0)</f>
        <v>1</v>
      </c>
      <c r="I12" s="266">
        <v>0</v>
      </c>
      <c r="J12" s="266">
        <f>I12</f>
        <v>0</v>
      </c>
      <c r="K12" s="266">
        <f>J12*0.05</f>
        <v>0</v>
      </c>
      <c r="L12" s="266">
        <f>J12*0.1</f>
        <v>0</v>
      </c>
      <c r="M12" s="267">
        <f>(J12*'Agency Base Data'!$C$6)+(K12*'Agency Base Data'!$C$4)+(L12*'Agency Base Data'!$C$5)</f>
        <v>0</v>
      </c>
      <c r="N12" s="268" t="s">
        <v>69</v>
      </c>
      <c r="O12" s="206"/>
    </row>
    <row r="13" spans="1:15" ht="15.75" customHeight="1">
      <c r="A13" s="264" t="s">
        <v>70</v>
      </c>
      <c r="B13" s="269" t="s">
        <v>71</v>
      </c>
      <c r="C13" s="270"/>
      <c r="D13" s="274"/>
      <c r="E13" s="273"/>
      <c r="F13" s="272"/>
      <c r="G13" s="265"/>
      <c r="H13" s="266"/>
      <c r="I13" s="266"/>
      <c r="J13" s="266"/>
      <c r="K13" s="266"/>
      <c r="L13" s="266"/>
      <c r="M13" s="267"/>
      <c r="N13" s="268"/>
      <c r="O13" s="206"/>
    </row>
    <row r="14" spans="1:15" ht="27" customHeight="1">
      <c r="A14" s="264"/>
      <c r="B14" s="269" t="s">
        <v>59</v>
      </c>
      <c r="C14" s="417" t="s">
        <v>72</v>
      </c>
      <c r="D14" s="417"/>
      <c r="E14" s="417"/>
      <c r="F14" s="417"/>
      <c r="G14" s="265">
        <v>2</v>
      </c>
      <c r="H14" s="266">
        <f>H6</f>
        <v>1646</v>
      </c>
      <c r="I14" s="266">
        <f t="shared" ref="I14:I21" si="0">G14*H14</f>
        <v>3292</v>
      </c>
      <c r="J14" s="266">
        <f t="shared" ref="J14:J21" si="1">I14</f>
        <v>3292</v>
      </c>
      <c r="K14" s="266">
        <f t="shared" ref="K14:K21" si="2">J14*0.05</f>
        <v>164.60000000000002</v>
      </c>
      <c r="L14" s="266">
        <f t="shared" ref="L14:L21" si="3">J14*0.1</f>
        <v>329.20000000000005</v>
      </c>
      <c r="M14" s="267">
        <f>(J14*'Agency Base Data'!$C$6)+(K14*'Agency Base Data'!$C$4)+(L14*'Agency Base Data'!$C$5)</f>
        <v>170606.25400000002</v>
      </c>
      <c r="N14" s="268" t="s">
        <v>132</v>
      </c>
      <c r="O14" s="206"/>
    </row>
    <row r="15" spans="1:15" ht="27" customHeight="1">
      <c r="A15" s="264"/>
      <c r="B15" s="269" t="s">
        <v>61</v>
      </c>
      <c r="C15" s="417" t="s">
        <v>73</v>
      </c>
      <c r="D15" s="417"/>
      <c r="E15" s="417"/>
      <c r="F15" s="417"/>
      <c r="G15" s="265">
        <v>20</v>
      </c>
      <c r="H15" s="266">
        <f>ROUND(SUM('Fac-ExistLrgSolid-Yr1'!$I$12:$I$16,'Fac-ExistLrgLiquid-Yr1'!$I$12:$I$16,'Fac-NewLrgSolid-Yr1'!$I$9:$I$13,'Fac-NewLrgLiquid-Yr1'!$I$9:$I$13,'Fac-ExistLrgGas-Yr1'!I18:I23,'Fac-NewLrgGas-Yr1'!I16:I20),0)</f>
        <v>11</v>
      </c>
      <c r="I15" s="266">
        <f t="shared" si="0"/>
        <v>220</v>
      </c>
      <c r="J15" s="266">
        <f t="shared" si="1"/>
        <v>220</v>
      </c>
      <c r="K15" s="266">
        <f t="shared" si="2"/>
        <v>11</v>
      </c>
      <c r="L15" s="266">
        <f t="shared" si="3"/>
        <v>22</v>
      </c>
      <c r="M15" s="267">
        <f>(J15*'Agency Base Data'!$C$6)+(K15*'Agency Base Data'!$C$4)+(L15*'Agency Base Data'!$C$5)</f>
        <v>11401.39</v>
      </c>
      <c r="N15" s="268" t="s">
        <v>389</v>
      </c>
      <c r="O15" s="206"/>
    </row>
    <row r="16" spans="1:15" ht="15" customHeight="1">
      <c r="A16" s="264"/>
      <c r="B16" s="269" t="s">
        <v>63</v>
      </c>
      <c r="C16" s="269" t="s">
        <v>74</v>
      </c>
      <c r="D16" s="273"/>
      <c r="E16" s="273"/>
      <c r="F16" s="272"/>
      <c r="G16" s="265">
        <v>2</v>
      </c>
      <c r="H16" s="266">
        <f>SUM('Fac-ExistLrgSolid-Yr1'!$I$49,'Fac-ExistLrgLiquid-Yr1'!$I$49,'Fac-ExistLrgGas-Yr1'!$I$48,'Fac-NewLrgSolid-Yr1'!$I$46,'Fac-NewLrgLiquid-Yr1'!$I$46,'Fac-NewLrgGas-Yr1'!$I$45,'Fac - ExistSmlSolid-Yr1'!$I$17,'Fac - ExistSmlLiquid-Yr1'!$I$17,'Fac - ExistSmlGas-Yr1'!$I$17,'Fac-NewSmlSolid-Yr1'!$I$14,'Fac-NewSmlLiquid-Yr1'!$I$14,'Fac-NewSmlGas-Yr1'!$I$14)</f>
        <v>7</v>
      </c>
      <c r="I16" s="266">
        <f t="shared" si="0"/>
        <v>14</v>
      </c>
      <c r="J16" s="266">
        <f t="shared" si="1"/>
        <v>14</v>
      </c>
      <c r="K16" s="266">
        <f t="shared" si="2"/>
        <v>0.70000000000000007</v>
      </c>
      <c r="L16" s="266">
        <f t="shared" si="3"/>
        <v>1.4000000000000001</v>
      </c>
      <c r="M16" s="267">
        <f>(J16*'Agency Base Data'!$C$6)+(K16*'Agency Base Data'!$C$4)+(L16*'Agency Base Data'!$C$5)</f>
        <v>725.54300000000012</v>
      </c>
      <c r="N16" s="268" t="s">
        <v>132</v>
      </c>
      <c r="O16" s="206"/>
    </row>
    <row r="17" spans="1:18" ht="15" customHeight="1">
      <c r="A17" s="264" t="s">
        <v>75</v>
      </c>
      <c r="B17" s="269" t="s">
        <v>76</v>
      </c>
      <c r="C17" s="269"/>
      <c r="D17" s="271"/>
      <c r="E17" s="273"/>
      <c r="F17" s="272"/>
      <c r="G17" s="265"/>
      <c r="H17" s="266"/>
      <c r="I17" s="266">
        <f t="shared" si="0"/>
        <v>0</v>
      </c>
      <c r="J17" s="266">
        <f t="shared" si="1"/>
        <v>0</v>
      </c>
      <c r="K17" s="266">
        <f t="shared" si="2"/>
        <v>0</v>
      </c>
      <c r="L17" s="266">
        <f t="shared" si="3"/>
        <v>0</v>
      </c>
      <c r="M17" s="267">
        <f>(J17*'Agency Base Data'!$C$6)+(K17*'Agency Base Data'!$C$4)+(L17*'Agency Base Data'!$C$5)</f>
        <v>0</v>
      </c>
      <c r="N17" s="268"/>
      <c r="O17" s="206"/>
    </row>
    <row r="18" spans="1:18" ht="15" customHeight="1">
      <c r="A18" s="264"/>
      <c r="B18" s="269" t="s">
        <v>59</v>
      </c>
      <c r="C18" s="269" t="s">
        <v>77</v>
      </c>
      <c r="D18" s="269"/>
      <c r="E18" s="273"/>
      <c r="F18" s="272"/>
      <c r="G18" s="265">
        <v>4</v>
      </c>
      <c r="H18" s="266">
        <f>2*SUM('Fac-ExistLrgSolid-Yr1'!$I$51,'Fac-ExistLrgLiquid-Yr1'!$I$51,,'Fac-NewLrgSolid-Yr1'!$I$47,'Fac-NewLrgLiquid-Yr1'!$I$47,'Fac-ExistLrgGas-Yr1'!$I$51,'Fac-NewLrgGas-Yr1'!$I$47)</f>
        <v>4</v>
      </c>
      <c r="I18" s="266">
        <f t="shared" si="0"/>
        <v>16</v>
      </c>
      <c r="J18" s="266">
        <f t="shared" si="1"/>
        <v>16</v>
      </c>
      <c r="K18" s="266">
        <f t="shared" si="2"/>
        <v>0.8</v>
      </c>
      <c r="L18" s="266">
        <f t="shared" si="3"/>
        <v>1.6</v>
      </c>
      <c r="M18" s="267">
        <f>(J18*'Agency Base Data'!$C$6)+(K18*'Agency Base Data'!$C$4)+(L18*'Agency Base Data'!$C$5)</f>
        <v>829.19200000000001</v>
      </c>
      <c r="N18" s="268" t="s">
        <v>78</v>
      </c>
    </row>
    <row r="19" spans="1:18" ht="15" customHeight="1">
      <c r="A19" s="264"/>
      <c r="B19" s="269" t="s">
        <v>61</v>
      </c>
      <c r="C19" s="269" t="s">
        <v>14</v>
      </c>
      <c r="D19" s="269"/>
      <c r="E19" s="273"/>
      <c r="F19" s="272"/>
      <c r="G19" s="265">
        <v>2</v>
      </c>
      <c r="H19" s="266">
        <f>SUM('Fac-ExistLrgGas-Yr1'!$I$51,'Fac-NewLrgGas-Yr1'!$I$47)</f>
        <v>0</v>
      </c>
      <c r="I19" s="266">
        <f>G19*H19</f>
        <v>0</v>
      </c>
      <c r="J19" s="266">
        <f t="shared" si="1"/>
        <v>0</v>
      </c>
      <c r="K19" s="266">
        <f t="shared" si="2"/>
        <v>0</v>
      </c>
      <c r="L19" s="266">
        <f>J19*0.1</f>
        <v>0</v>
      </c>
      <c r="M19" s="267">
        <f>(J19*'Agency Base Data'!$C$6)+(K19*'Agency Base Data'!$C$4)+(L19*'Agency Base Data'!$C$5)</f>
        <v>0</v>
      </c>
      <c r="N19" s="268" t="s">
        <v>84</v>
      </c>
    </row>
    <row r="20" spans="1:18" ht="15" customHeight="1">
      <c r="A20" s="264"/>
      <c r="B20" s="269" t="s">
        <v>63</v>
      </c>
      <c r="C20" s="269" t="s">
        <v>15</v>
      </c>
      <c r="D20" s="269"/>
      <c r="E20" s="273"/>
      <c r="F20" s="272"/>
      <c r="G20" s="265">
        <v>1</v>
      </c>
      <c r="H20" s="266">
        <f>0.5*SUM('Fac - ExistSmlSolid-Yr1'!$I$18,'Fac - ExistSmlLiquid-Yr1'!$I$18,'Fac - ExistSmlGas-Yr1'!$I$18,'Fac-NewSmlGas-Yr1'!$I$15,'Fac-NewSmlLiquid-Yr1'!$I$15,'Fac-NewSmlSolid-Yr1'!$I$15)</f>
        <v>2</v>
      </c>
      <c r="I20" s="266">
        <f>G20*H20</f>
        <v>2</v>
      </c>
      <c r="J20" s="266">
        <f t="shared" si="1"/>
        <v>2</v>
      </c>
      <c r="K20" s="266">
        <f t="shared" si="2"/>
        <v>0.1</v>
      </c>
      <c r="L20" s="266">
        <f>J20*0.1</f>
        <v>0.2</v>
      </c>
      <c r="M20" s="267">
        <f>(J20*'Agency Base Data'!$C$6)+(K20*'Agency Base Data'!$C$4)+(L20*'Agency Base Data'!$C$5)</f>
        <v>103.649</v>
      </c>
      <c r="N20" s="268" t="s">
        <v>16</v>
      </c>
    </row>
    <row r="21" spans="1:18" ht="15" customHeight="1">
      <c r="A21" s="264"/>
      <c r="B21" s="269" t="s">
        <v>65</v>
      </c>
      <c r="C21" s="269" t="s">
        <v>80</v>
      </c>
      <c r="D21" s="269"/>
      <c r="E21" s="273"/>
      <c r="F21" s="275"/>
      <c r="G21" s="265">
        <v>2</v>
      </c>
      <c r="H21" s="266">
        <f>SUM('Fac-ExistLrgSolid-Yr1'!$I$50,'Fac-ExistLrgLiquid-Yr1'!$I$50,'Fac-ExistLrgGas-Yr1'!$I$49,'Fac - ExistSmlSolid-Yr1'!$I$19,'Fac - ExistSmlLiquid-Yr1'!$I$19,'Fac - ExistSmlGas-Yr1'!$I$19)</f>
        <v>0</v>
      </c>
      <c r="I21" s="266">
        <f t="shared" si="0"/>
        <v>0</v>
      </c>
      <c r="J21" s="266">
        <f t="shared" si="1"/>
        <v>0</v>
      </c>
      <c r="K21" s="266">
        <f t="shared" si="2"/>
        <v>0</v>
      </c>
      <c r="L21" s="266">
        <f t="shared" si="3"/>
        <v>0</v>
      </c>
      <c r="M21" s="267">
        <f>(J21*'Agency Base Data'!$C$6)+(K21*'Agency Base Data'!$C$4)+(L21*'Agency Base Data'!$C$5)</f>
        <v>0</v>
      </c>
      <c r="N21" s="268" t="s">
        <v>17</v>
      </c>
    </row>
    <row r="22" spans="1:18" ht="30.75" customHeight="1" thickBot="1">
      <c r="A22" s="276" t="s">
        <v>81</v>
      </c>
      <c r="B22" s="277" t="s">
        <v>82</v>
      </c>
      <c r="C22" s="278"/>
      <c r="D22" s="279"/>
      <c r="E22" s="279"/>
      <c r="F22" s="280"/>
      <c r="G22" s="415" t="s">
        <v>83</v>
      </c>
      <c r="H22" s="415"/>
      <c r="I22" s="415"/>
      <c r="J22" s="415"/>
      <c r="K22" s="281"/>
      <c r="L22" s="282"/>
      <c r="M22" s="283">
        <f>(('Agency Base Data'!$C$14*('Agency Base Data'!$C$11+'Agency Base Data'!$C$12))+'Agency Base Data'!$C$13)*SUM(H8:H9)</f>
        <v>4416</v>
      </c>
      <c r="N22" s="284" t="s">
        <v>18</v>
      </c>
    </row>
    <row r="23" spans="1:18" ht="18.75" customHeight="1">
      <c r="A23" s="295" t="s">
        <v>85</v>
      </c>
      <c r="B23" s="285"/>
      <c r="C23" s="286"/>
      <c r="D23" s="285"/>
      <c r="E23" s="287"/>
      <c r="F23" s="288"/>
      <c r="G23" s="289"/>
      <c r="H23" s="289"/>
      <c r="I23" s="289"/>
      <c r="J23" s="290">
        <f>SUM(J5:J21)</f>
        <v>9426</v>
      </c>
      <c r="K23" s="290">
        <f>SUM(K5:K21)</f>
        <v>471.30000000000007</v>
      </c>
      <c r="L23" s="290">
        <f>SUM(L5:L21)</f>
        <v>942.60000000000014</v>
      </c>
      <c r="M23" s="291">
        <f>SUM(M5:M22)</f>
        <v>492913.73700000008</v>
      </c>
      <c r="N23" s="292"/>
    </row>
    <row r="24" spans="1:18" ht="18" customHeight="1" thickBot="1">
      <c r="A24" s="341" t="s">
        <v>86</v>
      </c>
      <c r="B24" s="293"/>
      <c r="C24" s="293"/>
      <c r="D24" s="293"/>
      <c r="E24" s="293"/>
      <c r="F24" s="293"/>
      <c r="G24" s="280"/>
      <c r="H24" s="280"/>
      <c r="I24" s="280"/>
      <c r="J24" s="342"/>
      <c r="K24" s="282"/>
      <c r="L24" s="343">
        <f>(SUM(J5:J21))+(SUM(K5:K21))+(SUM(L5:L21))</f>
        <v>10839.9</v>
      </c>
      <c r="M24" s="294"/>
      <c r="N24" s="284"/>
    </row>
    <row r="25" spans="1:18" ht="6.75" customHeight="1">
      <c r="G25" s="86"/>
      <c r="H25" s="86"/>
      <c r="I25" s="86"/>
    </row>
    <row r="26" spans="1:18" s="114" customFormat="1" ht="11.25">
      <c r="A26" s="114" t="s">
        <v>87</v>
      </c>
      <c r="J26" s="115"/>
      <c r="K26" s="115"/>
      <c r="L26" s="115"/>
      <c r="M26" s="116"/>
      <c r="N26" s="54"/>
    </row>
    <row r="27" spans="1:18" s="114" customFormat="1" ht="35.25" customHeight="1">
      <c r="A27" s="414" t="s">
        <v>506</v>
      </c>
      <c r="B27" s="414"/>
      <c r="C27" s="414"/>
      <c r="D27" s="414"/>
      <c r="E27" s="414"/>
      <c r="F27" s="414"/>
      <c r="G27" s="414"/>
      <c r="H27" s="414"/>
      <c r="I27" s="414"/>
      <c r="J27" s="414"/>
      <c r="K27" s="414"/>
      <c r="L27" s="414"/>
      <c r="M27" s="414"/>
      <c r="N27" s="414"/>
    </row>
    <row r="28" spans="1:18" s="114" customFormat="1" ht="11.25">
      <c r="A28" s="414" t="s">
        <v>507</v>
      </c>
      <c r="B28" s="414"/>
      <c r="C28" s="414"/>
      <c r="D28" s="414"/>
      <c r="E28" s="414"/>
      <c r="F28" s="414"/>
      <c r="G28" s="414"/>
      <c r="H28" s="414"/>
      <c r="I28" s="414"/>
      <c r="J28" s="414"/>
      <c r="K28" s="414"/>
      <c r="L28" s="414"/>
      <c r="M28" s="414"/>
      <c r="N28" s="414"/>
    </row>
    <row r="29" spans="1:18" s="114" customFormat="1" ht="11.25">
      <c r="A29" s="380" t="s">
        <v>546</v>
      </c>
      <c r="B29" s="380"/>
      <c r="C29" s="380"/>
      <c r="D29" s="380"/>
      <c r="E29" s="380"/>
      <c r="F29" s="380"/>
      <c r="G29" s="380"/>
      <c r="H29" s="380"/>
      <c r="I29" s="380"/>
      <c r="J29" s="381"/>
      <c r="K29" s="381"/>
      <c r="L29" s="381"/>
      <c r="M29" s="382"/>
      <c r="N29" s="383"/>
      <c r="O29" s="380"/>
      <c r="P29" s="380"/>
      <c r="Q29" s="380"/>
      <c r="R29" s="380"/>
    </row>
    <row r="30" spans="1:18" s="114" customFormat="1" ht="12.75" customHeight="1">
      <c r="A30" s="414" t="s">
        <v>508</v>
      </c>
      <c r="B30" s="414"/>
      <c r="C30" s="414"/>
      <c r="D30" s="414"/>
      <c r="E30" s="414"/>
      <c r="F30" s="414"/>
      <c r="G30" s="414"/>
      <c r="H30" s="414"/>
      <c r="I30" s="414"/>
      <c r="J30" s="414"/>
      <c r="K30" s="414"/>
      <c r="L30" s="414"/>
      <c r="M30" s="414"/>
      <c r="N30" s="414"/>
    </row>
    <row r="31" spans="1:18" s="114" customFormat="1" ht="11.25" customHeight="1">
      <c r="A31" s="114" t="s">
        <v>363</v>
      </c>
      <c r="J31" s="115"/>
      <c r="K31" s="115"/>
      <c r="L31" s="115"/>
      <c r="M31" s="116"/>
      <c r="N31" s="54"/>
    </row>
    <row r="32" spans="1:18" s="114" customFormat="1" ht="11.25">
      <c r="A32" s="114" t="s">
        <v>509</v>
      </c>
      <c r="J32" s="115"/>
      <c r="K32" s="115"/>
      <c r="L32" s="115"/>
      <c r="M32" s="116"/>
      <c r="N32" s="54"/>
    </row>
    <row r="33" spans="1:14">
      <c r="A33" s="414" t="s">
        <v>510</v>
      </c>
      <c r="B33" s="414"/>
      <c r="C33" s="414"/>
      <c r="D33" s="414"/>
      <c r="E33" s="414"/>
      <c r="F33" s="414"/>
      <c r="G33" s="414"/>
      <c r="H33" s="414"/>
      <c r="I33" s="414"/>
      <c r="J33" s="414"/>
      <c r="K33" s="414"/>
      <c r="L33" s="414"/>
      <c r="M33" s="414"/>
      <c r="N33" s="414"/>
    </row>
    <row r="34" spans="1:14">
      <c r="A34" s="114" t="s">
        <v>511</v>
      </c>
      <c r="G34" s="86"/>
      <c r="H34" s="86"/>
      <c r="I34" s="86"/>
    </row>
    <row r="35" spans="1:14">
      <c r="A35" s="114" t="s">
        <v>512</v>
      </c>
      <c r="G35" s="86"/>
      <c r="H35" s="86"/>
      <c r="I35" s="86"/>
    </row>
    <row r="36" spans="1:14" ht="25.5" customHeight="1">
      <c r="A36" s="414" t="s">
        <v>21</v>
      </c>
      <c r="B36" s="414"/>
      <c r="C36" s="414"/>
      <c r="D36" s="414"/>
      <c r="E36" s="414"/>
      <c r="F36" s="414"/>
      <c r="G36" s="414"/>
      <c r="H36" s="414"/>
      <c r="I36" s="414"/>
      <c r="J36" s="414"/>
      <c r="K36" s="414"/>
      <c r="L36" s="414"/>
      <c r="M36" s="414"/>
      <c r="N36" s="414"/>
    </row>
    <row r="37" spans="1:14">
      <c r="A37" s="125" t="s">
        <v>20</v>
      </c>
    </row>
    <row r="38" spans="1:14" ht="33.75" customHeight="1">
      <c r="A38" s="414" t="s">
        <v>19</v>
      </c>
      <c r="B38" s="414"/>
      <c r="C38" s="414"/>
      <c r="D38" s="414"/>
      <c r="E38" s="414"/>
      <c r="F38" s="414"/>
      <c r="G38" s="414"/>
      <c r="H38" s="414"/>
      <c r="I38" s="414"/>
      <c r="J38" s="414"/>
      <c r="K38" s="414"/>
      <c r="L38" s="414"/>
      <c r="M38" s="414"/>
      <c r="N38" s="414"/>
    </row>
    <row r="42" spans="1:14">
      <c r="H42" s="117"/>
      <c r="I42" s="210"/>
      <c r="J42" s="199"/>
      <c r="L42" s="211"/>
    </row>
    <row r="43" spans="1:14">
      <c r="I43" s="199"/>
      <c r="J43" s="199"/>
    </row>
    <row r="44" spans="1:14">
      <c r="I44" s="210"/>
      <c r="J44" s="199"/>
    </row>
    <row r="45" spans="1:14">
      <c r="I45" s="199"/>
    </row>
    <row r="46" spans="1:14">
      <c r="J46" s="199"/>
    </row>
  </sheetData>
  <mergeCells count="12">
    <mergeCell ref="A1:N1"/>
    <mergeCell ref="A2:N2"/>
    <mergeCell ref="A27:N27"/>
    <mergeCell ref="B6:F6"/>
    <mergeCell ref="C15:F15"/>
    <mergeCell ref="C14:F14"/>
    <mergeCell ref="A38:N38"/>
    <mergeCell ref="A30:N30"/>
    <mergeCell ref="A36:N36"/>
    <mergeCell ref="G22:J22"/>
    <mergeCell ref="A28:N28"/>
    <mergeCell ref="A33:N33"/>
  </mergeCells>
  <phoneticPr fontId="7" type="noConversion"/>
  <printOptions horizontalCentered="1"/>
  <pageMargins left="0.5" right="0.5" top="0.75" bottom="0.75" header="0.5" footer="0.5"/>
  <pageSetup scale="77" orientation="landscape" r:id="rId1"/>
  <headerFooter alignWithMargins="0"/>
</worksheet>
</file>

<file path=xl/worksheets/sheet47.xml><?xml version="1.0" encoding="utf-8"?>
<worksheet xmlns="http://schemas.openxmlformats.org/spreadsheetml/2006/main" xmlns:r="http://schemas.openxmlformats.org/officeDocument/2006/relationships">
  <sheetPr>
    <pageSetUpPr fitToPage="1"/>
  </sheetPr>
  <dimension ref="A1:O44"/>
  <sheetViews>
    <sheetView zoomScaleNormal="100" workbookViewId="0">
      <selection activeCell="H9" sqref="H9"/>
    </sheetView>
  </sheetViews>
  <sheetFormatPr defaultRowHeight="12.75"/>
  <cols>
    <col min="1" max="1" width="2.28515625" style="86" customWidth="1"/>
    <col min="2" max="2" width="2.42578125" style="86" customWidth="1"/>
    <col min="3" max="3" width="2.140625" style="86" customWidth="1"/>
    <col min="4" max="4" width="1.42578125" style="86" customWidth="1"/>
    <col min="5" max="5" width="2.42578125" style="86" customWidth="1"/>
    <col min="6" max="6" width="40.7109375" style="86" customWidth="1"/>
    <col min="7" max="7" width="12" style="198" customWidth="1"/>
    <col min="8" max="8" width="13" style="198" customWidth="1"/>
    <col min="9" max="9" width="14.28515625" style="198" customWidth="1"/>
    <col min="10" max="10" width="10.5703125" style="198" customWidth="1"/>
    <col min="11" max="11" width="11" style="198" customWidth="1"/>
    <col min="12" max="12" width="14" style="198" customWidth="1"/>
    <col min="13" max="13" width="13" style="199" customWidth="1"/>
    <col min="14" max="14" width="3.85546875" style="200" bestFit="1" customWidth="1"/>
    <col min="15" max="15" width="15.28515625" style="86" customWidth="1"/>
    <col min="16" max="16384" width="9.140625" style="86"/>
  </cols>
  <sheetData>
    <row r="1" spans="1:15">
      <c r="A1" s="416" t="s">
        <v>88</v>
      </c>
      <c r="B1" s="416"/>
      <c r="C1" s="416"/>
      <c r="D1" s="416"/>
      <c r="E1" s="416"/>
      <c r="F1" s="416"/>
      <c r="G1" s="416"/>
      <c r="H1" s="416"/>
      <c r="I1" s="416"/>
      <c r="J1" s="416"/>
      <c r="K1" s="416"/>
      <c r="L1" s="416"/>
      <c r="M1" s="416"/>
      <c r="N1" s="416"/>
    </row>
    <row r="2" spans="1:15" ht="12" customHeight="1">
      <c r="A2" s="416" t="s">
        <v>275</v>
      </c>
      <c r="B2" s="416"/>
      <c r="C2" s="416"/>
      <c r="D2" s="416"/>
      <c r="E2" s="416"/>
      <c r="F2" s="416"/>
      <c r="G2" s="416"/>
      <c r="H2" s="416"/>
      <c r="I2" s="416"/>
      <c r="J2" s="416"/>
      <c r="K2" s="416"/>
      <c r="L2" s="416"/>
      <c r="M2" s="416"/>
      <c r="N2" s="416"/>
    </row>
    <row r="3" spans="1:15" ht="15" customHeight="1" thickBot="1"/>
    <row r="4" spans="1:15" s="130" customFormat="1" ht="51">
      <c r="A4" s="201" t="s">
        <v>392</v>
      </c>
      <c r="B4" s="202"/>
      <c r="C4" s="202"/>
      <c r="D4" s="202"/>
      <c r="E4" s="202"/>
      <c r="F4" s="202"/>
      <c r="G4" s="203" t="s">
        <v>47</v>
      </c>
      <c r="H4" s="203" t="s">
        <v>48</v>
      </c>
      <c r="I4" s="203" t="s">
        <v>49</v>
      </c>
      <c r="J4" s="203" t="s">
        <v>50</v>
      </c>
      <c r="K4" s="203" t="s">
        <v>51</v>
      </c>
      <c r="L4" s="203" t="s">
        <v>52</v>
      </c>
      <c r="M4" s="204" t="s">
        <v>25</v>
      </c>
      <c r="N4" s="205" t="s">
        <v>394</v>
      </c>
    </row>
    <row r="5" spans="1:15" ht="15" customHeight="1">
      <c r="A5" s="257" t="s">
        <v>53</v>
      </c>
      <c r="B5" s="258" t="s">
        <v>54</v>
      </c>
      <c r="C5" s="258"/>
      <c r="D5" s="258"/>
      <c r="E5" s="258"/>
      <c r="F5" s="259"/>
      <c r="G5" s="260">
        <v>40</v>
      </c>
      <c r="H5" s="260">
        <v>0</v>
      </c>
      <c r="I5" s="261">
        <f>G5*H5</f>
        <v>0</v>
      </c>
      <c r="J5" s="261">
        <f>I5</f>
        <v>0</v>
      </c>
      <c r="K5" s="261">
        <f>J5*0.05</f>
        <v>0</v>
      </c>
      <c r="L5" s="261">
        <f>J5*0.1</f>
        <v>0</v>
      </c>
      <c r="M5" s="262">
        <f>(J5*'Agency Base Data'!$C$6)+(K5*'Agency Base Data'!$C$4)+(L5*'Agency Base Data'!$C$5)</f>
        <v>0</v>
      </c>
      <c r="N5" s="263" t="s">
        <v>387</v>
      </c>
      <c r="O5" s="42"/>
    </row>
    <row r="6" spans="1:15" ht="27" customHeight="1">
      <c r="A6" s="264" t="s">
        <v>55</v>
      </c>
      <c r="B6" s="417" t="s">
        <v>56</v>
      </c>
      <c r="C6" s="417"/>
      <c r="D6" s="417"/>
      <c r="E6" s="417"/>
      <c r="F6" s="417"/>
      <c r="G6" s="265">
        <v>2</v>
      </c>
      <c r="H6" s="266">
        <f>SUM('Fac-ExistLrgSolid-Yr2'!$I$48,'Fac-ExistLrgLiquid-Yr2'!$I$48,'Fac-ExistLrgGas-Yr2'!$I$47,'Fac-NewLrgSolid-Yr2'!$I$45,'Fac-NewLrgLiquid-Yr2'!$I$45,'Fac-NewLrgGas-Yr2'!$I$44,'Fac - ExistSmlSolid-Yr2'!$I$16,'Fac - ExistSmlLiquid-Yr2'!$I$16,'Fac - ExistSmlGas-Yr2'!$I$16,'Fac-NewSmlSolid-Yr2'!$I$13,'Fac-NewSmlLiquid-Yr2'!$I$13,'Fac-NewSmlGas-Yr2'!$I$13)+H16</f>
        <v>10</v>
      </c>
      <c r="I6" s="266">
        <f>G6*H6</f>
        <v>20</v>
      </c>
      <c r="J6" s="266">
        <f>I6</f>
        <v>20</v>
      </c>
      <c r="K6" s="266">
        <f>J6*0.05</f>
        <v>1</v>
      </c>
      <c r="L6" s="266">
        <f>J6*0.1</f>
        <v>2</v>
      </c>
      <c r="M6" s="267">
        <f>(J6*'Agency Base Data'!$C$6)+(K6*'Agency Base Data'!$C$4)+(L6*'Agency Base Data'!$C$5)</f>
        <v>1036.49</v>
      </c>
      <c r="N6" s="268" t="s">
        <v>132</v>
      </c>
      <c r="O6" s="207"/>
    </row>
    <row r="7" spans="1:15" ht="15" customHeight="1">
      <c r="A7" s="264" t="s">
        <v>57</v>
      </c>
      <c r="B7" s="269" t="s">
        <v>58</v>
      </c>
      <c r="C7" s="270"/>
      <c r="D7" s="271"/>
      <c r="E7" s="271"/>
      <c r="F7" s="272"/>
      <c r="G7" s="265"/>
      <c r="H7" s="265"/>
      <c r="I7" s="266"/>
      <c r="J7" s="266"/>
      <c r="K7" s="266"/>
      <c r="L7" s="266"/>
      <c r="M7" s="267"/>
      <c r="N7" s="268"/>
      <c r="O7" s="206"/>
    </row>
    <row r="8" spans="1:15" ht="15" customHeight="1">
      <c r="A8" s="264"/>
      <c r="B8" s="269" t="s">
        <v>59</v>
      </c>
      <c r="C8" s="269" t="s">
        <v>60</v>
      </c>
      <c r="D8" s="271"/>
      <c r="E8" s="273"/>
      <c r="F8" s="272"/>
      <c r="G8" s="265">
        <v>40</v>
      </c>
      <c r="H8" s="266">
        <f>ROUND(0.2*SUM('Fac-ExistLrgSolid-Yr2'!$I$12:$I$16,'Fac-ExistLrgLiquid-Yr2'!$I$12:$I$16,'Fac-NewLrgSolid-Yr2'!$I$9:$I$13,'Fac-NewLrgLiquid-Yr2'!$I$9:$I$13,'Fac-ExistLrgGas-Yr2'!I11:I16,'Fac-NewLrgGas-Yr2'!I9:I13),0)</f>
        <v>702</v>
      </c>
      <c r="I8" s="266">
        <f>G8*H8</f>
        <v>28080</v>
      </c>
      <c r="J8" s="266">
        <f>I8</f>
        <v>28080</v>
      </c>
      <c r="K8" s="266">
        <f>J8*0.05</f>
        <v>1404</v>
      </c>
      <c r="L8" s="266">
        <f>J8*0.1</f>
        <v>2808</v>
      </c>
      <c r="M8" s="267">
        <f>(J8*'Agency Base Data'!$C$6)+(K8*'Agency Base Data'!$C$4)+(L8*'Agency Base Data'!$C$5)</f>
        <v>1455231.9600000002</v>
      </c>
      <c r="N8" s="268" t="s">
        <v>388</v>
      </c>
      <c r="O8" s="208"/>
    </row>
    <row r="9" spans="1:15" ht="15" customHeight="1">
      <c r="A9" s="264"/>
      <c r="B9" s="269" t="s">
        <v>61</v>
      </c>
      <c r="C9" s="269" t="s">
        <v>62</v>
      </c>
      <c r="D9" s="271"/>
      <c r="E9" s="273"/>
      <c r="F9" s="272"/>
      <c r="G9" s="265">
        <v>40</v>
      </c>
      <c r="H9" s="266">
        <f>ROUND(0.1*SUM('Fac-ExistLrgSolid-Yr2'!$I$12:$I$16,'Fac-ExistLrgLiquid-Yr2'!$I$12:$I$16,'Fac-NewLrgSolid-Yr2'!$I$9:$I$13,'Fac-NewLrgLiquid-Yr2'!$I$9:$I$13,'Fac-ExistLrgGas-Yr2'!I11:I16,'Fac-NewLrgGas-Yr2'!I9:I13,'Fac-ExistLrgSolid-Yr2'!$I$22),0)</f>
        <v>401</v>
      </c>
      <c r="I9" s="266">
        <f>G9*H9</f>
        <v>16040</v>
      </c>
      <c r="J9" s="266">
        <f>I9</f>
        <v>16040</v>
      </c>
      <c r="K9" s="266">
        <f>J9*0.05</f>
        <v>802</v>
      </c>
      <c r="L9" s="266">
        <f>J9*0.1</f>
        <v>1604</v>
      </c>
      <c r="M9" s="267">
        <f>(J9*'Agency Base Data'!$C$6)+(K9*'Agency Base Data'!$C$4)+(L9*'Agency Base Data'!$C$5)</f>
        <v>831264.9800000001</v>
      </c>
      <c r="N9" s="268" t="s">
        <v>272</v>
      </c>
      <c r="O9" s="209"/>
    </row>
    <row r="10" spans="1:15" ht="15" customHeight="1">
      <c r="A10" s="264"/>
      <c r="B10" s="269" t="s">
        <v>63</v>
      </c>
      <c r="C10" s="269" t="s">
        <v>64</v>
      </c>
      <c r="D10" s="271"/>
      <c r="E10" s="273"/>
      <c r="F10" s="272"/>
      <c r="G10" s="265">
        <v>2</v>
      </c>
      <c r="H10" s="266">
        <f>ROUND(SUM('Fac-ExistLrgSolid-Yr2'!$I$12:$I$16,'Fac-ExistLrgLiquid-Yr2'!$I$12:$I$16,'Fac-NewLrgSolid-Yr2'!$I$9:$I$13,'Fac-NewLrgLiquid-Yr2'!$I$9:$I$13,'Fac-ExistLrgGas-Yr2'!I11:I16,'Fac-NewLrgGas-Yr2'!I9:I13),0)</f>
        <v>3511</v>
      </c>
      <c r="I10" s="266">
        <f>G10*H10</f>
        <v>7022</v>
      </c>
      <c r="J10" s="266">
        <f>I10</f>
        <v>7022</v>
      </c>
      <c r="K10" s="266">
        <f>J10*0.05</f>
        <v>351.1</v>
      </c>
      <c r="L10" s="266">
        <f>J10*0.1</f>
        <v>702.2</v>
      </c>
      <c r="M10" s="267">
        <f>(J10*'Agency Base Data'!$C$6)+(K10*'Agency Base Data'!$C$4)+(L10*'Agency Base Data'!$C$5)</f>
        <v>363911.63899999997</v>
      </c>
      <c r="N10" s="268" t="s">
        <v>389</v>
      </c>
      <c r="O10" s="207"/>
    </row>
    <row r="11" spans="1:15" ht="15" customHeight="1">
      <c r="A11" s="264"/>
      <c r="B11" s="269" t="s">
        <v>65</v>
      </c>
      <c r="C11" s="269" t="s">
        <v>66</v>
      </c>
      <c r="D11" s="271"/>
      <c r="E11" s="273"/>
      <c r="F11" s="272"/>
      <c r="G11" s="265">
        <v>2</v>
      </c>
      <c r="H11" s="266">
        <f>SUM('Fac-ExistLrgSolid-Yr2'!I58,'Fac-ExistLrgLiquid-Yr2'!I58,'Fac-NewLrgSolid-Yr2'!I54,'Fac-NewLrgLiquid-Yr2'!I54,'Fac-ExistLrgGas-Yr2'!I59,'Fac-NewLrgGas-Yr2'!I55)</f>
        <v>7</v>
      </c>
      <c r="I11" s="266">
        <f>G11*H11</f>
        <v>14</v>
      </c>
      <c r="J11" s="266">
        <f>I11</f>
        <v>14</v>
      </c>
      <c r="K11" s="266">
        <f>J11*0.05</f>
        <v>0.70000000000000007</v>
      </c>
      <c r="L11" s="266">
        <f>J11*0.1</f>
        <v>1.4000000000000001</v>
      </c>
      <c r="M11" s="267">
        <f>(J11*'Agency Base Data'!$C$6)+(K11*'Agency Base Data'!$C$4)+(L11*'Agency Base Data'!$C$5)</f>
        <v>725.54300000000012</v>
      </c>
      <c r="N11" s="268" t="s">
        <v>273</v>
      </c>
      <c r="O11" s="206"/>
    </row>
    <row r="12" spans="1:15" ht="15" customHeight="1">
      <c r="A12" s="264" t="s">
        <v>67</v>
      </c>
      <c r="B12" s="269" t="s">
        <v>68</v>
      </c>
      <c r="C12" s="269"/>
      <c r="D12" s="271"/>
      <c r="E12" s="273"/>
      <c r="F12" s="272"/>
      <c r="G12" s="265">
        <v>24</v>
      </c>
      <c r="H12" s="266">
        <f>ROUND(0.1*SUM('Fac-ExistLrgSolid-Yr2'!$I$12:$I$16,'Fac-ExistLrgLiquid-Yr2'!$I$12:$I$16,'Fac-NewLrgSolid-Yr2'!$I$9:$I$13,'Fac-NewLrgLiquid-Yr2'!$I$9:$I$13,'Fac-ExistLrgGas-Yr2'!I11:I16,'Fac-NewLrgGas-Yr2'!I9:I13),0)</f>
        <v>351</v>
      </c>
      <c r="I12" s="266">
        <v>0</v>
      </c>
      <c r="J12" s="266">
        <f>I12</f>
        <v>0</v>
      </c>
      <c r="K12" s="266">
        <f>J12*0.05</f>
        <v>0</v>
      </c>
      <c r="L12" s="266">
        <f>J12*0.1</f>
        <v>0</v>
      </c>
      <c r="M12" s="267">
        <f>(J12*'Agency Base Data'!$C$6)+(K12*'Agency Base Data'!$C$4)+(L12*'Agency Base Data'!$C$5)</f>
        <v>0</v>
      </c>
      <c r="N12" s="268" t="s">
        <v>69</v>
      </c>
      <c r="O12" s="206"/>
    </row>
    <row r="13" spans="1:15" ht="15.75" customHeight="1">
      <c r="A13" s="264" t="s">
        <v>70</v>
      </c>
      <c r="B13" s="269" t="s">
        <v>71</v>
      </c>
      <c r="C13" s="270"/>
      <c r="D13" s="274"/>
      <c r="E13" s="273"/>
      <c r="F13" s="272"/>
      <c r="G13" s="265"/>
      <c r="H13" s="266"/>
      <c r="I13" s="266"/>
      <c r="J13" s="266"/>
      <c r="K13" s="266"/>
      <c r="L13" s="266"/>
      <c r="M13" s="267"/>
      <c r="N13" s="268"/>
      <c r="O13" s="206"/>
    </row>
    <row r="14" spans="1:15" ht="27" customHeight="1">
      <c r="A14" s="264"/>
      <c r="B14" s="269" t="s">
        <v>59</v>
      </c>
      <c r="C14" s="417" t="s">
        <v>72</v>
      </c>
      <c r="D14" s="417"/>
      <c r="E14" s="417"/>
      <c r="F14" s="417"/>
      <c r="G14" s="265">
        <v>2</v>
      </c>
      <c r="H14" s="266">
        <f>SUM('Fac-ExistLrgSolid-Yr2'!$I$48,'Fac-ExistLrgLiquid-Yr2'!$I$48,'Fac-ExistLrgGas-Yr2'!$I$47,'Fac-NewLrgSolid-Yr2'!$I$45,'Fac-NewLrgLiquid-Yr2'!$I$45,'Fac-NewLrgGas-Yr2'!$I$44,'Fac - ExistSmlSolid-Yr2'!$I$16,'Fac - ExistSmlLiquid-Yr2'!$I$16,'Fac - ExistSmlGas-Yr2'!$I$16,'Fac-NewSmlSolid-Yr2'!$I$13,'Fac-NewSmlLiquid-Yr2'!$I$13,'Fac-NewSmlGas-Yr2'!$I$13)</f>
        <v>5</v>
      </c>
      <c r="I14" s="266">
        <f t="shared" ref="I14:I21" si="0">G14*H14</f>
        <v>10</v>
      </c>
      <c r="J14" s="266">
        <f t="shared" ref="J14:J21" si="1">I14</f>
        <v>10</v>
      </c>
      <c r="K14" s="266">
        <f t="shared" ref="K14:K21" si="2">J14*0.05</f>
        <v>0.5</v>
      </c>
      <c r="L14" s="266">
        <f t="shared" ref="L14:L21" si="3">J14*0.1</f>
        <v>1</v>
      </c>
      <c r="M14" s="267">
        <f>(J14*'Agency Base Data'!$C$6)+(K14*'Agency Base Data'!$C$4)+(L14*'Agency Base Data'!$C$5)</f>
        <v>518.245</v>
      </c>
      <c r="N14" s="268" t="s">
        <v>132</v>
      </c>
      <c r="O14" s="206"/>
    </row>
    <row r="15" spans="1:15" ht="27" customHeight="1">
      <c r="A15" s="264"/>
      <c r="B15" s="269" t="s">
        <v>61</v>
      </c>
      <c r="C15" s="417" t="s">
        <v>73</v>
      </c>
      <c r="D15" s="417"/>
      <c r="E15" s="417"/>
      <c r="F15" s="417"/>
      <c r="G15" s="265">
        <v>20</v>
      </c>
      <c r="H15" s="266">
        <f>ROUND(SUM('Fac-ExistLrgSolid-Yr2'!$I$12:$I$16,'Fac-ExistLrgLiquid-Yr2'!$I$12:$I$16,'Fac-NewLrgSolid-Yr2'!$I$9:$I$13,'Fac-NewLrgLiquid-Yr2'!$I$9:$I$13,'Fac-ExistLrgGas-Yr2'!I18:I23,'Fac-NewLrgGas-Yr2'!I16:I20),0)</f>
        <v>3100</v>
      </c>
      <c r="I15" s="266">
        <f t="shared" si="0"/>
        <v>62000</v>
      </c>
      <c r="J15" s="266">
        <f t="shared" si="1"/>
        <v>62000</v>
      </c>
      <c r="K15" s="266">
        <f t="shared" si="2"/>
        <v>3100</v>
      </c>
      <c r="L15" s="266">
        <f t="shared" si="3"/>
        <v>6200</v>
      </c>
      <c r="M15" s="267">
        <f>(J15*'Agency Base Data'!$C$6)+(K15*'Agency Base Data'!$C$4)+(L15*'Agency Base Data'!$C$5)</f>
        <v>3213119</v>
      </c>
      <c r="N15" s="268" t="s">
        <v>389</v>
      </c>
      <c r="O15" s="206"/>
    </row>
    <row r="16" spans="1:15" ht="15" customHeight="1">
      <c r="A16" s="264"/>
      <c r="B16" s="269" t="s">
        <v>63</v>
      </c>
      <c r="C16" s="269" t="s">
        <v>74</v>
      </c>
      <c r="D16" s="273"/>
      <c r="E16" s="273"/>
      <c r="F16" s="272"/>
      <c r="G16" s="265">
        <v>2</v>
      </c>
      <c r="H16" s="266">
        <f>SUM('Fac-ExistLrgSolid-Yr2'!$I$49,'Fac-ExistLrgLiquid-Yr2'!$I$49,'Fac-ExistLrgGas-Yr2'!$I$48,'Fac-NewLrgSolid-Yr2'!$I$46,'Fac-NewLrgLiquid-Yr2'!$I$46,'Fac-NewLrgGas-Yr2'!$I$45,'Fac - ExistSmlSolid-Yr2'!$I$17,'Fac - ExistSmlLiquid-Yr2'!$I$17,'Fac - ExistSmlGas-Yr2'!$I$17,'Fac-NewSmlSolid-Yr2'!$I$14,'Fac-NewSmlLiquid-Yr2'!$I$14,'Fac-NewSmlGas-Yr2'!$I$14)</f>
        <v>5</v>
      </c>
      <c r="I16" s="266">
        <f t="shared" si="0"/>
        <v>10</v>
      </c>
      <c r="J16" s="266">
        <f t="shared" si="1"/>
        <v>10</v>
      </c>
      <c r="K16" s="266">
        <f t="shared" si="2"/>
        <v>0.5</v>
      </c>
      <c r="L16" s="266">
        <f t="shared" si="3"/>
        <v>1</v>
      </c>
      <c r="M16" s="267">
        <f>(J16*'Agency Base Data'!$C$6)+(K16*'Agency Base Data'!$C$4)+(L16*'Agency Base Data'!$C$5)</f>
        <v>518.245</v>
      </c>
      <c r="N16" s="268" t="s">
        <v>132</v>
      </c>
      <c r="O16" s="206"/>
    </row>
    <row r="17" spans="1:15" ht="15" customHeight="1">
      <c r="A17" s="264" t="s">
        <v>75</v>
      </c>
      <c r="B17" s="269" t="s">
        <v>76</v>
      </c>
      <c r="C17" s="269"/>
      <c r="D17" s="271"/>
      <c r="E17" s="273"/>
      <c r="F17" s="272"/>
      <c r="G17" s="265"/>
      <c r="H17" s="266"/>
      <c r="I17" s="266">
        <f t="shared" si="0"/>
        <v>0</v>
      </c>
      <c r="J17" s="266">
        <f t="shared" si="1"/>
        <v>0</v>
      </c>
      <c r="K17" s="266">
        <f t="shared" si="2"/>
        <v>0</v>
      </c>
      <c r="L17" s="266">
        <f t="shared" si="3"/>
        <v>0</v>
      </c>
      <c r="M17" s="267">
        <f>(J17*'Agency Base Data'!$C$6)+(K17*'Agency Base Data'!$C$4)+(L17*'Agency Base Data'!$C$5)</f>
        <v>0</v>
      </c>
      <c r="N17" s="268"/>
      <c r="O17" s="206"/>
    </row>
    <row r="18" spans="1:15" ht="15" customHeight="1">
      <c r="A18" s="264"/>
      <c r="B18" s="269" t="s">
        <v>59</v>
      </c>
      <c r="C18" s="269" t="s">
        <v>77</v>
      </c>
      <c r="D18" s="269"/>
      <c r="E18" s="273"/>
      <c r="F18" s="272"/>
      <c r="G18" s="265">
        <v>4</v>
      </c>
      <c r="H18" s="266">
        <f>2*SUM('Fac-ExistLrgSolid-Yr2'!$I$51,'Fac-ExistLrgLiquid-Yr2'!$I$51,,'Fac-NewLrgSolid-Yr2'!$I$47,'Fac-NewLrgLiquid-Yr2'!$I$47,'Fac-ExistLrgGas-Yr2'!$I$51,'Fac-NewLrgGas-Yr2'!$I$47)</f>
        <v>6</v>
      </c>
      <c r="I18" s="266">
        <f t="shared" si="0"/>
        <v>24</v>
      </c>
      <c r="J18" s="266">
        <f t="shared" si="1"/>
        <v>24</v>
      </c>
      <c r="K18" s="266">
        <f t="shared" si="2"/>
        <v>1.2000000000000002</v>
      </c>
      <c r="L18" s="266">
        <f t="shared" si="3"/>
        <v>2.4000000000000004</v>
      </c>
      <c r="M18" s="267">
        <f>(J18*'Agency Base Data'!$C$6)+(K18*'Agency Base Data'!$C$4)+(L18*'Agency Base Data'!$C$5)</f>
        <v>1243.788</v>
      </c>
      <c r="N18" s="268" t="s">
        <v>78</v>
      </c>
    </row>
    <row r="19" spans="1:15" ht="15" customHeight="1">
      <c r="A19" s="264"/>
      <c r="B19" s="269" t="s">
        <v>61</v>
      </c>
      <c r="C19" s="269" t="s">
        <v>14</v>
      </c>
      <c r="D19" s="269"/>
      <c r="E19" s="273"/>
      <c r="F19" s="272"/>
      <c r="G19" s="265">
        <v>2</v>
      </c>
      <c r="H19" s="266">
        <f>SUM('Fac-ExistLrgGas-Yr2'!$I$51,'Fac-NewLrgGas-Yr2'!$I$47)</f>
        <v>0</v>
      </c>
      <c r="I19" s="266">
        <f t="shared" si="0"/>
        <v>0</v>
      </c>
      <c r="J19" s="266">
        <f t="shared" si="1"/>
        <v>0</v>
      </c>
      <c r="K19" s="266">
        <f t="shared" si="2"/>
        <v>0</v>
      </c>
      <c r="L19" s="266">
        <f t="shared" si="3"/>
        <v>0</v>
      </c>
      <c r="M19" s="267">
        <f>(J19*'Agency Base Data'!$C$6)+(K19*'Agency Base Data'!$C$4)+(L19*'Agency Base Data'!$C$5)</f>
        <v>0</v>
      </c>
      <c r="N19" s="268" t="s">
        <v>84</v>
      </c>
    </row>
    <row r="20" spans="1:15" ht="15" customHeight="1">
      <c r="A20" s="264"/>
      <c r="B20" s="269" t="s">
        <v>63</v>
      </c>
      <c r="C20" s="269" t="s">
        <v>15</v>
      </c>
      <c r="D20" s="269"/>
      <c r="E20" s="273"/>
      <c r="F20" s="272"/>
      <c r="G20" s="265">
        <v>1</v>
      </c>
      <c r="H20" s="266">
        <f>0.5*SUM('Fac - ExistSmlSolid-Yr2'!$I$18,'Fac - ExistSmlLiquid-Yr2'!$I$18,'Fac - ExistSmlGas-Yr2'!$I$18,'Fac-NewSmlGas-Yr2'!$I$15,'Fac-NewSmlLiquid-Yr2'!$I$15,'Fac-NewSmlSolid-Yr2'!$I$15)</f>
        <v>3.5</v>
      </c>
      <c r="I20" s="266">
        <f t="shared" si="0"/>
        <v>3.5</v>
      </c>
      <c r="J20" s="266">
        <f t="shared" si="1"/>
        <v>3.5</v>
      </c>
      <c r="K20" s="266">
        <f t="shared" si="2"/>
        <v>0.17500000000000002</v>
      </c>
      <c r="L20" s="266">
        <f t="shared" si="3"/>
        <v>0.35000000000000003</v>
      </c>
      <c r="M20" s="267">
        <f>(J20*'Agency Base Data'!$C$6)+(K20*'Agency Base Data'!$C$4)+(L20*'Agency Base Data'!$C$5)</f>
        <v>181.38575000000003</v>
      </c>
      <c r="N20" s="268" t="s">
        <v>16</v>
      </c>
    </row>
    <row r="21" spans="1:15" ht="15" customHeight="1">
      <c r="A21" s="264"/>
      <c r="B21" s="269" t="s">
        <v>65</v>
      </c>
      <c r="C21" s="269" t="s">
        <v>80</v>
      </c>
      <c r="D21" s="269"/>
      <c r="E21" s="273"/>
      <c r="F21" s="275"/>
      <c r="G21" s="265">
        <v>2</v>
      </c>
      <c r="H21" s="266">
        <f>SUM('Fac-ExistLrgSolid-Yr2'!$I$50,'Fac-ExistLrgLiquid-Yr2'!$I$50,'Fac-ExistLrgGas-Yr2'!$I$49,'Fac - ExistSmlSolid-Yr2'!$I$19,'Fac - ExistSmlLiquid-Yr2'!$I$19,'Fac - ExistSmlGas-Yr2'!$I$19)</f>
        <v>0</v>
      </c>
      <c r="I21" s="266">
        <f t="shared" si="0"/>
        <v>0</v>
      </c>
      <c r="J21" s="266">
        <f t="shared" si="1"/>
        <v>0</v>
      </c>
      <c r="K21" s="266">
        <f t="shared" si="2"/>
        <v>0</v>
      </c>
      <c r="L21" s="266">
        <f t="shared" si="3"/>
        <v>0</v>
      </c>
      <c r="M21" s="267">
        <f>(J21*'Agency Base Data'!$C$6)+(K21*'Agency Base Data'!$C$4)+(L21*'Agency Base Data'!$C$5)</f>
        <v>0</v>
      </c>
      <c r="N21" s="268" t="s">
        <v>17</v>
      </c>
    </row>
    <row r="22" spans="1:15" ht="27.75" customHeight="1" thickBot="1">
      <c r="A22" s="276" t="s">
        <v>81</v>
      </c>
      <c r="B22" s="277" t="s">
        <v>82</v>
      </c>
      <c r="C22" s="278"/>
      <c r="D22" s="279"/>
      <c r="E22" s="279"/>
      <c r="F22" s="280"/>
      <c r="G22" s="415" t="s">
        <v>83</v>
      </c>
      <c r="H22" s="415"/>
      <c r="I22" s="415"/>
      <c r="J22" s="415"/>
      <c r="K22" s="281"/>
      <c r="L22" s="282"/>
      <c r="M22" s="283">
        <f>(('Agency Base Data'!$C$14*('Agency Base Data'!$C$11+'Agency Base Data'!$C$12))+'Agency Base Data'!$C$13)*SUM(H8:H9)</f>
        <v>1217712</v>
      </c>
      <c r="N22" s="284" t="s">
        <v>18</v>
      </c>
    </row>
    <row r="23" spans="1:15" ht="18.75" customHeight="1">
      <c r="A23" s="295" t="s">
        <v>85</v>
      </c>
      <c r="B23" s="285"/>
      <c r="C23" s="286"/>
      <c r="D23" s="285"/>
      <c r="E23" s="287"/>
      <c r="F23" s="288"/>
      <c r="G23" s="289"/>
      <c r="H23" s="289"/>
      <c r="I23" s="289"/>
      <c r="J23" s="290">
        <f>SUM(J5:J21)</f>
        <v>113223.5</v>
      </c>
      <c r="K23" s="290">
        <f>SUM(K5:K21)</f>
        <v>5661.1749999999993</v>
      </c>
      <c r="L23" s="290">
        <f>SUM(L5:L21)</f>
        <v>11322.349999999999</v>
      </c>
      <c r="M23" s="291">
        <f>SUM(M5:M22)</f>
        <v>7085463.275750001</v>
      </c>
      <c r="N23" s="292"/>
    </row>
    <row r="24" spans="1:15" ht="18" customHeight="1" thickBot="1">
      <c r="A24" s="341" t="s">
        <v>86</v>
      </c>
      <c r="B24" s="293"/>
      <c r="C24" s="293"/>
      <c r="D24" s="293"/>
      <c r="E24" s="293"/>
      <c r="F24" s="293"/>
      <c r="G24" s="280"/>
      <c r="H24" s="280"/>
      <c r="I24" s="280"/>
      <c r="J24" s="342"/>
      <c r="K24" s="282"/>
      <c r="L24" s="343">
        <f>(SUM(J5:J21))+(SUM(K5:K21))+(SUM(L5:L21))</f>
        <v>130207.02499999999</v>
      </c>
      <c r="M24" s="294"/>
      <c r="N24" s="284"/>
    </row>
    <row r="25" spans="1:15" ht="6.75" customHeight="1">
      <c r="G25" s="86"/>
      <c r="H25" s="86"/>
      <c r="I25" s="86"/>
    </row>
    <row r="26" spans="1:15" s="114" customFormat="1" ht="11.25">
      <c r="A26" s="114" t="s">
        <v>87</v>
      </c>
      <c r="J26" s="115"/>
      <c r="K26" s="115"/>
      <c r="L26" s="115"/>
      <c r="M26" s="116"/>
      <c r="N26" s="54"/>
    </row>
    <row r="27" spans="1:15" s="114" customFormat="1" ht="35.25" customHeight="1">
      <c r="A27" s="414" t="s">
        <v>506</v>
      </c>
      <c r="B27" s="414"/>
      <c r="C27" s="414"/>
      <c r="D27" s="414"/>
      <c r="E27" s="414"/>
      <c r="F27" s="414"/>
      <c r="G27" s="414"/>
      <c r="H27" s="414"/>
      <c r="I27" s="414"/>
      <c r="J27" s="414"/>
      <c r="K27" s="414"/>
      <c r="L27" s="414"/>
      <c r="M27" s="414"/>
      <c r="N27" s="414"/>
    </row>
    <row r="28" spans="1:15" s="114" customFormat="1" ht="11.25">
      <c r="A28" s="414" t="s">
        <v>507</v>
      </c>
      <c r="B28" s="414"/>
      <c r="C28" s="414"/>
      <c r="D28" s="414"/>
      <c r="E28" s="414"/>
      <c r="F28" s="414"/>
      <c r="G28" s="414"/>
      <c r="H28" s="414"/>
      <c r="I28" s="414"/>
      <c r="J28" s="414"/>
      <c r="K28" s="414"/>
      <c r="L28" s="414"/>
      <c r="M28" s="414"/>
      <c r="N28" s="414"/>
    </row>
    <row r="29" spans="1:15" s="114" customFormat="1" ht="11.25">
      <c r="A29" s="380" t="s">
        <v>546</v>
      </c>
      <c r="J29" s="115"/>
      <c r="K29" s="115"/>
      <c r="L29" s="115"/>
      <c r="M29" s="116"/>
      <c r="N29" s="54"/>
    </row>
    <row r="30" spans="1:15" s="114" customFormat="1" ht="12.75" customHeight="1">
      <c r="A30" s="414" t="s">
        <v>508</v>
      </c>
      <c r="B30" s="414"/>
      <c r="C30" s="414"/>
      <c r="D30" s="414"/>
      <c r="E30" s="414"/>
      <c r="F30" s="414"/>
      <c r="G30" s="414"/>
      <c r="H30" s="414"/>
      <c r="I30" s="414"/>
      <c r="J30" s="414"/>
      <c r="K30" s="414"/>
      <c r="L30" s="414"/>
      <c r="M30" s="414"/>
      <c r="N30" s="414"/>
    </row>
    <row r="31" spans="1:15" s="114" customFormat="1" ht="11.25">
      <c r="A31" s="114" t="s">
        <v>363</v>
      </c>
      <c r="J31" s="115"/>
      <c r="K31" s="115"/>
      <c r="L31" s="115"/>
      <c r="M31" s="116"/>
      <c r="N31" s="54"/>
    </row>
    <row r="32" spans="1:15" s="114" customFormat="1" ht="11.25">
      <c r="A32" s="114" t="s">
        <v>509</v>
      </c>
      <c r="J32" s="115"/>
      <c r="K32" s="115"/>
      <c r="L32" s="115"/>
      <c r="M32" s="116"/>
      <c r="N32" s="54"/>
    </row>
    <row r="33" spans="1:14">
      <c r="A33" s="414" t="s">
        <v>510</v>
      </c>
      <c r="B33" s="414"/>
      <c r="C33" s="414"/>
      <c r="D33" s="414"/>
      <c r="E33" s="414"/>
      <c r="F33" s="414"/>
      <c r="G33" s="414"/>
      <c r="H33" s="414"/>
      <c r="I33" s="414"/>
      <c r="J33" s="414"/>
      <c r="K33" s="414"/>
      <c r="L33" s="414"/>
      <c r="M33" s="414"/>
      <c r="N33" s="414"/>
    </row>
    <row r="34" spans="1:14">
      <c r="A34" s="114" t="s">
        <v>511</v>
      </c>
      <c r="G34" s="86"/>
      <c r="H34" s="86"/>
      <c r="I34" s="86"/>
    </row>
    <row r="35" spans="1:14" ht="13.5" customHeight="1">
      <c r="A35" s="114" t="s">
        <v>512</v>
      </c>
      <c r="G35" s="86"/>
      <c r="H35" s="86"/>
      <c r="I35" s="86"/>
    </row>
    <row r="36" spans="1:14" ht="25.5" customHeight="1">
      <c r="A36" s="414" t="s">
        <v>21</v>
      </c>
      <c r="B36" s="414"/>
      <c r="C36" s="414"/>
      <c r="D36" s="414"/>
      <c r="E36" s="414"/>
      <c r="F36" s="414"/>
      <c r="G36" s="414"/>
      <c r="H36" s="414"/>
      <c r="I36" s="414"/>
      <c r="J36" s="414"/>
      <c r="K36" s="414"/>
      <c r="L36" s="414"/>
      <c r="M36" s="414"/>
      <c r="N36" s="414"/>
    </row>
    <row r="37" spans="1:14">
      <c r="A37" s="125" t="s">
        <v>20</v>
      </c>
    </row>
    <row r="38" spans="1:14" ht="35.25" customHeight="1">
      <c r="A38" s="414" t="s">
        <v>19</v>
      </c>
      <c r="B38" s="414"/>
      <c r="C38" s="414"/>
      <c r="D38" s="414"/>
      <c r="E38" s="414"/>
      <c r="F38" s="414"/>
      <c r="G38" s="414"/>
      <c r="H38" s="414"/>
      <c r="I38" s="414"/>
      <c r="J38" s="414"/>
      <c r="K38" s="414"/>
      <c r="L38" s="414"/>
      <c r="M38" s="414"/>
      <c r="N38" s="414"/>
    </row>
    <row r="40" spans="1:14">
      <c r="H40" s="117"/>
      <c r="I40" s="210"/>
      <c r="J40" s="199"/>
      <c r="L40" s="211"/>
    </row>
    <row r="41" spans="1:14">
      <c r="I41" s="199"/>
      <c r="J41" s="199"/>
    </row>
    <row r="42" spans="1:14">
      <c r="I42" s="210"/>
      <c r="J42" s="199"/>
    </row>
    <row r="43" spans="1:14">
      <c r="I43" s="199"/>
    </row>
    <row r="44" spans="1:14">
      <c r="J44" s="199"/>
    </row>
  </sheetData>
  <mergeCells count="12">
    <mergeCell ref="A36:N36"/>
    <mergeCell ref="A38:N38"/>
    <mergeCell ref="A33:N33"/>
    <mergeCell ref="A1:N1"/>
    <mergeCell ref="A2:N2"/>
    <mergeCell ref="A27:N27"/>
    <mergeCell ref="A30:N30"/>
    <mergeCell ref="G22:J22"/>
    <mergeCell ref="B6:F6"/>
    <mergeCell ref="C15:F15"/>
    <mergeCell ref="C14:F14"/>
    <mergeCell ref="A28:N28"/>
  </mergeCells>
  <phoneticPr fontId="7" type="noConversion"/>
  <printOptions horizontalCentered="1"/>
  <pageMargins left="0.5" right="0.5" top="0.75" bottom="0.75" header="0.5" footer="0.5"/>
  <pageSetup scale="74" orientation="landscape" r:id="rId1"/>
  <headerFooter alignWithMargins="0"/>
</worksheet>
</file>

<file path=xl/worksheets/sheet48.xml><?xml version="1.0" encoding="utf-8"?>
<worksheet xmlns="http://schemas.openxmlformats.org/spreadsheetml/2006/main" xmlns:r="http://schemas.openxmlformats.org/officeDocument/2006/relationships">
  <sheetPr>
    <pageSetUpPr fitToPage="1"/>
  </sheetPr>
  <dimension ref="A1:O44"/>
  <sheetViews>
    <sheetView zoomScaleNormal="100" workbookViewId="0">
      <selection activeCell="A29" sqref="A29"/>
    </sheetView>
  </sheetViews>
  <sheetFormatPr defaultRowHeight="12.75"/>
  <cols>
    <col min="1" max="1" width="2.28515625" style="86" customWidth="1"/>
    <col min="2" max="2" width="2.42578125" style="86" customWidth="1"/>
    <col min="3" max="3" width="2.140625" style="86" customWidth="1"/>
    <col min="4" max="4" width="1.42578125" style="86" customWidth="1"/>
    <col min="5" max="5" width="2.42578125" style="86" customWidth="1"/>
    <col min="6" max="6" width="40.7109375" style="86" customWidth="1"/>
    <col min="7" max="7" width="12" style="198" customWidth="1"/>
    <col min="8" max="8" width="13" style="198" customWidth="1"/>
    <col min="9" max="9" width="14.28515625" style="198" customWidth="1"/>
    <col min="10" max="10" width="10.5703125" style="198" customWidth="1"/>
    <col min="11" max="11" width="11" style="198" customWidth="1"/>
    <col min="12" max="12" width="14" style="198" customWidth="1"/>
    <col min="13" max="13" width="13" style="199" customWidth="1"/>
    <col min="14" max="14" width="3.85546875" style="200" bestFit="1" customWidth="1"/>
    <col min="15" max="15" width="15.28515625" style="86" customWidth="1"/>
    <col min="16" max="16384" width="9.140625" style="86"/>
  </cols>
  <sheetData>
    <row r="1" spans="1:15">
      <c r="A1" s="416" t="s">
        <v>89</v>
      </c>
      <c r="B1" s="416"/>
      <c r="C1" s="416"/>
      <c r="D1" s="416"/>
      <c r="E1" s="416"/>
      <c r="F1" s="416"/>
      <c r="G1" s="416"/>
      <c r="H1" s="416"/>
      <c r="I1" s="416"/>
      <c r="J1" s="416"/>
      <c r="K1" s="416"/>
      <c r="L1" s="416"/>
      <c r="M1" s="416"/>
      <c r="N1" s="416"/>
    </row>
    <row r="2" spans="1:15" ht="12" customHeight="1">
      <c r="A2" s="416" t="s">
        <v>275</v>
      </c>
      <c r="B2" s="416"/>
      <c r="C2" s="416"/>
      <c r="D2" s="416"/>
      <c r="E2" s="416"/>
      <c r="F2" s="416"/>
      <c r="G2" s="416"/>
      <c r="H2" s="416"/>
      <c r="I2" s="416"/>
      <c r="J2" s="416"/>
      <c r="K2" s="416"/>
      <c r="L2" s="416"/>
      <c r="M2" s="416"/>
      <c r="N2" s="416"/>
    </row>
    <row r="3" spans="1:15" ht="15" customHeight="1" thickBot="1"/>
    <row r="4" spans="1:15" s="130" customFormat="1" ht="51">
      <c r="A4" s="201" t="s">
        <v>392</v>
      </c>
      <c r="B4" s="202"/>
      <c r="C4" s="202"/>
      <c r="D4" s="202"/>
      <c r="E4" s="202"/>
      <c r="F4" s="202"/>
      <c r="G4" s="203" t="s">
        <v>47</v>
      </c>
      <c r="H4" s="203" t="s">
        <v>48</v>
      </c>
      <c r="I4" s="203" t="s">
        <v>49</v>
      </c>
      <c r="J4" s="203" t="s">
        <v>50</v>
      </c>
      <c r="K4" s="203" t="s">
        <v>51</v>
      </c>
      <c r="L4" s="203" t="s">
        <v>52</v>
      </c>
      <c r="M4" s="204" t="s">
        <v>25</v>
      </c>
      <c r="N4" s="205" t="s">
        <v>394</v>
      </c>
    </row>
    <row r="5" spans="1:15" ht="15" customHeight="1">
      <c r="A5" s="257" t="s">
        <v>53</v>
      </c>
      <c r="B5" s="258" t="s">
        <v>54</v>
      </c>
      <c r="C5" s="258"/>
      <c r="D5" s="258"/>
      <c r="E5" s="258"/>
      <c r="F5" s="259"/>
      <c r="G5" s="260">
        <v>40</v>
      </c>
      <c r="H5" s="260">
        <v>0</v>
      </c>
      <c r="I5" s="261">
        <f>G5*H5</f>
        <v>0</v>
      </c>
      <c r="J5" s="261">
        <f>I5</f>
        <v>0</v>
      </c>
      <c r="K5" s="261">
        <f>J5*0.05</f>
        <v>0</v>
      </c>
      <c r="L5" s="261">
        <f>J5*0.1</f>
        <v>0</v>
      </c>
      <c r="M5" s="262">
        <f>(J5*'Agency Base Data'!$C$6)+(K5*'Agency Base Data'!$C$4)+(L5*'Agency Base Data'!$C$5)</f>
        <v>0</v>
      </c>
      <c r="N5" s="263" t="s">
        <v>387</v>
      </c>
      <c r="O5" s="42"/>
    </row>
    <row r="6" spans="1:15" ht="27" customHeight="1">
      <c r="A6" s="264" t="s">
        <v>55</v>
      </c>
      <c r="B6" s="417" t="s">
        <v>56</v>
      </c>
      <c r="C6" s="417"/>
      <c r="D6" s="417"/>
      <c r="E6" s="417"/>
      <c r="F6" s="417"/>
      <c r="G6" s="265">
        <v>2</v>
      </c>
      <c r="H6" s="266">
        <f>SUM('Fac-ExistLrgSolid-Yr3'!$I$48,'Fac-ExistLrgLiquid-Yr3'!$I$48,'Fac-ExistLrgGas-Yr3'!$I$47,'Fac-NewLrgSolid-Yr3'!$I$45,'Fac-NewLrgLiquid-Yr3'!$I$45,'Fac-NewLrgGas-Yr3'!$I$44,'Fac - ExistSmlSolid-Yr3'!$I$16,'Fac - ExistSmlLiquid-Yr3'!$I$16,'Fac - ExistSmlGas-Yr3'!$I$16,'Fac-NewSmlSolid-Yr3'!$I$13,'Fac-NewSmlLiquid-Yr3'!$I$13,'Fac-NewSmlGas-Yr3'!$I$13)+H16</f>
        <v>1647</v>
      </c>
      <c r="I6" s="266">
        <f>G6*H6</f>
        <v>3294</v>
      </c>
      <c r="J6" s="266">
        <f>I6</f>
        <v>3294</v>
      </c>
      <c r="K6" s="266">
        <f>J6*0.05</f>
        <v>164.70000000000002</v>
      </c>
      <c r="L6" s="266">
        <f>J6*0.1</f>
        <v>329.40000000000003</v>
      </c>
      <c r="M6" s="267">
        <f>(J6*'Agency Base Data'!$C$6)+(K6*'Agency Base Data'!$C$4)+(L6*'Agency Base Data'!$C$5)</f>
        <v>170709.90299999999</v>
      </c>
      <c r="N6" s="268" t="s">
        <v>132</v>
      </c>
      <c r="O6" s="207"/>
    </row>
    <row r="7" spans="1:15" ht="15" customHeight="1">
      <c r="A7" s="264" t="s">
        <v>57</v>
      </c>
      <c r="B7" s="269" t="s">
        <v>58</v>
      </c>
      <c r="C7" s="270"/>
      <c r="D7" s="271"/>
      <c r="E7" s="271"/>
      <c r="F7" s="272"/>
      <c r="G7" s="265"/>
      <c r="H7" s="265"/>
      <c r="I7" s="266"/>
      <c r="J7" s="266"/>
      <c r="K7" s="266"/>
      <c r="L7" s="266"/>
      <c r="M7" s="267"/>
      <c r="N7" s="268"/>
      <c r="O7" s="206"/>
    </row>
    <row r="8" spans="1:15" ht="15" customHeight="1">
      <c r="A8" s="264"/>
      <c r="B8" s="269" t="s">
        <v>59</v>
      </c>
      <c r="C8" s="269" t="s">
        <v>60</v>
      </c>
      <c r="D8" s="271"/>
      <c r="E8" s="273"/>
      <c r="F8" s="272"/>
      <c r="G8" s="265">
        <v>40</v>
      </c>
      <c r="H8" s="266">
        <f>ROUND(0.2*SUM('Fac-ExistLrgSolid-Yr3'!$I$12:$I$16,'Fac-ExistLrgLiquid-Yr3'!$I$12:$I$16,'Fac-NewLrgSolid-Yr3'!$I$9:$I$13,'Fac-NewLrgLiquid-Yr3'!$I$9:$I$13,'Fac-ExistLrgGas-Yr3'!I11:I16,'Fac-NewLrgGas-Yr3'!I9:I13),0)</f>
        <v>700</v>
      </c>
      <c r="I8" s="266">
        <f>G8*H8</f>
        <v>28000</v>
      </c>
      <c r="J8" s="266">
        <f>I8</f>
        <v>28000</v>
      </c>
      <c r="K8" s="266">
        <f>J8*0.05</f>
        <v>1400</v>
      </c>
      <c r="L8" s="266">
        <f>J8*0.1</f>
        <v>2800</v>
      </c>
      <c r="M8" s="267">
        <f>(J8*'Agency Base Data'!$C$6)+(K8*'Agency Base Data'!$C$4)+(L8*'Agency Base Data'!$C$5)</f>
        <v>1451086</v>
      </c>
      <c r="N8" s="268" t="s">
        <v>388</v>
      </c>
      <c r="O8" s="208"/>
    </row>
    <row r="9" spans="1:15" ht="15" customHeight="1">
      <c r="A9" s="264"/>
      <c r="B9" s="269" t="s">
        <v>61</v>
      </c>
      <c r="C9" s="269" t="s">
        <v>62</v>
      </c>
      <c r="D9" s="271"/>
      <c r="E9" s="273"/>
      <c r="F9" s="272"/>
      <c r="G9" s="265">
        <v>40</v>
      </c>
      <c r="H9" s="266">
        <f>ROUND(0.1*SUM('Fac-ExistLrgSolid-Yr3'!$I$12:$I$16,'Fac-ExistLrgLiquid-Yr3'!$I$12:$I$16,'Fac-NewLrgSolid-Yr3'!$I$9:$I$13,'Fac-NewLrgLiquid-Yr3'!$I$9:$I$13,'Fac-ExistLrgGas-Yr3'!I11:I16,'Fac-NewLrgGas-Yr3'!I9:I13,'Fac-ExistLrgSolid-Yr3'!$I$22),0)</f>
        <v>400</v>
      </c>
      <c r="I9" s="266">
        <f>G9*H9</f>
        <v>16000</v>
      </c>
      <c r="J9" s="266">
        <f>I9</f>
        <v>16000</v>
      </c>
      <c r="K9" s="266">
        <f>J9*0.05</f>
        <v>800</v>
      </c>
      <c r="L9" s="266">
        <f>J9*0.1</f>
        <v>1600</v>
      </c>
      <c r="M9" s="267">
        <f>(J9*'Agency Base Data'!$C$6)+(K9*'Agency Base Data'!$C$4)+(L9*'Agency Base Data'!$C$5)</f>
        <v>829192</v>
      </c>
      <c r="N9" s="268" t="s">
        <v>272</v>
      </c>
      <c r="O9" s="209"/>
    </row>
    <row r="10" spans="1:15" ht="15" customHeight="1">
      <c r="A10" s="264"/>
      <c r="B10" s="269" t="s">
        <v>63</v>
      </c>
      <c r="C10" s="269" t="s">
        <v>64</v>
      </c>
      <c r="D10" s="271"/>
      <c r="E10" s="273"/>
      <c r="F10" s="272"/>
      <c r="G10" s="265">
        <v>2</v>
      </c>
      <c r="H10" s="266">
        <f>ROUND(SUM('Fac-ExistLrgSolid-Yr3'!$I$12:$I$16,'Fac-ExistLrgLiquid-Yr3'!$I$12:$I$16,'Fac-NewLrgSolid-Yr3'!$I$9:$I$13,'Fac-NewLrgLiquid-Yr3'!$I$9:$I$13,'Fac-ExistLrgGas-Yr3'!I11:I16,'Fac-NewLrgGas-Yr3'!I9:I13),0)</f>
        <v>3502</v>
      </c>
      <c r="I10" s="266">
        <f>G10*H10</f>
        <v>7004</v>
      </c>
      <c r="J10" s="266">
        <f>I10</f>
        <v>7004</v>
      </c>
      <c r="K10" s="266">
        <f>J10*0.05</f>
        <v>350.20000000000005</v>
      </c>
      <c r="L10" s="266">
        <f>J10*0.1</f>
        <v>700.40000000000009</v>
      </c>
      <c r="M10" s="267">
        <f>(J10*'Agency Base Data'!$C$6)+(K10*'Agency Base Data'!$C$4)+(L10*'Agency Base Data'!$C$5)</f>
        <v>362978.79800000007</v>
      </c>
      <c r="N10" s="268" t="s">
        <v>389</v>
      </c>
      <c r="O10" s="207"/>
    </row>
    <row r="11" spans="1:15" ht="15" customHeight="1">
      <c r="A11" s="264"/>
      <c r="B11" s="269" t="s">
        <v>65</v>
      </c>
      <c r="C11" s="269" t="s">
        <v>66</v>
      </c>
      <c r="D11" s="271"/>
      <c r="E11" s="273"/>
      <c r="F11" s="272"/>
      <c r="G11" s="265">
        <v>2</v>
      </c>
      <c r="H11" s="266">
        <f>SUM('Fac-ExistLrgSolid-Yr3'!I58,'Fac-ExistLrgLiquid-Yr3'!I58,'Fac-NewLrgSolid-Yr3'!I54,'Fac-NewLrgLiquid-Yr3'!I54,'Fac-ExistLrgGas-Yr3'!I59,'Fac-NewLrgGas-Yr3'!I55)</f>
        <v>1584</v>
      </c>
      <c r="I11" s="266">
        <f>G11*H11</f>
        <v>3168</v>
      </c>
      <c r="J11" s="266">
        <f>I11</f>
        <v>3168</v>
      </c>
      <c r="K11" s="266">
        <f>J11*0.05</f>
        <v>158.4</v>
      </c>
      <c r="L11" s="266">
        <f>J11*0.1</f>
        <v>316.8</v>
      </c>
      <c r="M11" s="267">
        <f>(J11*'Agency Base Data'!$C$6)+(K11*'Agency Base Data'!$C$4)+(L11*'Agency Base Data'!$C$5)</f>
        <v>164180.016</v>
      </c>
      <c r="N11" s="268" t="s">
        <v>273</v>
      </c>
      <c r="O11" s="206"/>
    </row>
    <row r="12" spans="1:15" ht="15" customHeight="1">
      <c r="A12" s="264" t="s">
        <v>67</v>
      </c>
      <c r="B12" s="269" t="s">
        <v>68</v>
      </c>
      <c r="C12" s="269"/>
      <c r="D12" s="271"/>
      <c r="E12" s="273"/>
      <c r="F12" s="272"/>
      <c r="G12" s="265">
        <v>24</v>
      </c>
      <c r="H12" s="266">
        <f>ROUND(0.1*SUM('Fac-ExistLrgSolid-Yr3'!$I$12:$I$16,'Fac-ExistLrgLiquid-Yr3'!$I$12:$I$16,'Fac-NewLrgSolid-Yr3'!$I$9:$I$13,'Fac-NewLrgLiquid-Yr3'!$I$9:$I$13,'Fac-ExistLrgGas-Yr3'!I11:I16,'Fac-NewLrgGas-Yr3'!I9:I13),0)</f>
        <v>350</v>
      </c>
      <c r="I12" s="266">
        <v>0</v>
      </c>
      <c r="J12" s="266">
        <f>I12</f>
        <v>0</v>
      </c>
      <c r="K12" s="266">
        <f>J12*0.05</f>
        <v>0</v>
      </c>
      <c r="L12" s="266">
        <f>J12*0.1</f>
        <v>0</v>
      </c>
      <c r="M12" s="267">
        <f>(J12*'Agency Base Data'!$C$6)+(K12*'Agency Base Data'!$C$4)+(L12*'Agency Base Data'!$C$5)</f>
        <v>0</v>
      </c>
      <c r="N12" s="268" t="s">
        <v>69</v>
      </c>
      <c r="O12" s="206"/>
    </row>
    <row r="13" spans="1:15" ht="15.75" customHeight="1">
      <c r="A13" s="264" t="s">
        <v>70</v>
      </c>
      <c r="B13" s="269" t="s">
        <v>71</v>
      </c>
      <c r="C13" s="270"/>
      <c r="D13" s="274"/>
      <c r="E13" s="273"/>
      <c r="F13" s="272"/>
      <c r="G13" s="265"/>
      <c r="H13" s="266"/>
      <c r="I13" s="266"/>
      <c r="J13" s="266"/>
      <c r="K13" s="266"/>
      <c r="L13" s="266"/>
      <c r="M13" s="267"/>
      <c r="N13" s="268"/>
      <c r="O13" s="206"/>
    </row>
    <row r="14" spans="1:15" ht="27" customHeight="1">
      <c r="A14" s="264"/>
      <c r="B14" s="269" t="s">
        <v>59</v>
      </c>
      <c r="C14" s="417" t="s">
        <v>72</v>
      </c>
      <c r="D14" s="417"/>
      <c r="E14" s="417"/>
      <c r="F14" s="417"/>
      <c r="G14" s="265">
        <v>2</v>
      </c>
      <c r="H14" s="266">
        <f>SUM('Fac-ExistLrgSolid-Yr3'!$I$48,'Fac-ExistLrgLiquid-Yr3'!$I$48,'Fac-ExistLrgGas-Yr3'!$I$47,'Fac-NewLrgSolid-Yr3'!$I$45,'Fac-NewLrgLiquid-Yr3'!$I$45,'Fac-NewLrgGas-Yr3'!$I$44,'Fac - ExistSmlSolid-Yr3'!$I$16,'Fac - ExistSmlLiquid-Yr3'!$I$16,'Fac - ExistSmlGas-Yr3'!$I$16,'Fac-NewSmlSolid-Yr3'!$I$13,'Fac-NewSmlLiquid-Yr3'!$I$13,'Fac-NewSmlGas-Yr3'!$I$13)</f>
        <v>4</v>
      </c>
      <c r="I14" s="266">
        <f t="shared" ref="I14:I21" si="0">G14*H14</f>
        <v>8</v>
      </c>
      <c r="J14" s="266">
        <f t="shared" ref="J14:J21" si="1">I14</f>
        <v>8</v>
      </c>
      <c r="K14" s="266">
        <f t="shared" ref="K14:K21" si="2">J14*0.05</f>
        <v>0.4</v>
      </c>
      <c r="L14" s="266">
        <f t="shared" ref="L14:L21" si="3">J14*0.1</f>
        <v>0.8</v>
      </c>
      <c r="M14" s="267">
        <f>(J14*'Agency Base Data'!$C$6)+(K14*'Agency Base Data'!$C$4)+(L14*'Agency Base Data'!$C$5)</f>
        <v>414.596</v>
      </c>
      <c r="N14" s="268" t="s">
        <v>132</v>
      </c>
      <c r="O14" s="206"/>
    </row>
    <row r="15" spans="1:15" ht="27" customHeight="1">
      <c r="A15" s="264"/>
      <c r="B15" s="269" t="s">
        <v>61</v>
      </c>
      <c r="C15" s="417" t="s">
        <v>73</v>
      </c>
      <c r="D15" s="417"/>
      <c r="E15" s="417"/>
      <c r="F15" s="417"/>
      <c r="G15" s="265">
        <v>20</v>
      </c>
      <c r="H15" s="266">
        <f>ROUND(SUM('Fac-ExistLrgSolid-Yr3'!$I$12:$I$16,'Fac-ExistLrgLiquid-Yr3'!$I$12:$I$16,'Fac-NewLrgSolid-Yr3'!$I$9:$I$13,'Fac-NewLrgLiquid-Yr3'!$I$9:$I$13,'Fac-ExistLrgGas-Yr3'!I18:I23,'Fac-NewLrgGas-Yr3'!I16:I20),0)</f>
        <v>3240</v>
      </c>
      <c r="I15" s="266">
        <f t="shared" si="0"/>
        <v>64800</v>
      </c>
      <c r="J15" s="266">
        <f t="shared" si="1"/>
        <v>64800</v>
      </c>
      <c r="K15" s="266">
        <f t="shared" si="2"/>
        <v>3240</v>
      </c>
      <c r="L15" s="266">
        <f t="shared" si="3"/>
        <v>6480</v>
      </c>
      <c r="M15" s="267">
        <f>(J15*'Agency Base Data'!$C$6)+(K15*'Agency Base Data'!$C$4)+(L15*'Agency Base Data'!$C$5)</f>
        <v>3358227.5999999996</v>
      </c>
      <c r="N15" s="268" t="s">
        <v>389</v>
      </c>
      <c r="O15" s="206"/>
    </row>
    <row r="16" spans="1:15" ht="15" customHeight="1">
      <c r="A16" s="264"/>
      <c r="B16" s="269" t="s">
        <v>63</v>
      </c>
      <c r="C16" s="269" t="s">
        <v>74</v>
      </c>
      <c r="D16" s="273"/>
      <c r="E16" s="273"/>
      <c r="F16" s="272"/>
      <c r="G16" s="265">
        <v>2</v>
      </c>
      <c r="H16" s="266">
        <f>SUM('Fac-ExistLrgSolid-Yr3'!$I$49,'Fac-ExistLrgLiquid-Yr3'!$I$49,'Fac-ExistLrgGas-Yr3'!$I$48,'Fac-NewLrgSolid-Yr3'!$I$46,'Fac-NewLrgLiquid-Yr3'!$I$46,'Fac-NewLrgGas-Yr3'!$I$45,'Fac - ExistSmlSolid-Yr3'!$I$17,'Fac - ExistSmlLiquid-Yr3'!$I$17,'Fac - ExistSmlGas-Yr3'!$I$17,'Fac-NewSmlSolid-Yr3'!$I$14,'Fac-NewSmlLiquid-Yr3'!$I$14,'Fac-NewSmlGas-Yr3'!$I$14)</f>
        <v>1643</v>
      </c>
      <c r="I16" s="266">
        <f t="shared" si="0"/>
        <v>3286</v>
      </c>
      <c r="J16" s="266">
        <f t="shared" si="1"/>
        <v>3286</v>
      </c>
      <c r="K16" s="266">
        <f t="shared" si="2"/>
        <v>164.3</v>
      </c>
      <c r="L16" s="266">
        <f t="shared" si="3"/>
        <v>328.6</v>
      </c>
      <c r="M16" s="267">
        <f>(J16*'Agency Base Data'!$C$6)+(K16*'Agency Base Data'!$C$4)+(L16*'Agency Base Data'!$C$5)</f>
        <v>170295.307</v>
      </c>
      <c r="N16" s="268" t="s">
        <v>132</v>
      </c>
      <c r="O16" s="206"/>
    </row>
    <row r="17" spans="1:15" ht="15" customHeight="1">
      <c r="A17" s="264" t="s">
        <v>75</v>
      </c>
      <c r="B17" s="269" t="s">
        <v>76</v>
      </c>
      <c r="C17" s="269"/>
      <c r="D17" s="271"/>
      <c r="E17" s="273"/>
      <c r="F17" s="272"/>
      <c r="G17" s="265"/>
      <c r="H17" s="266"/>
      <c r="I17" s="266">
        <f t="shared" si="0"/>
        <v>0</v>
      </c>
      <c r="J17" s="266">
        <f t="shared" si="1"/>
        <v>0</v>
      </c>
      <c r="K17" s="266">
        <f t="shared" si="2"/>
        <v>0</v>
      </c>
      <c r="L17" s="266">
        <f t="shared" si="3"/>
        <v>0</v>
      </c>
      <c r="M17" s="267">
        <f>(J17*'Agency Base Data'!$C$6)+(K17*'Agency Base Data'!$C$4)+(L17*'Agency Base Data'!$C$5)</f>
        <v>0</v>
      </c>
      <c r="N17" s="268"/>
      <c r="O17" s="206"/>
    </row>
    <row r="18" spans="1:15" ht="15" customHeight="1">
      <c r="A18" s="264"/>
      <c r="B18" s="269" t="s">
        <v>59</v>
      </c>
      <c r="C18" s="269" t="s">
        <v>77</v>
      </c>
      <c r="D18" s="269"/>
      <c r="E18" s="273"/>
      <c r="F18" s="272"/>
      <c r="G18" s="265">
        <v>4</v>
      </c>
      <c r="H18" s="266">
        <f>2*SUM('Fac-ExistLrgSolid-Yr3'!$I$51,'Fac-ExistLrgLiquid-Yr3'!$I$51,,'Fac-NewLrgSolid-Yr3'!$I$47,'Fac-NewLrgLiquid-Yr3'!$I$47,'Fac-ExistLrgGas-Yr3'!$I$51,'Fac-NewLrgGas-Yr3'!$I$47)</f>
        <v>378</v>
      </c>
      <c r="I18" s="266">
        <f t="shared" si="0"/>
        <v>1512</v>
      </c>
      <c r="J18" s="266">
        <f t="shared" si="1"/>
        <v>1512</v>
      </c>
      <c r="K18" s="266">
        <f t="shared" si="2"/>
        <v>75.600000000000009</v>
      </c>
      <c r="L18" s="266">
        <f t="shared" si="3"/>
        <v>151.20000000000002</v>
      </c>
      <c r="M18" s="267">
        <f>(J18*'Agency Base Data'!$C$6)+(K18*'Agency Base Data'!$C$4)+(L18*'Agency Base Data'!$C$5)</f>
        <v>78358.644000000015</v>
      </c>
      <c r="N18" s="268" t="s">
        <v>78</v>
      </c>
    </row>
    <row r="19" spans="1:15" ht="15" customHeight="1">
      <c r="A19" s="264"/>
      <c r="B19" s="269" t="s">
        <v>61</v>
      </c>
      <c r="C19" s="269" t="s">
        <v>14</v>
      </c>
      <c r="D19" s="269"/>
      <c r="E19" s="273"/>
      <c r="F19" s="272"/>
      <c r="G19" s="265">
        <v>2</v>
      </c>
      <c r="H19" s="266">
        <f>SUM('Fac-ExistLrgGas-Yr3'!$I$50,'Fac-NewLrgGas-Yr3'!$I$47)</f>
        <v>521</v>
      </c>
      <c r="I19" s="266">
        <f t="shared" si="0"/>
        <v>1042</v>
      </c>
      <c r="J19" s="266">
        <f t="shared" si="1"/>
        <v>1042</v>
      </c>
      <c r="K19" s="266">
        <f t="shared" si="2"/>
        <v>52.1</v>
      </c>
      <c r="L19" s="266">
        <f t="shared" si="3"/>
        <v>104.2</v>
      </c>
      <c r="M19" s="267">
        <f>(J19*'Agency Base Data'!$C$6)+(K19*'Agency Base Data'!$C$4)+(L19*'Agency Base Data'!$C$5)</f>
        <v>54001.129000000001</v>
      </c>
      <c r="N19" s="268" t="s">
        <v>84</v>
      </c>
    </row>
    <row r="20" spans="1:15" ht="15" customHeight="1">
      <c r="A20" s="264"/>
      <c r="B20" s="269" t="s">
        <v>63</v>
      </c>
      <c r="C20" s="269" t="s">
        <v>15</v>
      </c>
      <c r="D20" s="269"/>
      <c r="E20" s="273"/>
      <c r="F20" s="272"/>
      <c r="G20" s="265">
        <v>1</v>
      </c>
      <c r="H20" s="266">
        <f>0.5*SUM('Fac - ExistSmlSolid-Yr3'!$I$18,'Fac - ExistSmlLiquid-Yr3'!$I$18,'Fac - ExistSmlGas-Yr3'!$I$18,'Fac-NewSmlGas-Yr3'!$I$15,'Fac-NewSmlLiquid-Yr3'!$I$15,'Fac-NewSmlSolid-Yr3'!$I$15)</f>
        <v>471.5</v>
      </c>
      <c r="I20" s="266">
        <f t="shared" si="0"/>
        <v>471.5</v>
      </c>
      <c r="J20" s="266">
        <f t="shared" si="1"/>
        <v>471.5</v>
      </c>
      <c r="K20" s="266">
        <f t="shared" si="2"/>
        <v>23.575000000000003</v>
      </c>
      <c r="L20" s="266">
        <f t="shared" si="3"/>
        <v>47.150000000000006</v>
      </c>
      <c r="M20" s="267">
        <f>(J20*'Agency Base Data'!$C$6)+(K20*'Agency Base Data'!$C$4)+(L20*'Agency Base Data'!$C$5)</f>
        <v>24435.251749999999</v>
      </c>
      <c r="N20" s="268" t="s">
        <v>16</v>
      </c>
    </row>
    <row r="21" spans="1:15" ht="15" customHeight="1">
      <c r="A21" s="264"/>
      <c r="B21" s="269" t="s">
        <v>79</v>
      </c>
      <c r="C21" s="269" t="s">
        <v>80</v>
      </c>
      <c r="D21" s="269"/>
      <c r="E21" s="273"/>
      <c r="F21" s="275"/>
      <c r="G21" s="265">
        <v>2</v>
      </c>
      <c r="H21" s="266">
        <f>SUM('Fac-ExistLrgSolid-Yr3'!$I$50,'Fac-ExistLrgLiquid-Yr3'!$I$50,'Fac-ExistLrgGas-Yr3'!$I$49,'Fac - ExistSmlSolid-Yr3'!$I$19,'Fac - ExistSmlLiquid-Yr3'!$I$19,'Fac - ExistSmlGas-Yr3'!$I$19)</f>
        <v>1639</v>
      </c>
      <c r="I21" s="266">
        <f t="shared" si="0"/>
        <v>3278</v>
      </c>
      <c r="J21" s="266">
        <f t="shared" si="1"/>
        <v>3278</v>
      </c>
      <c r="K21" s="266">
        <f t="shared" si="2"/>
        <v>163.9</v>
      </c>
      <c r="L21" s="266">
        <f t="shared" si="3"/>
        <v>327.8</v>
      </c>
      <c r="M21" s="267">
        <f>(J21*'Agency Base Data'!$C$6)+(K21*'Agency Base Data'!$C$4)+(L21*'Agency Base Data'!$C$5)</f>
        <v>169880.71100000001</v>
      </c>
      <c r="N21" s="268" t="s">
        <v>17</v>
      </c>
    </row>
    <row r="22" spans="1:15" ht="27.75" customHeight="1" thickBot="1">
      <c r="A22" s="276" t="s">
        <v>81</v>
      </c>
      <c r="B22" s="277" t="s">
        <v>82</v>
      </c>
      <c r="C22" s="278"/>
      <c r="D22" s="279"/>
      <c r="E22" s="279"/>
      <c r="F22" s="280"/>
      <c r="G22" s="415" t="s">
        <v>83</v>
      </c>
      <c r="H22" s="415"/>
      <c r="I22" s="415"/>
      <c r="J22" s="415"/>
      <c r="K22" s="281"/>
      <c r="L22" s="282"/>
      <c r="M22" s="283">
        <f>(('Agency Base Data'!$C$14*('Agency Base Data'!$C$11+'Agency Base Data'!$C$12))+'Agency Base Data'!$C$13)*SUM(H8:H9)</f>
        <v>1214400</v>
      </c>
      <c r="N22" s="284" t="s">
        <v>18</v>
      </c>
    </row>
    <row r="23" spans="1:15" ht="18.75" customHeight="1">
      <c r="A23" s="295" t="s">
        <v>85</v>
      </c>
      <c r="B23" s="285"/>
      <c r="C23" s="286"/>
      <c r="D23" s="285"/>
      <c r="E23" s="287"/>
      <c r="F23" s="288"/>
      <c r="G23" s="289"/>
      <c r="H23" s="289"/>
      <c r="I23" s="289"/>
      <c r="J23" s="290">
        <f>SUM(J5:J21)</f>
        <v>131863.5</v>
      </c>
      <c r="K23" s="290">
        <f>SUM(K5:K21)</f>
        <v>6593.1750000000002</v>
      </c>
      <c r="L23" s="290">
        <f>SUM(L5:L21)</f>
        <v>13186.35</v>
      </c>
      <c r="M23" s="291">
        <f>SUM(M5:M22)</f>
        <v>8048159.9557499988</v>
      </c>
      <c r="N23" s="292"/>
    </row>
    <row r="24" spans="1:15" ht="18" customHeight="1" thickBot="1">
      <c r="A24" s="341" t="s">
        <v>86</v>
      </c>
      <c r="B24" s="293"/>
      <c r="C24" s="293"/>
      <c r="D24" s="293"/>
      <c r="E24" s="293"/>
      <c r="F24" s="293"/>
      <c r="G24" s="280"/>
      <c r="H24" s="280"/>
      <c r="I24" s="280"/>
      <c r="J24" s="342"/>
      <c r="K24" s="282"/>
      <c r="L24" s="343">
        <f>(SUM(J5:J21))+(SUM(K5:K21))+(SUM(L5:L21))</f>
        <v>151643.02499999999</v>
      </c>
      <c r="M24" s="294"/>
      <c r="N24" s="284"/>
    </row>
    <row r="25" spans="1:15" ht="6.75" customHeight="1">
      <c r="G25" s="86"/>
      <c r="H25" s="86"/>
      <c r="I25" s="86"/>
    </row>
    <row r="26" spans="1:15" s="114" customFormat="1" ht="11.25">
      <c r="A26" s="114" t="s">
        <v>87</v>
      </c>
      <c r="J26" s="115"/>
      <c r="K26" s="115"/>
      <c r="L26" s="115"/>
      <c r="M26" s="116"/>
      <c r="N26" s="54"/>
    </row>
    <row r="27" spans="1:15" s="114" customFormat="1" ht="35.25" customHeight="1">
      <c r="A27" s="414" t="s">
        <v>506</v>
      </c>
      <c r="B27" s="414"/>
      <c r="C27" s="414"/>
      <c r="D27" s="414"/>
      <c r="E27" s="414"/>
      <c r="F27" s="414"/>
      <c r="G27" s="414"/>
      <c r="H27" s="414"/>
      <c r="I27" s="414"/>
      <c r="J27" s="414"/>
      <c r="K27" s="414"/>
      <c r="L27" s="414"/>
      <c r="M27" s="414"/>
      <c r="N27" s="414"/>
    </row>
    <row r="28" spans="1:15" s="114" customFormat="1" ht="11.25">
      <c r="A28" s="414" t="s">
        <v>507</v>
      </c>
      <c r="B28" s="414"/>
      <c r="C28" s="414"/>
      <c r="D28" s="414"/>
      <c r="E28" s="414"/>
      <c r="F28" s="414"/>
      <c r="G28" s="414"/>
      <c r="H28" s="414"/>
      <c r="I28" s="414"/>
      <c r="J28" s="414"/>
      <c r="K28" s="414"/>
      <c r="L28" s="414"/>
      <c r="M28" s="414"/>
      <c r="N28" s="414"/>
    </row>
    <row r="29" spans="1:15" s="114" customFormat="1" ht="11.25">
      <c r="A29" s="380" t="s">
        <v>546</v>
      </c>
      <c r="J29" s="115"/>
      <c r="K29" s="115"/>
      <c r="L29" s="115"/>
      <c r="M29" s="116"/>
      <c r="N29" s="54"/>
    </row>
    <row r="30" spans="1:15" s="114" customFormat="1" ht="12.75" customHeight="1">
      <c r="A30" s="414" t="s">
        <v>508</v>
      </c>
      <c r="B30" s="414"/>
      <c r="C30" s="414"/>
      <c r="D30" s="414"/>
      <c r="E30" s="414"/>
      <c r="F30" s="414"/>
      <c r="G30" s="414"/>
      <c r="H30" s="414"/>
      <c r="I30" s="414"/>
      <c r="J30" s="414"/>
      <c r="K30" s="414"/>
      <c r="L30" s="414"/>
      <c r="M30" s="414"/>
      <c r="N30" s="414"/>
    </row>
    <row r="31" spans="1:15" s="114" customFormat="1" ht="11.25">
      <c r="A31" s="114" t="s">
        <v>363</v>
      </c>
      <c r="J31" s="115"/>
      <c r="K31" s="115"/>
      <c r="L31" s="115"/>
      <c r="M31" s="116"/>
      <c r="N31" s="54"/>
    </row>
    <row r="32" spans="1:15" s="114" customFormat="1" ht="11.25">
      <c r="A32" s="114" t="s">
        <v>509</v>
      </c>
      <c r="J32" s="115"/>
      <c r="K32" s="115"/>
      <c r="L32" s="115"/>
      <c r="M32" s="116"/>
      <c r="N32" s="54"/>
    </row>
    <row r="33" spans="1:14">
      <c r="A33" s="414" t="s">
        <v>510</v>
      </c>
      <c r="B33" s="414"/>
      <c r="C33" s="414"/>
      <c r="D33" s="414"/>
      <c r="E33" s="414"/>
      <c r="F33" s="414"/>
      <c r="G33" s="414"/>
      <c r="H33" s="414"/>
      <c r="I33" s="414"/>
      <c r="J33" s="414"/>
      <c r="K33" s="414"/>
      <c r="L33" s="414"/>
      <c r="M33" s="414"/>
      <c r="N33" s="414"/>
    </row>
    <row r="34" spans="1:14">
      <c r="A34" s="114" t="s">
        <v>511</v>
      </c>
      <c r="G34" s="86"/>
      <c r="H34" s="86"/>
      <c r="I34" s="86"/>
    </row>
    <row r="35" spans="1:14" ht="14.25" customHeight="1">
      <c r="A35" s="114" t="s">
        <v>512</v>
      </c>
      <c r="G35" s="86"/>
      <c r="H35" s="86"/>
      <c r="I35" s="86"/>
    </row>
    <row r="36" spans="1:14" ht="25.5" customHeight="1">
      <c r="A36" s="414" t="s">
        <v>21</v>
      </c>
      <c r="B36" s="414"/>
      <c r="C36" s="414"/>
      <c r="D36" s="414"/>
      <c r="E36" s="414"/>
      <c r="F36" s="414"/>
      <c r="G36" s="414"/>
      <c r="H36" s="414"/>
      <c r="I36" s="414"/>
      <c r="J36" s="414"/>
      <c r="K36" s="414"/>
      <c r="L36" s="414"/>
      <c r="M36" s="414"/>
      <c r="N36" s="414"/>
    </row>
    <row r="37" spans="1:14">
      <c r="A37" s="125" t="s">
        <v>20</v>
      </c>
    </row>
    <row r="38" spans="1:14" ht="33.75" customHeight="1">
      <c r="A38" s="414" t="s">
        <v>19</v>
      </c>
      <c r="B38" s="414"/>
      <c r="C38" s="414"/>
      <c r="D38" s="414"/>
      <c r="E38" s="414"/>
      <c r="F38" s="414"/>
      <c r="G38" s="414"/>
      <c r="H38" s="414"/>
      <c r="I38" s="414"/>
      <c r="J38" s="414"/>
      <c r="K38" s="414"/>
      <c r="L38" s="414"/>
      <c r="M38" s="414"/>
      <c r="N38" s="414"/>
    </row>
    <row r="40" spans="1:14">
      <c r="H40" s="117"/>
      <c r="I40" s="210"/>
      <c r="J40" s="199"/>
      <c r="L40" s="211"/>
    </row>
    <row r="41" spans="1:14">
      <c r="I41" s="199"/>
      <c r="J41" s="199"/>
    </row>
    <row r="42" spans="1:14">
      <c r="I42" s="210"/>
      <c r="J42" s="199"/>
    </row>
    <row r="43" spans="1:14">
      <c r="I43" s="199"/>
    </row>
    <row r="44" spans="1:14">
      <c r="J44" s="199"/>
    </row>
  </sheetData>
  <mergeCells count="12">
    <mergeCell ref="A36:N36"/>
    <mergeCell ref="A38:N38"/>
    <mergeCell ref="A33:N33"/>
    <mergeCell ref="G22:J22"/>
    <mergeCell ref="A1:N1"/>
    <mergeCell ref="A2:N2"/>
    <mergeCell ref="A27:N27"/>
    <mergeCell ref="A30:N30"/>
    <mergeCell ref="B6:F6"/>
    <mergeCell ref="C15:F15"/>
    <mergeCell ref="C14:F14"/>
    <mergeCell ref="A28:N28"/>
  </mergeCells>
  <phoneticPr fontId="7" type="noConversion"/>
  <printOptions horizontalCentered="1"/>
  <pageMargins left="0.5" right="0.5" top="0.75" bottom="0.75" header="0.5" footer="0.5"/>
  <pageSetup scale="74" orientation="landscape" r:id="rId1"/>
  <headerFooter alignWithMargins="0"/>
</worksheet>
</file>

<file path=xl/worksheets/sheet5.xml><?xml version="1.0" encoding="utf-8"?>
<worksheet xmlns="http://schemas.openxmlformats.org/spreadsheetml/2006/main" xmlns:r="http://schemas.openxmlformats.org/officeDocument/2006/relationships">
  <dimension ref="A1:M9"/>
  <sheetViews>
    <sheetView zoomScaleNormal="100" workbookViewId="0">
      <selection activeCell="K24" sqref="K24"/>
    </sheetView>
  </sheetViews>
  <sheetFormatPr defaultRowHeight="11.25"/>
  <cols>
    <col min="1" max="1" width="15.5703125" style="1" customWidth="1"/>
    <col min="2" max="2" width="8.42578125" style="1" hidden="1" customWidth="1"/>
    <col min="3" max="3" width="11.28515625" style="1" hidden="1" customWidth="1"/>
    <col min="4" max="4" width="6.85546875" style="1" hidden="1" customWidth="1"/>
    <col min="5" max="5" width="11" style="1" hidden="1" customWidth="1"/>
    <col min="6" max="6" width="9.42578125" style="1" hidden="1" customWidth="1"/>
    <col min="7" max="7" width="10" style="1" bestFit="1" customWidth="1"/>
    <col min="8" max="8" width="9.85546875" style="1" bestFit="1" customWidth="1"/>
    <col min="9" max="9" width="8.85546875" style="1" bestFit="1" customWidth="1"/>
    <col min="10" max="10" width="9.7109375" style="1" bestFit="1" customWidth="1"/>
    <col min="11" max="11" width="10" style="1" bestFit="1" customWidth="1"/>
    <col min="12" max="16384" width="9.140625" style="1"/>
  </cols>
  <sheetData>
    <row r="1" spans="1:13" s="2" customFormat="1">
      <c r="A1" s="395" t="s">
        <v>439</v>
      </c>
      <c r="B1" s="395"/>
      <c r="C1" s="395"/>
      <c r="D1" s="395"/>
      <c r="E1" s="395"/>
      <c r="F1" s="395"/>
      <c r="G1" s="395"/>
      <c r="H1" s="395"/>
      <c r="I1" s="395"/>
      <c r="J1" s="395"/>
      <c r="K1" s="395"/>
    </row>
    <row r="2" spans="1:13" s="2" customFormat="1">
      <c r="A2" s="395" t="s">
        <v>381</v>
      </c>
      <c r="B2" s="395"/>
      <c r="C2" s="395"/>
      <c r="D2" s="395"/>
      <c r="E2" s="395"/>
      <c r="F2" s="395"/>
      <c r="G2" s="395"/>
      <c r="H2" s="395"/>
      <c r="I2" s="395"/>
      <c r="J2" s="395"/>
      <c r="K2" s="395"/>
    </row>
    <row r="4" spans="1:13" ht="45">
      <c r="A4" s="5" t="s">
        <v>396</v>
      </c>
      <c r="B4" s="5" t="s">
        <v>401</v>
      </c>
      <c r="C4" s="5" t="s">
        <v>402</v>
      </c>
      <c r="D4" s="5" t="s">
        <v>403</v>
      </c>
      <c r="E4" s="5" t="s">
        <v>380</v>
      </c>
      <c r="F4" s="5" t="s">
        <v>384</v>
      </c>
      <c r="G4" s="5" t="s">
        <v>382</v>
      </c>
      <c r="H4" s="5" t="s">
        <v>385</v>
      </c>
      <c r="I4" s="5" t="s">
        <v>386</v>
      </c>
      <c r="J4" s="5" t="s">
        <v>379</v>
      </c>
      <c r="K4" s="5" t="s">
        <v>404</v>
      </c>
      <c r="M4" s="339" t="s">
        <v>513</v>
      </c>
    </row>
    <row r="5" spans="1:13" ht="18" customHeight="1">
      <c r="A5" s="4" t="s">
        <v>397</v>
      </c>
      <c r="B5" s="338">
        <f>SUM('Fac-ExistLrgSolid-Yr1'!J67,'Fac-ExistLrgLiquid-Yr1'!J67,'Fac-ExistLrgGas-Yr1'!J70,'Fac-NewLrgSolid-Yr1'!J63,'Fac-NewLrgLiquid-Yr1'!J63,'Fac-NewLrgGas-Yr1'!J66,'Fac - ExistSmlSolid-Yr1'!J32,'Fac - ExistSmlLiquid-Yr1'!J32,'Fac - ExistSmlGas-Yr1'!J32,'Fac-NewSmlSolid-Yr1'!J27,'Fac-NewSmlLiquid-Yr1'!J27,'Fac-NewSmlGas-Yr1'!J27)</f>
        <v>70487</v>
      </c>
      <c r="C5" s="338">
        <f>SUM('Fac-ExistLrgSolid-Yr1'!K67,'Fac-ExistLrgLiquid-Yr1'!K67,'Fac-ExistLrgGas-Yr1'!K70,'Fac-NewLrgSolid-Yr1'!K63,'Fac-NewLrgLiquid-Yr1'!K63,'Fac-NewLrgGas-Yr1'!K66,'Fac - ExistSmlSolid-Yr1'!K32,'Fac - ExistSmlLiquid-Yr1'!K32,'Fac - ExistSmlGas-Yr1'!K32,'Fac-NewSmlSolid-Yr1'!K27,'Fac-NewSmlLiquid-Yr1'!K27,'Fac-NewSmlGas-Yr1'!K27)</f>
        <v>7048.7000000000016</v>
      </c>
      <c r="D5" s="338">
        <f>SUM('Fac-ExistLrgSolid-Yr1'!L67,'Fac-ExistLrgLiquid-Yr1'!L67,'Fac-ExistLrgGas-Yr1'!L70,'Fac-NewLrgSolid-Yr1'!L63,'Fac-NewLrgLiquid-Yr1'!L63,'Fac-NewLrgGas-Yr1'!L66,'Fac - ExistSmlSolid-Yr1'!L32,'Fac - ExistSmlLiquid-Yr1'!L32,'Fac - ExistSmlGas-Yr1'!L32,'Fac-NewSmlSolid-Yr1'!L27,'Fac-NewSmlLiquid-Yr1'!L27,'Fac-NewSmlGas-Yr1'!L27)</f>
        <v>3524.3500000000008</v>
      </c>
      <c r="E5" s="9" t="e">
        <f>('Fac-ExistLrgSolid-Yr1'!#REF!)</f>
        <v>#REF!</v>
      </c>
      <c r="F5" s="9" t="e">
        <f>SUM(#REF!,#REF!,#REF!)</f>
        <v>#REF!</v>
      </c>
      <c r="G5" s="9" t="e">
        <f>SUM(B5:F5)</f>
        <v>#REF!</v>
      </c>
      <c r="H5" s="9" t="e">
        <f>SUM('Fac-ExistLrgSolid-Yr1'!N67,#REF!,#REF!,#REF!,#REF!,#REF!,#REF!)</f>
        <v>#REF!</v>
      </c>
      <c r="I5" s="9" t="e">
        <f>SUM('Fac-ExistLrgSolid-Yr1'!O67,#REF!,#REF!,#REF!,#REF!,#REF!,#REF!)</f>
        <v>#REF!</v>
      </c>
      <c r="J5" s="9" t="e">
        <f>SUM(#REF!,#REF!,#REF!,#REF!)</f>
        <v>#REF!</v>
      </c>
      <c r="K5" s="9" t="e">
        <f>H5+I5</f>
        <v>#REF!</v>
      </c>
    </row>
    <row r="6" spans="1:13" ht="21.75" customHeight="1">
      <c r="A6" s="4" t="s">
        <v>398</v>
      </c>
      <c r="B6" s="338">
        <f>SUM('Fac-ExistLrgSolid-Yr2'!J67,'Fac-ExistLrgLiquid-Yr2'!J67,'Fac-ExistLrgGas-Yr2'!J70,'Fac-NewLrgSolid-Yr2'!J63,'Fac-NewLrgLiquid-Yr2'!J63,'Fac-NewLrgGas-Yr2'!J66,'Fac - ExistSmlSolid-Yr2'!J32,'Fac - ExistSmlLiquid-Yr2'!J32,'Fac - ExistSmlGas-Yr2'!J32,'Fac-NewSmlSolid-Yr2'!J27,'Fac-NewSmlLiquid-Yr2'!J27,'Fac-NewSmlGas-Yr2'!J27)</f>
        <v>198435.5</v>
      </c>
      <c r="C6" s="338">
        <f>SUM('Fac-ExistLrgSolid-Yr2'!K67,'Fac-ExistLrgLiquid-Yr2'!K67,'Fac-ExistLrgGas-Yr2'!K70,'Fac-NewLrgSolid-Yr2'!K63,'Fac-NewLrgLiquid-Yr2'!K63,'Fac-NewLrgGas-Yr2'!K66,'Fac - ExistSmlSolid-Yr2'!K32,'Fac - ExistSmlLiquid-Yr2'!K32,'Fac - ExistSmlGas-Yr2'!K32,'Fac-NewSmlSolid-Yr2'!K27,'Fac-NewSmlLiquid-Yr2'!K27,'Fac-NewSmlGas-Yr2'!K27)</f>
        <v>19843.550000000003</v>
      </c>
      <c r="D6" s="338">
        <f>SUM('Fac-ExistLrgSolid-Yr2'!L67,'Fac-ExistLrgLiquid-Yr2'!L67,'Fac-ExistLrgGas-Yr2'!L70,'Fac-NewLrgSolid-Yr2'!L63,'Fac-NewLrgLiquid-Yr2'!L63,'Fac-NewLrgGas-Yr2'!L66,'Fac - ExistSmlSolid-Yr2'!L32,'Fac - ExistSmlLiquid-Yr2'!L32,'Fac - ExistSmlGas-Yr2'!L32,'Fac-NewSmlSolid-Yr2'!L27,'Fac-NewSmlLiquid-Yr2'!L27,'Fac-NewSmlGas-Yr2'!L27)</f>
        <v>9921.7750000000015</v>
      </c>
      <c r="E6" s="9" t="e">
        <f>#REF!</f>
        <v>#REF!</v>
      </c>
      <c r="F6" s="9" t="e">
        <f>SUM(#REF!,#REF!,#REF!)</f>
        <v>#REF!</v>
      </c>
      <c r="G6" s="9" t="e">
        <f>SUM(B6:F6)</f>
        <v>#REF!</v>
      </c>
      <c r="H6" s="9" t="e">
        <f>SUM(#REF!,#REF!,#REF!,#REF!,#REF!,#REF!,#REF!)</f>
        <v>#REF!</v>
      </c>
      <c r="I6" s="9" t="e">
        <f>SUM(#REF!,#REF!,#REF!,#REF!,#REF!,#REF!,#REF!)</f>
        <v>#REF!</v>
      </c>
      <c r="J6" s="9" t="e">
        <f>SUM(#REF!,#REF!,#REF!,#REF!)</f>
        <v>#REF!</v>
      </c>
      <c r="K6" s="9" t="e">
        <f>H6+I6</f>
        <v>#REF!</v>
      </c>
    </row>
    <row r="7" spans="1:13" ht="20.25" customHeight="1">
      <c r="A7" s="4" t="s">
        <v>399</v>
      </c>
      <c r="B7" s="338">
        <f>SUM('Fac-ExistLrgSolid-Yr3'!J67,'Fac-ExistLrgLiquid-Yr3'!J67,'Fac-ExistLrgGas-Yr3'!J70,'Fac-NewLrgSolid-Yr3'!J63,'Fac-NewLrgLiquid-Yr3'!J63,'Fac-NewLrgGas-Yr3'!J66,'Fac - ExistSmlSolid-Yr3'!J32,'Fac - ExistSmlLiquid-Yr3'!J32,'Fac - ExistSmlGas-Yr3'!J32,'Fac-NewSmlSolid-Yr3'!J27,'Fac-NewSmlLiquid-Yr3'!J27,'Fac-NewSmlGas-Yr3'!J27)</f>
        <v>462708.77</v>
      </c>
      <c r="C7" s="338">
        <f>SUM('Fac-ExistLrgSolid-Yr3'!K67,'Fac-ExistLrgLiquid-Yr3'!K67,'Fac-ExistLrgGas-Yr3'!K70,'Fac-NewLrgSolid-Yr3'!K63,'Fac-NewLrgLiquid-Yr3'!K63,'Fac-NewLrgGas-Yr3'!K66,'Fac - ExistSmlSolid-Yr3'!K32,'Fac - ExistSmlLiquid-Yr3'!K32,'Fac - ExistSmlGas-Yr3'!K32,'Fac-NewSmlSolid-Yr3'!K27,'Fac-NewSmlLiquid-Yr3'!K27,'Fac-NewSmlGas-Yr3'!K27)</f>
        <v>46270.877</v>
      </c>
      <c r="D7" s="338">
        <f>SUM('Fac-ExistLrgSolid-Yr3'!L67,'Fac-ExistLrgLiquid-Yr3'!L67,'Fac-ExistLrgGas-Yr3'!L70,'Fac-NewLrgSolid-Yr3'!L63,'Fac-NewLrgLiquid-Yr3'!L63,'Fac-NewLrgGas-Yr3'!L66,'Fac - ExistSmlSolid-Yr3'!L32,'Fac - ExistSmlLiquid-Yr3'!L32,'Fac - ExistSmlGas-Yr3'!L32,'Fac-NewSmlSolid-Yr3'!L27,'Fac-NewSmlLiquid-Yr3'!L27,'Fac-NewSmlGas-Yr3'!L27)</f>
        <v>23135.4385</v>
      </c>
      <c r="E7" s="9" t="e">
        <f>#REF!</f>
        <v>#REF!</v>
      </c>
      <c r="F7" s="9" t="e">
        <f>SUM(#REF!,#REF!,#REF!)</f>
        <v>#REF!</v>
      </c>
      <c r="G7" s="9" t="e">
        <f>SUM(B7:F7)</f>
        <v>#REF!</v>
      </c>
      <c r="H7" s="9" t="e">
        <f>SUM(#REF!,#REF!,#REF!,#REF!,#REF!,#REF!,#REF!)</f>
        <v>#REF!</v>
      </c>
      <c r="I7" s="9" t="e">
        <f>SUM(#REF!,#REF!,#REF!,#REF!,#REF!,#REF!,#REF!)</f>
        <v>#REF!</v>
      </c>
      <c r="J7" s="9" t="e">
        <f>SUM(#REF!,#REF!,#REF!,#REF!)</f>
        <v>#REF!</v>
      </c>
      <c r="K7" s="9" t="e">
        <f>H7+I7</f>
        <v>#REF!</v>
      </c>
    </row>
    <row r="8" spans="1:13" ht="25.5" customHeight="1">
      <c r="A8" s="4" t="s">
        <v>400</v>
      </c>
      <c r="B8" s="9">
        <f t="shared" ref="B8:K8" si="0">SUM(B5:B7)</f>
        <v>731631.27</v>
      </c>
      <c r="C8" s="9">
        <f t="shared" si="0"/>
        <v>73163.127000000008</v>
      </c>
      <c r="D8" s="9">
        <f t="shared" si="0"/>
        <v>36581.563500000004</v>
      </c>
      <c r="E8" s="9" t="e">
        <f t="shared" si="0"/>
        <v>#REF!</v>
      </c>
      <c r="F8" s="9" t="e">
        <f t="shared" si="0"/>
        <v>#REF!</v>
      </c>
      <c r="G8" s="9" t="e">
        <f t="shared" si="0"/>
        <v>#REF!</v>
      </c>
      <c r="H8" s="9" t="e">
        <f t="shared" si="0"/>
        <v>#REF!</v>
      </c>
      <c r="I8" s="9" t="e">
        <f>SUM(I5:I7)</f>
        <v>#REF!</v>
      </c>
      <c r="J8" s="9" t="e">
        <f>SUM(J5:J7)</f>
        <v>#REF!</v>
      </c>
      <c r="K8" s="9" t="e">
        <f t="shared" si="0"/>
        <v>#REF!</v>
      </c>
    </row>
    <row r="9" spans="1:13" ht="32.25" customHeight="1">
      <c r="A9" s="392" t="s">
        <v>434</v>
      </c>
      <c r="B9" s="393"/>
      <c r="C9" s="393"/>
      <c r="D9" s="393"/>
      <c r="E9" s="393"/>
      <c r="F9" s="394"/>
      <c r="G9" s="10" t="e">
        <f>G8/3</f>
        <v>#REF!</v>
      </c>
      <c r="H9" s="10" t="e">
        <f>H8/3</f>
        <v>#REF!</v>
      </c>
      <c r="I9" s="10" t="e">
        <f>I8/3</f>
        <v>#REF!</v>
      </c>
      <c r="J9" s="10" t="e">
        <f>J8/3</f>
        <v>#REF!</v>
      </c>
      <c r="K9" s="10" t="e">
        <f>K8/3</f>
        <v>#REF!</v>
      </c>
    </row>
  </sheetData>
  <mergeCells count="3">
    <mergeCell ref="A9:F9"/>
    <mergeCell ref="A1:K1"/>
    <mergeCell ref="A2:K2"/>
  </mergeCells>
  <phoneticPr fontId="7" type="noConversion"/>
  <printOptions horizontalCentered="1"/>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dimension ref="A2:D30"/>
  <sheetViews>
    <sheetView workbookViewId="0">
      <selection activeCell="A2" sqref="A2:Q2"/>
    </sheetView>
  </sheetViews>
  <sheetFormatPr defaultRowHeight="12.75"/>
  <cols>
    <col min="1" max="1" width="15.5703125" customWidth="1"/>
    <col min="2" max="2" width="13" customWidth="1"/>
    <col min="3" max="3" width="16.5703125" customWidth="1"/>
  </cols>
  <sheetData>
    <row r="2" spans="1:4">
      <c r="A2" s="78" t="s">
        <v>113</v>
      </c>
    </row>
    <row r="3" spans="1:4">
      <c r="A3" s="78"/>
    </row>
    <row r="4" spans="1:4">
      <c r="A4" t="s">
        <v>156</v>
      </c>
      <c r="B4" s="79" t="s">
        <v>157</v>
      </c>
      <c r="C4" s="78" t="s">
        <v>154</v>
      </c>
    </row>
    <row r="5" spans="1:4">
      <c r="A5" t="s">
        <v>109</v>
      </c>
      <c r="B5">
        <v>4000</v>
      </c>
      <c r="C5" t="s">
        <v>155</v>
      </c>
    </row>
    <row r="6" spans="1:4">
      <c r="A6" t="s">
        <v>196</v>
      </c>
      <c r="B6">
        <v>6000</v>
      </c>
      <c r="C6" t="s">
        <v>197</v>
      </c>
    </row>
    <row r="7" spans="1:4">
      <c r="A7" t="s">
        <v>111</v>
      </c>
      <c r="B7">
        <v>0</v>
      </c>
      <c r="C7" t="s">
        <v>155</v>
      </c>
      <c r="D7" t="s">
        <v>159</v>
      </c>
    </row>
    <row r="8" spans="1:4">
      <c r="A8" t="s">
        <v>112</v>
      </c>
      <c r="B8">
        <v>6000</v>
      </c>
      <c r="C8" t="s">
        <v>155</v>
      </c>
    </row>
    <row r="9" spans="1:4">
      <c r="A9" t="s">
        <v>110</v>
      </c>
      <c r="B9">
        <v>0</v>
      </c>
      <c r="C9" t="s">
        <v>155</v>
      </c>
      <c r="D9" t="s">
        <v>159</v>
      </c>
    </row>
    <row r="11" spans="1:4">
      <c r="A11" s="78" t="s">
        <v>158</v>
      </c>
    </row>
    <row r="12" spans="1:4">
      <c r="A12" t="s">
        <v>156</v>
      </c>
      <c r="B12" s="79" t="s">
        <v>157</v>
      </c>
      <c r="C12" s="78" t="s">
        <v>154</v>
      </c>
    </row>
    <row r="13" spans="1:4">
      <c r="A13" t="s">
        <v>109</v>
      </c>
      <c r="B13">
        <v>5000</v>
      </c>
      <c r="C13" t="s">
        <v>155</v>
      </c>
    </row>
    <row r="14" spans="1:4">
      <c r="A14" t="s">
        <v>196</v>
      </c>
      <c r="B14">
        <v>7000</v>
      </c>
      <c r="C14" t="s">
        <v>197</v>
      </c>
    </row>
    <row r="15" spans="1:4">
      <c r="A15" t="s">
        <v>111</v>
      </c>
      <c r="B15">
        <v>8000</v>
      </c>
      <c r="C15" t="s">
        <v>155</v>
      </c>
    </row>
    <row r="16" spans="1:4">
      <c r="A16" t="s">
        <v>112</v>
      </c>
      <c r="B16">
        <v>16000</v>
      </c>
      <c r="C16" t="s">
        <v>155</v>
      </c>
    </row>
    <row r="17" spans="1:3">
      <c r="A17" t="s">
        <v>110</v>
      </c>
      <c r="B17">
        <v>8000</v>
      </c>
      <c r="C17" t="s">
        <v>155</v>
      </c>
    </row>
    <row r="20" spans="1:3">
      <c r="A20" s="80" t="s">
        <v>187</v>
      </c>
      <c r="B20" s="80"/>
      <c r="C20" s="80"/>
    </row>
    <row r="21" spans="1:3" s="83" customFormat="1" ht="22.5">
      <c r="A21" s="82" t="s">
        <v>160</v>
      </c>
      <c r="B21" s="82" t="s">
        <v>163</v>
      </c>
      <c r="C21" s="82" t="s">
        <v>164</v>
      </c>
    </row>
    <row r="22" spans="1:3">
      <c r="A22" s="80" t="s">
        <v>161</v>
      </c>
      <c r="B22" s="131">
        <v>196</v>
      </c>
      <c r="C22" s="372">
        <f>ROUND(0.126126126126126,3)</f>
        <v>0.126</v>
      </c>
    </row>
    <row r="23" spans="1:3">
      <c r="A23" s="80" t="s">
        <v>162</v>
      </c>
      <c r="B23" s="131">
        <v>1358</v>
      </c>
      <c r="C23" s="372">
        <f>ROUND(0.873873873873874,3)</f>
        <v>0.874</v>
      </c>
    </row>
    <row r="24" spans="1:3">
      <c r="A24" s="80" t="s">
        <v>453</v>
      </c>
      <c r="B24" s="131">
        <f>SUM(B22:B23)</f>
        <v>1554</v>
      </c>
      <c r="C24" s="131"/>
    </row>
    <row r="26" spans="1:3">
      <c r="A26" s="80" t="s">
        <v>188</v>
      </c>
      <c r="B26" s="80"/>
      <c r="C26" s="80"/>
    </row>
    <row r="27" spans="1:3" ht="22.5">
      <c r="A27" s="82" t="s">
        <v>160</v>
      </c>
      <c r="B27" s="82" t="s">
        <v>163</v>
      </c>
      <c r="C27" s="82" t="s">
        <v>164</v>
      </c>
    </row>
    <row r="28" spans="1:3">
      <c r="A28" s="80" t="s">
        <v>161</v>
      </c>
      <c r="B28" s="80">
        <v>12</v>
      </c>
      <c r="C28" s="81">
        <f>ROUND(B28/B30,3)</f>
        <v>0.75</v>
      </c>
    </row>
    <row r="29" spans="1:3">
      <c r="A29" s="80" t="s">
        <v>162</v>
      </c>
      <c r="B29" s="80">
        <v>4</v>
      </c>
      <c r="C29" s="81">
        <f>ROUND(B29/B30,3)</f>
        <v>0.25</v>
      </c>
    </row>
    <row r="30" spans="1:3">
      <c r="A30" s="80" t="s">
        <v>453</v>
      </c>
      <c r="B30" s="80">
        <f>SUM(B28:B29)</f>
        <v>16</v>
      </c>
      <c r="C30" s="80"/>
    </row>
  </sheetData>
  <phoneticPr fontId="7"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dimension ref="A1:J32"/>
  <sheetViews>
    <sheetView workbookViewId="0">
      <selection activeCell="A2" sqref="A2:Q2"/>
    </sheetView>
  </sheetViews>
  <sheetFormatPr defaultRowHeight="12.75"/>
  <cols>
    <col min="1" max="1" width="24.28515625" customWidth="1"/>
    <col min="4" max="4" width="13.5703125" bestFit="1" customWidth="1"/>
  </cols>
  <sheetData>
    <row r="1" spans="1:10">
      <c r="A1" s="78" t="s">
        <v>28</v>
      </c>
      <c r="J1" s="78" t="s">
        <v>137</v>
      </c>
    </row>
    <row r="2" spans="1:10">
      <c r="J2" s="78" t="s">
        <v>167</v>
      </c>
    </row>
    <row r="3" spans="1:10">
      <c r="A3" s="85" t="s">
        <v>166</v>
      </c>
      <c r="B3" s="85"/>
      <c r="C3" s="85"/>
      <c r="D3" s="85"/>
      <c r="E3" s="85"/>
      <c r="F3" s="85"/>
      <c r="G3" s="86"/>
      <c r="H3" s="86"/>
      <c r="I3" s="86"/>
      <c r="J3" t="s">
        <v>138</v>
      </c>
    </row>
    <row r="4" spans="1:10">
      <c r="A4" s="86"/>
      <c r="B4" s="87" t="s">
        <v>167</v>
      </c>
      <c r="C4" s="88" t="s">
        <v>168</v>
      </c>
      <c r="D4" s="89" t="s">
        <v>169</v>
      </c>
      <c r="E4" s="90" t="s">
        <v>346</v>
      </c>
      <c r="F4" s="349" t="s">
        <v>519</v>
      </c>
      <c r="G4" s="86"/>
      <c r="H4" s="86"/>
      <c r="I4" s="86"/>
      <c r="J4" s="86" t="s">
        <v>139</v>
      </c>
    </row>
    <row r="5" spans="1:10">
      <c r="A5" s="86" t="s">
        <v>170</v>
      </c>
      <c r="B5" s="134">
        <v>0</v>
      </c>
      <c r="C5" s="135">
        <v>0</v>
      </c>
      <c r="D5" s="136">
        <v>0</v>
      </c>
      <c r="E5" s="137">
        <v>0</v>
      </c>
      <c r="F5" s="350"/>
      <c r="G5" s="86" t="s">
        <v>520</v>
      </c>
      <c r="H5" s="86"/>
      <c r="I5" s="86"/>
      <c r="J5" s="86" t="s">
        <v>140</v>
      </c>
    </row>
    <row r="6" spans="1:10">
      <c r="A6" s="86" t="s">
        <v>158</v>
      </c>
      <c r="B6" s="134">
        <v>104</v>
      </c>
      <c r="C6" s="135">
        <v>375</v>
      </c>
      <c r="D6" s="136">
        <v>333</v>
      </c>
      <c r="E6" s="137">
        <v>108</v>
      </c>
      <c r="F6" s="350">
        <v>997</v>
      </c>
      <c r="G6" s="86"/>
      <c r="H6" s="86"/>
      <c r="I6" s="86"/>
      <c r="J6" s="86" t="s">
        <v>141</v>
      </c>
    </row>
    <row r="7" spans="1:10">
      <c r="A7" s="86" t="s">
        <v>171</v>
      </c>
      <c r="B7" s="134">
        <v>0</v>
      </c>
      <c r="C7" s="135">
        <v>0</v>
      </c>
      <c r="D7" s="136">
        <v>0</v>
      </c>
      <c r="E7" s="137">
        <v>0</v>
      </c>
      <c r="F7" s="350"/>
      <c r="G7" s="86" t="s">
        <v>520</v>
      </c>
      <c r="H7" s="86"/>
      <c r="I7" s="86"/>
      <c r="J7" s="130" t="s">
        <v>168</v>
      </c>
    </row>
    <row r="8" spans="1:10">
      <c r="A8" s="86" t="s">
        <v>113</v>
      </c>
      <c r="B8" s="134">
        <v>438</v>
      </c>
      <c r="C8" s="135">
        <v>36</v>
      </c>
      <c r="D8" s="136">
        <v>440</v>
      </c>
      <c r="E8" s="137">
        <v>0</v>
      </c>
      <c r="F8" s="350">
        <v>506</v>
      </c>
      <c r="G8" s="86"/>
      <c r="H8" s="86"/>
      <c r="I8" s="86"/>
      <c r="J8" t="s">
        <v>138</v>
      </c>
    </row>
    <row r="9" spans="1:10">
      <c r="A9" s="86" t="s">
        <v>172</v>
      </c>
      <c r="B9" s="134">
        <v>0</v>
      </c>
      <c r="C9" s="135">
        <v>0</v>
      </c>
      <c r="D9" s="136">
        <v>0</v>
      </c>
      <c r="E9" s="137">
        <v>0</v>
      </c>
      <c r="F9" s="350"/>
      <c r="G9" s="86" t="s">
        <v>521</v>
      </c>
      <c r="H9" s="86"/>
      <c r="I9" s="86"/>
      <c r="J9" s="86" t="s">
        <v>139</v>
      </c>
    </row>
    <row r="10" spans="1:10">
      <c r="A10" s="86" t="s">
        <v>280</v>
      </c>
      <c r="B10" s="134">
        <v>0</v>
      </c>
      <c r="C10" s="135">
        <v>0</v>
      </c>
      <c r="D10" s="136">
        <v>0</v>
      </c>
      <c r="E10" s="137">
        <v>0</v>
      </c>
      <c r="F10" s="350"/>
      <c r="G10" s="86" t="s">
        <v>521</v>
      </c>
      <c r="H10" s="86"/>
      <c r="I10" s="86"/>
      <c r="J10" s="86" t="s">
        <v>142</v>
      </c>
    </row>
    <row r="11" spans="1:10">
      <c r="A11" s="86" t="s">
        <v>281</v>
      </c>
      <c r="B11" s="134">
        <v>0</v>
      </c>
      <c r="C11" s="135">
        <v>0</v>
      </c>
      <c r="D11" s="136">
        <v>0</v>
      </c>
      <c r="E11" s="137">
        <v>0</v>
      </c>
      <c r="F11" s="350"/>
      <c r="G11" s="86" t="s">
        <v>521</v>
      </c>
      <c r="H11" s="86"/>
      <c r="I11" s="86"/>
      <c r="J11" s="86" t="s">
        <v>143</v>
      </c>
    </row>
    <row r="12" spans="1:10">
      <c r="A12" s="86" t="s">
        <v>282</v>
      </c>
      <c r="B12" s="134">
        <v>0</v>
      </c>
      <c r="C12" s="135">
        <v>0</v>
      </c>
      <c r="D12" s="136">
        <v>1</v>
      </c>
      <c r="E12" s="137">
        <v>0</v>
      </c>
      <c r="F12" s="350">
        <v>71</v>
      </c>
      <c r="G12" s="86"/>
      <c r="H12" s="86"/>
      <c r="I12" s="86"/>
      <c r="J12" s="130" t="s">
        <v>169</v>
      </c>
    </row>
    <row r="13" spans="1:10">
      <c r="F13" s="86"/>
      <c r="G13" s="86"/>
      <c r="H13" s="86"/>
      <c r="I13" s="86"/>
      <c r="J13" t="s">
        <v>138</v>
      </c>
    </row>
    <row r="14" spans="1:10">
      <c r="F14" s="86"/>
      <c r="G14" s="86"/>
      <c r="H14" s="86"/>
      <c r="I14" s="86"/>
      <c r="J14" s="86" t="s">
        <v>139</v>
      </c>
    </row>
    <row r="15" spans="1:10">
      <c r="F15" s="86"/>
      <c r="G15" s="86"/>
      <c r="H15" s="86"/>
      <c r="I15" s="86"/>
      <c r="J15" s="86" t="s">
        <v>144</v>
      </c>
    </row>
    <row r="16" spans="1:10">
      <c r="A16" s="78" t="s">
        <v>29</v>
      </c>
      <c r="F16" s="86"/>
      <c r="G16" s="86"/>
      <c r="H16" s="86"/>
      <c r="I16" s="86"/>
      <c r="J16" s="86" t="s">
        <v>145</v>
      </c>
    </row>
    <row r="17" spans="1:10">
      <c r="F17" s="86"/>
      <c r="G17" s="86"/>
      <c r="H17" s="86"/>
      <c r="I17" s="86"/>
      <c r="J17" s="130" t="s">
        <v>346</v>
      </c>
    </row>
    <row r="18" spans="1:10">
      <c r="A18" s="85" t="s">
        <v>166</v>
      </c>
      <c r="B18" s="85"/>
      <c r="C18" s="85"/>
      <c r="D18" s="85"/>
      <c r="E18" s="85"/>
      <c r="F18" s="85"/>
      <c r="G18" s="86"/>
      <c r="H18" s="86"/>
      <c r="I18" s="86"/>
      <c r="J18" t="s">
        <v>138</v>
      </c>
    </row>
    <row r="19" spans="1:10">
      <c r="A19" s="86"/>
      <c r="B19" s="87" t="s">
        <v>167</v>
      </c>
      <c r="C19" s="88" t="s">
        <v>168</v>
      </c>
      <c r="D19" s="89" t="s">
        <v>169</v>
      </c>
      <c r="E19" s="90" t="s">
        <v>346</v>
      </c>
      <c r="F19" s="349" t="s">
        <v>519</v>
      </c>
      <c r="G19" s="86"/>
      <c r="H19" s="86"/>
      <c r="I19" s="86"/>
      <c r="J19" s="86" t="s">
        <v>139</v>
      </c>
    </row>
    <row r="20" spans="1:10">
      <c r="A20" s="86" t="s">
        <v>170</v>
      </c>
      <c r="B20" s="134">
        <v>0</v>
      </c>
      <c r="C20" s="135">
        <v>0</v>
      </c>
      <c r="D20" s="136">
        <v>0</v>
      </c>
      <c r="E20" s="137">
        <v>0</v>
      </c>
      <c r="F20" s="350">
        <v>0</v>
      </c>
      <c r="G20" s="86" t="s">
        <v>24</v>
      </c>
      <c r="H20" s="86"/>
      <c r="I20" s="86"/>
      <c r="J20" s="86" t="s">
        <v>146</v>
      </c>
    </row>
    <row r="21" spans="1:10">
      <c r="A21" s="86" t="s">
        <v>158</v>
      </c>
      <c r="B21" s="134">
        <v>0</v>
      </c>
      <c r="C21" s="135">
        <v>0</v>
      </c>
      <c r="D21" s="136">
        <v>0</v>
      </c>
      <c r="E21" s="137">
        <v>0</v>
      </c>
      <c r="F21" s="350">
        <v>0</v>
      </c>
      <c r="G21" s="86" t="s">
        <v>24</v>
      </c>
      <c r="H21" s="86"/>
      <c r="I21" s="86"/>
      <c r="J21" s="86" t="s">
        <v>147</v>
      </c>
    </row>
    <row r="22" spans="1:10">
      <c r="A22" s="86" t="s">
        <v>171</v>
      </c>
      <c r="B22" s="134">
        <v>0</v>
      </c>
      <c r="C22" s="135">
        <v>0</v>
      </c>
      <c r="D22" s="136">
        <v>0</v>
      </c>
      <c r="E22" s="137">
        <v>0</v>
      </c>
      <c r="F22" s="350"/>
      <c r="G22" s="86"/>
      <c r="H22" s="86"/>
      <c r="I22" s="86"/>
      <c r="J22" s="86"/>
    </row>
    <row r="23" spans="1:10">
      <c r="A23" s="86" t="s">
        <v>113</v>
      </c>
      <c r="B23" s="134">
        <v>4</v>
      </c>
      <c r="C23" s="135">
        <v>0</v>
      </c>
      <c r="D23" s="136">
        <v>10</v>
      </c>
      <c r="E23" s="137">
        <v>8</v>
      </c>
      <c r="F23" s="350">
        <v>10</v>
      </c>
      <c r="G23" s="86"/>
      <c r="H23" s="86"/>
      <c r="I23" s="86"/>
      <c r="J23" s="86"/>
    </row>
    <row r="24" spans="1:10">
      <c r="A24" s="86" t="s">
        <v>172</v>
      </c>
      <c r="B24" s="134">
        <v>0</v>
      </c>
      <c r="C24" s="135">
        <v>0</v>
      </c>
      <c r="D24" s="136">
        <v>0</v>
      </c>
      <c r="E24" s="137">
        <v>0</v>
      </c>
      <c r="F24" s="350"/>
      <c r="G24" s="86" t="s">
        <v>521</v>
      </c>
      <c r="H24" s="86"/>
      <c r="I24" s="86"/>
      <c r="J24" s="86"/>
    </row>
    <row r="25" spans="1:10">
      <c r="A25" s="86" t="s">
        <v>280</v>
      </c>
      <c r="B25" s="134">
        <v>0</v>
      </c>
      <c r="C25" s="135">
        <v>0</v>
      </c>
      <c r="D25" s="136">
        <v>0</v>
      </c>
      <c r="E25" s="137">
        <v>0</v>
      </c>
      <c r="F25" s="350"/>
      <c r="G25" s="86" t="s">
        <v>521</v>
      </c>
      <c r="H25" s="86"/>
      <c r="I25" s="86"/>
      <c r="J25" s="86"/>
    </row>
    <row r="26" spans="1:10">
      <c r="A26" s="86" t="s">
        <v>281</v>
      </c>
      <c r="B26" s="134">
        <v>0</v>
      </c>
      <c r="C26" s="135">
        <v>0</v>
      </c>
      <c r="D26" s="136">
        <v>0</v>
      </c>
      <c r="E26" s="137">
        <v>0</v>
      </c>
      <c r="F26" s="350"/>
      <c r="G26" s="86" t="s">
        <v>521</v>
      </c>
      <c r="H26" s="86"/>
      <c r="I26" s="86"/>
      <c r="J26" s="86"/>
    </row>
    <row r="27" spans="1:10">
      <c r="A27" s="86" t="s">
        <v>282</v>
      </c>
      <c r="B27" s="134">
        <v>0</v>
      </c>
      <c r="C27" s="135">
        <v>0</v>
      </c>
      <c r="D27" s="136">
        <v>0</v>
      </c>
      <c r="E27" s="137">
        <v>0</v>
      </c>
      <c r="F27" s="350">
        <v>0</v>
      </c>
      <c r="G27" s="86" t="s">
        <v>23</v>
      </c>
      <c r="H27" s="86"/>
      <c r="I27" s="86"/>
      <c r="J27" s="86"/>
    </row>
    <row r="28" spans="1:10">
      <c r="F28" s="86"/>
      <c r="G28" s="86"/>
      <c r="H28" s="86"/>
      <c r="I28" s="86"/>
      <c r="J28" s="86"/>
    </row>
    <row r="29" spans="1:10">
      <c r="F29" s="86"/>
      <c r="G29" s="86"/>
      <c r="H29" s="86"/>
      <c r="I29" s="86"/>
      <c r="J29" s="86"/>
    </row>
    <row r="30" spans="1:10">
      <c r="F30" s="351" t="s">
        <v>523</v>
      </c>
      <c r="G30" s="351"/>
      <c r="H30" s="86"/>
      <c r="I30" s="86"/>
      <c r="J30" s="86"/>
    </row>
    <row r="31" spans="1:10">
      <c r="F31" s="35" t="s">
        <v>524</v>
      </c>
      <c r="G31" s="35" t="s">
        <v>525</v>
      </c>
    </row>
    <row r="32" spans="1:10">
      <c r="F32" s="35">
        <v>8523</v>
      </c>
      <c r="G32" s="35">
        <v>1436</v>
      </c>
    </row>
  </sheetData>
  <phoneticPr fontId="7"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enableFormatConditionsCalculation="0">
    <tabColor indexed="10"/>
  </sheetPr>
  <dimension ref="B2:R115"/>
  <sheetViews>
    <sheetView topLeftCell="A88" workbookViewId="0">
      <selection activeCell="A2" sqref="A2:Q2"/>
    </sheetView>
  </sheetViews>
  <sheetFormatPr defaultRowHeight="12.75"/>
  <cols>
    <col min="1" max="1" width="2.140625" customWidth="1"/>
    <col min="2" max="2" width="24.7109375" customWidth="1"/>
    <col min="3" max="3" width="14.5703125" customWidth="1"/>
    <col min="4" max="4" width="8.140625" customWidth="1"/>
    <col min="5" max="5" width="26.28515625" customWidth="1"/>
    <col min="6" max="6" width="24.140625" customWidth="1"/>
    <col min="7" max="7" width="13.85546875" customWidth="1"/>
    <col min="8" max="8" width="16.28515625" customWidth="1"/>
    <col min="9" max="9" width="9.7109375" customWidth="1"/>
    <col min="10" max="10" width="9.140625" customWidth="1"/>
    <col min="11" max="11" width="4.28515625" customWidth="1"/>
    <col min="12" max="12" width="19" customWidth="1"/>
    <col min="13" max="13" width="13.85546875" bestFit="1" customWidth="1"/>
    <col min="14" max="14" width="5.5703125" bestFit="1" customWidth="1"/>
    <col min="15" max="15" width="5.5703125" customWidth="1"/>
    <col min="16" max="16" width="19.7109375" customWidth="1"/>
    <col min="17" max="17" width="13.85546875" bestFit="1" customWidth="1"/>
    <col min="18" max="18" width="6" bestFit="1" customWidth="1"/>
  </cols>
  <sheetData>
    <row r="2" spans="2:18">
      <c r="B2" s="34" t="s">
        <v>445</v>
      </c>
    </row>
    <row r="4" spans="2:18">
      <c r="B4" s="33" t="s">
        <v>447</v>
      </c>
      <c r="C4" s="33" t="s">
        <v>446</v>
      </c>
    </row>
    <row r="5" spans="2:18">
      <c r="B5" s="31" t="s">
        <v>443</v>
      </c>
      <c r="C5" s="32">
        <v>98.2</v>
      </c>
    </row>
    <row r="6" spans="2:18">
      <c r="B6" s="31" t="s">
        <v>444</v>
      </c>
      <c r="C6" s="32">
        <v>48.53</v>
      </c>
      <c r="E6" s="58" t="s">
        <v>347</v>
      </c>
      <c r="F6" s="36">
        <v>0</v>
      </c>
    </row>
    <row r="7" spans="2:18">
      <c r="B7" s="31" t="s">
        <v>442</v>
      </c>
      <c r="C7" s="32">
        <v>114.49</v>
      </c>
      <c r="E7" s="58" t="s">
        <v>348</v>
      </c>
      <c r="F7" s="36">
        <v>0</v>
      </c>
    </row>
    <row r="8" spans="2:18">
      <c r="B8" s="35" t="s">
        <v>457</v>
      </c>
      <c r="C8" s="41">
        <v>80</v>
      </c>
    </row>
    <row r="9" spans="2:18" ht="25.5">
      <c r="B9" s="48" t="s">
        <v>458</v>
      </c>
      <c r="C9" s="49">
        <v>56.78</v>
      </c>
    </row>
    <row r="11" spans="2:18">
      <c r="B11" s="34" t="s">
        <v>454</v>
      </c>
      <c r="E11">
        <f>D18+D19+D23+D24</f>
        <v>672</v>
      </c>
    </row>
    <row r="13" spans="2:18">
      <c r="B13" s="42"/>
      <c r="C13" s="42"/>
      <c r="D13" s="42"/>
      <c r="E13" s="42"/>
      <c r="F13" s="42"/>
      <c r="G13" s="42"/>
      <c r="H13" s="42"/>
    </row>
    <row r="14" spans="2:18">
      <c r="B14" s="42" t="s">
        <v>331</v>
      </c>
      <c r="C14" s="42"/>
      <c r="D14" s="42"/>
      <c r="F14" s="42" t="s">
        <v>369</v>
      </c>
      <c r="G14" s="42"/>
      <c r="H14" s="42"/>
    </row>
    <row r="15" spans="2:18">
      <c r="B15" s="33" t="s">
        <v>332</v>
      </c>
      <c r="C15" s="33" t="s">
        <v>448</v>
      </c>
      <c r="D15" s="33" t="s">
        <v>449</v>
      </c>
      <c r="E15" s="42"/>
      <c r="F15" s="33" t="s">
        <v>332</v>
      </c>
      <c r="G15" s="33" t="s">
        <v>448</v>
      </c>
      <c r="H15" s="33" t="s">
        <v>449</v>
      </c>
      <c r="I15" s="42"/>
      <c r="L15" s="42" t="s">
        <v>518</v>
      </c>
      <c r="P15" s="42" t="s">
        <v>331</v>
      </c>
      <c r="Q15" s="42"/>
      <c r="R15" s="42"/>
    </row>
    <row r="16" spans="2:18">
      <c r="B16" s="396" t="s">
        <v>450</v>
      </c>
      <c r="C16" s="71" t="s">
        <v>468</v>
      </c>
      <c r="D16" s="69">
        <f>SUM(N18:N20)</f>
        <v>4</v>
      </c>
      <c r="E16" s="42"/>
      <c r="F16" s="396" t="s">
        <v>450</v>
      </c>
      <c r="G16" s="71" t="s">
        <v>468</v>
      </c>
      <c r="H16" s="75">
        <f t="shared" ref="H16:H42" si="0">ROUND(D16/($D$46/$H$46),0)</f>
        <v>0</v>
      </c>
      <c r="I16" s="42"/>
      <c r="L16" s="33" t="s">
        <v>332</v>
      </c>
      <c r="M16" s="33" t="s">
        <v>448</v>
      </c>
      <c r="N16" s="33" t="s">
        <v>449</v>
      </c>
      <c r="P16" s="33" t="s">
        <v>332</v>
      </c>
      <c r="Q16" s="33" t="s">
        <v>448</v>
      </c>
      <c r="R16" s="33" t="s">
        <v>449</v>
      </c>
    </row>
    <row r="17" spans="2:18">
      <c r="B17" s="397"/>
      <c r="C17" s="70" t="s">
        <v>333</v>
      </c>
      <c r="D17" s="69">
        <v>17</v>
      </c>
      <c r="E17" s="42"/>
      <c r="F17" s="397"/>
      <c r="G17" s="70" t="s">
        <v>333</v>
      </c>
      <c r="H17" s="75">
        <f t="shared" si="0"/>
        <v>2</v>
      </c>
      <c r="I17" s="42"/>
      <c r="L17" s="405" t="s">
        <v>450</v>
      </c>
      <c r="M17" s="70" t="s">
        <v>333</v>
      </c>
      <c r="N17" s="69">
        <v>0</v>
      </c>
      <c r="P17" s="405" t="s">
        <v>450</v>
      </c>
      <c r="Q17" s="70" t="s">
        <v>333</v>
      </c>
      <c r="R17" s="69">
        <v>17</v>
      </c>
    </row>
    <row r="18" spans="2:18">
      <c r="B18" s="397"/>
      <c r="C18" s="70" t="s">
        <v>334</v>
      </c>
      <c r="D18" s="69">
        <f>R18-N18</f>
        <v>219</v>
      </c>
      <c r="E18" s="42"/>
      <c r="F18" s="397"/>
      <c r="G18" s="70" t="s">
        <v>334</v>
      </c>
      <c r="H18" s="75">
        <f t="shared" si="0"/>
        <v>26</v>
      </c>
      <c r="I18" s="42"/>
      <c r="J18">
        <f>267+39</f>
        <v>306</v>
      </c>
      <c r="L18" s="405"/>
      <c r="M18" s="70" t="s">
        <v>334</v>
      </c>
      <c r="N18" s="69">
        <v>1</v>
      </c>
      <c r="P18" s="405"/>
      <c r="Q18" s="70" t="s">
        <v>334</v>
      </c>
      <c r="R18" s="69">
        <v>220</v>
      </c>
    </row>
    <row r="19" spans="2:18">
      <c r="B19" s="397"/>
      <c r="C19" s="71" t="s">
        <v>335</v>
      </c>
      <c r="D19" s="69">
        <f t="shared" ref="D19:D20" si="1">R19-N19</f>
        <v>95</v>
      </c>
      <c r="E19" s="42"/>
      <c r="F19" s="397"/>
      <c r="G19" s="71" t="s">
        <v>335</v>
      </c>
      <c r="H19" s="75">
        <f>ROUNDDOWN(D19/($D$46/$H$46),0)</f>
        <v>11</v>
      </c>
      <c r="I19" s="42"/>
      <c r="J19">
        <f>(I20+I25-H17-H22)/2</f>
        <v>59.5</v>
      </c>
      <c r="L19" s="405"/>
      <c r="M19" s="348" t="s">
        <v>335</v>
      </c>
      <c r="N19" s="347">
        <v>3</v>
      </c>
      <c r="P19" s="405"/>
      <c r="Q19" s="348" t="s">
        <v>335</v>
      </c>
      <c r="R19" s="347">
        <v>98</v>
      </c>
    </row>
    <row r="20" spans="2:18">
      <c r="B20" s="398"/>
      <c r="C20" s="70" t="s">
        <v>336</v>
      </c>
      <c r="D20" s="69">
        <f t="shared" si="1"/>
        <v>143</v>
      </c>
      <c r="E20" s="67">
        <f>SUM(D17:D20)</f>
        <v>474</v>
      </c>
      <c r="F20" s="398"/>
      <c r="G20" s="70" t="s">
        <v>336</v>
      </c>
      <c r="H20" s="75">
        <f t="shared" si="0"/>
        <v>17</v>
      </c>
      <c r="I20" s="313">
        <f>SUM(H17:H20)</f>
        <v>56</v>
      </c>
      <c r="L20" s="405"/>
      <c r="M20" s="70" t="s">
        <v>336</v>
      </c>
      <c r="N20" s="69">
        <v>0</v>
      </c>
      <c r="P20" s="405"/>
      <c r="Q20" s="70" t="s">
        <v>336</v>
      </c>
      <c r="R20" s="69">
        <v>143</v>
      </c>
    </row>
    <row r="21" spans="2:18">
      <c r="B21" s="399" t="s">
        <v>451</v>
      </c>
      <c r="C21" s="71" t="s">
        <v>468</v>
      </c>
      <c r="D21" s="69">
        <f>SUM(N23:N25)</f>
        <v>15</v>
      </c>
      <c r="E21" s="67"/>
      <c r="F21" s="396" t="s">
        <v>451</v>
      </c>
      <c r="G21" s="71" t="s">
        <v>468</v>
      </c>
      <c r="H21" s="75">
        <f t="shared" si="0"/>
        <v>2</v>
      </c>
      <c r="I21" s="313"/>
    </row>
    <row r="22" spans="2:18">
      <c r="B22" s="400"/>
      <c r="C22" s="70" t="s">
        <v>333</v>
      </c>
      <c r="D22" s="69">
        <v>0</v>
      </c>
      <c r="E22" s="67"/>
      <c r="F22" s="397"/>
      <c r="G22" s="70" t="s">
        <v>333</v>
      </c>
      <c r="H22" s="75">
        <f t="shared" si="0"/>
        <v>0</v>
      </c>
      <c r="I22" s="42"/>
    </row>
    <row r="23" spans="2:18">
      <c r="B23" s="400"/>
      <c r="C23" s="70" t="s">
        <v>334</v>
      </c>
      <c r="D23" s="69">
        <f t="shared" ref="D23:D25" si="2">R23-N23</f>
        <v>115</v>
      </c>
      <c r="E23" s="42"/>
      <c r="F23" s="397"/>
      <c r="G23" s="70" t="s">
        <v>334</v>
      </c>
      <c r="H23" s="75">
        <f t="shared" si="0"/>
        <v>14</v>
      </c>
      <c r="I23" s="42"/>
      <c r="L23" s="405" t="s">
        <v>451</v>
      </c>
      <c r="M23" s="70" t="s">
        <v>334</v>
      </c>
      <c r="N23" s="69">
        <v>7</v>
      </c>
      <c r="P23" s="405" t="s">
        <v>451</v>
      </c>
      <c r="Q23" s="70" t="s">
        <v>334</v>
      </c>
      <c r="R23" s="69">
        <v>122</v>
      </c>
    </row>
    <row r="24" spans="2:18">
      <c r="B24" s="400"/>
      <c r="C24" s="70" t="s">
        <v>335</v>
      </c>
      <c r="D24" s="69">
        <f t="shared" si="2"/>
        <v>243</v>
      </c>
      <c r="E24" s="42"/>
      <c r="F24" s="397"/>
      <c r="G24" s="70" t="s">
        <v>335</v>
      </c>
      <c r="H24" s="75">
        <f t="shared" si="0"/>
        <v>29</v>
      </c>
      <c r="I24" s="42"/>
      <c r="J24">
        <f>E20+E25</f>
        <v>1014</v>
      </c>
      <c r="L24" s="405"/>
      <c r="M24" s="70" t="s">
        <v>335</v>
      </c>
      <c r="N24" s="69">
        <v>7</v>
      </c>
      <c r="P24" s="405"/>
      <c r="Q24" s="70" t="s">
        <v>335</v>
      </c>
      <c r="R24" s="69">
        <v>250</v>
      </c>
    </row>
    <row r="25" spans="2:18">
      <c r="B25" s="401"/>
      <c r="C25" s="70" t="s">
        <v>336</v>
      </c>
      <c r="D25" s="69">
        <f t="shared" si="2"/>
        <v>182</v>
      </c>
      <c r="E25" s="67">
        <f>SUM(D22:D25)</f>
        <v>540</v>
      </c>
      <c r="F25" s="398"/>
      <c r="G25" s="70" t="s">
        <v>336</v>
      </c>
      <c r="H25" s="75">
        <f t="shared" si="0"/>
        <v>22</v>
      </c>
      <c r="I25" s="313">
        <f>SUM(H22:H25)</f>
        <v>65</v>
      </c>
      <c r="J25">
        <f>J24-D17-D22</f>
        <v>997</v>
      </c>
      <c r="L25" s="405"/>
      <c r="M25" s="70" t="s">
        <v>336</v>
      </c>
      <c r="N25" s="69">
        <v>1</v>
      </c>
      <c r="P25" s="405"/>
      <c r="Q25" s="70" t="s">
        <v>336</v>
      </c>
      <c r="R25" s="69">
        <v>183</v>
      </c>
    </row>
    <row r="26" spans="2:18">
      <c r="B26" s="396" t="s">
        <v>338</v>
      </c>
      <c r="C26" s="71" t="s">
        <v>468</v>
      </c>
      <c r="D26" s="69">
        <f>SUM(N28:N30)</f>
        <v>310</v>
      </c>
      <c r="E26" s="67"/>
      <c r="F26" s="396" t="s">
        <v>338</v>
      </c>
      <c r="G26" s="71" t="s">
        <v>468</v>
      </c>
      <c r="H26" s="75">
        <f t="shared" si="0"/>
        <v>37</v>
      </c>
      <c r="I26" s="313"/>
      <c r="J26">
        <f>J25+D16+D21</f>
        <v>1016</v>
      </c>
    </row>
    <row r="27" spans="2:18">
      <c r="B27" s="397"/>
      <c r="C27" s="70" t="s">
        <v>333</v>
      </c>
      <c r="D27" s="69">
        <v>6795</v>
      </c>
      <c r="E27" s="42"/>
      <c r="F27" s="397"/>
      <c r="G27" s="70" t="s">
        <v>333</v>
      </c>
      <c r="H27" s="75">
        <f t="shared" si="0"/>
        <v>805</v>
      </c>
      <c r="I27" s="42"/>
      <c r="L27" s="405" t="s">
        <v>338</v>
      </c>
      <c r="M27" s="70" t="s">
        <v>333</v>
      </c>
      <c r="N27" s="69">
        <v>3</v>
      </c>
      <c r="P27" s="405" t="s">
        <v>338</v>
      </c>
      <c r="Q27" s="70" t="s">
        <v>333</v>
      </c>
      <c r="R27" s="69">
        <v>6795</v>
      </c>
    </row>
    <row r="28" spans="2:18">
      <c r="B28" s="397"/>
      <c r="C28" s="70" t="s">
        <v>334</v>
      </c>
      <c r="D28" s="69">
        <f t="shared" ref="D28:D30" si="3">R28-N28</f>
        <v>1872</v>
      </c>
      <c r="E28" s="42"/>
      <c r="F28" s="397"/>
      <c r="G28" s="70" t="s">
        <v>334</v>
      </c>
      <c r="H28" s="75">
        <f t="shared" si="0"/>
        <v>222</v>
      </c>
      <c r="I28" s="42"/>
      <c r="L28" s="405"/>
      <c r="M28" s="70" t="s">
        <v>334</v>
      </c>
      <c r="N28" s="69">
        <v>207</v>
      </c>
      <c r="P28" s="405"/>
      <c r="Q28" s="70" t="s">
        <v>334</v>
      </c>
      <c r="R28" s="69">
        <v>2079</v>
      </c>
    </row>
    <row r="29" spans="2:18">
      <c r="B29" s="397"/>
      <c r="C29" s="70" t="s">
        <v>335</v>
      </c>
      <c r="D29" s="69">
        <f t="shared" si="3"/>
        <v>419</v>
      </c>
      <c r="E29" s="42"/>
      <c r="F29" s="397"/>
      <c r="G29" s="70" t="s">
        <v>335</v>
      </c>
      <c r="H29" s="75">
        <f t="shared" si="0"/>
        <v>50</v>
      </c>
      <c r="I29" s="42"/>
      <c r="L29" s="405"/>
      <c r="M29" s="70" t="s">
        <v>335</v>
      </c>
      <c r="N29" s="69">
        <v>82</v>
      </c>
      <c r="P29" s="405"/>
      <c r="Q29" s="70" t="s">
        <v>335</v>
      </c>
      <c r="R29" s="69">
        <v>501</v>
      </c>
    </row>
    <row r="30" spans="2:18">
      <c r="B30" s="398"/>
      <c r="C30" s="70" t="s">
        <v>336</v>
      </c>
      <c r="D30" s="69">
        <f t="shared" si="3"/>
        <v>157</v>
      </c>
      <c r="E30" s="42"/>
      <c r="F30" s="398"/>
      <c r="G30" s="70" t="s">
        <v>336</v>
      </c>
      <c r="H30" s="75">
        <f t="shared" si="0"/>
        <v>19</v>
      </c>
      <c r="I30" s="42"/>
      <c r="L30" s="405"/>
      <c r="M30" s="70" t="s">
        <v>336</v>
      </c>
      <c r="N30" s="69">
        <v>21</v>
      </c>
      <c r="P30" s="405"/>
      <c r="Q30" s="70" t="s">
        <v>336</v>
      </c>
      <c r="R30" s="69">
        <v>178</v>
      </c>
    </row>
    <row r="31" spans="2:18">
      <c r="B31" s="396" t="s">
        <v>340</v>
      </c>
      <c r="C31" s="71" t="s">
        <v>468</v>
      </c>
      <c r="D31" s="69">
        <f>SUM(N33:N35)</f>
        <v>14</v>
      </c>
      <c r="E31" s="42"/>
      <c r="F31" s="396" t="s">
        <v>340</v>
      </c>
      <c r="G31" s="71" t="s">
        <v>468</v>
      </c>
      <c r="H31" s="75">
        <f t="shared" si="0"/>
        <v>2</v>
      </c>
      <c r="I31" s="42"/>
    </row>
    <row r="32" spans="2:18" ht="15" customHeight="1">
      <c r="B32" s="397"/>
      <c r="C32" s="70" t="s">
        <v>333</v>
      </c>
      <c r="D32" s="69">
        <v>314</v>
      </c>
      <c r="E32" s="42"/>
      <c r="F32" s="397"/>
      <c r="G32" s="70" t="s">
        <v>333</v>
      </c>
      <c r="H32" s="75">
        <f t="shared" si="0"/>
        <v>37</v>
      </c>
      <c r="I32" s="42"/>
      <c r="L32" s="405" t="s">
        <v>340</v>
      </c>
      <c r="M32" s="70" t="s">
        <v>333</v>
      </c>
      <c r="N32" s="69">
        <v>1</v>
      </c>
      <c r="P32" s="405" t="s">
        <v>340</v>
      </c>
      <c r="Q32" s="70" t="s">
        <v>333</v>
      </c>
      <c r="R32" s="69">
        <v>314</v>
      </c>
    </row>
    <row r="33" spans="2:18">
      <c r="B33" s="397"/>
      <c r="C33" s="70" t="s">
        <v>334</v>
      </c>
      <c r="D33" s="69">
        <f t="shared" ref="D33:D35" si="4">R33-N33</f>
        <v>1209</v>
      </c>
      <c r="E33" s="42"/>
      <c r="F33" s="397"/>
      <c r="G33" s="70" t="s">
        <v>334</v>
      </c>
      <c r="H33" s="75">
        <f t="shared" si="0"/>
        <v>143</v>
      </c>
      <c r="I33" s="42"/>
      <c r="L33" s="405"/>
      <c r="M33" s="70" t="s">
        <v>334</v>
      </c>
      <c r="N33" s="69">
        <v>9</v>
      </c>
      <c r="P33" s="405"/>
      <c r="Q33" s="70" t="s">
        <v>334</v>
      </c>
      <c r="R33" s="69">
        <v>1218</v>
      </c>
    </row>
    <row r="34" spans="2:18">
      <c r="B34" s="397"/>
      <c r="C34" s="70" t="s">
        <v>335</v>
      </c>
      <c r="D34" s="69">
        <f t="shared" si="4"/>
        <v>465</v>
      </c>
      <c r="E34" s="42" t="s">
        <v>470</v>
      </c>
      <c r="F34" s="397"/>
      <c r="G34" s="70" t="s">
        <v>335</v>
      </c>
      <c r="H34" s="75">
        <f t="shared" si="0"/>
        <v>55</v>
      </c>
      <c r="I34" s="42"/>
      <c r="L34" s="405"/>
      <c r="M34" s="70" t="s">
        <v>335</v>
      </c>
      <c r="N34" s="69">
        <v>5</v>
      </c>
      <c r="P34" s="405"/>
      <c r="Q34" s="70" t="s">
        <v>335</v>
      </c>
      <c r="R34" s="69">
        <v>470</v>
      </c>
    </row>
    <row r="35" spans="2:18">
      <c r="B35" s="398"/>
      <c r="C35" s="70" t="s">
        <v>336</v>
      </c>
      <c r="D35" s="69">
        <f t="shared" si="4"/>
        <v>266</v>
      </c>
      <c r="E35" s="42">
        <f>SUM(D28:D30,D33:D35)</f>
        <v>4388</v>
      </c>
      <c r="F35" s="398"/>
      <c r="G35" s="70" t="s">
        <v>336</v>
      </c>
      <c r="H35" s="75">
        <f t="shared" si="0"/>
        <v>32</v>
      </c>
      <c r="I35" s="42"/>
      <c r="L35" s="405"/>
      <c r="M35" s="70" t="s">
        <v>336</v>
      </c>
      <c r="N35" s="69">
        <v>0</v>
      </c>
      <c r="P35" s="405"/>
      <c r="Q35" s="70" t="s">
        <v>336</v>
      </c>
      <c r="R35" s="69">
        <v>266</v>
      </c>
    </row>
    <row r="36" spans="2:18">
      <c r="B36" s="396" t="s">
        <v>341</v>
      </c>
      <c r="C36" s="71" t="s">
        <v>468</v>
      </c>
      <c r="D36" s="69">
        <f>SUM(N38:N40)</f>
        <v>4</v>
      </c>
      <c r="E36" s="42"/>
      <c r="F36" s="396" t="s">
        <v>341</v>
      </c>
      <c r="G36" s="71" t="s">
        <v>468</v>
      </c>
      <c r="H36" s="75">
        <f t="shared" si="0"/>
        <v>0</v>
      </c>
      <c r="I36" s="42"/>
    </row>
    <row r="37" spans="2:18">
      <c r="B37" s="397"/>
      <c r="C37" s="70" t="s">
        <v>333</v>
      </c>
      <c r="D37" s="69">
        <v>47</v>
      </c>
      <c r="E37" s="42"/>
      <c r="F37" s="397"/>
      <c r="G37" s="70" t="s">
        <v>333</v>
      </c>
      <c r="H37" s="75">
        <f t="shared" si="0"/>
        <v>6</v>
      </c>
      <c r="I37" s="42"/>
      <c r="L37" s="405" t="s">
        <v>341</v>
      </c>
      <c r="M37" s="70" t="s">
        <v>333</v>
      </c>
      <c r="N37" s="69">
        <v>0</v>
      </c>
      <c r="P37" s="405" t="s">
        <v>341</v>
      </c>
      <c r="Q37" s="70" t="s">
        <v>333</v>
      </c>
      <c r="R37" s="69">
        <v>47</v>
      </c>
    </row>
    <row r="38" spans="2:18">
      <c r="B38" s="397"/>
      <c r="C38" s="70" t="s">
        <v>334</v>
      </c>
      <c r="D38" s="69">
        <f t="shared" ref="D38:D40" si="5">R38-N38</f>
        <v>28</v>
      </c>
      <c r="E38" s="42"/>
      <c r="F38" s="397"/>
      <c r="G38" s="70" t="s">
        <v>334</v>
      </c>
      <c r="H38" s="75">
        <f t="shared" si="0"/>
        <v>3</v>
      </c>
      <c r="I38" s="42"/>
      <c r="L38" s="405"/>
      <c r="M38" s="70" t="s">
        <v>334</v>
      </c>
      <c r="N38" s="69">
        <v>0</v>
      </c>
      <c r="P38" s="405"/>
      <c r="Q38" s="70" t="s">
        <v>334</v>
      </c>
      <c r="R38" s="69">
        <v>28</v>
      </c>
    </row>
    <row r="39" spans="2:18">
      <c r="B39" s="397"/>
      <c r="C39" s="70" t="s">
        <v>335</v>
      </c>
      <c r="D39" s="69">
        <f t="shared" si="5"/>
        <v>22</v>
      </c>
      <c r="E39" s="42" t="s">
        <v>471</v>
      </c>
      <c r="F39" s="397"/>
      <c r="G39" s="70" t="s">
        <v>335</v>
      </c>
      <c r="H39" s="75">
        <f t="shared" si="0"/>
        <v>3</v>
      </c>
      <c r="I39" s="42" t="s">
        <v>469</v>
      </c>
      <c r="L39" s="405"/>
      <c r="M39" s="70" t="s">
        <v>335</v>
      </c>
      <c r="N39" s="69">
        <v>4</v>
      </c>
      <c r="P39" s="405"/>
      <c r="Q39" s="70" t="s">
        <v>335</v>
      </c>
      <c r="R39" s="69">
        <v>26</v>
      </c>
    </row>
    <row r="40" spans="2:18">
      <c r="B40" s="398"/>
      <c r="C40" s="70" t="s">
        <v>336</v>
      </c>
      <c r="D40" s="69">
        <f t="shared" si="5"/>
        <v>21</v>
      </c>
      <c r="E40" s="42">
        <f>D38+D39+D40</f>
        <v>71</v>
      </c>
      <c r="F40" s="398"/>
      <c r="G40" s="70" t="s">
        <v>336</v>
      </c>
      <c r="H40" s="75">
        <f>ROUNDDOWN(D40/($D$46/$H$46),0)</f>
        <v>2</v>
      </c>
      <c r="I40" s="64">
        <f>SUM(H28:H30,H33:H35,H38:H40)</f>
        <v>529</v>
      </c>
      <c r="L40" s="405"/>
      <c r="M40" s="70" t="s">
        <v>336</v>
      </c>
      <c r="N40" s="69">
        <v>0</v>
      </c>
      <c r="P40" s="405"/>
      <c r="Q40" s="70" t="s">
        <v>336</v>
      </c>
      <c r="R40" s="69">
        <v>21</v>
      </c>
    </row>
    <row r="41" spans="2:18">
      <c r="B41" s="396" t="s">
        <v>452</v>
      </c>
      <c r="C41" s="71" t="s">
        <v>468</v>
      </c>
      <c r="D41" s="69">
        <f>SUM(N43:N45)</f>
        <v>111</v>
      </c>
      <c r="E41" s="42"/>
      <c r="F41" s="396" t="s">
        <v>452</v>
      </c>
      <c r="G41" s="71" t="s">
        <v>468</v>
      </c>
      <c r="H41" s="75">
        <f>ROUNDDOWN(D41/($D$46/$H$46),0)</f>
        <v>13</v>
      </c>
      <c r="I41" s="64"/>
    </row>
    <row r="42" spans="2:18">
      <c r="B42" s="397"/>
      <c r="C42" s="70" t="s">
        <v>333</v>
      </c>
      <c r="D42" s="69">
        <v>247</v>
      </c>
      <c r="E42" s="42">
        <f>E40/2</f>
        <v>35.5</v>
      </c>
      <c r="F42" s="397"/>
      <c r="G42" s="70" t="s">
        <v>333</v>
      </c>
      <c r="H42" s="75">
        <f>ROUNDDOWN(D42/($D$46/$H$46),0)</f>
        <v>29</v>
      </c>
      <c r="I42" s="42"/>
      <c r="L42" s="405" t="s">
        <v>452</v>
      </c>
      <c r="M42" s="70" t="s">
        <v>333</v>
      </c>
      <c r="N42" s="69">
        <v>13</v>
      </c>
      <c r="P42" s="405" t="s">
        <v>452</v>
      </c>
      <c r="Q42" s="70" t="s">
        <v>333</v>
      </c>
      <c r="R42" s="69">
        <v>247</v>
      </c>
    </row>
    <row r="43" spans="2:18">
      <c r="B43" s="397"/>
      <c r="C43" s="70" t="s">
        <v>334</v>
      </c>
      <c r="D43" s="69">
        <f t="shared" ref="D43:D45" si="6">R43-N43</f>
        <v>311</v>
      </c>
      <c r="E43" s="42"/>
      <c r="F43" s="397"/>
      <c r="G43" s="70" t="s">
        <v>334</v>
      </c>
      <c r="H43" s="75">
        <f>ROUNDDOWN(D43/($D$46/$H$46),0)</f>
        <v>36</v>
      </c>
      <c r="I43" s="42"/>
      <c r="L43" s="405"/>
      <c r="M43" s="70" t="s">
        <v>334</v>
      </c>
      <c r="N43" s="69">
        <v>55</v>
      </c>
      <c r="P43" s="405"/>
      <c r="Q43" s="70" t="s">
        <v>334</v>
      </c>
      <c r="R43" s="69">
        <v>366</v>
      </c>
    </row>
    <row r="44" spans="2:18">
      <c r="B44" s="397"/>
      <c r="C44" s="70" t="s">
        <v>335</v>
      </c>
      <c r="D44" s="69">
        <f t="shared" si="6"/>
        <v>137</v>
      </c>
      <c r="E44" s="42"/>
      <c r="F44" s="397"/>
      <c r="G44" s="70" t="s">
        <v>335</v>
      </c>
      <c r="H44" s="75">
        <f>ROUNDDOWN(D44/($D$46/$H$46),0)</f>
        <v>16</v>
      </c>
      <c r="I44" s="42"/>
      <c r="L44" s="405"/>
      <c r="M44" s="70" t="s">
        <v>335</v>
      </c>
      <c r="N44" s="69">
        <v>40</v>
      </c>
      <c r="P44" s="405"/>
      <c r="Q44" s="70" t="s">
        <v>335</v>
      </c>
      <c r="R44" s="69">
        <v>177</v>
      </c>
    </row>
    <row r="45" spans="2:18">
      <c r="B45" s="398"/>
      <c r="C45" s="70" t="s">
        <v>336</v>
      </c>
      <c r="D45" s="69">
        <f t="shared" si="6"/>
        <v>58</v>
      </c>
      <c r="E45" s="42"/>
      <c r="F45" s="398"/>
      <c r="G45" s="70" t="s">
        <v>336</v>
      </c>
      <c r="H45" s="75">
        <f>ROUNDDOWN(D45/($D$46/$H$46),0)</f>
        <v>6</v>
      </c>
      <c r="I45" s="42"/>
      <c r="L45" s="405"/>
      <c r="M45" s="70" t="s">
        <v>336</v>
      </c>
      <c r="N45" s="69">
        <v>16</v>
      </c>
      <c r="P45" s="405"/>
      <c r="Q45" s="70" t="s">
        <v>336</v>
      </c>
      <c r="R45" s="69">
        <v>74</v>
      </c>
    </row>
    <row r="46" spans="2:18">
      <c r="B46" s="70" t="s">
        <v>453</v>
      </c>
      <c r="C46" s="70"/>
      <c r="D46" s="69">
        <f>SUM(D16:D45)</f>
        <v>13840</v>
      </c>
      <c r="E46" s="42"/>
      <c r="F46" s="70" t="s">
        <v>453</v>
      </c>
      <c r="G46" s="70"/>
      <c r="H46" s="309">
        <v>1639</v>
      </c>
      <c r="I46" s="64">
        <f>SUM(H16:H45)</f>
        <v>1639</v>
      </c>
      <c r="L46" s="70" t="s">
        <v>453</v>
      </c>
      <c r="M46" s="70"/>
      <c r="N46" s="69">
        <f>SUM(N17:N45)</f>
        <v>475</v>
      </c>
      <c r="P46" s="70" t="s">
        <v>453</v>
      </c>
      <c r="Q46" s="70"/>
      <c r="R46" s="69">
        <f>SUM(R17:R45)</f>
        <v>13840</v>
      </c>
    </row>
    <row r="47" spans="2:18">
      <c r="B47" s="65"/>
      <c r="C47" s="65"/>
      <c r="D47" s="42"/>
      <c r="E47" s="42"/>
      <c r="F47" s="65"/>
      <c r="G47" s="65"/>
      <c r="H47" s="64"/>
      <c r="I47" s="42"/>
    </row>
    <row r="48" spans="2:18">
      <c r="B48" s="316" t="s">
        <v>476</v>
      </c>
      <c r="C48" s="317"/>
      <c r="D48" s="318"/>
      <c r="E48" s="42">
        <f>D46-13555</f>
        <v>285</v>
      </c>
      <c r="F48" s="319" t="s">
        <v>478</v>
      </c>
      <c r="G48" s="320"/>
      <c r="H48" s="321"/>
      <c r="I48" s="42"/>
    </row>
    <row r="49" spans="2:10">
      <c r="B49" s="31" t="s">
        <v>477</v>
      </c>
      <c r="C49" s="373">
        <v>45</v>
      </c>
      <c r="D49" s="374"/>
      <c r="E49" s="42"/>
      <c r="F49" s="379">
        <v>997</v>
      </c>
      <c r="G49" s="334" t="s">
        <v>491</v>
      </c>
      <c r="H49" s="323"/>
      <c r="I49" s="42"/>
    </row>
    <row r="50" spans="2:10">
      <c r="C50" s="65"/>
      <c r="D50" s="42"/>
      <c r="E50" s="42"/>
      <c r="F50" s="65"/>
      <c r="G50" s="65"/>
      <c r="H50" s="64"/>
      <c r="I50" s="42"/>
    </row>
    <row r="51" spans="2:10">
      <c r="B51" s="324" t="s">
        <v>479</v>
      </c>
      <c r="C51" s="320"/>
      <c r="D51" s="325"/>
      <c r="E51" s="326"/>
      <c r="F51" s="65"/>
      <c r="G51" s="65"/>
      <c r="H51" s="64"/>
      <c r="I51" s="42"/>
    </row>
    <row r="52" spans="2:10">
      <c r="B52" s="327">
        <f>ROUND(0.178*SUM(D28:D30,D33:D35),0)</f>
        <v>781</v>
      </c>
      <c r="C52" s="322"/>
      <c r="D52" s="328"/>
      <c r="E52" s="329"/>
      <c r="F52" s="65"/>
      <c r="G52" s="65"/>
      <c r="H52" s="64"/>
      <c r="I52" s="42"/>
    </row>
    <row r="53" spans="2:10">
      <c r="C53" s="65"/>
      <c r="D53" s="42"/>
      <c r="E53" s="42"/>
      <c r="F53" s="65"/>
      <c r="G53" s="65"/>
      <c r="H53" s="64"/>
      <c r="I53" s="42"/>
    </row>
    <row r="54" spans="2:10">
      <c r="B54" s="66" t="s">
        <v>337</v>
      </c>
      <c r="C54" s="65"/>
      <c r="D54" s="42"/>
      <c r="E54" s="42"/>
      <c r="F54" s="65"/>
      <c r="G54" s="65"/>
      <c r="H54" s="64"/>
      <c r="I54" s="42"/>
    </row>
    <row r="55" spans="2:10">
      <c r="B55" s="66" t="s">
        <v>339</v>
      </c>
      <c r="C55" s="65"/>
      <c r="D55" s="42"/>
      <c r="E55" s="42"/>
      <c r="F55" s="65"/>
      <c r="G55" s="65"/>
      <c r="H55" s="64"/>
      <c r="I55" s="42"/>
    </row>
    <row r="56" spans="2:10">
      <c r="B56" s="66" t="s">
        <v>200</v>
      </c>
      <c r="C56" s="65"/>
      <c r="D56" s="42"/>
      <c r="E56" s="42"/>
      <c r="F56" s="65"/>
      <c r="G56" s="65"/>
      <c r="H56" s="64"/>
      <c r="I56" s="42"/>
    </row>
    <row r="57" spans="2:10">
      <c r="J57" s="340">
        <f>H46+H82</f>
        <v>1655</v>
      </c>
    </row>
    <row r="58" spans="2:10">
      <c r="B58" s="34" t="s">
        <v>455</v>
      </c>
    </row>
    <row r="60" spans="2:10">
      <c r="B60" s="68" t="s">
        <v>349</v>
      </c>
      <c r="C60" s="43"/>
      <c r="D60" s="43"/>
      <c r="E60" s="42"/>
      <c r="F60" s="68" t="s">
        <v>370</v>
      </c>
      <c r="G60" s="43"/>
      <c r="H60" s="43"/>
    </row>
    <row r="61" spans="2:10">
      <c r="B61" s="74" t="s">
        <v>350</v>
      </c>
      <c r="C61" s="33" t="s">
        <v>351</v>
      </c>
      <c r="D61" s="33" t="s">
        <v>449</v>
      </c>
      <c r="E61" s="42"/>
      <c r="F61" s="74" t="s">
        <v>350</v>
      </c>
      <c r="G61" s="33" t="s">
        <v>351</v>
      </c>
      <c r="H61" s="33" t="s">
        <v>449</v>
      </c>
    </row>
    <row r="62" spans="2:10">
      <c r="B62" s="404" t="s">
        <v>450</v>
      </c>
      <c r="C62" s="69" t="s">
        <v>333</v>
      </c>
      <c r="D62" s="69">
        <v>0</v>
      </c>
      <c r="E62" s="42"/>
      <c r="F62" s="404" t="s">
        <v>450</v>
      </c>
      <c r="G62" s="69" t="s">
        <v>333</v>
      </c>
      <c r="H62" s="75">
        <f>ROUND(D62/($D$82/$H$82),0)</f>
        <v>0</v>
      </c>
    </row>
    <row r="63" spans="2:10">
      <c r="B63" s="404"/>
      <c r="C63" s="69" t="s">
        <v>334</v>
      </c>
      <c r="D63" s="69">
        <v>0</v>
      </c>
      <c r="E63" s="42"/>
      <c r="F63" s="404"/>
      <c r="G63" s="69" t="s">
        <v>334</v>
      </c>
      <c r="H63" s="75">
        <f t="shared" ref="H63:H69" si="7">D63/($D$82/$H$82)</f>
        <v>0</v>
      </c>
    </row>
    <row r="64" spans="2:10">
      <c r="B64" s="404"/>
      <c r="C64" s="69" t="s">
        <v>352</v>
      </c>
      <c r="D64" s="69">
        <v>0</v>
      </c>
      <c r="E64" s="42"/>
      <c r="F64" s="404"/>
      <c r="G64" s="69" t="s">
        <v>352</v>
      </c>
      <c r="H64" s="75">
        <f t="shared" si="7"/>
        <v>0</v>
      </c>
    </row>
    <row r="65" spans="2:8">
      <c r="B65" s="404"/>
      <c r="C65" s="69" t="s">
        <v>336</v>
      </c>
      <c r="D65" s="69">
        <v>0</v>
      </c>
      <c r="E65" s="42"/>
      <c r="F65" s="404"/>
      <c r="G65" s="69" t="s">
        <v>336</v>
      </c>
      <c r="H65" s="75">
        <f t="shared" si="7"/>
        <v>0</v>
      </c>
    </row>
    <row r="66" spans="2:8">
      <c r="B66" s="404" t="s">
        <v>451</v>
      </c>
      <c r="C66" s="69" t="s">
        <v>333</v>
      </c>
      <c r="D66" s="69">
        <v>0</v>
      </c>
      <c r="E66" s="42"/>
      <c r="F66" s="404" t="s">
        <v>451</v>
      </c>
      <c r="G66" s="69" t="s">
        <v>333</v>
      </c>
      <c r="H66" s="75">
        <f t="shared" si="7"/>
        <v>0</v>
      </c>
    </row>
    <row r="67" spans="2:8">
      <c r="B67" s="404"/>
      <c r="C67" s="73" t="s">
        <v>334</v>
      </c>
      <c r="D67" s="69">
        <v>0</v>
      </c>
      <c r="E67" s="42"/>
      <c r="F67" s="404"/>
      <c r="G67" s="73" t="s">
        <v>334</v>
      </c>
      <c r="H67" s="75">
        <f t="shared" si="7"/>
        <v>0</v>
      </c>
    </row>
    <row r="68" spans="2:8">
      <c r="B68" s="404"/>
      <c r="C68" s="69" t="s">
        <v>352</v>
      </c>
      <c r="D68" s="69">
        <v>0</v>
      </c>
      <c r="E68" s="42"/>
      <c r="F68" s="404"/>
      <c r="G68" s="69" t="s">
        <v>352</v>
      </c>
      <c r="H68" s="75">
        <f t="shared" si="7"/>
        <v>0</v>
      </c>
    </row>
    <row r="69" spans="2:8">
      <c r="B69" s="404"/>
      <c r="C69" s="69" t="s">
        <v>336</v>
      </c>
      <c r="D69" s="69">
        <v>0</v>
      </c>
      <c r="E69" s="42"/>
      <c r="F69" s="404"/>
      <c r="G69" s="69" t="s">
        <v>336</v>
      </c>
      <c r="H69" s="75">
        <f t="shared" si="7"/>
        <v>0</v>
      </c>
    </row>
    <row r="70" spans="2:8">
      <c r="B70" s="403" t="s">
        <v>353</v>
      </c>
      <c r="C70" s="72" t="s">
        <v>333</v>
      </c>
      <c r="D70" s="69">
        <v>28</v>
      </c>
      <c r="E70" s="42"/>
      <c r="F70" s="403" t="s">
        <v>353</v>
      </c>
      <c r="G70" s="72" t="s">
        <v>333</v>
      </c>
      <c r="H70" s="75">
        <f>ROUNDDOWN(D70/($D$82/$H$82),0)</f>
        <v>9</v>
      </c>
    </row>
    <row r="71" spans="2:8">
      <c r="B71" s="403"/>
      <c r="C71" s="69" t="s">
        <v>334</v>
      </c>
      <c r="D71" s="69">
        <v>4</v>
      </c>
      <c r="E71" s="42"/>
      <c r="F71" s="403"/>
      <c r="G71" s="69" t="s">
        <v>334</v>
      </c>
      <c r="H71" s="75">
        <f>ROUND(D71/($D$82/$H$82),0)</f>
        <v>1</v>
      </c>
    </row>
    <row r="72" spans="2:8">
      <c r="B72" s="403"/>
      <c r="C72" s="69" t="s">
        <v>352</v>
      </c>
      <c r="D72" s="69">
        <v>1</v>
      </c>
      <c r="E72" s="42"/>
      <c r="F72" s="403"/>
      <c r="G72" s="69" t="s">
        <v>352</v>
      </c>
      <c r="H72" s="75">
        <f>ROUNDUP(D72/($D$82/$H$82),0)</f>
        <v>1</v>
      </c>
    </row>
    <row r="73" spans="2:8">
      <c r="B73" s="403"/>
      <c r="C73" s="69" t="s">
        <v>336</v>
      </c>
      <c r="D73" s="69">
        <v>1</v>
      </c>
      <c r="E73" s="42"/>
      <c r="F73" s="403"/>
      <c r="G73" s="69" t="s">
        <v>336</v>
      </c>
      <c r="H73" s="75">
        <f t="shared" ref="H73:H80" si="8">ROUND(D73/($D$82/$H$82),0)</f>
        <v>0</v>
      </c>
    </row>
    <row r="74" spans="2:8">
      <c r="B74" s="403" t="s">
        <v>341</v>
      </c>
      <c r="C74" s="69" t="s">
        <v>333</v>
      </c>
      <c r="D74" s="69">
        <v>0</v>
      </c>
      <c r="E74" s="42"/>
      <c r="F74" s="403" t="s">
        <v>341</v>
      </c>
      <c r="G74" s="69" t="s">
        <v>333</v>
      </c>
      <c r="H74" s="75">
        <f t="shared" si="8"/>
        <v>0</v>
      </c>
    </row>
    <row r="75" spans="2:8">
      <c r="B75" s="403"/>
      <c r="C75" s="69" t="s">
        <v>334</v>
      </c>
      <c r="D75" s="69">
        <v>0</v>
      </c>
      <c r="E75" s="42"/>
      <c r="F75" s="403"/>
      <c r="G75" s="69" t="s">
        <v>334</v>
      </c>
      <c r="H75" s="75">
        <f t="shared" si="8"/>
        <v>0</v>
      </c>
    </row>
    <row r="76" spans="2:8">
      <c r="B76" s="403"/>
      <c r="C76" s="69" t="s">
        <v>352</v>
      </c>
      <c r="D76" s="69">
        <v>0</v>
      </c>
      <c r="E76" s="42"/>
      <c r="F76" s="403"/>
      <c r="G76" s="69" t="s">
        <v>352</v>
      </c>
      <c r="H76" s="75">
        <f t="shared" si="8"/>
        <v>0</v>
      </c>
    </row>
    <row r="77" spans="2:8">
      <c r="B77" s="403"/>
      <c r="C77" s="69" t="s">
        <v>336</v>
      </c>
      <c r="D77" s="69">
        <v>0</v>
      </c>
      <c r="E77" s="42"/>
      <c r="F77" s="403"/>
      <c r="G77" s="69" t="s">
        <v>336</v>
      </c>
      <c r="H77" s="75">
        <f t="shared" si="8"/>
        <v>0</v>
      </c>
    </row>
    <row r="78" spans="2:8">
      <c r="B78" s="402" t="s">
        <v>452</v>
      </c>
      <c r="C78" s="35" t="s">
        <v>333</v>
      </c>
      <c r="D78" s="69">
        <v>3</v>
      </c>
      <c r="F78" s="402" t="s">
        <v>452</v>
      </c>
      <c r="G78" s="35" t="s">
        <v>333</v>
      </c>
      <c r="H78" s="75">
        <f t="shared" si="8"/>
        <v>1</v>
      </c>
    </row>
    <row r="79" spans="2:8">
      <c r="B79" s="402"/>
      <c r="C79" s="35" t="s">
        <v>334</v>
      </c>
      <c r="D79" s="69">
        <v>6</v>
      </c>
      <c r="F79" s="402"/>
      <c r="G79" s="35" t="s">
        <v>334</v>
      </c>
      <c r="H79" s="75">
        <f t="shared" si="8"/>
        <v>2</v>
      </c>
    </row>
    <row r="80" spans="2:8">
      <c r="B80" s="402"/>
      <c r="C80" s="35" t="s">
        <v>352</v>
      </c>
      <c r="D80" s="69">
        <v>3</v>
      </c>
      <c r="F80" s="402"/>
      <c r="G80" s="35" t="s">
        <v>352</v>
      </c>
      <c r="H80" s="75">
        <f t="shared" si="8"/>
        <v>1</v>
      </c>
    </row>
    <row r="81" spans="2:9">
      <c r="B81" s="402"/>
      <c r="C81" s="35" t="s">
        <v>336</v>
      </c>
      <c r="D81" s="69">
        <v>1</v>
      </c>
      <c r="F81" s="402"/>
      <c r="G81" s="35" t="s">
        <v>336</v>
      </c>
      <c r="H81" s="75">
        <f>ROUNDUP(D81/($D$82/$H$82),0)</f>
        <v>1</v>
      </c>
    </row>
    <row r="82" spans="2:9">
      <c r="B82" s="35" t="s">
        <v>453</v>
      </c>
      <c r="C82" s="35"/>
      <c r="D82" s="69">
        <f>SUM(D62:D81)</f>
        <v>47</v>
      </c>
      <c r="F82" s="35" t="s">
        <v>453</v>
      </c>
      <c r="G82" s="35"/>
      <c r="H82" s="308">
        <v>16</v>
      </c>
      <c r="I82" s="340">
        <f>SUM(H70:H81)</f>
        <v>16</v>
      </c>
    </row>
    <row r="83" spans="2:9">
      <c r="H83" s="86"/>
    </row>
    <row r="84" spans="2:9">
      <c r="B84" t="s">
        <v>354</v>
      </c>
    </row>
    <row r="86" spans="2:9">
      <c r="B86" s="310" t="s">
        <v>349</v>
      </c>
      <c r="C86" s="310" t="s">
        <v>342</v>
      </c>
      <c r="E86" s="310" t="s">
        <v>349</v>
      </c>
      <c r="F86" s="310" t="s">
        <v>343</v>
      </c>
      <c r="H86" s="310" t="s">
        <v>349</v>
      </c>
      <c r="I86" s="310" t="s">
        <v>355</v>
      </c>
    </row>
    <row r="87" spans="2:9">
      <c r="B87" s="33" t="s">
        <v>351</v>
      </c>
      <c r="C87" s="33" t="s">
        <v>344</v>
      </c>
      <c r="E87" s="33" t="s">
        <v>351</v>
      </c>
      <c r="F87" s="33" t="s">
        <v>346</v>
      </c>
      <c r="H87" s="33" t="s">
        <v>351</v>
      </c>
      <c r="I87" s="33" t="s">
        <v>345</v>
      </c>
    </row>
    <row r="88" spans="2:9">
      <c r="B88" s="35" t="s">
        <v>334</v>
      </c>
      <c r="C88" s="35"/>
      <c r="E88" s="35" t="s">
        <v>334</v>
      </c>
      <c r="F88" s="35"/>
      <c r="H88" s="35" t="s">
        <v>334</v>
      </c>
      <c r="I88" s="35"/>
    </row>
    <row r="89" spans="2:9">
      <c r="B89" s="35" t="s">
        <v>352</v>
      </c>
      <c r="C89" s="35"/>
      <c r="E89" s="35" t="s">
        <v>352</v>
      </c>
      <c r="F89" s="35"/>
      <c r="H89" s="35" t="s">
        <v>352</v>
      </c>
      <c r="I89" s="35"/>
    </row>
    <row r="90" spans="2:9">
      <c r="B90" s="35" t="s">
        <v>336</v>
      </c>
      <c r="C90" s="35"/>
      <c r="E90" s="35" t="s">
        <v>336</v>
      </c>
      <c r="F90" s="35"/>
      <c r="H90" s="35" t="s">
        <v>336</v>
      </c>
      <c r="I90" s="35"/>
    </row>
    <row r="91" spans="2:9">
      <c r="B91" s="35" t="s">
        <v>453</v>
      </c>
      <c r="C91" s="35"/>
      <c r="E91" s="35" t="s">
        <v>453</v>
      </c>
      <c r="F91" s="35"/>
      <c r="H91" s="35" t="s">
        <v>453</v>
      </c>
      <c r="I91" s="35"/>
    </row>
    <row r="95" spans="2:9" ht="25.5">
      <c r="B95" s="311" t="s">
        <v>256</v>
      </c>
      <c r="C95" s="130"/>
    </row>
    <row r="98" spans="2:6">
      <c r="B98" s="106" t="s">
        <v>114</v>
      </c>
      <c r="C98" s="106" t="s">
        <v>115</v>
      </c>
      <c r="D98" t="s">
        <v>124</v>
      </c>
    </row>
    <row r="99" spans="2:6">
      <c r="B99" s="107" t="s">
        <v>116</v>
      </c>
      <c r="C99" s="132">
        <v>31</v>
      </c>
      <c r="D99" s="86"/>
    </row>
    <row r="100" spans="2:6">
      <c r="B100" s="107" t="s">
        <v>117</v>
      </c>
      <c r="C100" s="132">
        <v>1484</v>
      </c>
      <c r="D100" s="86">
        <f>(C100+C99)/SUM($C$99:$C$101)</f>
        <v>0.93692022263450836</v>
      </c>
    </row>
    <row r="101" spans="2:6">
      <c r="B101" s="107" t="s">
        <v>118</v>
      </c>
      <c r="C101" s="132">
        <v>102</v>
      </c>
      <c r="D101" s="86">
        <f>C101/SUM($C$99:$C$101)</f>
        <v>6.3079777365491654E-2</v>
      </c>
    </row>
    <row r="103" spans="2:6">
      <c r="B103" s="108" t="s">
        <v>114</v>
      </c>
      <c r="C103" s="108" t="s">
        <v>119</v>
      </c>
      <c r="D103" s="108" t="s">
        <v>115</v>
      </c>
      <c r="F103" s="110" t="s">
        <v>125</v>
      </c>
    </row>
    <row r="104" spans="2:6">
      <c r="B104" s="109" t="s">
        <v>116</v>
      </c>
      <c r="C104" s="109" t="s">
        <v>120</v>
      </c>
      <c r="D104" s="133">
        <v>1</v>
      </c>
      <c r="F104" s="80"/>
    </row>
    <row r="105" spans="2:6">
      <c r="B105" s="109" t="s">
        <v>117</v>
      </c>
      <c r="C105" s="109" t="s">
        <v>120</v>
      </c>
      <c r="D105" s="133">
        <v>12</v>
      </c>
      <c r="F105" s="80" t="s">
        <v>127</v>
      </c>
    </row>
    <row r="106" spans="2:6">
      <c r="B106" s="109" t="s">
        <v>116</v>
      </c>
      <c r="C106" s="109" t="s">
        <v>121</v>
      </c>
      <c r="D106" s="133">
        <v>22</v>
      </c>
      <c r="E106" t="s">
        <v>126</v>
      </c>
      <c r="F106" s="131">
        <f>SUM(D110:D111)/SUM(D104:D111)</f>
        <v>8.7788778877887788E-2</v>
      </c>
    </row>
    <row r="107" spans="2:6">
      <c r="B107" s="109" t="s">
        <v>117</v>
      </c>
      <c r="C107" s="109" t="s">
        <v>121</v>
      </c>
      <c r="D107" s="133">
        <v>1278</v>
      </c>
      <c r="E107" t="s">
        <v>118</v>
      </c>
      <c r="F107" s="131">
        <f>D115/SUM(D112:D115)</f>
        <v>0.13725490196078433</v>
      </c>
    </row>
    <row r="108" spans="2:6">
      <c r="B108" s="109" t="s">
        <v>116</v>
      </c>
      <c r="C108" s="109" t="s">
        <v>123</v>
      </c>
      <c r="D108" s="133">
        <v>2</v>
      </c>
    </row>
    <row r="109" spans="2:6">
      <c r="B109" s="109" t="s">
        <v>117</v>
      </c>
      <c r="C109" s="109" t="s">
        <v>123</v>
      </c>
      <c r="D109" s="133">
        <v>67</v>
      </c>
    </row>
    <row r="110" spans="2:6">
      <c r="B110" s="109" t="s">
        <v>116</v>
      </c>
      <c r="C110" s="109" t="s">
        <v>122</v>
      </c>
      <c r="D110" s="133">
        <v>6</v>
      </c>
    </row>
    <row r="111" spans="2:6">
      <c r="B111" s="109" t="s">
        <v>117</v>
      </c>
      <c r="C111" s="109" t="s">
        <v>122</v>
      </c>
      <c r="D111" s="133">
        <v>127</v>
      </c>
    </row>
    <row r="112" spans="2:6">
      <c r="B112" s="109" t="s">
        <v>118</v>
      </c>
      <c r="C112" s="109" t="s">
        <v>120</v>
      </c>
      <c r="D112" s="133">
        <v>1</v>
      </c>
    </row>
    <row r="113" spans="2:4">
      <c r="B113" s="109" t="s">
        <v>118</v>
      </c>
      <c r="C113" s="109" t="s">
        <v>121</v>
      </c>
      <c r="D113" s="133">
        <v>82</v>
      </c>
    </row>
    <row r="114" spans="2:4">
      <c r="B114" s="109" t="s">
        <v>118</v>
      </c>
      <c r="C114" s="109" t="s">
        <v>123</v>
      </c>
      <c r="D114" s="133">
        <v>5</v>
      </c>
    </row>
    <row r="115" spans="2:4">
      <c r="B115" s="109" t="s">
        <v>118</v>
      </c>
      <c r="C115" s="109" t="s">
        <v>122</v>
      </c>
      <c r="D115" s="133">
        <v>14</v>
      </c>
    </row>
  </sheetData>
  <mergeCells count="34">
    <mergeCell ref="L42:L45"/>
    <mergeCell ref="P17:P20"/>
    <mergeCell ref="P23:P25"/>
    <mergeCell ref="P27:P30"/>
    <mergeCell ref="P32:P35"/>
    <mergeCell ref="P37:P40"/>
    <mergeCell ref="P42:P45"/>
    <mergeCell ref="L17:L20"/>
    <mergeCell ref="L23:L25"/>
    <mergeCell ref="L27:L30"/>
    <mergeCell ref="L32:L35"/>
    <mergeCell ref="L37:L40"/>
    <mergeCell ref="F31:F35"/>
    <mergeCell ref="B31:B35"/>
    <mergeCell ref="B36:B40"/>
    <mergeCell ref="B41:B45"/>
    <mergeCell ref="F41:F45"/>
    <mergeCell ref="F36:F40"/>
    <mergeCell ref="B16:B20"/>
    <mergeCell ref="F16:F20"/>
    <mergeCell ref="B21:B25"/>
    <mergeCell ref="F21:F25"/>
    <mergeCell ref="B78:B81"/>
    <mergeCell ref="B74:B77"/>
    <mergeCell ref="B70:B73"/>
    <mergeCell ref="B66:B69"/>
    <mergeCell ref="F66:F69"/>
    <mergeCell ref="F70:F73"/>
    <mergeCell ref="F74:F77"/>
    <mergeCell ref="F78:F81"/>
    <mergeCell ref="B62:B65"/>
    <mergeCell ref="F62:F65"/>
    <mergeCell ref="B26:B30"/>
    <mergeCell ref="F26:F30"/>
  </mergeCells>
  <phoneticPr fontId="7" type="noConversion"/>
  <pageMargins left="0.75" right="0.75" top="1" bottom="1" header="0.5" footer="0.5"/>
  <pageSetup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S119"/>
  <sheetViews>
    <sheetView zoomScale="110" zoomScaleNormal="110" workbookViewId="0">
      <pane xSplit="1" ySplit="3" topLeftCell="B4" activePane="bottomRight" state="frozen"/>
      <selection activeCell="P31" sqref="P31"/>
      <selection pane="topRight" activeCell="P31" sqref="P31"/>
      <selection pane="bottomLeft" activeCell="P31" sqref="P31"/>
      <selection pane="bottomRight" activeCell="A2" sqref="A2:Q2"/>
    </sheetView>
  </sheetViews>
  <sheetFormatPr defaultRowHeight="11.25"/>
  <cols>
    <col min="1" max="1" width="36.5703125" style="1" customWidth="1"/>
    <col min="2" max="2" width="9.28515625" style="7" customWidth="1"/>
    <col min="3" max="3" width="8" style="7" hidden="1" customWidth="1"/>
    <col min="4" max="4" width="8.42578125" style="7" bestFit="1" customWidth="1"/>
    <col min="5" max="5" width="8.85546875" style="7" bestFit="1" customWidth="1"/>
    <col min="6" max="6" width="7.42578125" style="7" customWidth="1"/>
    <col min="7" max="7" width="9.28515625" style="7" bestFit="1" customWidth="1"/>
    <col min="8" max="8" width="8.42578125" style="7" customWidth="1"/>
    <col min="9" max="9" width="8.85546875" style="11" customWidth="1"/>
    <col min="10" max="11" width="6.85546875" style="7" bestFit="1" customWidth="1"/>
    <col min="12" max="12" width="8.7109375" style="7" customWidth="1"/>
    <col min="13" max="13" width="7.85546875" style="7" hidden="1" customWidth="1"/>
    <col min="14" max="14" width="9.140625" style="7" customWidth="1"/>
    <col min="15" max="15" width="10.140625" style="8" bestFit="1" customWidth="1"/>
    <col min="16" max="16" width="10" style="8" bestFit="1" customWidth="1"/>
    <col min="17" max="17" width="3.7109375" style="7" customWidth="1"/>
    <col min="18" max="19" width="9.140625" style="1" hidden="1" customWidth="1"/>
    <col min="20" max="16384" width="9.140625" style="1"/>
  </cols>
  <sheetData>
    <row r="1" spans="1:19">
      <c r="A1" s="395" t="s">
        <v>178</v>
      </c>
      <c r="B1" s="395"/>
      <c r="C1" s="395"/>
      <c r="D1" s="395"/>
      <c r="E1" s="395"/>
      <c r="F1" s="395"/>
      <c r="G1" s="395"/>
      <c r="H1" s="395"/>
      <c r="I1" s="395"/>
      <c r="J1" s="395"/>
      <c r="K1" s="395"/>
      <c r="L1" s="395"/>
      <c r="M1" s="395"/>
      <c r="N1" s="395"/>
      <c r="O1" s="395"/>
      <c r="P1" s="395"/>
      <c r="Q1" s="395"/>
    </row>
    <row r="2" spans="1:19">
      <c r="A2" s="407" t="s">
        <v>424</v>
      </c>
      <c r="B2" s="407"/>
      <c r="C2" s="407"/>
      <c r="D2" s="407"/>
      <c r="E2" s="407"/>
      <c r="F2" s="407"/>
      <c r="G2" s="407"/>
      <c r="H2" s="407"/>
      <c r="I2" s="407"/>
      <c r="J2" s="407"/>
      <c r="K2" s="407"/>
      <c r="L2" s="407"/>
      <c r="M2" s="407"/>
      <c r="N2" s="407"/>
      <c r="O2" s="407"/>
      <c r="P2" s="407"/>
      <c r="Q2" s="407"/>
    </row>
    <row r="3" spans="1:19" s="3" customFormat="1" ht="63">
      <c r="A3" s="45" t="s">
        <v>392</v>
      </c>
      <c r="B3" s="12" t="s">
        <v>474</v>
      </c>
      <c r="C3" s="312" t="s">
        <v>430</v>
      </c>
      <c r="D3" s="12" t="s">
        <v>4</v>
      </c>
      <c r="E3" s="12" t="s">
        <v>6</v>
      </c>
      <c r="F3" s="12" t="s">
        <v>5</v>
      </c>
      <c r="G3" s="12" t="s">
        <v>176</v>
      </c>
      <c r="H3" s="12" t="s">
        <v>459</v>
      </c>
      <c r="I3" s="60" t="s">
        <v>473</v>
      </c>
      <c r="J3" s="13" t="s">
        <v>462</v>
      </c>
      <c r="K3" s="13" t="s">
        <v>463</v>
      </c>
      <c r="L3" s="13" t="s">
        <v>461</v>
      </c>
      <c r="M3" s="312" t="s">
        <v>391</v>
      </c>
      <c r="N3" s="12" t="s">
        <v>8</v>
      </c>
      <c r="O3" s="13" t="s">
        <v>9</v>
      </c>
      <c r="P3" s="13" t="s">
        <v>175</v>
      </c>
      <c r="Q3" s="28" t="s">
        <v>394</v>
      </c>
      <c r="R3" s="3" t="s">
        <v>307</v>
      </c>
      <c r="S3" s="3" t="s">
        <v>308</v>
      </c>
    </row>
    <row r="4" spans="1:19" s="6" customFormat="1" ht="9">
      <c r="A4" s="21" t="s">
        <v>405</v>
      </c>
      <c r="B4" s="22" t="s">
        <v>433</v>
      </c>
      <c r="C4" s="22"/>
      <c r="D4" s="38"/>
      <c r="E4" s="38"/>
      <c r="F4" s="38"/>
      <c r="G4" s="22"/>
      <c r="H4" s="22"/>
      <c r="I4" s="23"/>
      <c r="J4" s="23"/>
      <c r="K4" s="23"/>
      <c r="L4" s="23"/>
      <c r="M4" s="22"/>
      <c r="N4" s="38"/>
      <c r="O4" s="38"/>
      <c r="P4" s="38"/>
      <c r="Q4" s="237"/>
    </row>
    <row r="5" spans="1:19" s="6" customFormat="1" ht="9">
      <c r="A5" s="20" t="s">
        <v>406</v>
      </c>
      <c r="B5" s="18" t="s">
        <v>433</v>
      </c>
      <c r="C5" s="18"/>
      <c r="D5" s="39"/>
      <c r="E5" s="39"/>
      <c r="F5" s="39"/>
      <c r="G5" s="18"/>
      <c r="H5" s="18"/>
      <c r="I5" s="19"/>
      <c r="J5" s="19"/>
      <c r="K5" s="19"/>
      <c r="L5" s="19"/>
      <c r="M5" s="18"/>
      <c r="N5" s="39"/>
      <c r="O5" s="39"/>
      <c r="P5" s="39"/>
      <c r="Q5" s="29"/>
    </row>
    <row r="6" spans="1:19" s="6" customFormat="1" ht="9">
      <c r="A6" s="20" t="s">
        <v>407</v>
      </c>
      <c r="B6" s="18"/>
      <c r="C6" s="18"/>
      <c r="D6" s="39"/>
      <c r="E6" s="39"/>
      <c r="F6" s="39"/>
      <c r="G6" s="18"/>
      <c r="H6" s="18"/>
      <c r="I6" s="19"/>
      <c r="J6" s="19"/>
      <c r="K6" s="19"/>
      <c r="L6" s="19"/>
      <c r="M6" s="18"/>
      <c r="N6" s="39"/>
      <c r="O6" s="39"/>
      <c r="P6" s="39"/>
      <c r="Q6" s="29"/>
    </row>
    <row r="7" spans="1:19" s="6" customFormat="1" ht="9">
      <c r="A7" s="143" t="s">
        <v>408</v>
      </c>
      <c r="B7" s="44">
        <v>40</v>
      </c>
      <c r="C7" s="18"/>
      <c r="D7" s="39">
        <v>0</v>
      </c>
      <c r="E7" s="39">
        <v>0</v>
      </c>
      <c r="F7" s="39">
        <v>0</v>
      </c>
      <c r="G7" s="18">
        <v>1</v>
      </c>
      <c r="H7" s="18">
        <f>B7*G7</f>
        <v>40</v>
      </c>
      <c r="I7" s="91">
        <f>ROUND(SUM('Base Data'!$H$18:$H$20,'Base Data'!$H$23:$H$25),0)</f>
        <v>119</v>
      </c>
      <c r="J7" s="19">
        <f>H7*I7</f>
        <v>4760</v>
      </c>
      <c r="K7" s="19">
        <f>J7*0.1</f>
        <v>476</v>
      </c>
      <c r="L7" s="51">
        <f>J7*0.05</f>
        <v>238</v>
      </c>
      <c r="M7" s="18">
        <f>C7*G7*I7</f>
        <v>0</v>
      </c>
      <c r="N7" s="39">
        <f>(J7*'Base Data'!$C$5)+(K7*'Base Data'!$C$6)+(L7*'Base Data'!$C$7)</f>
        <v>517780.9</v>
      </c>
      <c r="O7" s="39">
        <f>(D7+E7+F7)*G7*I7</f>
        <v>0</v>
      </c>
      <c r="P7" s="19">
        <v>0</v>
      </c>
      <c r="Q7" s="29" t="s">
        <v>387</v>
      </c>
    </row>
    <row r="8" spans="1:19" s="6" customFormat="1" ht="9">
      <c r="A8" s="142" t="s">
        <v>409</v>
      </c>
      <c r="B8" s="44"/>
      <c r="C8" s="18"/>
      <c r="D8" s="39"/>
      <c r="E8" s="39"/>
      <c r="F8" s="39"/>
      <c r="G8" s="18"/>
      <c r="H8" s="18"/>
      <c r="I8" s="19"/>
      <c r="J8" s="19"/>
      <c r="K8" s="19"/>
      <c r="L8" s="19"/>
      <c r="M8" s="18"/>
      <c r="N8" s="39"/>
      <c r="O8" s="39"/>
      <c r="P8" s="39"/>
      <c r="Q8" s="29"/>
    </row>
    <row r="9" spans="1:19" s="6" customFormat="1" ht="9">
      <c r="A9" s="143" t="s">
        <v>423</v>
      </c>
      <c r="B9" s="44"/>
      <c r="C9" s="18"/>
      <c r="D9" s="59"/>
      <c r="E9" s="39"/>
      <c r="F9" s="39"/>
      <c r="G9" s="18"/>
      <c r="H9" s="18"/>
      <c r="I9" s="51"/>
      <c r="J9" s="19"/>
      <c r="K9" s="19"/>
      <c r="L9" s="19"/>
      <c r="M9" s="46"/>
      <c r="N9" s="39"/>
      <c r="O9" s="39"/>
      <c r="P9" s="39"/>
      <c r="Q9" s="29"/>
    </row>
    <row r="10" spans="1:19" s="6" customFormat="1" ht="9">
      <c r="A10" s="142" t="s">
        <v>274</v>
      </c>
      <c r="B10" s="44">
        <v>20</v>
      </c>
      <c r="C10" s="18"/>
      <c r="D10" s="39">
        <v>854</v>
      </c>
      <c r="E10" s="39">
        <v>0</v>
      </c>
      <c r="F10" s="39">
        <v>0</v>
      </c>
      <c r="G10" s="18">
        <v>1</v>
      </c>
      <c r="H10" s="18">
        <f>B10*G10</f>
        <v>20</v>
      </c>
      <c r="I10" s="51">
        <v>0</v>
      </c>
      <c r="J10" s="19">
        <f>H10*I10</f>
        <v>0</v>
      </c>
      <c r="K10" s="19">
        <f>J10*0.1</f>
        <v>0</v>
      </c>
      <c r="L10" s="19">
        <f>J10*0.05</f>
        <v>0</v>
      </c>
      <c r="M10" s="46">
        <f>C10*G10*I10</f>
        <v>0</v>
      </c>
      <c r="N10" s="39">
        <f>(J10*'Base Data'!$C$5)+(K10*'Base Data'!$C$6)+(L10*'Base Data'!$C$7)</f>
        <v>0</v>
      </c>
      <c r="O10" s="39">
        <f>(D10+E10+F10)*G10*I10</f>
        <v>0</v>
      </c>
      <c r="P10" s="19">
        <v>0</v>
      </c>
      <c r="Q10" s="29" t="s">
        <v>440</v>
      </c>
    </row>
    <row r="11" spans="1:19" s="6" customFormat="1" ht="9">
      <c r="A11" s="142" t="s">
        <v>276</v>
      </c>
      <c r="B11" s="44">
        <v>20</v>
      </c>
      <c r="C11" s="18"/>
      <c r="D11" s="39">
        <v>18292</v>
      </c>
      <c r="E11" s="39">
        <v>0</v>
      </c>
      <c r="F11" s="39">
        <v>0</v>
      </c>
      <c r="G11" s="18">
        <v>1</v>
      </c>
      <c r="H11" s="18">
        <f>B11*G11</f>
        <v>20</v>
      </c>
      <c r="I11" s="51">
        <v>0</v>
      </c>
      <c r="J11" s="19">
        <f>H11*I11</f>
        <v>0</v>
      </c>
      <c r="K11" s="19">
        <f>J11*0.1</f>
        <v>0</v>
      </c>
      <c r="L11" s="19">
        <f>J11*0.05</f>
        <v>0</v>
      </c>
      <c r="M11" s="46">
        <f>C11*G11*I11</f>
        <v>0</v>
      </c>
      <c r="N11" s="39">
        <f>(J11*'Base Data'!$C$5)+(K11*'Base Data'!$C$6)+(L11*'Base Data'!$C$7)</f>
        <v>0</v>
      </c>
      <c r="O11" s="39">
        <f>(D11+E11+F11)*G11*I11</f>
        <v>0</v>
      </c>
      <c r="P11" s="19">
        <v>0</v>
      </c>
      <c r="Q11" s="29" t="s">
        <v>440</v>
      </c>
    </row>
    <row r="12" spans="1:19" s="6" customFormat="1" ht="9">
      <c r="A12" s="143" t="s">
        <v>357</v>
      </c>
      <c r="B12" s="44">
        <v>12</v>
      </c>
      <c r="C12" s="18"/>
      <c r="D12" s="39">
        <v>0</v>
      </c>
      <c r="E12" s="39">
        <f>'Testing Costs'!$B$13</f>
        <v>5000</v>
      </c>
      <c r="F12" s="39">
        <v>0</v>
      </c>
      <c r="G12" s="18">
        <v>1</v>
      </c>
      <c r="H12" s="18">
        <f t="shared" ref="H12:H17" si="0">B12*G12</f>
        <v>12</v>
      </c>
      <c r="I12" s="51">
        <v>0</v>
      </c>
      <c r="J12" s="19">
        <f t="shared" ref="J12:J24" si="1">H12*I12</f>
        <v>0</v>
      </c>
      <c r="K12" s="19">
        <f t="shared" ref="K12:K23" si="2">J12*0.1</f>
        <v>0</v>
      </c>
      <c r="L12" s="19">
        <f t="shared" ref="L12:L24" si="3">J12*0.05</f>
        <v>0</v>
      </c>
      <c r="M12" s="46"/>
      <c r="N12" s="39">
        <f>(J12*'Base Data'!$C$5)+(K12*'Base Data'!$C$6)+(L12*'Base Data'!$C$7)</f>
        <v>0</v>
      </c>
      <c r="O12" s="39">
        <f t="shared" ref="O12:O17" si="4">(D12+E12+F12)*G12*I12</f>
        <v>0</v>
      </c>
      <c r="P12" s="19">
        <v>0</v>
      </c>
      <c r="Q12" s="29" t="s">
        <v>91</v>
      </c>
    </row>
    <row r="13" spans="1:19" s="6" customFormat="1" ht="9">
      <c r="A13" s="143" t="s">
        <v>358</v>
      </c>
      <c r="B13" s="44">
        <v>12</v>
      </c>
      <c r="C13" s="18"/>
      <c r="D13" s="39">
        <v>0</v>
      </c>
      <c r="E13" s="39">
        <f>'Testing Costs'!$B$17</f>
        <v>8000</v>
      </c>
      <c r="F13" s="39">
        <v>0</v>
      </c>
      <c r="G13" s="18">
        <v>1</v>
      </c>
      <c r="H13" s="18">
        <f t="shared" si="0"/>
        <v>12</v>
      </c>
      <c r="I13" s="51">
        <v>0</v>
      </c>
      <c r="J13" s="19">
        <f t="shared" si="1"/>
        <v>0</v>
      </c>
      <c r="K13" s="19">
        <f t="shared" si="2"/>
        <v>0</v>
      </c>
      <c r="L13" s="19">
        <f t="shared" si="3"/>
        <v>0</v>
      </c>
      <c r="M13" s="46"/>
      <c r="N13" s="39">
        <f>(J13*'Base Data'!$C$5)+(K13*'Base Data'!$C$6)+(L13*'Base Data'!$C$7)</f>
        <v>0</v>
      </c>
      <c r="O13" s="39">
        <f t="shared" si="4"/>
        <v>0</v>
      </c>
      <c r="P13" s="19">
        <v>0</v>
      </c>
      <c r="Q13" s="29" t="s">
        <v>388</v>
      </c>
    </row>
    <row r="14" spans="1:19" s="6" customFormat="1" ht="9">
      <c r="A14" s="143" t="s">
        <v>359</v>
      </c>
      <c r="B14" s="44">
        <v>12</v>
      </c>
      <c r="C14" s="18"/>
      <c r="D14" s="39">
        <v>0</v>
      </c>
      <c r="E14" s="39">
        <f>'Testing Costs'!$B$15</f>
        <v>8000</v>
      </c>
      <c r="F14" s="39">
        <v>0</v>
      </c>
      <c r="G14" s="18">
        <v>1</v>
      </c>
      <c r="H14" s="18">
        <f t="shared" si="0"/>
        <v>12</v>
      </c>
      <c r="I14" s="51">
        <v>0</v>
      </c>
      <c r="J14" s="19">
        <f t="shared" si="1"/>
        <v>0</v>
      </c>
      <c r="K14" s="19">
        <f t="shared" si="2"/>
        <v>0</v>
      </c>
      <c r="L14" s="19">
        <f t="shared" si="3"/>
        <v>0</v>
      </c>
      <c r="M14" s="46"/>
      <c r="N14" s="39">
        <f>(J14*'Base Data'!$C$5)+(K14*'Base Data'!$C$6)+(L14*'Base Data'!$C$7)</f>
        <v>0</v>
      </c>
      <c r="O14" s="39">
        <f t="shared" si="4"/>
        <v>0</v>
      </c>
      <c r="P14" s="19">
        <v>0</v>
      </c>
      <c r="Q14" s="29" t="s">
        <v>388</v>
      </c>
    </row>
    <row r="15" spans="1:19" s="6" customFormat="1" ht="9">
      <c r="A15" s="143" t="s">
        <v>198</v>
      </c>
      <c r="B15" s="44">
        <v>12</v>
      </c>
      <c r="C15" s="18"/>
      <c r="D15" s="39">
        <v>0</v>
      </c>
      <c r="E15" s="39">
        <f>'Testing Costs'!$B$14</f>
        <v>7000</v>
      </c>
      <c r="F15" s="39">
        <v>0</v>
      </c>
      <c r="G15" s="18">
        <v>1</v>
      </c>
      <c r="H15" s="18">
        <f t="shared" si="0"/>
        <v>12</v>
      </c>
      <c r="I15" s="51">
        <v>0</v>
      </c>
      <c r="J15" s="19">
        <f t="shared" si="1"/>
        <v>0</v>
      </c>
      <c r="K15" s="19">
        <f t="shared" si="2"/>
        <v>0</v>
      </c>
      <c r="L15" s="19">
        <f t="shared" si="3"/>
        <v>0</v>
      </c>
      <c r="M15" s="46"/>
      <c r="N15" s="39">
        <f>(J15*'Base Data'!$C$5)+(K15*'Base Data'!$C$6)+(L15*'Base Data'!$C$7)</f>
        <v>0</v>
      </c>
      <c r="O15" s="39">
        <f t="shared" si="4"/>
        <v>0</v>
      </c>
      <c r="P15" s="19">
        <v>0</v>
      </c>
      <c r="Q15" s="29" t="s">
        <v>388</v>
      </c>
    </row>
    <row r="16" spans="1:19" s="6" customFormat="1" ht="9">
      <c r="A16" s="143" t="s">
        <v>365</v>
      </c>
      <c r="B16" s="44">
        <v>12</v>
      </c>
      <c r="C16" s="18"/>
      <c r="D16" s="39">
        <v>0</v>
      </c>
      <c r="E16" s="39">
        <f>'Testing Costs'!$B$16</f>
        <v>16000</v>
      </c>
      <c r="F16" s="39">
        <v>0</v>
      </c>
      <c r="G16" s="18">
        <v>1</v>
      </c>
      <c r="H16" s="18">
        <f t="shared" si="0"/>
        <v>12</v>
      </c>
      <c r="I16" s="51">
        <v>0</v>
      </c>
      <c r="J16" s="19">
        <f t="shared" si="1"/>
        <v>0</v>
      </c>
      <c r="K16" s="19">
        <f t="shared" si="2"/>
        <v>0</v>
      </c>
      <c r="L16" s="19">
        <f t="shared" si="3"/>
        <v>0</v>
      </c>
      <c r="M16" s="46"/>
      <c r="N16" s="39">
        <f>(J16*'Base Data'!$C$5)+(K16*'Base Data'!$C$6)+(L16*'Base Data'!$C$7)</f>
        <v>0</v>
      </c>
      <c r="O16" s="39">
        <f t="shared" si="4"/>
        <v>0</v>
      </c>
      <c r="P16" s="19">
        <v>0</v>
      </c>
      <c r="Q16" s="29" t="s">
        <v>388</v>
      </c>
    </row>
    <row r="17" spans="1:17" s="6" customFormat="1" ht="9" customHeight="1">
      <c r="A17" s="143" t="s">
        <v>264</v>
      </c>
      <c r="B17" s="44">
        <v>12</v>
      </c>
      <c r="C17" s="18"/>
      <c r="D17" s="39">
        <v>0</v>
      </c>
      <c r="E17" s="39">
        <f>'Testing Costs'!$B$13</f>
        <v>5000</v>
      </c>
      <c r="F17" s="39">
        <v>0</v>
      </c>
      <c r="G17" s="18">
        <v>1</v>
      </c>
      <c r="H17" s="18">
        <f t="shared" si="0"/>
        <v>12</v>
      </c>
      <c r="I17" s="51">
        <v>0</v>
      </c>
      <c r="J17" s="19">
        <f t="shared" si="1"/>
        <v>0</v>
      </c>
      <c r="K17" s="19">
        <f t="shared" si="2"/>
        <v>0</v>
      </c>
      <c r="L17" s="19">
        <f t="shared" si="3"/>
        <v>0</v>
      </c>
      <c r="M17" s="46"/>
      <c r="N17" s="39">
        <f>(J17*'Base Data'!$C$5)+(K17*'Base Data'!$C$6)+(L17*'Base Data'!$C$7)</f>
        <v>0</v>
      </c>
      <c r="O17" s="39">
        <f t="shared" si="4"/>
        <v>0</v>
      </c>
      <c r="P17" s="19">
        <v>0</v>
      </c>
      <c r="Q17" s="29" t="s">
        <v>368</v>
      </c>
    </row>
    <row r="18" spans="1:17" s="6" customFormat="1" ht="9">
      <c r="A18" s="143" t="s">
        <v>265</v>
      </c>
      <c r="B18" s="44">
        <v>12</v>
      </c>
      <c r="C18" s="18"/>
      <c r="D18" s="39">
        <v>0</v>
      </c>
      <c r="E18" s="39">
        <f>'Testing Costs'!$B$17</f>
        <v>8000</v>
      </c>
      <c r="F18" s="39">
        <v>0</v>
      </c>
      <c r="G18" s="18">
        <v>1</v>
      </c>
      <c r="H18" s="18">
        <f t="shared" ref="H18:H35" si="5">B18*G18</f>
        <v>12</v>
      </c>
      <c r="I18" s="51">
        <v>0</v>
      </c>
      <c r="J18" s="19">
        <f t="shared" si="1"/>
        <v>0</v>
      </c>
      <c r="K18" s="19">
        <f t="shared" si="2"/>
        <v>0</v>
      </c>
      <c r="L18" s="19">
        <f t="shared" si="3"/>
        <v>0</v>
      </c>
      <c r="M18" s="46"/>
      <c r="N18" s="39">
        <f>(J18*'Base Data'!$C$5)+(K18*'Base Data'!$C$6)+(L18*'Base Data'!$C$7)</f>
        <v>0</v>
      </c>
      <c r="O18" s="39">
        <f t="shared" ref="O18:O24" si="6">(D18+E18+F18)*G18*I18</f>
        <v>0</v>
      </c>
      <c r="P18" s="19">
        <v>0</v>
      </c>
      <c r="Q18" s="29" t="s">
        <v>368</v>
      </c>
    </row>
    <row r="19" spans="1:17" s="6" customFormat="1" ht="9">
      <c r="A19" s="143" t="s">
        <v>266</v>
      </c>
      <c r="B19" s="44">
        <v>12</v>
      </c>
      <c r="C19" s="18"/>
      <c r="D19" s="39">
        <v>0</v>
      </c>
      <c r="E19" s="39">
        <f>'Testing Costs'!$B$15</f>
        <v>8000</v>
      </c>
      <c r="F19" s="39">
        <v>0</v>
      </c>
      <c r="G19" s="18">
        <v>1</v>
      </c>
      <c r="H19" s="18">
        <f t="shared" si="5"/>
        <v>12</v>
      </c>
      <c r="I19" s="51">
        <v>0</v>
      </c>
      <c r="J19" s="19">
        <f t="shared" si="1"/>
        <v>0</v>
      </c>
      <c r="K19" s="19">
        <f t="shared" si="2"/>
        <v>0</v>
      </c>
      <c r="L19" s="19">
        <f t="shared" si="3"/>
        <v>0</v>
      </c>
      <c r="M19" s="46"/>
      <c r="N19" s="39">
        <f>(J19*'Base Data'!$C$5)+(K19*'Base Data'!$C$6)+(L19*'Base Data'!$C$7)</f>
        <v>0</v>
      </c>
      <c r="O19" s="39">
        <f t="shared" si="6"/>
        <v>0</v>
      </c>
      <c r="P19" s="19">
        <v>0</v>
      </c>
      <c r="Q19" s="29" t="s">
        <v>368</v>
      </c>
    </row>
    <row r="20" spans="1:17" s="6" customFormat="1" ht="9">
      <c r="A20" s="143" t="s">
        <v>199</v>
      </c>
      <c r="B20" s="44">
        <v>12</v>
      </c>
      <c r="C20" s="18"/>
      <c r="D20" s="39">
        <v>0</v>
      </c>
      <c r="E20" s="39">
        <f>'Testing Costs'!$B$14</f>
        <v>7000</v>
      </c>
      <c r="F20" s="39">
        <v>0</v>
      </c>
      <c r="G20" s="18">
        <v>1</v>
      </c>
      <c r="H20" s="18">
        <f t="shared" si="5"/>
        <v>12</v>
      </c>
      <c r="I20" s="51">
        <v>0</v>
      </c>
      <c r="J20" s="19">
        <f t="shared" si="1"/>
        <v>0</v>
      </c>
      <c r="K20" s="19">
        <f t="shared" si="2"/>
        <v>0</v>
      </c>
      <c r="L20" s="19">
        <f t="shared" si="3"/>
        <v>0</v>
      </c>
      <c r="M20" s="46"/>
      <c r="N20" s="39">
        <f>(J20*'Base Data'!$C$5)+(K20*'Base Data'!$C$6)+(L20*'Base Data'!$C$7)</f>
        <v>0</v>
      </c>
      <c r="O20" s="39">
        <f t="shared" si="6"/>
        <v>0</v>
      </c>
      <c r="P20" s="19">
        <v>0</v>
      </c>
      <c r="Q20" s="29" t="s">
        <v>368</v>
      </c>
    </row>
    <row r="21" spans="1:17" s="6" customFormat="1" ht="9">
      <c r="A21" s="143" t="s">
        <v>267</v>
      </c>
      <c r="B21" s="44">
        <v>12</v>
      </c>
      <c r="C21" s="18"/>
      <c r="D21" s="39">
        <v>0</v>
      </c>
      <c r="E21" s="39">
        <f>'Testing Costs'!$B$16</f>
        <v>16000</v>
      </c>
      <c r="F21" s="39">
        <v>0</v>
      </c>
      <c r="G21" s="18">
        <v>1</v>
      </c>
      <c r="H21" s="18">
        <f t="shared" si="5"/>
        <v>12</v>
      </c>
      <c r="I21" s="51">
        <v>0</v>
      </c>
      <c r="J21" s="19">
        <f t="shared" si="1"/>
        <v>0</v>
      </c>
      <c r="K21" s="19">
        <f t="shared" si="2"/>
        <v>0</v>
      </c>
      <c r="L21" s="19">
        <f t="shared" si="3"/>
        <v>0</v>
      </c>
      <c r="M21" s="46"/>
      <c r="N21" s="39">
        <f>(J21*'Base Data'!$C$5)+(K21*'Base Data'!$C$6)+(L21*'Base Data'!$C$7)</f>
        <v>0</v>
      </c>
      <c r="O21" s="39">
        <f t="shared" si="6"/>
        <v>0</v>
      </c>
      <c r="P21" s="19">
        <v>0</v>
      </c>
      <c r="Q21" s="29" t="s">
        <v>368</v>
      </c>
    </row>
    <row r="22" spans="1:17" s="6" customFormat="1" ht="18">
      <c r="A22" s="332" t="s">
        <v>481</v>
      </c>
      <c r="B22" s="44">
        <v>24</v>
      </c>
      <c r="C22" s="331"/>
      <c r="D22" s="52">
        <v>0</v>
      </c>
      <c r="E22" s="52">
        <f>$E$13+$E$14</f>
        <v>16000</v>
      </c>
      <c r="F22" s="39">
        <v>0</v>
      </c>
      <c r="G22" s="18">
        <v>1</v>
      </c>
      <c r="H22" s="18">
        <f t="shared" si="5"/>
        <v>24</v>
      </c>
      <c r="I22" s="91">
        <v>0</v>
      </c>
      <c r="J22" s="19">
        <f t="shared" ref="J22" si="7">H22*I22</f>
        <v>0</v>
      </c>
      <c r="K22" s="19">
        <f t="shared" ref="K22" si="8">J22*0.1</f>
        <v>0</v>
      </c>
      <c r="L22" s="19">
        <f t="shared" ref="L22" si="9">J22*0.05</f>
        <v>0</v>
      </c>
      <c r="M22" s="46"/>
      <c r="N22" s="39">
        <f>(J22*'Base Data'!$C$5)+(K22*'Base Data'!$C$6)+(L22*'Base Data'!$C$7)</f>
        <v>0</v>
      </c>
      <c r="O22" s="39">
        <f t="shared" ref="O22" si="10">(D22+E22+F22)*G22*I22</f>
        <v>0</v>
      </c>
      <c r="P22" s="19">
        <v>0</v>
      </c>
      <c r="Q22" s="29" t="s">
        <v>372</v>
      </c>
    </row>
    <row r="23" spans="1:17" s="6" customFormat="1" ht="9" customHeight="1">
      <c r="A23" s="143" t="s">
        <v>483</v>
      </c>
      <c r="B23" s="44">
        <v>5</v>
      </c>
      <c r="C23" s="18"/>
      <c r="D23" s="39">
        <v>0</v>
      </c>
      <c r="E23" s="39">
        <v>400</v>
      </c>
      <c r="F23" s="39">
        <v>0</v>
      </c>
      <c r="G23" s="18">
        <v>1</v>
      </c>
      <c r="H23" s="18">
        <f t="shared" si="5"/>
        <v>5</v>
      </c>
      <c r="I23" s="51">
        <v>0</v>
      </c>
      <c r="J23" s="19">
        <f t="shared" si="1"/>
        <v>0</v>
      </c>
      <c r="K23" s="19">
        <f t="shared" si="2"/>
        <v>0</v>
      </c>
      <c r="L23" s="19">
        <f t="shared" si="3"/>
        <v>0</v>
      </c>
      <c r="M23" s="46"/>
      <c r="N23" s="39">
        <f>(J23*'Base Data'!$C$5)+(K23*'Base Data'!$C$6)+(L23*'Base Data'!$C$7)</f>
        <v>0</v>
      </c>
      <c r="O23" s="39">
        <f t="shared" si="6"/>
        <v>0</v>
      </c>
      <c r="P23" s="19">
        <v>0</v>
      </c>
      <c r="Q23" s="29" t="s">
        <v>90</v>
      </c>
    </row>
    <row r="24" spans="1:17" s="6" customFormat="1" ht="9" customHeight="1">
      <c r="A24" s="143" t="s">
        <v>484</v>
      </c>
      <c r="B24" s="44">
        <v>5</v>
      </c>
      <c r="C24" s="18"/>
      <c r="D24" s="39">
        <v>0</v>
      </c>
      <c r="E24" s="39">
        <v>400</v>
      </c>
      <c r="F24" s="39">
        <v>0</v>
      </c>
      <c r="G24" s="18">
        <v>12</v>
      </c>
      <c r="H24" s="18">
        <f t="shared" si="5"/>
        <v>60</v>
      </c>
      <c r="I24" s="51">
        <v>0</v>
      </c>
      <c r="J24" s="19">
        <f t="shared" si="1"/>
        <v>0</v>
      </c>
      <c r="K24" s="19">
        <f t="shared" ref="K24:K38" si="11">J24*0.1</f>
        <v>0</v>
      </c>
      <c r="L24" s="19">
        <f t="shared" si="3"/>
        <v>0</v>
      </c>
      <c r="M24" s="46"/>
      <c r="N24" s="39">
        <f>(J24*'Base Data'!$C$5)+(K24*'Base Data'!$C$6)+(L24*'Base Data'!$C$7)</f>
        <v>0</v>
      </c>
      <c r="O24" s="39">
        <f t="shared" si="6"/>
        <v>0</v>
      </c>
      <c r="P24" s="19">
        <v>0</v>
      </c>
      <c r="Q24" s="29" t="s">
        <v>90</v>
      </c>
    </row>
    <row r="25" spans="1:17" s="6" customFormat="1" ht="9">
      <c r="A25" s="143" t="s">
        <v>485</v>
      </c>
      <c r="B25" s="44"/>
      <c r="C25" s="18"/>
      <c r="D25" s="39"/>
      <c r="E25" s="39"/>
      <c r="F25" s="39"/>
      <c r="G25" s="18"/>
      <c r="H25" s="18"/>
      <c r="I25" s="19"/>
      <c r="J25" s="19"/>
      <c r="K25" s="19"/>
      <c r="L25" s="19"/>
      <c r="M25" s="46"/>
      <c r="N25" s="39"/>
      <c r="O25" s="39"/>
      <c r="P25" s="19"/>
      <c r="Q25" s="29"/>
    </row>
    <row r="26" spans="1:17" s="6" customFormat="1" ht="9">
      <c r="A26" s="143" t="s">
        <v>432</v>
      </c>
      <c r="B26" s="44">
        <v>40</v>
      </c>
      <c r="C26" s="18"/>
      <c r="D26" s="39">
        <v>0</v>
      </c>
      <c r="E26" s="39"/>
      <c r="F26" s="39">
        <v>0</v>
      </c>
      <c r="G26" s="18">
        <v>1</v>
      </c>
      <c r="H26" s="18">
        <f t="shared" si="5"/>
        <v>40</v>
      </c>
      <c r="I26" s="51">
        <v>0</v>
      </c>
      <c r="J26" s="19">
        <f t="shared" ref="J26:J35" si="12">H26*I26</f>
        <v>0</v>
      </c>
      <c r="K26" s="19">
        <f t="shared" si="11"/>
        <v>0</v>
      </c>
      <c r="L26" s="19">
        <f t="shared" ref="L26:L35" si="13">J26*0.05</f>
        <v>0</v>
      </c>
      <c r="M26" s="46"/>
      <c r="N26" s="39">
        <f>(J26*'Base Data'!$C$5)+(K26*'Base Data'!$C$6)+(L26*'Base Data'!$C$7)</f>
        <v>0</v>
      </c>
      <c r="O26" s="39">
        <f>(D26+E26+F26)*G26*I26</f>
        <v>0</v>
      </c>
      <c r="P26" s="19">
        <v>0</v>
      </c>
      <c r="Q26" s="29" t="s">
        <v>388</v>
      </c>
    </row>
    <row r="27" spans="1:17" s="6" customFormat="1" ht="9">
      <c r="A27" s="142" t="s">
        <v>410</v>
      </c>
      <c r="B27" s="44"/>
      <c r="C27" s="18"/>
      <c r="D27" s="39"/>
      <c r="E27" s="39"/>
      <c r="F27" s="39"/>
      <c r="G27" s="18"/>
      <c r="H27" s="18"/>
      <c r="I27" s="19"/>
      <c r="J27" s="19"/>
      <c r="K27" s="19"/>
      <c r="L27" s="19"/>
      <c r="M27" s="46"/>
      <c r="N27" s="39"/>
      <c r="O27" s="39"/>
      <c r="P27" s="19"/>
      <c r="Q27" s="29"/>
    </row>
    <row r="28" spans="1:17" s="6" customFormat="1" ht="9">
      <c r="A28" s="142" t="s">
        <v>411</v>
      </c>
      <c r="B28" s="44">
        <v>10</v>
      </c>
      <c r="C28" s="18"/>
      <c r="D28" s="39">
        <v>0</v>
      </c>
      <c r="E28" s="39">
        <v>0</v>
      </c>
      <c r="F28" s="39">
        <v>43100</v>
      </c>
      <c r="G28" s="18">
        <v>1</v>
      </c>
      <c r="H28" s="18">
        <f t="shared" si="5"/>
        <v>10</v>
      </c>
      <c r="I28" s="51">
        <v>0</v>
      </c>
      <c r="J28" s="19">
        <f t="shared" si="12"/>
        <v>0</v>
      </c>
      <c r="K28" s="19">
        <f t="shared" si="11"/>
        <v>0</v>
      </c>
      <c r="L28" s="19">
        <f t="shared" si="13"/>
        <v>0</v>
      </c>
      <c r="M28" s="46"/>
      <c r="N28" s="39">
        <f>(J28*'Base Data'!$C$5)+(K28*'Base Data'!$C$6)+(L28*'Base Data'!$C$7)</f>
        <v>0</v>
      </c>
      <c r="O28" s="39">
        <f>(D28+E28+F28)*G28*I28</f>
        <v>0</v>
      </c>
      <c r="P28" s="19">
        <v>0</v>
      </c>
      <c r="Q28" s="29" t="s">
        <v>388</v>
      </c>
    </row>
    <row r="29" spans="1:17" s="6" customFormat="1" ht="9">
      <c r="A29" s="142" t="s">
        <v>414</v>
      </c>
      <c r="B29" s="44">
        <v>10</v>
      </c>
      <c r="C29" s="18"/>
      <c r="D29" s="39">
        <v>0</v>
      </c>
      <c r="E29" s="39">
        <v>0</v>
      </c>
      <c r="F29" s="39">
        <v>14700</v>
      </c>
      <c r="G29" s="18">
        <v>1</v>
      </c>
      <c r="H29" s="18">
        <f t="shared" si="5"/>
        <v>10</v>
      </c>
      <c r="I29" s="51">
        <v>0</v>
      </c>
      <c r="J29" s="19">
        <f t="shared" si="12"/>
        <v>0</v>
      </c>
      <c r="K29" s="19">
        <f t="shared" si="11"/>
        <v>0</v>
      </c>
      <c r="L29" s="19">
        <f t="shared" si="13"/>
        <v>0</v>
      </c>
      <c r="M29" s="46"/>
      <c r="N29" s="39">
        <f>(J29*'Base Data'!$C$5)+(K29*'Base Data'!$C$6)+(L29*'Base Data'!$C$7)</f>
        <v>0</v>
      </c>
      <c r="O29" s="39">
        <f>(D29+E29+F29)*G29*I29</f>
        <v>0</v>
      </c>
      <c r="P29" s="19">
        <v>0</v>
      </c>
      <c r="Q29" s="29" t="s">
        <v>388</v>
      </c>
    </row>
    <row r="30" spans="1:17" s="6" customFormat="1" ht="9">
      <c r="A30" s="142" t="s">
        <v>356</v>
      </c>
      <c r="B30" s="44"/>
      <c r="C30" s="18"/>
      <c r="D30" s="39"/>
      <c r="E30" s="39"/>
      <c r="F30" s="39"/>
      <c r="G30" s="18"/>
      <c r="H30" s="18"/>
      <c r="I30" s="19"/>
      <c r="J30" s="19"/>
      <c r="K30" s="19"/>
      <c r="L30" s="19"/>
      <c r="M30" s="46"/>
      <c r="N30" s="39"/>
      <c r="O30" s="39"/>
      <c r="P30" s="19"/>
      <c r="Q30" s="29"/>
    </row>
    <row r="31" spans="1:17" s="6" customFormat="1" ht="9">
      <c r="A31" s="142" t="s">
        <v>411</v>
      </c>
      <c r="B31" s="44">
        <v>10</v>
      </c>
      <c r="C31" s="18"/>
      <c r="D31" s="39">
        <v>0</v>
      </c>
      <c r="E31" s="39">
        <v>0</v>
      </c>
      <c r="F31" s="39">
        <v>158000</v>
      </c>
      <c r="G31" s="18">
        <v>1</v>
      </c>
      <c r="H31" s="18">
        <f t="shared" si="5"/>
        <v>10</v>
      </c>
      <c r="I31" s="51">
        <v>0</v>
      </c>
      <c r="J31" s="19">
        <f t="shared" si="12"/>
        <v>0</v>
      </c>
      <c r="K31" s="19">
        <f t="shared" si="11"/>
        <v>0</v>
      </c>
      <c r="L31" s="19">
        <f t="shared" si="13"/>
        <v>0</v>
      </c>
      <c r="M31" s="46"/>
      <c r="N31" s="39">
        <f>(J31*'Base Data'!$C$5)+(K31*'Base Data'!$C$6)+(L31*'Base Data'!$C$7)</f>
        <v>0</v>
      </c>
      <c r="O31" s="39">
        <f>(D31+E31+F31)*G31*I31</f>
        <v>0</v>
      </c>
      <c r="P31" s="19">
        <v>0</v>
      </c>
      <c r="Q31" s="29" t="s">
        <v>388</v>
      </c>
    </row>
    <row r="32" spans="1:17" s="6" customFormat="1" ht="9">
      <c r="A32" s="142" t="s">
        <v>414</v>
      </c>
      <c r="B32" s="44">
        <v>10</v>
      </c>
      <c r="C32" s="18"/>
      <c r="D32" s="39">
        <v>0</v>
      </c>
      <c r="E32" s="39">
        <v>0</v>
      </c>
      <c r="F32" s="39">
        <v>56100</v>
      </c>
      <c r="G32" s="18">
        <v>1</v>
      </c>
      <c r="H32" s="18">
        <f t="shared" si="5"/>
        <v>10</v>
      </c>
      <c r="I32" s="51">
        <v>0</v>
      </c>
      <c r="J32" s="19">
        <f t="shared" si="12"/>
        <v>0</v>
      </c>
      <c r="K32" s="19">
        <f t="shared" si="11"/>
        <v>0</v>
      </c>
      <c r="L32" s="19">
        <f t="shared" si="13"/>
        <v>0</v>
      </c>
      <c r="M32" s="46"/>
      <c r="N32" s="39">
        <f>(J32*'Base Data'!$C$5)+(K32*'Base Data'!$C$6)+(L32*'Base Data'!$C$7)</f>
        <v>0</v>
      </c>
      <c r="O32" s="39">
        <f>(D32+E32+F32)*G32*I32</f>
        <v>0</v>
      </c>
      <c r="P32" s="19">
        <v>0</v>
      </c>
      <c r="Q32" s="29" t="s">
        <v>388</v>
      </c>
    </row>
    <row r="33" spans="1:17" s="6" customFormat="1" ht="9">
      <c r="A33" s="142" t="s">
        <v>522</v>
      </c>
      <c r="B33" s="44"/>
      <c r="C33" s="44"/>
      <c r="D33" s="52"/>
      <c r="E33" s="52"/>
      <c r="F33" s="52"/>
      <c r="G33" s="44"/>
      <c r="H33" s="44"/>
      <c r="I33" s="91"/>
      <c r="J33" s="19"/>
      <c r="K33" s="19"/>
      <c r="L33" s="19"/>
      <c r="M33" s="46"/>
      <c r="N33" s="39"/>
      <c r="O33" s="39"/>
      <c r="P33" s="19"/>
      <c r="Q33" s="29"/>
    </row>
    <row r="34" spans="1:17" s="6" customFormat="1" ht="9">
      <c r="A34" s="142" t="s">
        <v>411</v>
      </c>
      <c r="B34" s="44">
        <v>10</v>
      </c>
      <c r="C34" s="44"/>
      <c r="D34" s="52">
        <v>0</v>
      </c>
      <c r="E34" s="52">
        <v>0</v>
      </c>
      <c r="F34" s="52">
        <f>Monitors!$F$32</f>
        <v>8523</v>
      </c>
      <c r="G34" s="44">
        <v>1</v>
      </c>
      <c r="H34" s="44">
        <f t="shared" si="5"/>
        <v>10</v>
      </c>
      <c r="I34" s="91">
        <v>0</v>
      </c>
      <c r="J34" s="19">
        <f t="shared" si="12"/>
        <v>0</v>
      </c>
      <c r="K34" s="19">
        <f t="shared" si="11"/>
        <v>0</v>
      </c>
      <c r="L34" s="19">
        <f t="shared" si="13"/>
        <v>0</v>
      </c>
      <c r="M34" s="46"/>
      <c r="N34" s="39">
        <f>(J34*'Base Data'!$C$5)+(K34*'Base Data'!$C$6)+(L34*'Base Data'!$C$7)</f>
        <v>0</v>
      </c>
      <c r="O34" s="39">
        <f>(D34+E34+F34)*G34*I34</f>
        <v>0</v>
      </c>
      <c r="P34" s="19">
        <v>0</v>
      </c>
      <c r="Q34" s="29" t="s">
        <v>388</v>
      </c>
    </row>
    <row r="35" spans="1:17" s="6" customFormat="1" ht="9">
      <c r="A35" s="142" t="s">
        <v>414</v>
      </c>
      <c r="B35" s="44">
        <v>10</v>
      </c>
      <c r="C35" s="44"/>
      <c r="D35" s="52">
        <v>0</v>
      </c>
      <c r="E35" s="52">
        <v>0</v>
      </c>
      <c r="F35" s="52">
        <f>Monitors!$G$32</f>
        <v>1436</v>
      </c>
      <c r="G35" s="44">
        <v>1</v>
      </c>
      <c r="H35" s="44">
        <f t="shared" si="5"/>
        <v>10</v>
      </c>
      <c r="I35" s="91">
        <v>0</v>
      </c>
      <c r="J35" s="19">
        <f t="shared" si="12"/>
        <v>0</v>
      </c>
      <c r="K35" s="19">
        <f t="shared" si="11"/>
        <v>0</v>
      </c>
      <c r="L35" s="19">
        <f t="shared" si="13"/>
        <v>0</v>
      </c>
      <c r="M35" s="46"/>
      <c r="N35" s="39">
        <f>(J35*'Base Data'!$C$5)+(K35*'Base Data'!$C$6)+(L35*'Base Data'!$C$7)</f>
        <v>0</v>
      </c>
      <c r="O35" s="39">
        <f>(D35+E35+F35)*G35*I35</f>
        <v>0</v>
      </c>
      <c r="P35" s="19">
        <v>0</v>
      </c>
      <c r="Q35" s="29" t="s">
        <v>388</v>
      </c>
    </row>
    <row r="36" spans="1:17" s="6" customFormat="1" ht="18">
      <c r="A36" s="176" t="s">
        <v>177</v>
      </c>
      <c r="B36" s="44"/>
      <c r="C36" s="18"/>
      <c r="D36" s="39"/>
      <c r="E36" s="39"/>
      <c r="F36" s="59"/>
      <c r="G36" s="18"/>
      <c r="H36" s="18"/>
      <c r="I36" s="51"/>
      <c r="J36" s="19"/>
      <c r="K36" s="19"/>
      <c r="L36" s="19"/>
      <c r="M36" s="46"/>
      <c r="N36" s="39"/>
      <c r="O36" s="39"/>
      <c r="P36" s="19"/>
      <c r="Q36" s="29"/>
    </row>
    <row r="37" spans="1:17" s="6" customFormat="1" ht="9">
      <c r="A37" s="142" t="s">
        <v>411</v>
      </c>
      <c r="B37" s="44">
        <v>10</v>
      </c>
      <c r="C37" s="18"/>
      <c r="D37" s="39">
        <v>0</v>
      </c>
      <c r="E37" s="39">
        <v>0</v>
      </c>
      <c r="F37" s="39">
        <v>24300</v>
      </c>
      <c r="G37" s="18">
        <v>1</v>
      </c>
      <c r="H37" s="18">
        <f>B37*G37</f>
        <v>10</v>
      </c>
      <c r="I37" s="51">
        <v>0</v>
      </c>
      <c r="J37" s="19">
        <f>H37*I37</f>
        <v>0</v>
      </c>
      <c r="K37" s="19">
        <f t="shared" si="11"/>
        <v>0</v>
      </c>
      <c r="L37" s="19">
        <f>J37*0.05</f>
        <v>0</v>
      </c>
      <c r="M37" s="46"/>
      <c r="N37" s="39">
        <f>(J37*'Base Data'!$C$5)+(K37*'Base Data'!$C$6)+(L37*'Base Data'!$C$7)</f>
        <v>0</v>
      </c>
      <c r="O37" s="39">
        <f>(D37+E37+F37)*G37*I37</f>
        <v>0</v>
      </c>
      <c r="P37" s="19">
        <v>0</v>
      </c>
      <c r="Q37" s="29" t="s">
        <v>388</v>
      </c>
    </row>
    <row r="38" spans="1:17" s="6" customFormat="1" ht="9">
      <c r="A38" s="142" t="s">
        <v>414</v>
      </c>
      <c r="B38" s="44">
        <v>10</v>
      </c>
      <c r="C38" s="18"/>
      <c r="D38" s="39">
        <v>0</v>
      </c>
      <c r="E38" s="39">
        <v>0</v>
      </c>
      <c r="F38" s="39">
        <v>5600</v>
      </c>
      <c r="G38" s="18">
        <v>1</v>
      </c>
      <c r="H38" s="18">
        <f>B38*G38</f>
        <v>10</v>
      </c>
      <c r="I38" s="51">
        <v>0</v>
      </c>
      <c r="J38" s="19">
        <f>H38*I38</f>
        <v>0</v>
      </c>
      <c r="K38" s="19">
        <f t="shared" si="11"/>
        <v>0</v>
      </c>
      <c r="L38" s="19">
        <f>J38*0.05</f>
        <v>0</v>
      </c>
      <c r="M38" s="46"/>
      <c r="N38" s="39">
        <f>(J38*'Base Data'!$C$5)+(K38*'Base Data'!$C$6)+(L38*'Base Data'!$C$7)</f>
        <v>0</v>
      </c>
      <c r="O38" s="39">
        <f>(D38+E38+F38)*G38*I38</f>
        <v>0</v>
      </c>
      <c r="P38" s="19">
        <v>0</v>
      </c>
      <c r="Q38" s="29" t="s">
        <v>388</v>
      </c>
    </row>
    <row r="39" spans="1:17" s="6" customFormat="1" ht="18">
      <c r="A39" s="143" t="s">
        <v>475</v>
      </c>
      <c r="B39" s="238"/>
      <c r="C39" s="243"/>
      <c r="D39" s="243"/>
      <c r="E39" s="243"/>
      <c r="F39" s="39"/>
      <c r="G39" s="243"/>
      <c r="H39" s="243"/>
      <c r="I39" s="243"/>
      <c r="J39" s="243"/>
      <c r="K39" s="243"/>
      <c r="L39" s="243"/>
      <c r="M39" s="243"/>
      <c r="N39" s="243"/>
      <c r="O39" s="243"/>
      <c r="P39" s="19"/>
      <c r="Q39" s="244"/>
    </row>
    <row r="40" spans="1:17" s="6" customFormat="1" ht="9">
      <c r="A40" s="142" t="s">
        <v>411</v>
      </c>
      <c r="B40" s="44">
        <v>10</v>
      </c>
      <c r="C40" s="84"/>
      <c r="D40" s="52">
        <v>0</v>
      </c>
      <c r="E40" s="52">
        <v>0</v>
      </c>
      <c r="F40" s="52">
        <f>25500</f>
        <v>25500</v>
      </c>
      <c r="G40" s="44">
        <v>1</v>
      </c>
      <c r="H40" s="44">
        <f>B40*G40</f>
        <v>10</v>
      </c>
      <c r="I40" s="91">
        <v>0</v>
      </c>
      <c r="J40" s="92">
        <f>H40*I40</f>
        <v>0</v>
      </c>
      <c r="K40" s="92">
        <f>J40*0.1</f>
        <v>0</v>
      </c>
      <c r="L40" s="92">
        <f>J40*0.05</f>
        <v>0</v>
      </c>
      <c r="M40" s="93"/>
      <c r="N40" s="52">
        <f>(J40*'Base Data'!$C$5)+(K40*'Base Data'!$C$6)+(L40*'Base Data'!$C$7)</f>
        <v>0</v>
      </c>
      <c r="O40" s="52">
        <f>(D40+E40+F40)*G40*I40</f>
        <v>0</v>
      </c>
      <c r="P40" s="19">
        <v>0</v>
      </c>
      <c r="Q40" s="94" t="s">
        <v>388</v>
      </c>
    </row>
    <row r="41" spans="1:17" s="6" customFormat="1" ht="9">
      <c r="A41" s="142" t="s">
        <v>414</v>
      </c>
      <c r="B41" s="44">
        <v>10</v>
      </c>
      <c r="C41" s="84"/>
      <c r="D41" s="52">
        <v>0</v>
      </c>
      <c r="E41" s="52">
        <v>0</v>
      </c>
      <c r="F41" s="52">
        <v>9700</v>
      </c>
      <c r="G41" s="44">
        <v>1</v>
      </c>
      <c r="H41" s="44">
        <f>B41*G41</f>
        <v>10</v>
      </c>
      <c r="I41" s="91">
        <v>0</v>
      </c>
      <c r="J41" s="92">
        <f>H41*I41</f>
        <v>0</v>
      </c>
      <c r="K41" s="92">
        <f>J41*0.1</f>
        <v>0</v>
      </c>
      <c r="L41" s="92">
        <f>J41*0.05</f>
        <v>0</v>
      </c>
      <c r="M41" s="93"/>
      <c r="N41" s="52">
        <f>(J41*'Base Data'!$C$5)+(K41*'Base Data'!$C$6)+(L41*'Base Data'!$C$7)</f>
        <v>0</v>
      </c>
      <c r="O41" s="52">
        <f>(D41+E41+F41)*G41*I41</f>
        <v>0</v>
      </c>
      <c r="P41" s="19">
        <v>0</v>
      </c>
      <c r="Q41" s="94" t="s">
        <v>388</v>
      </c>
    </row>
    <row r="42" spans="1:17" s="6" customFormat="1" ht="18">
      <c r="A42" s="143" t="s">
        <v>174</v>
      </c>
      <c r="B42" s="44"/>
      <c r="C42" s="18"/>
      <c r="D42" s="39"/>
      <c r="E42" s="39"/>
      <c r="F42" s="39"/>
      <c r="G42" s="18"/>
      <c r="H42" s="18"/>
      <c r="I42" s="63"/>
      <c r="J42" s="19"/>
      <c r="K42" s="19"/>
      <c r="L42" s="19"/>
      <c r="M42" s="46"/>
      <c r="N42" s="39"/>
      <c r="O42" s="39"/>
      <c r="P42" s="19"/>
      <c r="Q42" s="94"/>
    </row>
    <row r="43" spans="1:17" s="6" customFormat="1" ht="9">
      <c r="A43" s="142" t="s">
        <v>411</v>
      </c>
      <c r="B43" s="44">
        <v>10</v>
      </c>
      <c r="C43" s="84"/>
      <c r="D43" s="52">
        <v>0</v>
      </c>
      <c r="E43" s="52">
        <v>0</v>
      </c>
      <c r="F43" s="52">
        <v>115000</v>
      </c>
      <c r="G43" s="44">
        <v>1</v>
      </c>
      <c r="H43" s="44">
        <f>B43*G43</f>
        <v>10</v>
      </c>
      <c r="I43" s="91">
        <v>0</v>
      </c>
      <c r="J43" s="92">
        <f>H43*I43</f>
        <v>0</v>
      </c>
      <c r="K43" s="92">
        <f>J43*0.1</f>
        <v>0</v>
      </c>
      <c r="L43" s="92">
        <f>J43*0.05</f>
        <v>0</v>
      </c>
      <c r="M43" s="93"/>
      <c r="N43" s="52">
        <f>(J43*'Base Data'!$C$5)+(K43*'Base Data'!$C$6)+(L43*'Base Data'!$C$7)</f>
        <v>0</v>
      </c>
      <c r="O43" s="52">
        <f>(D43+E43+F43)*G43*I43</f>
        <v>0</v>
      </c>
      <c r="P43" s="19">
        <v>0</v>
      </c>
      <c r="Q43" s="94" t="s">
        <v>388</v>
      </c>
    </row>
    <row r="44" spans="1:17" s="6" customFormat="1" ht="9">
      <c r="A44" s="142" t="s">
        <v>414</v>
      </c>
      <c r="B44" s="44">
        <v>10</v>
      </c>
      <c r="C44" s="84"/>
      <c r="D44" s="52">
        <v>0</v>
      </c>
      <c r="E44" s="52">
        <v>0</v>
      </c>
      <c r="F44" s="52">
        <v>9700</v>
      </c>
      <c r="G44" s="44">
        <v>1</v>
      </c>
      <c r="H44" s="44">
        <f>B44*G44</f>
        <v>10</v>
      </c>
      <c r="I44" s="91">
        <v>0</v>
      </c>
      <c r="J44" s="92">
        <f>H44*I44</f>
        <v>0</v>
      </c>
      <c r="K44" s="92">
        <f>J44*0.1</f>
        <v>0</v>
      </c>
      <c r="L44" s="92">
        <f>J44*0.05</f>
        <v>0</v>
      </c>
      <c r="M44" s="93"/>
      <c r="N44" s="52">
        <f>(J44*'Base Data'!$C$5)+(K44*'Base Data'!$C$6)+(L44*'Base Data'!$C$7)</f>
        <v>0</v>
      </c>
      <c r="O44" s="52">
        <f>(D44+E44+F44)*G44*I44</f>
        <v>0</v>
      </c>
      <c r="P44" s="19">
        <v>0</v>
      </c>
      <c r="Q44" s="94" t="s">
        <v>388</v>
      </c>
    </row>
    <row r="45" spans="1:17" s="6" customFormat="1" ht="9">
      <c r="A45" s="142" t="s">
        <v>415</v>
      </c>
      <c r="B45" s="44" t="s">
        <v>433</v>
      </c>
      <c r="C45" s="18"/>
      <c r="D45" s="39"/>
      <c r="E45" s="39"/>
      <c r="F45" s="39"/>
      <c r="G45" s="18"/>
      <c r="H45" s="18"/>
      <c r="I45" s="19"/>
      <c r="J45" s="19"/>
      <c r="K45" s="19"/>
      <c r="L45" s="19"/>
      <c r="M45" s="18"/>
      <c r="N45" s="39"/>
      <c r="O45" s="39"/>
      <c r="P45" s="39"/>
      <c r="Q45" s="29"/>
    </row>
    <row r="46" spans="1:17" s="6" customFormat="1" ht="9">
      <c r="A46" s="142" t="s">
        <v>416</v>
      </c>
      <c r="B46" s="44" t="s">
        <v>433</v>
      </c>
      <c r="C46" s="18"/>
      <c r="D46" s="39"/>
      <c r="E46" s="39"/>
      <c r="F46" s="39"/>
      <c r="G46" s="18"/>
      <c r="H46" s="18"/>
      <c r="I46" s="19"/>
      <c r="J46" s="19"/>
      <c r="K46" s="19"/>
      <c r="L46" s="19"/>
      <c r="M46" s="18"/>
      <c r="N46" s="39"/>
      <c r="O46" s="39"/>
      <c r="P46" s="39"/>
      <c r="Q46" s="29"/>
    </row>
    <row r="47" spans="1:17" s="6" customFormat="1" ht="9">
      <c r="A47" s="142" t="s">
        <v>417</v>
      </c>
      <c r="B47" s="44"/>
      <c r="C47" s="18"/>
      <c r="D47" s="39"/>
      <c r="E47" s="39"/>
      <c r="F47" s="39"/>
      <c r="G47" s="18"/>
      <c r="H47" s="18"/>
      <c r="I47" s="19"/>
      <c r="J47" s="19"/>
      <c r="K47" s="19"/>
      <c r="L47" s="19"/>
      <c r="M47" s="18"/>
      <c r="N47" s="39"/>
      <c r="O47" s="39"/>
      <c r="P47" s="39"/>
      <c r="Q47" s="29"/>
    </row>
    <row r="48" spans="1:17" s="6" customFormat="1" ht="9">
      <c r="A48" s="177" t="s">
        <v>435</v>
      </c>
      <c r="B48" s="44">
        <v>2</v>
      </c>
      <c r="C48" s="18"/>
      <c r="D48" s="39">
        <v>0</v>
      </c>
      <c r="E48" s="39">
        <v>0</v>
      </c>
      <c r="F48" s="39">
        <v>0</v>
      </c>
      <c r="G48" s="18">
        <v>1</v>
      </c>
      <c r="H48" s="18">
        <f>B48*G48</f>
        <v>2</v>
      </c>
      <c r="I48" s="91">
        <f>ROUND(SUM('Base Data'!$H$18:$H$20,'Base Data'!$H$23:$H$25),0)</f>
        <v>119</v>
      </c>
      <c r="J48" s="19">
        <f>H48*I48</f>
        <v>238</v>
      </c>
      <c r="K48" s="19">
        <f>J48*0.1</f>
        <v>23.8</v>
      </c>
      <c r="L48" s="19">
        <f>J48*0.05</f>
        <v>11.9</v>
      </c>
      <c r="M48" s="18">
        <f>C48*G48*I48</f>
        <v>0</v>
      </c>
      <c r="N48" s="39">
        <f>(J48*'Base Data'!$C$5)+(K48*'Base Data'!$C$6)+(L48*'Base Data'!$C$7)</f>
        <v>25889.045000000002</v>
      </c>
      <c r="O48" s="39">
        <f>(D48+E48+F48)*G48*I48</f>
        <v>0</v>
      </c>
      <c r="P48" s="19">
        <f>G48*I48</f>
        <v>119</v>
      </c>
      <c r="Q48" s="29" t="s">
        <v>387</v>
      </c>
    </row>
    <row r="49" spans="1:19" s="6" customFormat="1" ht="9" customHeight="1">
      <c r="A49" s="177" t="s">
        <v>377</v>
      </c>
      <c r="B49" s="44">
        <v>8</v>
      </c>
      <c r="C49" s="18"/>
      <c r="D49" s="39">
        <v>0</v>
      </c>
      <c r="E49" s="39">
        <v>0</v>
      </c>
      <c r="F49" s="39">
        <v>0</v>
      </c>
      <c r="G49" s="18">
        <v>1</v>
      </c>
      <c r="H49" s="18">
        <f>B49*G49</f>
        <v>8</v>
      </c>
      <c r="I49" s="51">
        <v>0</v>
      </c>
      <c r="J49" s="19">
        <f>H49*I49</f>
        <v>0</v>
      </c>
      <c r="K49" s="19">
        <f>J49*0.1</f>
        <v>0</v>
      </c>
      <c r="L49" s="19">
        <f>J49*0.05</f>
        <v>0</v>
      </c>
      <c r="M49" s="18">
        <f>C49*G49*I49</f>
        <v>0</v>
      </c>
      <c r="N49" s="39">
        <f>(J49*'Base Data'!$C$5)+(K49*'Base Data'!$C$6)+(L49*'Base Data'!$C$7)</f>
        <v>0</v>
      </c>
      <c r="O49" s="39">
        <f>(D49+E49+F49)*G49*I49</f>
        <v>0</v>
      </c>
      <c r="P49" s="19">
        <f>G49*I49</f>
        <v>0</v>
      </c>
      <c r="Q49" s="29" t="s">
        <v>388</v>
      </c>
    </row>
    <row r="50" spans="1:19" s="6" customFormat="1" ht="9">
      <c r="A50" s="177" t="s">
        <v>378</v>
      </c>
      <c r="B50" s="44">
        <v>5</v>
      </c>
      <c r="C50" s="18"/>
      <c r="D50" s="39">
        <v>0</v>
      </c>
      <c r="E50" s="39">
        <v>0</v>
      </c>
      <c r="F50" s="39">
        <v>0</v>
      </c>
      <c r="G50" s="18">
        <v>1</v>
      </c>
      <c r="H50" s="18">
        <f>B50*G50</f>
        <v>5</v>
      </c>
      <c r="I50" s="51">
        <v>0</v>
      </c>
      <c r="J50" s="19">
        <f>H50*I50</f>
        <v>0</v>
      </c>
      <c r="K50" s="19">
        <f>J50*0.1</f>
        <v>0</v>
      </c>
      <c r="L50" s="19">
        <f>J50*0.05</f>
        <v>0</v>
      </c>
      <c r="M50" s="18">
        <f>C50*G50*I50</f>
        <v>0</v>
      </c>
      <c r="N50" s="39">
        <f>(J50*'Base Data'!$C$5)+(K50*'Base Data'!$C$6)+(L50*'Base Data'!$C$7)</f>
        <v>0</v>
      </c>
      <c r="O50" s="39">
        <f>(D50+E50+F50)*G50*I50</f>
        <v>0</v>
      </c>
      <c r="P50" s="19">
        <f>G50*I50</f>
        <v>0</v>
      </c>
      <c r="Q50" s="29" t="s">
        <v>388</v>
      </c>
    </row>
    <row r="51" spans="1:19" s="6" customFormat="1" ht="9">
      <c r="A51" s="144" t="s">
        <v>456</v>
      </c>
      <c r="B51" s="44">
        <v>20</v>
      </c>
      <c r="C51" s="18">
        <v>0</v>
      </c>
      <c r="D51" s="39">
        <v>0</v>
      </c>
      <c r="E51" s="39">
        <v>0</v>
      </c>
      <c r="F51" s="39">
        <v>0</v>
      </c>
      <c r="G51" s="18">
        <v>2</v>
      </c>
      <c r="H51" s="18">
        <f>B51*G51</f>
        <v>40</v>
      </c>
      <c r="I51" s="51">
        <v>0</v>
      </c>
      <c r="J51" s="19">
        <f>H51*I51</f>
        <v>0</v>
      </c>
      <c r="K51" s="19">
        <f>J51*0.1</f>
        <v>0</v>
      </c>
      <c r="L51" s="19">
        <f>J51*0.05</f>
        <v>0</v>
      </c>
      <c r="M51" s="19">
        <f>C51*G51*I51</f>
        <v>0</v>
      </c>
      <c r="N51" s="39">
        <f>(J51*'Base Data'!$C$5)+(K51*'Base Data'!$C$6)+(L51*'Base Data'!$C$7)</f>
        <v>0</v>
      </c>
      <c r="O51" s="39">
        <f>(D51+E51+F51)*G51*I51</f>
        <v>0</v>
      </c>
      <c r="P51" s="19">
        <f>G51*I51</f>
        <v>0</v>
      </c>
      <c r="Q51" s="29" t="s">
        <v>387</v>
      </c>
      <c r="R51" s="37"/>
    </row>
    <row r="52" spans="1:19" s="6" customFormat="1" ht="9">
      <c r="A52" s="145" t="s">
        <v>7</v>
      </c>
      <c r="B52" s="44"/>
      <c r="C52" s="18"/>
      <c r="D52" s="39"/>
      <c r="E52" s="39"/>
      <c r="F52" s="39"/>
      <c r="G52" s="18"/>
      <c r="H52" s="18"/>
      <c r="I52" s="51"/>
      <c r="J52" s="19">
        <f t="shared" ref="J52:O52" si="14">SUM(J7:J51)</f>
        <v>4998</v>
      </c>
      <c r="K52" s="19">
        <f t="shared" si="14"/>
        <v>499.8</v>
      </c>
      <c r="L52" s="19">
        <f t="shared" si="14"/>
        <v>249.9</v>
      </c>
      <c r="M52" s="19">
        <f t="shared" si="14"/>
        <v>0</v>
      </c>
      <c r="N52" s="39">
        <f t="shared" si="14"/>
        <v>543669.94500000007</v>
      </c>
      <c r="O52" s="39">
        <f t="shared" si="14"/>
        <v>0</v>
      </c>
      <c r="P52" s="19">
        <f>SUM(P48:P51)</f>
        <v>119</v>
      </c>
      <c r="Q52" s="29"/>
      <c r="R52" s="99">
        <f>SUM(O7,O10:O24,O29,O32,O35,O38,O41,O44)</f>
        <v>0</v>
      </c>
      <c r="S52" s="101">
        <f>SUM(O37,O40,O43,O28,O31,O34)</f>
        <v>0</v>
      </c>
    </row>
    <row r="53" spans="1:19" s="6" customFormat="1" ht="9">
      <c r="A53" s="142" t="s">
        <v>431</v>
      </c>
      <c r="B53" s="44"/>
      <c r="C53" s="18"/>
      <c r="D53" s="39"/>
      <c r="E53" s="39"/>
      <c r="F53" s="39"/>
      <c r="G53" s="18"/>
      <c r="H53" s="18"/>
      <c r="I53" s="19"/>
      <c r="J53" s="19"/>
      <c r="K53" s="19"/>
      <c r="L53" s="19"/>
      <c r="M53" s="18"/>
      <c r="N53" s="39"/>
      <c r="O53" s="39"/>
      <c r="P53" s="39"/>
      <c r="Q53" s="29"/>
    </row>
    <row r="54" spans="1:19" s="6" customFormat="1" ht="9">
      <c r="A54" s="142" t="s">
        <v>418</v>
      </c>
      <c r="B54" s="44" t="s">
        <v>422</v>
      </c>
      <c r="C54" s="18"/>
      <c r="D54" s="39"/>
      <c r="E54" s="39"/>
      <c r="F54" s="39"/>
      <c r="G54" s="18"/>
      <c r="H54" s="18"/>
      <c r="I54" s="19"/>
      <c r="J54" s="19"/>
      <c r="K54" s="19"/>
      <c r="L54" s="19"/>
      <c r="M54" s="18"/>
      <c r="N54" s="39"/>
      <c r="O54" s="39"/>
      <c r="P54" s="39"/>
      <c r="Q54" s="29"/>
    </row>
    <row r="55" spans="1:19" s="6" customFormat="1" ht="9">
      <c r="A55" s="142" t="s">
        <v>419</v>
      </c>
      <c r="B55" s="44" t="s">
        <v>433</v>
      </c>
      <c r="C55" s="18"/>
      <c r="D55" s="39"/>
      <c r="E55" s="39"/>
      <c r="F55" s="39"/>
      <c r="G55" s="18"/>
      <c r="H55" s="18"/>
      <c r="I55" s="19"/>
      <c r="J55" s="19"/>
      <c r="K55" s="19"/>
      <c r="L55" s="19"/>
      <c r="M55" s="18"/>
      <c r="N55" s="39"/>
      <c r="O55" s="39"/>
      <c r="P55" s="39"/>
      <c r="Q55" s="29"/>
    </row>
    <row r="56" spans="1:19" s="6" customFormat="1" ht="9">
      <c r="A56" s="142" t="s">
        <v>420</v>
      </c>
      <c r="B56" s="44" t="s">
        <v>433</v>
      </c>
      <c r="C56" s="18"/>
      <c r="D56" s="39"/>
      <c r="E56" s="39"/>
      <c r="F56" s="39"/>
      <c r="G56" s="18"/>
      <c r="H56" s="18"/>
      <c r="I56" s="19"/>
      <c r="J56" s="19"/>
      <c r="K56" s="19"/>
      <c r="L56" s="19"/>
      <c r="M56" s="18"/>
      <c r="N56" s="39"/>
      <c r="O56" s="39"/>
      <c r="P56" s="39"/>
      <c r="Q56" s="29" t="s">
        <v>389</v>
      </c>
    </row>
    <row r="57" spans="1:19" s="6" customFormat="1" ht="9">
      <c r="A57" s="142" t="s">
        <v>421</v>
      </c>
      <c r="B57" s="44"/>
      <c r="C57" s="18"/>
      <c r="D57" s="39"/>
      <c r="E57" s="39"/>
      <c r="F57" s="39"/>
      <c r="G57" s="18"/>
      <c r="H57" s="18"/>
      <c r="I57" s="19"/>
      <c r="J57" s="19"/>
      <c r="K57" s="19"/>
      <c r="L57" s="19"/>
      <c r="M57" s="18"/>
      <c r="N57" s="39"/>
      <c r="O57" s="39"/>
      <c r="P57" s="39"/>
      <c r="Q57" s="29"/>
    </row>
    <row r="58" spans="1:19" s="6" customFormat="1" ht="9.75" customHeight="1">
      <c r="A58" s="142" t="s">
        <v>429</v>
      </c>
      <c r="B58" s="44">
        <v>20</v>
      </c>
      <c r="C58" s="18"/>
      <c r="D58" s="39">
        <v>0</v>
      </c>
      <c r="E58" s="39">
        <v>0</v>
      </c>
      <c r="F58" s="39">
        <v>0</v>
      </c>
      <c r="G58" s="18">
        <v>1</v>
      </c>
      <c r="H58" s="18">
        <f t="shared" ref="H58:H64" si="15">B58*G58</f>
        <v>20</v>
      </c>
      <c r="I58" s="51">
        <v>0</v>
      </c>
      <c r="J58" s="19">
        <f t="shared" ref="J58:J64" si="16">H58*I58</f>
        <v>0</v>
      </c>
      <c r="K58" s="19">
        <f t="shared" ref="K58:K64" si="17">J58*0.1</f>
        <v>0</v>
      </c>
      <c r="L58" s="19">
        <f t="shared" ref="L58:L64" si="18">J58*0.05</f>
        <v>0</v>
      </c>
      <c r="M58" s="18"/>
      <c r="N58" s="39">
        <f>(J58*'Base Data'!$C$5)+(K58*'Base Data'!$C$6)+(L58*'Base Data'!$C$7)</f>
        <v>0</v>
      </c>
      <c r="O58" s="39">
        <f t="shared" ref="O58:O64" si="19">(D58+E58+F58)*G58*I58</f>
        <v>0</v>
      </c>
      <c r="P58" s="19">
        <v>0</v>
      </c>
      <c r="Q58" s="29" t="s">
        <v>388</v>
      </c>
    </row>
    <row r="59" spans="1:19" s="6" customFormat="1" ht="9">
      <c r="A59" s="143" t="s">
        <v>425</v>
      </c>
      <c r="B59" s="44">
        <v>15</v>
      </c>
      <c r="C59" s="18">
        <v>0</v>
      </c>
      <c r="D59" s="39">
        <v>0</v>
      </c>
      <c r="E59" s="39">
        <v>0</v>
      </c>
      <c r="F59" s="39">
        <v>0</v>
      </c>
      <c r="G59" s="18">
        <v>1</v>
      </c>
      <c r="H59" s="18">
        <f t="shared" si="15"/>
        <v>15</v>
      </c>
      <c r="I59" s="51">
        <v>0</v>
      </c>
      <c r="J59" s="19">
        <f t="shared" si="16"/>
        <v>0</v>
      </c>
      <c r="K59" s="19">
        <f t="shared" si="17"/>
        <v>0</v>
      </c>
      <c r="L59" s="19">
        <f t="shared" si="18"/>
        <v>0</v>
      </c>
      <c r="M59" s="18">
        <f>C59*G59*I59</f>
        <v>0</v>
      </c>
      <c r="N59" s="39">
        <f>(J59*'Base Data'!$C$5)+(K59*'Base Data'!$C$6)+(L59*'Base Data'!$C$7)</f>
        <v>0</v>
      </c>
      <c r="O59" s="39">
        <f t="shared" si="19"/>
        <v>0</v>
      </c>
      <c r="P59" s="19">
        <v>0</v>
      </c>
      <c r="Q59" s="29" t="s">
        <v>388</v>
      </c>
    </row>
    <row r="60" spans="1:19" s="6" customFormat="1" ht="9.75" customHeight="1">
      <c r="A60" s="142" t="s">
        <v>426</v>
      </c>
      <c r="B60" s="44">
        <v>2</v>
      </c>
      <c r="C60" s="18"/>
      <c r="D60" s="39">
        <v>0</v>
      </c>
      <c r="E60" s="39">
        <v>0</v>
      </c>
      <c r="F60" s="39">
        <v>0</v>
      </c>
      <c r="G60" s="18">
        <v>1</v>
      </c>
      <c r="H60" s="18">
        <f t="shared" si="15"/>
        <v>2</v>
      </c>
      <c r="I60" s="51">
        <v>0</v>
      </c>
      <c r="J60" s="19">
        <f t="shared" si="16"/>
        <v>0</v>
      </c>
      <c r="K60" s="19">
        <f t="shared" si="17"/>
        <v>0</v>
      </c>
      <c r="L60" s="19">
        <f t="shared" si="18"/>
        <v>0</v>
      </c>
      <c r="M60" s="18"/>
      <c r="N60" s="39">
        <f>(J60*'Base Data'!$C$5)+(K60*'Base Data'!$C$6)+(L60*'Base Data'!$C$7)</f>
        <v>0</v>
      </c>
      <c r="O60" s="39">
        <f t="shared" si="19"/>
        <v>0</v>
      </c>
      <c r="P60" s="19">
        <v>0</v>
      </c>
      <c r="Q60" s="29" t="s">
        <v>388</v>
      </c>
    </row>
    <row r="61" spans="1:19" s="6" customFormat="1" ht="9">
      <c r="A61" s="143" t="s">
        <v>436</v>
      </c>
      <c r="B61" s="44">
        <v>2</v>
      </c>
      <c r="C61" s="18"/>
      <c r="D61" s="39">
        <v>0</v>
      </c>
      <c r="E61" s="39">
        <v>0</v>
      </c>
      <c r="F61" s="39">
        <v>0</v>
      </c>
      <c r="G61" s="18">
        <v>1</v>
      </c>
      <c r="H61" s="18">
        <f t="shared" si="15"/>
        <v>2</v>
      </c>
      <c r="I61" s="51">
        <v>0</v>
      </c>
      <c r="J61" s="19">
        <f t="shared" si="16"/>
        <v>0</v>
      </c>
      <c r="K61" s="19">
        <f t="shared" si="17"/>
        <v>0</v>
      </c>
      <c r="L61" s="19">
        <f t="shared" si="18"/>
        <v>0</v>
      </c>
      <c r="M61" s="18"/>
      <c r="N61" s="39">
        <f>(J61*'Base Data'!$C$5)+(K61*'Base Data'!$C$6)+(L61*'Base Data'!$C$7)</f>
        <v>0</v>
      </c>
      <c r="O61" s="39">
        <f t="shared" si="19"/>
        <v>0</v>
      </c>
      <c r="P61" s="19">
        <v>0</v>
      </c>
      <c r="Q61" s="29" t="s">
        <v>388</v>
      </c>
    </row>
    <row r="62" spans="1:19" s="6" customFormat="1" ht="9">
      <c r="A62" s="143" t="s">
        <v>437</v>
      </c>
      <c r="B62" s="44">
        <v>2</v>
      </c>
      <c r="C62" s="18">
        <v>0</v>
      </c>
      <c r="D62" s="39">
        <v>0</v>
      </c>
      <c r="E62" s="39">
        <v>0</v>
      </c>
      <c r="F62" s="39">
        <v>0</v>
      </c>
      <c r="G62" s="18">
        <v>2</v>
      </c>
      <c r="H62" s="18">
        <f t="shared" si="15"/>
        <v>4</v>
      </c>
      <c r="I62" s="51">
        <v>0</v>
      </c>
      <c r="J62" s="19">
        <f t="shared" si="16"/>
        <v>0</v>
      </c>
      <c r="K62" s="19">
        <f t="shared" si="17"/>
        <v>0</v>
      </c>
      <c r="L62" s="19">
        <f t="shared" si="18"/>
        <v>0</v>
      </c>
      <c r="M62" s="18">
        <f>C62*G62*I62</f>
        <v>0</v>
      </c>
      <c r="N62" s="39">
        <f>(J62*'Base Data'!$C$5)+(K62*'Base Data'!$C$6)+(L62*'Base Data'!$C$7)</f>
        <v>0</v>
      </c>
      <c r="O62" s="39">
        <f t="shared" si="19"/>
        <v>0</v>
      </c>
      <c r="P62" s="19">
        <v>0</v>
      </c>
      <c r="Q62" s="29" t="s">
        <v>388</v>
      </c>
    </row>
    <row r="63" spans="1:19" s="6" customFormat="1" ht="9">
      <c r="A63" s="143" t="s">
        <v>438</v>
      </c>
      <c r="B63" s="44">
        <v>0.5</v>
      </c>
      <c r="C63" s="18"/>
      <c r="D63" s="39">
        <v>0</v>
      </c>
      <c r="E63" s="39">
        <v>0</v>
      </c>
      <c r="F63" s="39">
        <v>0</v>
      </c>
      <c r="G63" s="18">
        <v>12</v>
      </c>
      <c r="H63" s="18">
        <f t="shared" si="15"/>
        <v>6</v>
      </c>
      <c r="I63" s="51">
        <v>0</v>
      </c>
      <c r="J63" s="19">
        <f t="shared" si="16"/>
        <v>0</v>
      </c>
      <c r="K63" s="19">
        <f t="shared" si="17"/>
        <v>0</v>
      </c>
      <c r="L63" s="19">
        <f t="shared" si="18"/>
        <v>0</v>
      </c>
      <c r="M63" s="18"/>
      <c r="N63" s="39">
        <f>(J63*'Base Data'!$C$5)+(K63*'Base Data'!$C$6)+(L63*'Base Data'!$C$7)</f>
        <v>0</v>
      </c>
      <c r="O63" s="39">
        <f t="shared" si="19"/>
        <v>0</v>
      </c>
      <c r="P63" s="19">
        <v>0</v>
      </c>
      <c r="Q63" s="94" t="s">
        <v>388</v>
      </c>
    </row>
    <row r="64" spans="1:19" s="6" customFormat="1" ht="9">
      <c r="A64" s="142" t="s">
        <v>427</v>
      </c>
      <c r="B64" s="44">
        <v>40</v>
      </c>
      <c r="C64" s="18"/>
      <c r="D64" s="39">
        <v>0</v>
      </c>
      <c r="E64" s="39">
        <v>0</v>
      </c>
      <c r="F64" s="39">
        <v>0</v>
      </c>
      <c r="G64" s="18">
        <v>1</v>
      </c>
      <c r="H64" s="18">
        <f t="shared" si="15"/>
        <v>40</v>
      </c>
      <c r="I64" s="91">
        <v>0</v>
      </c>
      <c r="J64" s="19">
        <f t="shared" si="16"/>
        <v>0</v>
      </c>
      <c r="K64" s="19">
        <f t="shared" si="17"/>
        <v>0</v>
      </c>
      <c r="L64" s="19">
        <f t="shared" si="18"/>
        <v>0</v>
      </c>
      <c r="M64" s="18"/>
      <c r="N64" s="39">
        <f>(J64*'Base Data'!$C$5)+(K64*'Base Data'!$C$6)+(L64*'Base Data'!$C$7)</f>
        <v>0</v>
      </c>
      <c r="O64" s="39">
        <f t="shared" si="19"/>
        <v>0</v>
      </c>
      <c r="P64" s="19">
        <v>0</v>
      </c>
      <c r="Q64" s="29" t="s">
        <v>273</v>
      </c>
    </row>
    <row r="65" spans="1:18" s="6" customFormat="1" ht="9">
      <c r="A65" s="146" t="s">
        <v>428</v>
      </c>
      <c r="B65" s="44" t="s">
        <v>433</v>
      </c>
      <c r="C65" s="18"/>
      <c r="D65" s="39"/>
      <c r="E65" s="39"/>
      <c r="F65" s="39"/>
      <c r="G65" s="18"/>
      <c r="H65" s="18"/>
      <c r="I65" s="19"/>
      <c r="J65" s="19"/>
      <c r="K65" s="19"/>
      <c r="L65" s="19"/>
      <c r="M65" s="18"/>
      <c r="N65" s="39"/>
      <c r="O65" s="39"/>
      <c r="P65" s="39"/>
      <c r="Q65" s="29"/>
    </row>
    <row r="66" spans="1:18" s="6" customFormat="1" ht="9">
      <c r="A66" s="61" t="s">
        <v>27</v>
      </c>
      <c r="B66" s="245"/>
      <c r="C66" s="245"/>
      <c r="D66" s="246"/>
      <c r="E66" s="246"/>
      <c r="F66" s="246"/>
      <c r="G66" s="245"/>
      <c r="H66" s="245"/>
      <c r="I66" s="247"/>
      <c r="J66" s="247">
        <f t="shared" ref="J66:R66" si="20">SUM(J54:J65)</f>
        <v>0</v>
      </c>
      <c r="K66" s="247">
        <f t="shared" si="20"/>
        <v>0</v>
      </c>
      <c r="L66" s="247">
        <f t="shared" si="20"/>
        <v>0</v>
      </c>
      <c r="M66" s="246">
        <f t="shared" si="20"/>
        <v>0</v>
      </c>
      <c r="N66" s="246">
        <f>SUM(N54:N65)</f>
        <v>0</v>
      </c>
      <c r="O66" s="246">
        <f>SUM(O54:O65)</f>
        <v>0</v>
      </c>
      <c r="P66" s="247"/>
      <c r="Q66" s="248"/>
      <c r="R66" s="234">
        <f t="shared" si="20"/>
        <v>0</v>
      </c>
    </row>
    <row r="67" spans="1:18" s="2" customFormat="1">
      <c r="A67" s="24" t="s">
        <v>400</v>
      </c>
      <c r="B67" s="25"/>
      <c r="C67" s="25"/>
      <c r="D67" s="25"/>
      <c r="E67" s="25"/>
      <c r="F67" s="50"/>
      <c r="G67" s="25"/>
      <c r="H67" s="25"/>
      <c r="I67" s="26"/>
      <c r="J67" s="27">
        <f t="shared" ref="J67:P67" si="21">J52+J66</f>
        <v>4998</v>
      </c>
      <c r="K67" s="27">
        <f t="shared" si="21"/>
        <v>499.8</v>
      </c>
      <c r="L67" s="27">
        <f t="shared" si="21"/>
        <v>249.9</v>
      </c>
      <c r="M67" s="40">
        <f t="shared" si="21"/>
        <v>0</v>
      </c>
      <c r="N67" s="40">
        <f t="shared" si="21"/>
        <v>543669.94500000007</v>
      </c>
      <c r="O67" s="40">
        <f t="shared" si="21"/>
        <v>0</v>
      </c>
      <c r="P67" s="27">
        <f t="shared" si="21"/>
        <v>119</v>
      </c>
      <c r="Q67" s="47"/>
    </row>
    <row r="68" spans="1:18" ht="6" customHeight="1">
      <c r="B68" s="54"/>
      <c r="C68" s="54"/>
      <c r="D68" s="54"/>
      <c r="E68" s="54"/>
      <c r="F68" s="54"/>
      <c r="G68" s="54"/>
      <c r="H68" s="54"/>
      <c r="I68" s="55"/>
    </row>
    <row r="69" spans="1:18" s="14" customFormat="1" ht="9">
      <c r="A69" s="53" t="s">
        <v>366</v>
      </c>
      <c r="B69" s="56"/>
      <c r="C69" s="56"/>
      <c r="D69" s="56"/>
      <c r="E69" s="56"/>
      <c r="F69" s="56"/>
      <c r="G69" s="56"/>
      <c r="H69" s="56"/>
      <c r="I69" s="57"/>
      <c r="J69" s="15"/>
      <c r="K69" s="15"/>
      <c r="L69" s="15"/>
      <c r="M69" s="15"/>
      <c r="N69" s="15"/>
      <c r="O69" s="17"/>
      <c r="P69" s="17"/>
      <c r="Q69" s="15"/>
    </row>
    <row r="70" spans="1:18" s="14" customFormat="1" ht="19.5" customHeight="1">
      <c r="A70" s="408" t="s">
        <v>165</v>
      </c>
      <c r="B70" s="408"/>
      <c r="C70" s="408"/>
      <c r="D70" s="408"/>
      <c r="E70" s="408"/>
      <c r="F70" s="408"/>
      <c r="G70" s="408"/>
      <c r="H70" s="408"/>
      <c r="I70" s="408"/>
      <c r="J70" s="408"/>
      <c r="K70" s="408"/>
      <c r="L70" s="408"/>
      <c r="M70" s="408"/>
      <c r="N70" s="408"/>
      <c r="O70" s="408"/>
      <c r="P70" s="62"/>
      <c r="Q70" s="15"/>
    </row>
    <row r="71" spans="1:18" s="14" customFormat="1" ht="9">
      <c r="A71" s="408" t="s">
        <v>374</v>
      </c>
      <c r="B71" s="408"/>
      <c r="C71" s="408"/>
      <c r="D71" s="408"/>
      <c r="E71" s="408"/>
      <c r="F71" s="408"/>
      <c r="G71" s="408"/>
      <c r="H71" s="408"/>
      <c r="I71" s="408"/>
      <c r="J71" s="408"/>
      <c r="K71" s="408"/>
      <c r="L71" s="408"/>
      <c r="M71" s="408"/>
      <c r="N71" s="408"/>
      <c r="O71" s="408"/>
      <c r="P71" s="62"/>
      <c r="Q71" s="15"/>
    </row>
    <row r="72" spans="1:18" s="14" customFormat="1" ht="17.25" customHeight="1">
      <c r="A72" s="408" t="s">
        <v>95</v>
      </c>
      <c r="B72" s="408"/>
      <c r="C72" s="408"/>
      <c r="D72" s="408"/>
      <c r="E72" s="408"/>
      <c r="F72" s="408"/>
      <c r="G72" s="408"/>
      <c r="H72" s="408"/>
      <c r="I72" s="408"/>
      <c r="J72" s="408"/>
      <c r="K72" s="408"/>
      <c r="L72" s="408"/>
      <c r="M72" s="408"/>
      <c r="N72" s="408"/>
      <c r="O72" s="408"/>
      <c r="P72" s="408"/>
      <c r="Q72" s="408"/>
    </row>
    <row r="73" spans="1:18" s="14" customFormat="1" ht="9" customHeight="1">
      <c r="A73" s="14" t="s">
        <v>441</v>
      </c>
      <c r="B73" s="15"/>
      <c r="C73" s="15"/>
      <c r="D73" s="15"/>
      <c r="E73" s="15"/>
      <c r="F73" s="15"/>
      <c r="G73" s="15"/>
      <c r="H73" s="15"/>
      <c r="I73" s="16"/>
      <c r="J73" s="15"/>
      <c r="K73" s="15"/>
      <c r="L73" s="15"/>
      <c r="M73" s="15"/>
      <c r="N73" s="15"/>
      <c r="O73" s="17"/>
      <c r="P73" s="17"/>
      <c r="Q73" s="15"/>
    </row>
    <row r="74" spans="1:18" s="14" customFormat="1" ht="9" customHeight="1">
      <c r="A74" s="14" t="s">
        <v>552</v>
      </c>
      <c r="B74" s="15"/>
      <c r="C74" s="15"/>
      <c r="D74" s="15"/>
      <c r="E74" s="15"/>
      <c r="F74" s="15"/>
      <c r="G74" s="15"/>
      <c r="H74" s="15"/>
      <c r="I74" s="16"/>
      <c r="J74" s="15"/>
      <c r="K74" s="15"/>
      <c r="L74" s="15"/>
      <c r="M74" s="15"/>
      <c r="N74" s="15"/>
      <c r="O74" s="17"/>
      <c r="P74" s="17"/>
      <c r="Q74" s="15"/>
    </row>
    <row r="75" spans="1:18" s="14" customFormat="1" ht="9">
      <c r="A75" s="14" t="s">
        <v>3</v>
      </c>
      <c r="B75" s="15"/>
      <c r="C75" s="15"/>
      <c r="D75" s="15"/>
      <c r="E75" s="15"/>
      <c r="F75" s="15"/>
      <c r="G75" s="15"/>
      <c r="H75" s="15"/>
      <c r="I75" s="16"/>
      <c r="J75" s="15"/>
      <c r="K75" s="15"/>
      <c r="L75" s="15"/>
      <c r="M75" s="15"/>
      <c r="N75" s="15"/>
      <c r="O75" s="17"/>
      <c r="P75" s="17"/>
      <c r="Q75" s="15"/>
    </row>
    <row r="76" spans="1:18" s="14" customFormat="1" ht="9">
      <c r="A76" s="14" t="s">
        <v>367</v>
      </c>
      <c r="B76" s="15"/>
      <c r="C76" s="15"/>
      <c r="D76" s="15"/>
      <c r="E76" s="15"/>
      <c r="F76" s="15"/>
      <c r="G76" s="15"/>
      <c r="H76" s="15"/>
      <c r="I76" s="16"/>
      <c r="J76" s="15"/>
      <c r="K76" s="15"/>
      <c r="L76" s="15"/>
      <c r="M76" s="15"/>
      <c r="N76" s="15"/>
      <c r="O76" s="17"/>
      <c r="P76" s="17"/>
      <c r="Q76" s="15"/>
    </row>
    <row r="77" spans="1:18" s="14" customFormat="1" ht="9">
      <c r="A77" s="406" t="s">
        <v>526</v>
      </c>
      <c r="B77" s="406"/>
      <c r="C77" s="406"/>
      <c r="D77" s="406"/>
      <c r="E77" s="406"/>
      <c r="F77" s="406"/>
      <c r="G77" s="406"/>
      <c r="H77" s="406"/>
      <c r="I77" s="406"/>
      <c r="J77" s="406"/>
      <c r="K77" s="406"/>
      <c r="L77" s="406"/>
      <c r="M77" s="406"/>
      <c r="N77" s="406"/>
      <c r="O77" s="17"/>
      <c r="P77" s="17"/>
      <c r="Q77" s="15"/>
    </row>
    <row r="78" spans="1:18" s="14" customFormat="1" ht="9">
      <c r="A78" s="14" t="s">
        <v>550</v>
      </c>
      <c r="B78" s="15"/>
      <c r="C78" s="15"/>
      <c r="D78" s="15"/>
      <c r="E78" s="15"/>
      <c r="F78" s="15"/>
      <c r="G78" s="15"/>
      <c r="H78" s="15"/>
      <c r="I78" s="16"/>
      <c r="J78" s="15"/>
      <c r="K78" s="15"/>
      <c r="L78" s="15"/>
      <c r="M78" s="15"/>
      <c r="N78" s="15"/>
      <c r="O78" s="17"/>
      <c r="P78" s="17"/>
      <c r="Q78" s="15"/>
    </row>
    <row r="79" spans="1:18" s="14" customFormat="1" ht="9">
      <c r="B79" s="15"/>
      <c r="C79" s="15"/>
      <c r="D79" s="15"/>
      <c r="E79" s="15"/>
      <c r="F79" s="15"/>
      <c r="G79" s="15"/>
      <c r="H79" s="15"/>
      <c r="I79" s="16"/>
      <c r="J79" s="15"/>
      <c r="K79" s="15"/>
      <c r="L79" s="15"/>
      <c r="M79" s="15"/>
      <c r="N79" s="15"/>
      <c r="O79" s="17"/>
      <c r="P79" s="17"/>
      <c r="Q79" s="15"/>
    </row>
    <row r="80" spans="1:18" s="14" customFormat="1" ht="9">
      <c r="B80" s="15"/>
      <c r="C80" s="15"/>
      <c r="D80" s="15"/>
      <c r="E80" s="15"/>
      <c r="F80" s="15"/>
      <c r="G80" s="15"/>
      <c r="H80" s="15"/>
      <c r="I80" s="16"/>
      <c r="J80" s="15"/>
      <c r="K80" s="15"/>
      <c r="L80" s="15"/>
      <c r="M80" s="15"/>
      <c r="N80" s="15"/>
      <c r="O80" s="17"/>
      <c r="P80" s="17"/>
      <c r="Q80" s="15"/>
    </row>
    <row r="81" spans="2:17" s="14" customFormat="1" ht="9">
      <c r="B81" s="15"/>
      <c r="C81" s="15"/>
      <c r="D81" s="15"/>
      <c r="E81" s="15"/>
      <c r="F81" s="15"/>
      <c r="G81" s="15"/>
      <c r="H81" s="15"/>
      <c r="I81" s="16"/>
      <c r="J81" s="15"/>
      <c r="K81" s="15"/>
      <c r="L81" s="15"/>
      <c r="M81" s="15"/>
      <c r="N81" s="15"/>
      <c r="O81" s="17"/>
      <c r="P81" s="17"/>
      <c r="Q81" s="15"/>
    </row>
    <row r="82" spans="2:17" s="14" customFormat="1" ht="9">
      <c r="B82" s="15"/>
      <c r="C82" s="15"/>
      <c r="D82" s="15"/>
      <c r="E82" s="15"/>
      <c r="F82" s="15"/>
      <c r="G82" s="15"/>
      <c r="H82" s="15"/>
      <c r="I82" s="16"/>
      <c r="J82" s="15"/>
      <c r="K82" s="15"/>
      <c r="L82" s="15"/>
      <c r="M82" s="15"/>
      <c r="N82" s="15"/>
      <c r="O82" s="17"/>
      <c r="P82" s="17"/>
      <c r="Q82" s="15"/>
    </row>
    <row r="83" spans="2:17" s="14" customFormat="1" ht="9">
      <c r="B83" s="15"/>
      <c r="C83" s="15"/>
      <c r="D83" s="15"/>
      <c r="E83" s="15"/>
      <c r="F83" s="15"/>
      <c r="G83" s="15"/>
      <c r="H83" s="15"/>
      <c r="I83" s="16"/>
      <c r="J83" s="15"/>
      <c r="K83" s="15"/>
      <c r="L83" s="15"/>
      <c r="M83" s="15"/>
      <c r="N83" s="15"/>
      <c r="O83" s="17"/>
      <c r="P83" s="17"/>
      <c r="Q83" s="15"/>
    </row>
    <row r="84" spans="2:17" s="14" customFormat="1" ht="9">
      <c r="B84" s="15"/>
      <c r="C84" s="15"/>
      <c r="D84" s="15"/>
      <c r="E84" s="15"/>
      <c r="F84" s="15"/>
      <c r="G84" s="15"/>
      <c r="H84" s="15"/>
      <c r="I84" s="16"/>
      <c r="J84" s="15"/>
      <c r="K84" s="15"/>
      <c r="L84" s="15"/>
      <c r="M84" s="15"/>
      <c r="N84" s="15"/>
      <c r="O84" s="17"/>
      <c r="P84" s="17"/>
      <c r="Q84" s="15"/>
    </row>
    <row r="85" spans="2:17" s="14" customFormat="1" ht="9">
      <c r="B85" s="15"/>
      <c r="C85" s="15"/>
      <c r="D85" s="15"/>
      <c r="E85" s="15"/>
      <c r="F85" s="15"/>
      <c r="G85" s="15"/>
      <c r="H85" s="15"/>
      <c r="I85" s="16"/>
      <c r="J85" s="15"/>
      <c r="K85" s="15"/>
      <c r="L85" s="15"/>
      <c r="M85" s="15"/>
      <c r="N85" s="15"/>
      <c r="O85" s="17"/>
      <c r="P85" s="17"/>
      <c r="Q85" s="15"/>
    </row>
    <row r="86" spans="2:17" s="14" customFormat="1" ht="9">
      <c r="B86" s="15"/>
      <c r="C86" s="15"/>
      <c r="D86" s="15"/>
      <c r="E86" s="15"/>
      <c r="F86" s="15"/>
      <c r="G86" s="15"/>
      <c r="H86" s="15"/>
      <c r="I86" s="16"/>
      <c r="J86" s="15"/>
      <c r="K86" s="15"/>
      <c r="L86" s="15"/>
      <c r="M86" s="15"/>
      <c r="N86" s="15"/>
      <c r="O86" s="17"/>
      <c r="P86" s="17"/>
      <c r="Q86" s="15"/>
    </row>
    <row r="87" spans="2:17" s="14" customFormat="1" ht="9">
      <c r="B87" s="15"/>
      <c r="C87" s="15"/>
      <c r="D87" s="15"/>
      <c r="E87" s="15"/>
      <c r="F87" s="15"/>
      <c r="G87" s="15"/>
      <c r="H87" s="15"/>
      <c r="I87" s="16"/>
      <c r="J87" s="15"/>
      <c r="K87" s="15"/>
      <c r="L87" s="15"/>
      <c r="M87" s="15"/>
      <c r="N87" s="15"/>
      <c r="O87" s="17"/>
      <c r="P87" s="17"/>
      <c r="Q87" s="15"/>
    </row>
    <row r="88" spans="2:17" s="14" customFormat="1" ht="9">
      <c r="B88" s="15"/>
      <c r="C88" s="15"/>
      <c r="D88" s="15"/>
      <c r="E88" s="15"/>
      <c r="F88" s="15"/>
      <c r="G88" s="15"/>
      <c r="H88" s="15"/>
      <c r="I88" s="16"/>
      <c r="J88" s="15"/>
      <c r="K88" s="15"/>
      <c r="L88" s="15"/>
      <c r="M88" s="15"/>
      <c r="N88" s="15"/>
      <c r="O88" s="17"/>
      <c r="P88" s="17"/>
      <c r="Q88" s="15"/>
    </row>
    <row r="89" spans="2:17" s="14" customFormat="1" ht="9">
      <c r="B89" s="15"/>
      <c r="C89" s="15"/>
      <c r="D89" s="15"/>
      <c r="E89" s="15"/>
      <c r="F89" s="15"/>
      <c r="G89" s="15"/>
      <c r="H89" s="15"/>
      <c r="I89" s="16"/>
      <c r="J89" s="15"/>
      <c r="K89" s="15"/>
      <c r="L89" s="15"/>
      <c r="M89" s="15"/>
      <c r="N89" s="15"/>
      <c r="O89" s="17"/>
      <c r="P89" s="17"/>
      <c r="Q89" s="15"/>
    </row>
    <row r="90" spans="2:17" s="14" customFormat="1" ht="9">
      <c r="B90" s="15"/>
      <c r="C90" s="15"/>
      <c r="D90" s="15"/>
      <c r="E90" s="15"/>
      <c r="F90" s="15"/>
      <c r="G90" s="15"/>
      <c r="H90" s="15"/>
      <c r="I90" s="16"/>
      <c r="J90" s="15"/>
      <c r="K90" s="15"/>
      <c r="L90" s="15"/>
      <c r="M90" s="15"/>
      <c r="N90" s="15"/>
      <c r="O90" s="17"/>
      <c r="P90" s="17"/>
      <c r="Q90" s="15"/>
    </row>
    <row r="91" spans="2:17" s="14" customFormat="1" ht="9">
      <c r="B91" s="15"/>
      <c r="C91" s="15"/>
      <c r="D91" s="15"/>
      <c r="E91" s="15"/>
      <c r="F91" s="15"/>
      <c r="G91" s="15"/>
      <c r="H91" s="15"/>
      <c r="I91" s="16"/>
      <c r="J91" s="15"/>
      <c r="K91" s="15"/>
      <c r="L91" s="15"/>
      <c r="M91" s="15"/>
      <c r="N91" s="15"/>
      <c r="O91" s="17"/>
      <c r="P91" s="17"/>
      <c r="Q91" s="15"/>
    </row>
    <row r="92" spans="2:17" s="14" customFormat="1" ht="9">
      <c r="B92" s="15"/>
      <c r="C92" s="15"/>
      <c r="D92" s="15"/>
      <c r="E92" s="15"/>
      <c r="F92" s="15"/>
      <c r="G92" s="15"/>
      <c r="H92" s="15"/>
      <c r="I92" s="16"/>
      <c r="J92" s="15"/>
      <c r="K92" s="15"/>
      <c r="L92" s="15"/>
      <c r="M92" s="15"/>
      <c r="N92" s="15"/>
      <c r="O92" s="17"/>
      <c r="P92" s="17"/>
      <c r="Q92" s="15"/>
    </row>
    <row r="93" spans="2:17" s="14" customFormat="1" ht="9">
      <c r="B93" s="15"/>
      <c r="C93" s="15"/>
      <c r="D93" s="15"/>
      <c r="E93" s="15"/>
      <c r="F93" s="15"/>
      <c r="G93" s="15"/>
      <c r="H93" s="15"/>
      <c r="I93" s="16"/>
      <c r="J93" s="15"/>
      <c r="K93" s="15"/>
      <c r="L93" s="15"/>
      <c r="M93" s="15"/>
      <c r="N93" s="15"/>
      <c r="O93" s="17"/>
      <c r="P93" s="17"/>
      <c r="Q93" s="15"/>
    </row>
    <row r="94" spans="2:17" s="14" customFormat="1" ht="9">
      <c r="B94" s="15"/>
      <c r="C94" s="15"/>
      <c r="D94" s="15"/>
      <c r="E94" s="15"/>
      <c r="F94" s="15"/>
      <c r="G94" s="15"/>
      <c r="H94" s="15"/>
      <c r="I94" s="16"/>
      <c r="J94" s="15"/>
      <c r="K94" s="15"/>
      <c r="L94" s="15"/>
      <c r="M94" s="15"/>
      <c r="N94" s="15"/>
      <c r="O94" s="17"/>
      <c r="P94" s="17"/>
      <c r="Q94" s="15"/>
    </row>
    <row r="95" spans="2:17" s="14" customFormat="1" ht="9">
      <c r="B95" s="15"/>
      <c r="C95" s="15"/>
      <c r="D95" s="15"/>
      <c r="E95" s="15"/>
      <c r="F95" s="15"/>
      <c r="G95" s="15"/>
      <c r="H95" s="15"/>
      <c r="I95" s="16"/>
      <c r="J95" s="15"/>
      <c r="K95" s="15"/>
      <c r="L95" s="15"/>
      <c r="M95" s="15"/>
      <c r="N95" s="15"/>
      <c r="O95" s="17"/>
      <c r="P95" s="17"/>
      <c r="Q95" s="15"/>
    </row>
    <row r="96" spans="2:17" s="14" customFormat="1" ht="9">
      <c r="B96" s="15"/>
      <c r="C96" s="15"/>
      <c r="D96" s="15"/>
      <c r="E96" s="15"/>
      <c r="F96" s="15"/>
      <c r="G96" s="15"/>
      <c r="H96" s="15"/>
      <c r="I96" s="16"/>
      <c r="J96" s="15"/>
      <c r="K96" s="15"/>
      <c r="L96" s="15"/>
      <c r="M96" s="15"/>
      <c r="N96" s="15"/>
      <c r="O96" s="17"/>
      <c r="P96" s="17"/>
      <c r="Q96" s="15"/>
    </row>
    <row r="97" spans="2:17" s="14" customFormat="1" ht="9">
      <c r="B97" s="15"/>
      <c r="C97" s="15"/>
      <c r="D97" s="15"/>
      <c r="E97" s="15"/>
      <c r="F97" s="15"/>
      <c r="G97" s="15"/>
      <c r="H97" s="15"/>
      <c r="I97" s="16"/>
      <c r="J97" s="15"/>
      <c r="K97" s="15"/>
      <c r="L97" s="15"/>
      <c r="M97" s="15"/>
      <c r="N97" s="15"/>
      <c r="O97" s="17"/>
      <c r="P97" s="17"/>
      <c r="Q97" s="15"/>
    </row>
    <row r="98" spans="2:17" s="14" customFormat="1" ht="9">
      <c r="B98" s="15"/>
      <c r="C98" s="15"/>
      <c r="D98" s="15"/>
      <c r="E98" s="15"/>
      <c r="F98" s="15"/>
      <c r="G98" s="15"/>
      <c r="H98" s="15"/>
      <c r="I98" s="16"/>
      <c r="J98" s="15"/>
      <c r="K98" s="15"/>
      <c r="L98" s="15"/>
      <c r="M98" s="15"/>
      <c r="N98" s="15"/>
      <c r="O98" s="17"/>
      <c r="P98" s="17"/>
      <c r="Q98" s="15"/>
    </row>
    <row r="99" spans="2:17" s="14" customFormat="1" ht="9">
      <c r="B99" s="15"/>
      <c r="C99" s="15"/>
      <c r="D99" s="15"/>
      <c r="E99" s="15"/>
      <c r="F99" s="15"/>
      <c r="G99" s="15"/>
      <c r="H99" s="15"/>
      <c r="I99" s="16"/>
      <c r="J99" s="15"/>
      <c r="K99" s="15"/>
      <c r="L99" s="15"/>
      <c r="M99" s="15"/>
      <c r="N99" s="15"/>
      <c r="O99" s="17"/>
      <c r="P99" s="17"/>
      <c r="Q99" s="15"/>
    </row>
    <row r="100" spans="2:17" s="14" customFormat="1" ht="9">
      <c r="B100" s="15"/>
      <c r="C100" s="15"/>
      <c r="D100" s="15"/>
      <c r="E100" s="15"/>
      <c r="F100" s="15"/>
      <c r="G100" s="15"/>
      <c r="H100" s="15"/>
      <c r="I100" s="16"/>
      <c r="J100" s="15"/>
      <c r="K100" s="15"/>
      <c r="L100" s="15"/>
      <c r="M100" s="15"/>
      <c r="N100" s="15"/>
      <c r="O100" s="17"/>
      <c r="P100" s="17"/>
      <c r="Q100" s="15"/>
    </row>
    <row r="101" spans="2:17" s="14" customFormat="1" ht="9">
      <c r="B101" s="15"/>
      <c r="C101" s="15"/>
      <c r="D101" s="15"/>
      <c r="E101" s="15"/>
      <c r="F101" s="15"/>
      <c r="G101" s="15"/>
      <c r="H101" s="15"/>
      <c r="I101" s="16"/>
      <c r="J101" s="15"/>
      <c r="K101" s="15"/>
      <c r="L101" s="15"/>
      <c r="M101" s="15"/>
      <c r="N101" s="15"/>
      <c r="O101" s="17"/>
      <c r="P101" s="17"/>
      <c r="Q101" s="15"/>
    </row>
    <row r="102" spans="2:17" s="14" customFormat="1" ht="9">
      <c r="B102" s="15"/>
      <c r="C102" s="15"/>
      <c r="D102" s="15"/>
      <c r="E102" s="15"/>
      <c r="F102" s="15"/>
      <c r="G102" s="15"/>
      <c r="H102" s="15"/>
      <c r="I102" s="16"/>
      <c r="J102" s="15"/>
      <c r="K102" s="15"/>
      <c r="L102" s="15"/>
      <c r="M102" s="15"/>
      <c r="N102" s="15"/>
      <c r="O102" s="17"/>
      <c r="P102" s="17"/>
      <c r="Q102" s="15"/>
    </row>
    <row r="103" spans="2:17" s="14" customFormat="1" ht="9">
      <c r="B103" s="15"/>
      <c r="C103" s="15"/>
      <c r="D103" s="15"/>
      <c r="E103" s="15"/>
      <c r="F103" s="15"/>
      <c r="G103" s="15"/>
      <c r="H103" s="15"/>
      <c r="I103" s="16"/>
      <c r="J103" s="15"/>
      <c r="K103" s="15"/>
      <c r="L103" s="15"/>
      <c r="M103" s="15"/>
      <c r="N103" s="15"/>
      <c r="O103" s="17"/>
      <c r="P103" s="17"/>
      <c r="Q103" s="15"/>
    </row>
    <row r="104" spans="2:17" s="14" customFormat="1" ht="9">
      <c r="B104" s="15"/>
      <c r="C104" s="15"/>
      <c r="D104" s="15"/>
      <c r="E104" s="15"/>
      <c r="F104" s="15"/>
      <c r="G104" s="15"/>
      <c r="H104" s="15"/>
      <c r="I104" s="16"/>
      <c r="J104" s="15"/>
      <c r="K104" s="15"/>
      <c r="L104" s="15"/>
      <c r="M104" s="15"/>
      <c r="N104" s="15"/>
      <c r="O104" s="17"/>
      <c r="P104" s="17"/>
      <c r="Q104" s="15"/>
    </row>
    <row r="105" spans="2:17" s="14" customFormat="1" ht="9">
      <c r="B105" s="15"/>
      <c r="C105" s="15"/>
      <c r="D105" s="15"/>
      <c r="E105" s="15"/>
      <c r="F105" s="15"/>
      <c r="G105" s="15"/>
      <c r="H105" s="15"/>
      <c r="I105" s="16"/>
      <c r="J105" s="15"/>
      <c r="K105" s="15"/>
      <c r="L105" s="15"/>
      <c r="M105" s="15"/>
      <c r="N105" s="15"/>
      <c r="O105" s="17"/>
      <c r="P105" s="17"/>
      <c r="Q105" s="15"/>
    </row>
    <row r="106" spans="2:17" s="14" customFormat="1" ht="9">
      <c r="B106" s="15"/>
      <c r="C106" s="15"/>
      <c r="D106" s="15"/>
      <c r="E106" s="15"/>
      <c r="F106" s="15"/>
      <c r="G106" s="15"/>
      <c r="H106" s="15"/>
      <c r="I106" s="16"/>
      <c r="J106" s="15"/>
      <c r="K106" s="15"/>
      <c r="L106" s="15"/>
      <c r="M106" s="15"/>
      <c r="N106" s="15"/>
      <c r="O106" s="17"/>
      <c r="P106" s="17"/>
      <c r="Q106" s="15"/>
    </row>
    <row r="107" spans="2:17" s="14" customFormat="1" ht="9">
      <c r="B107" s="15"/>
      <c r="C107" s="15"/>
      <c r="D107" s="15"/>
      <c r="E107" s="15"/>
      <c r="F107" s="15"/>
      <c r="G107" s="15"/>
      <c r="H107" s="15"/>
      <c r="I107" s="16"/>
      <c r="J107" s="15"/>
      <c r="K107" s="15"/>
      <c r="L107" s="15"/>
      <c r="M107" s="15"/>
      <c r="N107" s="15"/>
      <c r="O107" s="17"/>
      <c r="P107" s="17"/>
      <c r="Q107" s="15"/>
    </row>
    <row r="108" spans="2:17" s="14" customFormat="1" ht="9">
      <c r="B108" s="15"/>
      <c r="C108" s="15"/>
      <c r="D108" s="15"/>
      <c r="E108" s="15"/>
      <c r="F108" s="15"/>
      <c r="G108" s="15"/>
      <c r="H108" s="15"/>
      <c r="I108" s="16"/>
      <c r="J108" s="15"/>
      <c r="K108" s="15"/>
      <c r="L108" s="15"/>
      <c r="M108" s="15"/>
      <c r="N108" s="15"/>
      <c r="O108" s="17"/>
      <c r="P108" s="17"/>
      <c r="Q108" s="15"/>
    </row>
    <row r="109" spans="2:17" s="14" customFormat="1" ht="9">
      <c r="B109" s="15"/>
      <c r="C109" s="15"/>
      <c r="D109" s="15"/>
      <c r="E109" s="15"/>
      <c r="F109" s="15"/>
      <c r="G109" s="15"/>
      <c r="H109" s="15"/>
      <c r="I109" s="16"/>
      <c r="J109" s="15"/>
      <c r="K109" s="15"/>
      <c r="L109" s="15"/>
      <c r="M109" s="15"/>
      <c r="N109" s="15"/>
      <c r="O109" s="17"/>
      <c r="P109" s="17"/>
      <c r="Q109" s="15"/>
    </row>
    <row r="110" spans="2:17" s="14" customFormat="1" ht="9">
      <c r="B110" s="15"/>
      <c r="C110" s="15"/>
      <c r="D110" s="15"/>
      <c r="E110" s="15"/>
      <c r="F110" s="15"/>
      <c r="G110" s="15"/>
      <c r="H110" s="15"/>
      <c r="I110" s="16"/>
      <c r="J110" s="15"/>
      <c r="K110" s="15"/>
      <c r="L110" s="15"/>
      <c r="M110" s="15"/>
      <c r="N110" s="15"/>
      <c r="O110" s="17"/>
      <c r="P110" s="17"/>
      <c r="Q110" s="15"/>
    </row>
    <row r="111" spans="2:17" s="14" customFormat="1" ht="9">
      <c r="B111" s="15"/>
      <c r="C111" s="15"/>
      <c r="D111" s="15"/>
      <c r="E111" s="15"/>
      <c r="F111" s="15"/>
      <c r="G111" s="15"/>
      <c r="H111" s="15"/>
      <c r="I111" s="16"/>
      <c r="J111" s="15"/>
      <c r="K111" s="15"/>
      <c r="L111" s="15"/>
      <c r="M111" s="15"/>
      <c r="N111" s="15"/>
      <c r="O111" s="17"/>
      <c r="P111" s="17"/>
      <c r="Q111" s="15"/>
    </row>
    <row r="112" spans="2:17" s="14" customFormat="1" ht="9">
      <c r="B112" s="15"/>
      <c r="C112" s="15"/>
      <c r="D112" s="15"/>
      <c r="E112" s="15"/>
      <c r="F112" s="15"/>
      <c r="G112" s="15"/>
      <c r="H112" s="15"/>
      <c r="I112" s="16"/>
      <c r="J112" s="15"/>
      <c r="K112" s="15"/>
      <c r="L112" s="15"/>
      <c r="M112" s="15"/>
      <c r="N112" s="15"/>
      <c r="O112" s="17"/>
      <c r="P112" s="17"/>
      <c r="Q112" s="15"/>
    </row>
    <row r="113" spans="2:17" s="14" customFormat="1" ht="9">
      <c r="B113" s="15"/>
      <c r="C113" s="15"/>
      <c r="D113" s="15"/>
      <c r="E113" s="15"/>
      <c r="F113" s="15"/>
      <c r="G113" s="15"/>
      <c r="H113" s="15"/>
      <c r="I113" s="16"/>
      <c r="J113" s="15"/>
      <c r="K113" s="15"/>
      <c r="L113" s="15"/>
      <c r="M113" s="15"/>
      <c r="N113" s="15"/>
      <c r="O113" s="17"/>
      <c r="P113" s="17"/>
      <c r="Q113" s="15"/>
    </row>
    <row r="114" spans="2:17" s="14" customFormat="1" ht="9">
      <c r="B114" s="15"/>
      <c r="C114" s="15"/>
      <c r="D114" s="15"/>
      <c r="E114" s="15"/>
      <c r="F114" s="15"/>
      <c r="G114" s="15"/>
      <c r="H114" s="15"/>
      <c r="I114" s="16"/>
      <c r="J114" s="15"/>
      <c r="K114" s="15"/>
      <c r="L114" s="15"/>
      <c r="M114" s="15"/>
      <c r="N114" s="15"/>
      <c r="O114" s="17"/>
      <c r="P114" s="17"/>
      <c r="Q114" s="15"/>
    </row>
    <row r="115" spans="2:17" s="14" customFormat="1" ht="9">
      <c r="B115" s="15"/>
      <c r="C115" s="15"/>
      <c r="D115" s="15"/>
      <c r="E115" s="15"/>
      <c r="F115" s="15"/>
      <c r="G115" s="15"/>
      <c r="H115" s="15"/>
      <c r="I115" s="16"/>
      <c r="J115" s="15"/>
      <c r="K115" s="15"/>
      <c r="L115" s="15"/>
      <c r="M115" s="15"/>
      <c r="N115" s="15"/>
      <c r="O115" s="17"/>
      <c r="P115" s="17"/>
      <c r="Q115" s="15"/>
    </row>
    <row r="116" spans="2:17" s="14" customFormat="1" ht="9">
      <c r="B116" s="15"/>
      <c r="C116" s="15"/>
      <c r="D116" s="15"/>
      <c r="E116" s="15"/>
      <c r="F116" s="15"/>
      <c r="G116" s="15"/>
      <c r="H116" s="15"/>
      <c r="I116" s="16"/>
      <c r="J116" s="15"/>
      <c r="K116" s="15"/>
      <c r="L116" s="15"/>
      <c r="M116" s="15"/>
      <c r="N116" s="15"/>
      <c r="O116" s="17"/>
      <c r="P116" s="17"/>
      <c r="Q116" s="15"/>
    </row>
    <row r="117" spans="2:17" s="14" customFormat="1" ht="9">
      <c r="B117" s="15"/>
      <c r="C117" s="15"/>
      <c r="D117" s="15"/>
      <c r="E117" s="15"/>
      <c r="F117" s="15"/>
      <c r="G117" s="15"/>
      <c r="H117" s="15"/>
      <c r="I117" s="16"/>
      <c r="J117" s="15"/>
      <c r="K117" s="15"/>
      <c r="L117" s="15"/>
      <c r="M117" s="15"/>
      <c r="N117" s="15"/>
      <c r="O117" s="17"/>
      <c r="P117" s="17"/>
      <c r="Q117" s="15"/>
    </row>
    <row r="118" spans="2:17" s="14" customFormat="1" ht="9">
      <c r="B118" s="15"/>
      <c r="C118" s="15"/>
      <c r="D118" s="15"/>
      <c r="E118" s="15"/>
      <c r="F118" s="15"/>
      <c r="G118" s="15"/>
      <c r="H118" s="15"/>
      <c r="I118" s="16"/>
      <c r="J118" s="15"/>
      <c r="K118" s="15"/>
      <c r="L118" s="15"/>
      <c r="M118" s="15"/>
      <c r="N118" s="15"/>
      <c r="O118" s="17"/>
      <c r="P118" s="17"/>
      <c r="Q118" s="15"/>
    </row>
    <row r="119" spans="2:17" s="14" customFormat="1" ht="9">
      <c r="B119" s="15"/>
      <c r="C119" s="15"/>
      <c r="D119" s="15"/>
      <c r="E119" s="15"/>
      <c r="F119" s="15"/>
      <c r="G119" s="15"/>
      <c r="H119" s="15"/>
      <c r="I119" s="16"/>
      <c r="J119" s="15"/>
      <c r="K119" s="15"/>
      <c r="L119" s="15"/>
      <c r="M119" s="15"/>
      <c r="N119" s="15"/>
      <c r="O119" s="17"/>
      <c r="P119" s="17"/>
      <c r="Q119" s="15"/>
    </row>
  </sheetData>
  <mergeCells count="6">
    <mergeCell ref="A77:N77"/>
    <mergeCell ref="A1:Q1"/>
    <mergeCell ref="A2:Q2"/>
    <mergeCell ref="A72:Q72"/>
    <mergeCell ref="A70:O70"/>
    <mergeCell ref="A71:O71"/>
  </mergeCells>
  <phoneticPr fontId="7" type="noConversion"/>
  <pageMargins left="0.25" right="0.25" top="0.5" bottom="0.75" header="0.5" footer="0.5"/>
  <pageSetup scale="5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48</vt:i4>
      </vt:variant>
      <vt:variant>
        <vt:lpstr>Named Ranges</vt:lpstr>
      </vt:variant>
      <vt:variant>
        <vt:i4>41</vt:i4>
      </vt:variant>
    </vt:vector>
  </HeadingPairs>
  <TitlesOfParts>
    <vt:vector size="89" baseType="lpstr">
      <vt:lpstr>Summary 2</vt:lpstr>
      <vt:lpstr>Capital vs. O&amp;M</vt:lpstr>
      <vt:lpstr>BURDEN SUMMARY</vt:lpstr>
      <vt:lpstr>Responses</vt:lpstr>
      <vt:lpstr>Avg-Yr1-3</vt:lpstr>
      <vt:lpstr>Testing Costs</vt:lpstr>
      <vt:lpstr>Monitors</vt:lpstr>
      <vt:lpstr>Base Data</vt:lpstr>
      <vt:lpstr>Fac-ExistLrgSolid-Yr1</vt:lpstr>
      <vt:lpstr>Fac-ExistLrgSolid-Yr2</vt:lpstr>
      <vt:lpstr>Fac-ExistLrgSolid-Yr3</vt:lpstr>
      <vt:lpstr>Fac-ExistLrgLiquid-Yr1</vt:lpstr>
      <vt:lpstr>Fac-ExistLrgLiquid-Yr2</vt:lpstr>
      <vt:lpstr>Fac-ExistLrgLiquid-Yr3</vt:lpstr>
      <vt:lpstr>Fac-ExistLrgGas-Yr1</vt:lpstr>
      <vt:lpstr>Fac-ExistLrgGas-Yr2</vt:lpstr>
      <vt:lpstr>Fac-ExistLrgGas-Yr3</vt:lpstr>
      <vt:lpstr>Fac-NewLrgSolid-Yr1</vt:lpstr>
      <vt:lpstr>Fac-NewLrgSolid-Yr2</vt:lpstr>
      <vt:lpstr>Fac-NewLrgSolid-Yr3</vt:lpstr>
      <vt:lpstr>Fac-NewLrgLiquid-Yr1</vt:lpstr>
      <vt:lpstr>Fac-NewLrgLiquid-Yr2</vt:lpstr>
      <vt:lpstr>Fac-NewLrgLiquid-Yr3</vt:lpstr>
      <vt:lpstr>Fac-NewLrgGas-Yr1</vt:lpstr>
      <vt:lpstr>Fac-NewLrgGas-Yr2</vt:lpstr>
      <vt:lpstr>Fac-NewLrgGas-Yr3</vt:lpstr>
      <vt:lpstr>Fac - ExistSmlSolid-Yr1</vt:lpstr>
      <vt:lpstr>Fac - ExistSmlSolid-Yr2</vt:lpstr>
      <vt:lpstr>Fac - ExistSmlSolid-Yr3</vt:lpstr>
      <vt:lpstr>Fac - ExistSmlLiquid-Yr1</vt:lpstr>
      <vt:lpstr>Fac - ExistSmlLiquid-Yr2</vt:lpstr>
      <vt:lpstr>Fac - ExistSmlLiquid-Yr3</vt:lpstr>
      <vt:lpstr>Fac - ExistSmlGas-Yr1</vt:lpstr>
      <vt:lpstr>Fac - ExistSmlGas-Yr2</vt:lpstr>
      <vt:lpstr>Fac - ExistSmlGas-Yr3</vt:lpstr>
      <vt:lpstr>Fac-NewSmlSolid-Yr1</vt:lpstr>
      <vt:lpstr>Fac-NewSmlSolid-Yr2</vt:lpstr>
      <vt:lpstr>Fac-NewSmlSolid-Yr3</vt:lpstr>
      <vt:lpstr>Fac-NewSmlLiquid-Yr1</vt:lpstr>
      <vt:lpstr>Fac-NewSmlLiquid-Yr2</vt:lpstr>
      <vt:lpstr>Fac-NewSmlLiquid-Yr3</vt:lpstr>
      <vt:lpstr>Fac-NewSmlGas-Yr1</vt:lpstr>
      <vt:lpstr>Fac-NewSmlGas-Yr2</vt:lpstr>
      <vt:lpstr>Fac-NewSmlGas-Yr3</vt:lpstr>
      <vt:lpstr>Agency Base Data</vt:lpstr>
      <vt:lpstr>AgencyYR1</vt:lpstr>
      <vt:lpstr>AgencyYR2</vt:lpstr>
      <vt:lpstr>AgencyYR3</vt:lpstr>
      <vt:lpstr>AgencyYR1!Print_Area</vt:lpstr>
      <vt:lpstr>AgencyYR2!Print_Area</vt:lpstr>
      <vt:lpstr>AgencyYR3!Print_Area</vt:lpstr>
      <vt:lpstr>'Fac-NewLrgGas-Yr1'!Print_Area</vt:lpstr>
      <vt:lpstr>'Fac-NewLrgSolid-Yr1'!Print_Area</vt:lpstr>
      <vt:lpstr>'Fac - ExistSmlGas-Yr1'!Print_Titles</vt:lpstr>
      <vt:lpstr>'Fac - ExistSmlGas-Yr2'!Print_Titles</vt:lpstr>
      <vt:lpstr>'Fac - ExistSmlGas-Yr3'!Print_Titles</vt:lpstr>
      <vt:lpstr>'Fac - ExistSmlLiquid-Yr1'!Print_Titles</vt:lpstr>
      <vt:lpstr>'Fac - ExistSmlLiquid-Yr2'!Print_Titles</vt:lpstr>
      <vt:lpstr>'Fac - ExistSmlLiquid-Yr3'!Print_Titles</vt:lpstr>
      <vt:lpstr>'Fac - ExistSmlSolid-Yr1'!Print_Titles</vt:lpstr>
      <vt:lpstr>'Fac - ExistSmlSolid-Yr2'!Print_Titles</vt:lpstr>
      <vt:lpstr>'Fac - ExistSmlSolid-Yr3'!Print_Titles</vt:lpstr>
      <vt:lpstr>'Fac-ExistLrgGas-Yr1'!Print_Titles</vt:lpstr>
      <vt:lpstr>'Fac-ExistLrgGas-Yr2'!Print_Titles</vt:lpstr>
      <vt:lpstr>'Fac-ExistLrgGas-Yr3'!Print_Titles</vt:lpstr>
      <vt:lpstr>'Fac-ExistLrgLiquid-Yr1'!Print_Titles</vt:lpstr>
      <vt:lpstr>'Fac-ExistLrgLiquid-Yr2'!Print_Titles</vt:lpstr>
      <vt:lpstr>'Fac-ExistLrgLiquid-Yr3'!Print_Titles</vt:lpstr>
      <vt:lpstr>'Fac-ExistLrgSolid-Yr1'!Print_Titles</vt:lpstr>
      <vt:lpstr>'Fac-ExistLrgSolid-Yr2'!Print_Titles</vt:lpstr>
      <vt:lpstr>'Fac-ExistLrgSolid-Yr3'!Print_Titles</vt:lpstr>
      <vt:lpstr>'Fac-NewLrgGas-Yr1'!Print_Titles</vt:lpstr>
      <vt:lpstr>'Fac-NewLrgGas-Yr2'!Print_Titles</vt:lpstr>
      <vt:lpstr>'Fac-NewLrgGas-Yr3'!Print_Titles</vt:lpstr>
      <vt:lpstr>'Fac-NewLrgLiquid-Yr1'!Print_Titles</vt:lpstr>
      <vt:lpstr>'Fac-NewLrgLiquid-Yr2'!Print_Titles</vt:lpstr>
      <vt:lpstr>'Fac-NewLrgLiquid-Yr3'!Print_Titles</vt:lpstr>
      <vt:lpstr>'Fac-NewLrgSolid-Yr1'!Print_Titles</vt:lpstr>
      <vt:lpstr>'Fac-NewLrgSolid-Yr2'!Print_Titles</vt:lpstr>
      <vt:lpstr>'Fac-NewLrgSolid-Yr3'!Print_Titles</vt:lpstr>
      <vt:lpstr>'Fac-NewSmlGas-Yr1'!Print_Titles</vt:lpstr>
      <vt:lpstr>'Fac-NewSmlGas-Yr2'!Print_Titles</vt:lpstr>
      <vt:lpstr>'Fac-NewSmlGas-Yr3'!Print_Titles</vt:lpstr>
      <vt:lpstr>'Fac-NewSmlLiquid-Yr1'!Print_Titles</vt:lpstr>
      <vt:lpstr>'Fac-NewSmlLiquid-Yr2'!Print_Titles</vt:lpstr>
      <vt:lpstr>'Fac-NewSmlLiquid-Yr3'!Print_Titles</vt:lpstr>
      <vt:lpstr>'Fac-NewSmlSolid-Yr1'!Print_Titles</vt:lpstr>
      <vt:lpstr>'Fac-NewSmlSolid-Yr2'!Print_Titles</vt:lpstr>
      <vt:lpstr>'Fac-NewSmlSolid-Yr3'!Print_Titles</vt:lpstr>
    </vt:vector>
  </TitlesOfParts>
  <Company>Eastern Research Group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ERG - Morrisville</dc:creator>
  <cp:lastModifiedBy>ASingletonNEW</cp:lastModifiedBy>
  <cp:lastPrinted>2011-01-02T18:55:37Z</cp:lastPrinted>
  <dcterms:created xsi:type="dcterms:W3CDTF">2000-08-03T19:32:28Z</dcterms:created>
  <dcterms:modified xsi:type="dcterms:W3CDTF">2011-01-03T20:49:29Z</dcterms:modified>
</cp:coreProperties>
</file>