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0" windowHeight="9000"/>
  </bookViews>
  <sheets>
    <sheet name="A" sheetId="1" r:id="rId1"/>
  </sheets>
  <definedNames>
    <definedName name="_xlnm.Print_Area">A!$AR$9:$BJ$50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G10" i="1"/>
  <c r="H10"/>
  <c r="I10"/>
  <c r="S10"/>
  <c r="T10"/>
  <c r="AA10"/>
  <c r="AB10"/>
  <c r="AC10"/>
  <c r="AM10"/>
  <c r="AN10"/>
  <c r="BQ10" s="1"/>
  <c r="AU10"/>
  <c r="AV10"/>
  <c r="AW10"/>
  <c r="BG10"/>
  <c r="BH10"/>
  <c r="BL10"/>
  <c r="BM10"/>
  <c r="BP10"/>
  <c r="BT10"/>
  <c r="BU10"/>
  <c r="BX10"/>
  <c r="G11"/>
  <c r="H11"/>
  <c r="I11"/>
  <c r="S11"/>
  <c r="T11"/>
  <c r="AA11"/>
  <c r="AB11"/>
  <c r="AC11"/>
  <c r="AM11"/>
  <c r="AN11"/>
  <c r="BQ11" s="1"/>
  <c r="BY11" s="1"/>
  <c r="AU11"/>
  <c r="AV11"/>
  <c r="AW11"/>
  <c r="BG11"/>
  <c r="BH11"/>
  <c r="BL11"/>
  <c r="BM11"/>
  <c r="BP11"/>
  <c r="BT11"/>
  <c r="BU11"/>
  <c r="BX11"/>
  <c r="H12"/>
  <c r="I12"/>
  <c r="S12"/>
  <c r="T12"/>
  <c r="AB12"/>
  <c r="AC12"/>
  <c r="AM12"/>
  <c r="AN12"/>
  <c r="AV12"/>
  <c r="AW12"/>
  <c r="BG12"/>
  <c r="BH12"/>
  <c r="BL12"/>
  <c r="BM12"/>
  <c r="BP12"/>
  <c r="BT12"/>
  <c r="BU12"/>
  <c r="BX12"/>
  <c r="G14"/>
  <c r="I14" s="1"/>
  <c r="AA14"/>
  <c r="AC14"/>
  <c r="AP14" s="1"/>
  <c r="AU14"/>
  <c r="AW14" s="1"/>
  <c r="D15"/>
  <c r="G15"/>
  <c r="I15" s="1"/>
  <c r="V15" s="1"/>
  <c r="BO15" s="1"/>
  <c r="X15"/>
  <c r="AA15"/>
  <c r="AC15" s="1"/>
  <c r="AP15" s="1"/>
  <c r="BS15" s="1"/>
  <c r="AR15"/>
  <c r="AU15"/>
  <c r="AW15" s="1"/>
  <c r="BJ15" s="1"/>
  <c r="BW15" s="1"/>
  <c r="G16"/>
  <c r="H16"/>
  <c r="H18" s="1"/>
  <c r="H48" s="1"/>
  <c r="Q52" s="1"/>
  <c r="I16"/>
  <c r="T16"/>
  <c r="AA16"/>
  <c r="AB16"/>
  <c r="AC16"/>
  <c r="AM16"/>
  <c r="BP16" s="1"/>
  <c r="AN16"/>
  <c r="AU16"/>
  <c r="AV16"/>
  <c r="AW16"/>
  <c r="BG16"/>
  <c r="BH16"/>
  <c r="BL16"/>
  <c r="BM16"/>
  <c r="BM18" s="1"/>
  <c r="BQ16"/>
  <c r="BT16"/>
  <c r="BU16"/>
  <c r="BU18" s="1"/>
  <c r="BY16"/>
  <c r="G17"/>
  <c r="H17"/>
  <c r="I17"/>
  <c r="T17"/>
  <c r="AA17"/>
  <c r="AB17"/>
  <c r="AC17"/>
  <c r="AG17"/>
  <c r="AH17"/>
  <c r="AM17" s="1"/>
  <c r="AI17"/>
  <c r="AJ17"/>
  <c r="AK17" s="1"/>
  <c r="AU17"/>
  <c r="AV17"/>
  <c r="AW17"/>
  <c r="BG17"/>
  <c r="BH17"/>
  <c r="BL17"/>
  <c r="BM17"/>
  <c r="BT17"/>
  <c r="BU17"/>
  <c r="S18"/>
  <c r="T18"/>
  <c r="AB18"/>
  <c r="AH18"/>
  <c r="AI18"/>
  <c r="AV18"/>
  <c r="BG18"/>
  <c r="BH18"/>
  <c r="BL18"/>
  <c r="BT18"/>
  <c r="U20"/>
  <c r="BN20" s="1"/>
  <c r="AO20"/>
  <c r="BI20"/>
  <c r="BV20" s="1"/>
  <c r="BV22" s="1"/>
  <c r="BV48" s="1"/>
  <c r="BR20"/>
  <c r="BR22" s="1"/>
  <c r="Q21"/>
  <c r="R21"/>
  <c r="S21"/>
  <c r="T21"/>
  <c r="AK21"/>
  <c r="AL21"/>
  <c r="AL22" s="1"/>
  <c r="AM21"/>
  <c r="AN21"/>
  <c r="AN22" s="1"/>
  <c r="BE21"/>
  <c r="BF21"/>
  <c r="BG21"/>
  <c r="BH21"/>
  <c r="BL21"/>
  <c r="BM21"/>
  <c r="BM22" s="1"/>
  <c r="BP21"/>
  <c r="BQ21"/>
  <c r="BT21"/>
  <c r="BU21"/>
  <c r="BU22" s="1"/>
  <c r="BX21"/>
  <c r="BY21"/>
  <c r="Q22"/>
  <c r="R22"/>
  <c r="S22"/>
  <c r="T22"/>
  <c r="AK22"/>
  <c r="AM22"/>
  <c r="AO22"/>
  <c r="BE22"/>
  <c r="BF22"/>
  <c r="BG22"/>
  <c r="BH22"/>
  <c r="BL22"/>
  <c r="BP22"/>
  <c r="BQ22"/>
  <c r="BT22"/>
  <c r="BX22"/>
  <c r="BY22"/>
  <c r="U24"/>
  <c r="BN24" s="1"/>
  <c r="AO24"/>
  <c r="BI24"/>
  <c r="BV24" s="1"/>
  <c r="BV27" s="1"/>
  <c r="BR24"/>
  <c r="BR27" s="1"/>
  <c r="Q25"/>
  <c r="R25"/>
  <c r="S25"/>
  <c r="T25"/>
  <c r="AK25"/>
  <c r="AL25"/>
  <c r="AL27" s="1"/>
  <c r="AM25"/>
  <c r="AN25"/>
  <c r="AN27" s="1"/>
  <c r="BE25"/>
  <c r="BF25"/>
  <c r="BG25"/>
  <c r="BH25"/>
  <c r="BL25"/>
  <c r="BM25"/>
  <c r="BM27" s="1"/>
  <c r="BP25"/>
  <c r="BQ25"/>
  <c r="BT25"/>
  <c r="BU25"/>
  <c r="BU27" s="1"/>
  <c r="BX25"/>
  <c r="BY25"/>
  <c r="Q26"/>
  <c r="R26"/>
  <c r="S26"/>
  <c r="T26"/>
  <c r="AK26"/>
  <c r="AL26"/>
  <c r="AM26"/>
  <c r="AN26"/>
  <c r="BE26"/>
  <c r="BF26"/>
  <c r="BG26"/>
  <c r="BH26"/>
  <c r="BL26"/>
  <c r="BM26"/>
  <c r="BP26"/>
  <c r="BQ26"/>
  <c r="BT26"/>
  <c r="BU26"/>
  <c r="BX26"/>
  <c r="BY26"/>
  <c r="Q27"/>
  <c r="R27"/>
  <c r="S27"/>
  <c r="T27"/>
  <c r="AK27"/>
  <c r="AM27"/>
  <c r="AO27"/>
  <c r="BE27"/>
  <c r="BF27"/>
  <c r="BG27"/>
  <c r="BH27"/>
  <c r="BL27"/>
  <c r="BP27"/>
  <c r="BQ27"/>
  <c r="BT27"/>
  <c r="BX27"/>
  <c r="BY27"/>
  <c r="Q29"/>
  <c r="R29"/>
  <c r="S29"/>
  <c r="T29"/>
  <c r="AK29"/>
  <c r="AL29"/>
  <c r="AM29"/>
  <c r="AN29"/>
  <c r="BE29"/>
  <c r="BF29"/>
  <c r="BG29"/>
  <c r="BH29"/>
  <c r="BL29"/>
  <c r="BM29"/>
  <c r="BP29"/>
  <c r="BQ29"/>
  <c r="BT29"/>
  <c r="BU29"/>
  <c r="BX29"/>
  <c r="BY29"/>
  <c r="Q30"/>
  <c r="R30"/>
  <c r="S30"/>
  <c r="T30"/>
  <c r="AK30"/>
  <c r="AL30"/>
  <c r="AM30"/>
  <c r="AN30"/>
  <c r="BE30"/>
  <c r="BF30"/>
  <c r="BG30"/>
  <c r="BH30"/>
  <c r="BL30"/>
  <c r="BM30"/>
  <c r="BP30"/>
  <c r="BQ30"/>
  <c r="BT30"/>
  <c r="BU30"/>
  <c r="BX30"/>
  <c r="BY30"/>
  <c r="Q31"/>
  <c r="R31"/>
  <c r="S31"/>
  <c r="T31"/>
  <c r="AK31"/>
  <c r="AL31"/>
  <c r="AM31"/>
  <c r="AN31"/>
  <c r="BE31"/>
  <c r="BF31"/>
  <c r="BG31"/>
  <c r="BH31"/>
  <c r="BL31"/>
  <c r="BM31"/>
  <c r="BP31"/>
  <c r="BQ31"/>
  <c r="BT31"/>
  <c r="BU31"/>
  <c r="BX31"/>
  <c r="BY31"/>
  <c r="Q32"/>
  <c r="R32"/>
  <c r="S32"/>
  <c r="T32"/>
  <c r="AK32"/>
  <c r="AL32"/>
  <c r="AM32"/>
  <c r="AN32"/>
  <c r="BE32"/>
  <c r="BF32"/>
  <c r="BG32"/>
  <c r="BH32"/>
  <c r="BL32"/>
  <c r="BM32"/>
  <c r="BP32"/>
  <c r="BQ32"/>
  <c r="BT32"/>
  <c r="BU32"/>
  <c r="BX32"/>
  <c r="BY32"/>
  <c r="Q33"/>
  <c r="R33"/>
  <c r="S33"/>
  <c r="T33"/>
  <c r="AK33"/>
  <c r="AL33"/>
  <c r="AM33"/>
  <c r="AN33"/>
  <c r="BE33"/>
  <c r="BF33"/>
  <c r="BG33"/>
  <c r="BH33"/>
  <c r="BL33"/>
  <c r="BM33"/>
  <c r="BP33"/>
  <c r="BQ33"/>
  <c r="BT33"/>
  <c r="BU33"/>
  <c r="BX33"/>
  <c r="BY33"/>
  <c r="Q35"/>
  <c r="R35"/>
  <c r="S35"/>
  <c r="T35"/>
  <c r="AK35"/>
  <c r="AL35"/>
  <c r="AM35"/>
  <c r="AN35"/>
  <c r="BE35"/>
  <c r="BF35"/>
  <c r="BG35"/>
  <c r="BH35"/>
  <c r="BL35"/>
  <c r="BM35"/>
  <c r="BP35"/>
  <c r="BQ35"/>
  <c r="BT35"/>
  <c r="BU35"/>
  <c r="BX35"/>
  <c r="BY35"/>
  <c r="Q36"/>
  <c r="R36"/>
  <c r="S36"/>
  <c r="T36"/>
  <c r="AK36"/>
  <c r="AL36"/>
  <c r="AM36"/>
  <c r="AN36"/>
  <c r="BE36"/>
  <c r="BF36"/>
  <c r="BG36"/>
  <c r="BH36"/>
  <c r="BL36"/>
  <c r="BM36"/>
  <c r="BP36"/>
  <c r="BQ36"/>
  <c r="BT36"/>
  <c r="BU36"/>
  <c r="BX36"/>
  <c r="BY36"/>
  <c r="Q37"/>
  <c r="R37"/>
  <c r="S37"/>
  <c r="T37"/>
  <c r="AK37"/>
  <c r="AL37"/>
  <c r="AM37"/>
  <c r="AN37"/>
  <c r="BE37"/>
  <c r="BF37"/>
  <c r="BG37"/>
  <c r="BH37"/>
  <c r="BL37"/>
  <c r="BM37"/>
  <c r="BP37"/>
  <c r="BQ37"/>
  <c r="BT37"/>
  <c r="BU37"/>
  <c r="BX37"/>
  <c r="BY37"/>
  <c r="Q38"/>
  <c r="R38"/>
  <c r="S38"/>
  <c r="T38"/>
  <c r="AK38"/>
  <c r="AL38"/>
  <c r="AM38"/>
  <c r="AN38"/>
  <c r="BE38"/>
  <c r="BF38"/>
  <c r="BG38"/>
  <c r="BH38"/>
  <c r="BL38"/>
  <c r="BM38"/>
  <c r="BP38"/>
  <c r="BQ38"/>
  <c r="BT38"/>
  <c r="BU38"/>
  <c r="BX38"/>
  <c r="BY38"/>
  <c r="Q39"/>
  <c r="R39"/>
  <c r="S39"/>
  <c r="T39"/>
  <c r="AK39"/>
  <c r="AL39"/>
  <c r="AM39"/>
  <c r="AN39"/>
  <c r="BE39"/>
  <c r="BF39"/>
  <c r="BG39"/>
  <c r="BH39"/>
  <c r="BL39"/>
  <c r="BM39"/>
  <c r="BP39"/>
  <c r="BQ39"/>
  <c r="BT39"/>
  <c r="BU39"/>
  <c r="BX39"/>
  <c r="BY39"/>
  <c r="Q40"/>
  <c r="R40" s="1"/>
  <c r="S40"/>
  <c r="AK40"/>
  <c r="AL40" s="1"/>
  <c r="AM40"/>
  <c r="BE40"/>
  <c r="BF40" s="1"/>
  <c r="BG40"/>
  <c r="BL40"/>
  <c r="BP40"/>
  <c r="BT40"/>
  <c r="BX40"/>
  <c r="G41"/>
  <c r="H41"/>
  <c r="I41"/>
  <c r="I42" s="1"/>
  <c r="S41"/>
  <c r="T41"/>
  <c r="BM41" s="1"/>
  <c r="AA41"/>
  <c r="AB41"/>
  <c r="AC41"/>
  <c r="AN41"/>
  <c r="BQ41" s="1"/>
  <c r="AU41"/>
  <c r="AV41"/>
  <c r="AW41"/>
  <c r="BG41"/>
  <c r="BH41"/>
  <c r="BL41"/>
  <c r="BP41"/>
  <c r="BT41"/>
  <c r="BU41"/>
  <c r="BX41"/>
  <c r="H42"/>
  <c r="Q42"/>
  <c r="S42"/>
  <c r="AB42"/>
  <c r="AC42"/>
  <c r="AK42"/>
  <c r="AM42"/>
  <c r="AV42"/>
  <c r="AW42"/>
  <c r="BE42"/>
  <c r="BG42"/>
  <c r="BL42"/>
  <c r="BP42"/>
  <c r="BT42"/>
  <c r="BX42"/>
  <c r="Q44"/>
  <c r="R44"/>
  <c r="S44"/>
  <c r="T44"/>
  <c r="AK44"/>
  <c r="AL44"/>
  <c r="AM44"/>
  <c r="AN44"/>
  <c r="BE44"/>
  <c r="BF44"/>
  <c r="BG44"/>
  <c r="BH44"/>
  <c r="BL44"/>
  <c r="BM44"/>
  <c r="BP44"/>
  <c r="BQ44"/>
  <c r="BT44"/>
  <c r="BU44"/>
  <c r="BX44"/>
  <c r="BY44"/>
  <c r="Q45"/>
  <c r="R45"/>
  <c r="S45"/>
  <c r="T45"/>
  <c r="AK45"/>
  <c r="AL45"/>
  <c r="AM45"/>
  <c r="AN45"/>
  <c r="BE45"/>
  <c r="BF45"/>
  <c r="BG45"/>
  <c r="BH45"/>
  <c r="BL45"/>
  <c r="BM45"/>
  <c r="BP45"/>
  <c r="BQ45"/>
  <c r="BT45"/>
  <c r="BU45"/>
  <c r="BX45"/>
  <c r="BY45"/>
  <c r="Q46"/>
  <c r="R46"/>
  <c r="S46"/>
  <c r="T46"/>
  <c r="AK46"/>
  <c r="AL46"/>
  <c r="AM46"/>
  <c r="AN46"/>
  <c r="BE46"/>
  <c r="BF46"/>
  <c r="BG46"/>
  <c r="BH46"/>
  <c r="BL46"/>
  <c r="BM46"/>
  <c r="BP46"/>
  <c r="BQ46"/>
  <c r="BT46"/>
  <c r="BU46"/>
  <c r="BX46"/>
  <c r="BY46"/>
  <c r="Q48"/>
  <c r="S48"/>
  <c r="AB48"/>
  <c r="AH48"/>
  <c r="AI48"/>
  <c r="AK48"/>
  <c r="AO48"/>
  <c r="AV48"/>
  <c r="BE52" s="1"/>
  <c r="BE48"/>
  <c r="BG48"/>
  <c r="BL48"/>
  <c r="BT48"/>
  <c r="BP17" l="1"/>
  <c r="BX17" s="1"/>
  <c r="AM18"/>
  <c r="AM48" s="1"/>
  <c r="AK52"/>
  <c r="AN17"/>
  <c r="BQ17" s="1"/>
  <c r="T40"/>
  <c r="R42"/>
  <c r="R48" s="1"/>
  <c r="BZ24"/>
  <c r="BZ27" s="1"/>
  <c r="BN27"/>
  <c r="BS14"/>
  <c r="BS18" s="1"/>
  <c r="BS48" s="1"/>
  <c r="AP18"/>
  <c r="AP48" s="1"/>
  <c r="V14"/>
  <c r="I18"/>
  <c r="I48" s="1"/>
  <c r="BY41"/>
  <c r="BR48"/>
  <c r="BH40"/>
  <c r="BF42"/>
  <c r="BF48" s="1"/>
  <c r="AN40"/>
  <c r="AL42"/>
  <c r="AL48" s="1"/>
  <c r="BZ20"/>
  <c r="BZ22" s="1"/>
  <c r="BZ48" s="1"/>
  <c r="BN22"/>
  <c r="BN48" s="1"/>
  <c r="AN18"/>
  <c r="BX16"/>
  <c r="BX18" s="1"/>
  <c r="BX48" s="1"/>
  <c r="BJ14"/>
  <c r="AW18"/>
  <c r="AW48" s="1"/>
  <c r="BF52" s="1"/>
  <c r="BQ12"/>
  <c r="BY10"/>
  <c r="BY12" s="1"/>
  <c r="CA15"/>
  <c r="BI27"/>
  <c r="U27"/>
  <c r="BI22"/>
  <c r="BI48" s="1"/>
  <c r="U22"/>
  <c r="U48" s="1"/>
  <c r="AC18"/>
  <c r="AC48" s="1"/>
  <c r="BP18" l="1"/>
  <c r="BP48" s="1"/>
  <c r="BW14"/>
  <c r="BW18" s="1"/>
  <c r="BW48" s="1"/>
  <c r="BJ18"/>
  <c r="BJ48" s="1"/>
  <c r="BQ40"/>
  <c r="BQ42" s="1"/>
  <c r="AN42"/>
  <c r="AN48" s="1"/>
  <c r="AP50" s="1"/>
  <c r="BU40"/>
  <c r="BU42" s="1"/>
  <c r="BU48" s="1"/>
  <c r="BW50" s="1"/>
  <c r="BH42"/>
  <c r="BH48" s="1"/>
  <c r="BJ50" s="1"/>
  <c r="BO14"/>
  <c r="V18"/>
  <c r="V48" s="1"/>
  <c r="BM40"/>
  <c r="T42"/>
  <c r="T48" s="1"/>
  <c r="V50" s="1"/>
  <c r="AL52"/>
  <c r="BY17"/>
  <c r="BY18" s="1"/>
  <c r="BQ18"/>
  <c r="BQ48" s="1"/>
  <c r="BS50" s="1"/>
  <c r="R52"/>
  <c r="BY40" l="1"/>
  <c r="BY42" s="1"/>
  <c r="BY48" s="1"/>
  <c r="BM42"/>
  <c r="BM48" s="1"/>
  <c r="CA14"/>
  <c r="CA18" s="1"/>
  <c r="CA48" s="1"/>
  <c r="BO18"/>
  <c r="BO48" s="1"/>
  <c r="BO50" l="1"/>
  <c r="CA50"/>
</calcChain>
</file>

<file path=xl/sharedStrings.xml><?xml version="1.0" encoding="utf-8"?>
<sst xmlns="http://schemas.openxmlformats.org/spreadsheetml/2006/main" count="230" uniqueCount="77">
  <si>
    <t>Cost Element</t>
  </si>
  <si>
    <t>1.  Network Design</t>
  </si>
  <si>
    <t>Element #1 totals</t>
  </si>
  <si>
    <t>2.  Site Installation</t>
  </si>
  <si>
    <t>Element #2 totals</t>
  </si>
  <si>
    <t>3.  Supplies and Site Visits</t>
  </si>
  <si>
    <t>Element #3 totals</t>
  </si>
  <si>
    <t>4.  Maintenance</t>
  </si>
  <si>
    <t>Element #4 totals</t>
  </si>
  <si>
    <t>5 Data Management</t>
  </si>
  <si>
    <t>Element # 5 totals</t>
  </si>
  <si>
    <t>6.  Quality Assurance</t>
  </si>
  <si>
    <t>Element #6 totals</t>
  </si>
  <si>
    <t>7.  Supervision</t>
  </si>
  <si>
    <t>Element #7 totals</t>
  </si>
  <si>
    <t>Summary of Burdens and Costs</t>
  </si>
  <si>
    <t>Summary Totals</t>
  </si>
  <si>
    <t>(percent inflation 2004 to 2012)</t>
  </si>
  <si>
    <t>(percent inflation 2004 to 2013)</t>
  </si>
  <si>
    <t>(percent inflation 2004 to 2014)</t>
  </si>
  <si>
    <t>Network design study (RO)</t>
  </si>
  <si>
    <t>Site selection (RO)</t>
  </si>
  <si>
    <t>Analyzer</t>
  </si>
  <si>
    <t>Spare analyzers</t>
  </si>
  <si>
    <t>Procurement</t>
  </si>
  <si>
    <t>Equipment installation</t>
  </si>
  <si>
    <t>Supplies</t>
  </si>
  <si>
    <t>Routine site visits</t>
  </si>
  <si>
    <t>Spare parts/supplies</t>
  </si>
  <si>
    <t>Remedial repairs</t>
  </si>
  <si>
    <t>Routine maintenance</t>
  </si>
  <si>
    <t>Data acquistion/processing</t>
  </si>
  <si>
    <t>Data reporting</t>
  </si>
  <si>
    <t>Data validation</t>
  </si>
  <si>
    <t>Data distribution</t>
  </si>
  <si>
    <t>Audits</t>
  </si>
  <si>
    <t>Routine calibrations</t>
  </si>
  <si>
    <t>Coordination/implementation</t>
  </si>
  <si>
    <t>Training</t>
  </si>
  <si>
    <t>Reporting</t>
  </si>
  <si>
    <t>QA plan review (annual) RO</t>
  </si>
  <si>
    <t>QA plan preparation  (RO)</t>
  </si>
  <si>
    <t>Planning/coordination</t>
  </si>
  <si>
    <t>Supervision/review</t>
  </si>
  <si>
    <t># Old</t>
  </si>
  <si>
    <t>Sites</t>
  </si>
  <si>
    <t>Hours/</t>
  </si>
  <si>
    <t>Site</t>
  </si>
  <si>
    <t>Previous Amoritized Hours and Costs</t>
  </si>
  <si>
    <t>Years</t>
  </si>
  <si>
    <t>Amor.</t>
  </si>
  <si>
    <t>Cost/</t>
  </si>
  <si>
    <t>Table 4.1, 2012 CO Monitoring Costs</t>
  </si>
  <si>
    <t>Total</t>
  </si>
  <si>
    <t>Hours</t>
  </si>
  <si>
    <t>Cost</t>
  </si>
  <si>
    <t># New</t>
  </si>
  <si>
    <t>New Site Hours and Costs for  CO</t>
  </si>
  <si>
    <t>Plus New</t>
  </si>
  <si>
    <t>Labor</t>
  </si>
  <si>
    <t>O &amp; M</t>
  </si>
  <si>
    <t xml:space="preserve">Labor </t>
  </si>
  <si>
    <t>Summary Carbon Monoxide (CO)</t>
  </si>
  <si>
    <t>Costs</t>
  </si>
  <si>
    <t>Non-labor</t>
  </si>
  <si>
    <t>Jan 21, 2011</t>
  </si>
  <si>
    <t>Equip/</t>
  </si>
  <si>
    <t>Contract $</t>
  </si>
  <si>
    <t>Table 4.2, 2013 CO Monitoring Costs</t>
  </si>
  <si>
    <t>cs2.</t>
  </si>
  <si>
    <t>Table 4.3, 2014 C0 Monitoring Costs</t>
  </si>
  <si>
    <t>2012</t>
  </si>
  <si>
    <t>Summary CO</t>
  </si>
  <si>
    <t>Table 4.0, Summary of CO 2012-2014 Monitoring Costs</t>
  </si>
  <si>
    <t>2013</t>
  </si>
  <si>
    <t>2014</t>
  </si>
  <si>
    <t>Average 2012-2014 CO</t>
  </si>
</sst>
</file>

<file path=xl/styles.xml><?xml version="1.0" encoding="utf-8"?>
<styleSheet xmlns="http://schemas.openxmlformats.org/spreadsheetml/2006/main">
  <numFmts count="2">
    <numFmt numFmtId="164" formatCode="[$$-409]#,##0"/>
    <numFmt numFmtId="165" formatCode="dd\-mmm\-yy"/>
  </numFmts>
  <fonts count="11">
    <font>
      <sz val="12"/>
      <name val="Arial"/>
    </font>
    <font>
      <sz val="12"/>
      <name val="Arial"/>
    </font>
    <font>
      <sz val="8"/>
      <name val="Arial"/>
    </font>
    <font>
      <b/>
      <sz val="12"/>
      <name val="Arial"/>
    </font>
    <font>
      <b/>
      <sz val="14"/>
      <name val="Arial"/>
    </font>
    <font>
      <sz val="12"/>
      <name val="Arial"/>
    </font>
    <font>
      <sz val="10"/>
      <name val="Arial"/>
    </font>
    <font>
      <sz val="10"/>
      <name val="Arial"/>
    </font>
    <font>
      <sz val="12"/>
      <name val="Arial"/>
    </font>
    <font>
      <b/>
      <sz val="10"/>
      <name val="Arial"/>
    </font>
    <font>
      <sz val="9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Alignment="1"/>
    <xf numFmtId="0" fontId="2" fillId="2" borderId="0" xfId="0" applyNumberFormat="1" applyFont="1" applyFill="1" applyAlignment="1"/>
    <xf numFmtId="164" fontId="2" fillId="2" borderId="0" xfId="0" applyNumberFormat="1" applyFont="1" applyFill="1" applyAlignment="1"/>
    <xf numFmtId="3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3" fillId="0" borderId="0" xfId="0" applyNumberFormat="1" applyFont="1" applyAlignment="1"/>
    <xf numFmtId="0" fontId="6" fillId="2" borderId="0" xfId="0" applyNumberFormat="1" applyFont="1" applyFill="1" applyAlignment="1"/>
    <xf numFmtId="164" fontId="6" fillId="2" borderId="0" xfId="0" applyNumberFormat="1" applyFont="1" applyFill="1" applyAlignment="1"/>
    <xf numFmtId="0" fontId="6" fillId="0" borderId="0" xfId="0" applyNumberFormat="1" applyFont="1" applyAlignment="1"/>
    <xf numFmtId="165" fontId="6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/>
    <xf numFmtId="165" fontId="6" fillId="2" borderId="0" xfId="0" applyNumberFormat="1" applyFont="1" applyFill="1" applyAlignment="1"/>
    <xf numFmtId="165" fontId="6" fillId="0" borderId="0" xfId="0" applyNumberFormat="1" applyFont="1" applyAlignment="1"/>
    <xf numFmtId="0" fontId="7" fillId="0" borderId="0" xfId="0" applyNumberFormat="1" applyFont="1" applyAlignment="1"/>
    <xf numFmtId="0" fontId="6" fillId="3" borderId="1" xfId="0" applyNumberFormat="1" applyFont="1" applyFill="1" applyBorder="1" applyAlignment="1"/>
    <xf numFmtId="0" fontId="6" fillId="3" borderId="2" xfId="0" applyNumberFormat="1" applyFont="1" applyFill="1" applyBorder="1" applyAlignment="1"/>
    <xf numFmtId="164" fontId="6" fillId="3" borderId="3" xfId="0" applyNumberFormat="1" applyFont="1" applyFill="1" applyBorder="1" applyAlignment="1"/>
    <xf numFmtId="0" fontId="6" fillId="3" borderId="3" xfId="0" applyNumberFormat="1" applyFont="1" applyFill="1" applyBorder="1" applyAlignment="1"/>
    <xf numFmtId="0" fontId="2" fillId="4" borderId="4" xfId="0" applyNumberFormat="1" applyFont="1" applyFill="1" applyBorder="1" applyAlignment="1"/>
    <xf numFmtId="0" fontId="8" fillId="4" borderId="4" xfId="0" applyNumberFormat="1" applyFont="1" applyFill="1" applyBorder="1" applyAlignment="1"/>
    <xf numFmtId="0" fontId="3" fillId="5" borderId="4" xfId="0" applyNumberFormat="1" applyFont="1" applyFill="1" applyBorder="1" applyAlignment="1"/>
    <xf numFmtId="0" fontId="6" fillId="3" borderId="3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164" fontId="6" fillId="3" borderId="3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/>
    <xf numFmtId="0" fontId="8" fillId="4" borderId="5" xfId="0" applyNumberFormat="1" applyFont="1" applyFill="1" applyBorder="1" applyAlignment="1"/>
    <xf numFmtId="0" fontId="3" fillId="5" borderId="5" xfId="0" applyNumberFormat="1" applyFont="1" applyFill="1" applyBorder="1" applyAlignment="1"/>
    <xf numFmtId="0" fontId="6" fillId="3" borderId="5" xfId="0" applyNumberFormat="1" applyFont="1" applyFill="1" applyBorder="1" applyAlignment="1"/>
    <xf numFmtId="0" fontId="6" fillId="3" borderId="6" xfId="0" applyNumberFormat="1" applyFont="1" applyFill="1" applyBorder="1" applyAlignment="1"/>
    <xf numFmtId="164" fontId="6" fillId="3" borderId="0" xfId="0" applyNumberFormat="1" applyFont="1" applyFill="1" applyAlignment="1"/>
    <xf numFmtId="0" fontId="6" fillId="3" borderId="5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6" fillId="3" borderId="0" xfId="0" applyNumberFormat="1" applyFont="1" applyFill="1" applyAlignment="1"/>
    <xf numFmtId="0" fontId="6" fillId="3" borderId="6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/>
    <xf numFmtId="0" fontId="6" fillId="2" borderId="1" xfId="0" applyNumberFormat="1" applyFont="1" applyFill="1" applyBorder="1" applyAlignment="1"/>
    <xf numFmtId="0" fontId="6" fillId="2" borderId="3" xfId="0" applyNumberFormat="1" applyFont="1" applyFill="1" applyBorder="1" applyAlignment="1"/>
    <xf numFmtId="164" fontId="6" fillId="2" borderId="3" xfId="0" applyNumberFormat="1" applyFont="1" applyFill="1" applyBorder="1" applyAlignment="1"/>
    <xf numFmtId="3" fontId="6" fillId="2" borderId="1" xfId="0" applyNumberFormat="1" applyFont="1" applyFill="1" applyBorder="1" applyAlignment="1"/>
    <xf numFmtId="3" fontId="6" fillId="2" borderId="3" xfId="0" applyNumberFormat="1" applyFont="1" applyFill="1" applyBorder="1" applyAlignment="1"/>
    <xf numFmtId="164" fontId="6" fillId="2" borderId="1" xfId="0" applyNumberFormat="1" applyFont="1" applyFill="1" applyBorder="1" applyAlignment="1"/>
    <xf numFmtId="164" fontId="6" fillId="2" borderId="2" xfId="0" applyNumberFormat="1" applyFont="1" applyFill="1" applyBorder="1" applyAlignment="1"/>
    <xf numFmtId="164" fontId="2" fillId="4" borderId="1" xfId="0" applyNumberFormat="1" applyFont="1" applyFill="1" applyBorder="1" applyAlignment="1"/>
    <xf numFmtId="0" fontId="6" fillId="2" borderId="5" xfId="0" applyNumberFormat="1" applyFont="1" applyFill="1" applyBorder="1" applyAlignment="1"/>
    <xf numFmtId="0" fontId="6" fillId="2" borderId="6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0" xfId="0" applyNumberFormat="1" applyFont="1" applyFill="1" applyAlignment="1"/>
    <xf numFmtId="164" fontId="6" fillId="2" borderId="5" xfId="0" applyNumberFormat="1" applyFont="1" applyFill="1" applyBorder="1" applyAlignment="1"/>
    <xf numFmtId="164" fontId="6" fillId="2" borderId="6" xfId="0" applyNumberFormat="1" applyFont="1" applyFill="1" applyBorder="1" applyAlignment="1"/>
    <xf numFmtId="164" fontId="2" fillId="4" borderId="5" xfId="0" applyNumberFormat="1" applyFont="1" applyFill="1" applyBorder="1" applyAlignment="1"/>
    <xf numFmtId="3" fontId="6" fillId="3" borderId="1" xfId="0" applyNumberFormat="1" applyFont="1" applyFill="1" applyBorder="1" applyAlignment="1"/>
    <xf numFmtId="3" fontId="6" fillId="3" borderId="3" xfId="0" applyNumberFormat="1" applyFont="1" applyFill="1" applyBorder="1" applyAlignment="1"/>
    <xf numFmtId="164" fontId="6" fillId="3" borderId="1" xfId="0" applyNumberFormat="1" applyFont="1" applyFill="1" applyBorder="1" applyAlignment="1"/>
    <xf numFmtId="164" fontId="6" fillId="3" borderId="2" xfId="0" applyNumberFormat="1" applyFont="1" applyFill="1" applyBorder="1" applyAlignment="1"/>
    <xf numFmtId="1" fontId="6" fillId="2" borderId="5" xfId="0" applyNumberFormat="1" applyFont="1" applyFill="1" applyBorder="1" applyAlignment="1"/>
    <xf numFmtId="0" fontId="6" fillId="2" borderId="2" xfId="0" applyNumberFormat="1" applyFont="1" applyFill="1" applyBorder="1" applyAlignment="1"/>
    <xf numFmtId="0" fontId="8" fillId="4" borderId="1" xfId="0" applyNumberFormat="1" applyFont="1" applyFill="1" applyBorder="1" applyAlignment="1"/>
    <xf numFmtId="0" fontId="3" fillId="5" borderId="1" xfId="0" applyNumberFormat="1" applyFont="1" applyFill="1" applyBorder="1" applyAlignment="1"/>
    <xf numFmtId="0" fontId="9" fillId="6" borderId="4" xfId="0" applyNumberFormat="1" applyFont="1" applyFill="1" applyBorder="1" applyAlignment="1"/>
    <xf numFmtId="0" fontId="9" fillId="6" borderId="7" xfId="0" applyNumberFormat="1" applyFont="1" applyFill="1" applyBorder="1" applyAlignment="1"/>
    <xf numFmtId="164" fontId="9" fillId="6" borderId="7" xfId="0" applyNumberFormat="1" applyFont="1" applyFill="1" applyBorder="1" applyAlignment="1"/>
    <xf numFmtId="3" fontId="9" fillId="6" borderId="4" xfId="0" applyNumberFormat="1" applyFont="1" applyFill="1" applyBorder="1" applyAlignment="1"/>
    <xf numFmtId="3" fontId="9" fillId="6" borderId="7" xfId="0" applyNumberFormat="1" applyFont="1" applyFill="1" applyBorder="1" applyAlignment="1"/>
    <xf numFmtId="164" fontId="9" fillId="6" borderId="4" xfId="0" applyNumberFormat="1" applyFont="1" applyFill="1" applyBorder="1" applyAlignment="1"/>
    <xf numFmtId="164" fontId="9" fillId="6" borderId="8" xfId="0" applyNumberFormat="1" applyFont="1" applyFill="1" applyBorder="1" applyAlignment="1"/>
    <xf numFmtId="0" fontId="8" fillId="5" borderId="5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8" xfId="0" applyNumberFormat="1" applyFont="1" applyFill="1" applyBorder="1" applyAlignment="1"/>
    <xf numFmtId="164" fontId="6" fillId="2" borderId="7" xfId="0" applyNumberFormat="1" applyFont="1" applyFill="1" applyBorder="1" applyAlignment="1"/>
    <xf numFmtId="3" fontId="6" fillId="2" borderId="4" xfId="0" applyNumberFormat="1" applyFont="1" applyFill="1" applyBorder="1" applyAlignment="1"/>
    <xf numFmtId="3" fontId="6" fillId="2" borderId="7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8" xfId="0" applyNumberFormat="1" applyFont="1" applyFill="1" applyBorder="1" applyAlignment="1"/>
    <xf numFmtId="0" fontId="9" fillId="7" borderId="4" xfId="0" applyNumberFormat="1" applyFont="1" applyFill="1" applyBorder="1" applyAlignment="1"/>
    <xf numFmtId="0" fontId="9" fillId="7" borderId="7" xfId="0" applyNumberFormat="1" applyFont="1" applyFill="1" applyBorder="1" applyAlignment="1"/>
    <xf numFmtId="164" fontId="9" fillId="7" borderId="7" xfId="0" applyNumberFormat="1" applyFont="1" applyFill="1" applyBorder="1" applyAlignment="1"/>
    <xf numFmtId="3" fontId="9" fillId="7" borderId="4" xfId="0" applyNumberFormat="1" applyFont="1" applyFill="1" applyBorder="1" applyAlignment="1"/>
    <xf numFmtId="3" fontId="9" fillId="7" borderId="7" xfId="0" applyNumberFormat="1" applyFont="1" applyFill="1" applyBorder="1" applyAlignment="1"/>
    <xf numFmtId="164" fontId="9" fillId="7" borderId="4" xfId="0" applyNumberFormat="1" applyFont="1" applyFill="1" applyBorder="1" applyAlignment="1"/>
    <xf numFmtId="164" fontId="9" fillId="7" borderId="8" xfId="0" applyNumberFormat="1" applyFont="1" applyFill="1" applyBorder="1" applyAlignment="1"/>
    <xf numFmtId="0" fontId="6" fillId="0" borderId="7" xfId="0" applyNumberFormat="1" applyFont="1" applyBorder="1" applyAlignment="1"/>
    <xf numFmtId="3" fontId="6" fillId="0" borderId="7" xfId="0" applyNumberFormat="1" applyFont="1" applyBorder="1" applyAlignment="1"/>
    <xf numFmtId="0" fontId="5" fillId="0" borderId="7" xfId="0" applyNumberFormat="1" applyFont="1" applyBorder="1" applyAlignment="1"/>
    <xf numFmtId="0" fontId="3" fillId="0" borderId="7" xfId="0" applyNumberFormat="1" applyFont="1" applyBorder="1" applyAlignment="1"/>
    <xf numFmtId="164" fontId="2" fillId="2" borderId="7" xfId="0" applyNumberFormat="1" applyFont="1" applyFill="1" applyBorder="1" applyAlignment="1"/>
    <xf numFmtId="3" fontId="1" fillId="0" borderId="0" xfId="0" applyNumberFormat="1" applyFont="1"/>
    <xf numFmtId="164" fontId="1" fillId="0" borderId="0" xfId="0" applyNumberFormat="1" applyFont="1"/>
    <xf numFmtId="0" fontId="1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5"/>
  <sheetViews>
    <sheetView tabSelected="1" topLeftCell="BC1" zoomScale="87" zoomScaleNormal="87" workbookViewId="0">
      <selection activeCell="BY17" sqref="BY17"/>
    </sheetView>
  </sheetViews>
  <sheetFormatPr defaultRowHeight="15"/>
  <cols>
    <col min="1" max="1" width="7.6640625" style="1" customWidth="1"/>
    <col min="2" max="2" width="3.6640625" style="1" customWidth="1"/>
    <col min="3" max="3" width="17.6640625" style="1" customWidth="1"/>
    <col min="4" max="4" width="6.6640625" style="1" customWidth="1"/>
    <col min="5" max="6" width="5.6640625" style="1" customWidth="1"/>
    <col min="7" max="7" width="7.6640625" style="1" customWidth="1"/>
    <col min="8" max="8" width="6.6640625" style="1" customWidth="1"/>
    <col min="9" max="9" width="8.6640625" style="1" customWidth="1"/>
    <col min="10" max="13" width="6.6640625" style="1" customWidth="1"/>
    <col min="14" max="15" width="7.6640625" style="1" customWidth="1"/>
    <col min="16" max="16" width="8.6640625" style="1" customWidth="1"/>
    <col min="17" max="17" width="7.6640625" style="1" customWidth="1"/>
    <col min="18" max="18" width="10.6640625" style="1" customWidth="1"/>
    <col min="19" max="20" width="9.6640625" style="1" customWidth="1"/>
    <col min="21" max="21" width="8.6640625" style="1" customWidth="1"/>
    <col min="22" max="22" width="9.6640625" style="1" customWidth="1"/>
    <col min="23" max="23" width="3.6640625" style="1" customWidth="1"/>
    <col min="24" max="26" width="6.6640625" style="1" customWidth="1"/>
    <col min="27" max="28" width="7.6640625" style="1" customWidth="1"/>
    <col min="29" max="30" width="8.6640625" style="1" customWidth="1"/>
    <col min="31" max="34" width="7.6640625" style="1" customWidth="1"/>
    <col min="35" max="35" width="8.6640625" style="1" customWidth="1"/>
    <col min="36" max="37" width="7.6640625" style="1" customWidth="1"/>
    <col min="38" max="38" width="9.6640625" style="1" customWidth="1"/>
    <col min="39" max="39" width="7.6640625" style="1" customWidth="1"/>
    <col min="40" max="40" width="9.6640625" style="1" customWidth="1"/>
    <col min="41" max="41" width="8.6640625" style="1" customWidth="1"/>
    <col min="42" max="42" width="9.6640625" style="1" customWidth="1"/>
    <col min="43" max="43" width="2.6640625" style="1" customWidth="1"/>
    <col min="44" max="48" width="7.6640625" style="1" customWidth="1"/>
    <col min="49" max="49" width="9.6640625" style="1" customWidth="1"/>
    <col min="50" max="50" width="7.6640625" style="1" customWidth="1"/>
    <col min="51" max="51" width="6.6640625" style="1" customWidth="1"/>
    <col min="52" max="52" width="7.6640625" style="1" customWidth="1"/>
    <col min="53" max="54" width="6.6640625" style="1" customWidth="1"/>
    <col min="55" max="55" width="7.6640625" style="1" customWidth="1"/>
    <col min="56" max="62" width="9.6640625" style="1" customWidth="1"/>
    <col min="63" max="63" width="3.6640625" style="1" customWidth="1"/>
    <col min="64" max="256" width="9.6640625" style="1" customWidth="1"/>
  </cols>
  <sheetData>
    <row r="1" spans="1:80">
      <c r="AQ1" s="1" t="s">
        <v>69</v>
      </c>
    </row>
    <row r="3" spans="1:80" ht="18">
      <c r="A3" s="2"/>
      <c r="B3" s="2"/>
      <c r="C3" s="3"/>
      <c r="D3" s="4"/>
      <c r="E3" s="3"/>
      <c r="F3" s="3"/>
      <c r="G3" s="3"/>
      <c r="H3" s="5" t="s">
        <v>52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3"/>
      <c r="Z3" s="3"/>
      <c r="AA3" s="3"/>
      <c r="AB3" s="5" t="s">
        <v>68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3"/>
      <c r="AS3" s="3"/>
      <c r="AT3" s="3"/>
      <c r="AU3" s="5" t="s">
        <v>70</v>
      </c>
      <c r="AV3" s="6"/>
      <c r="AW3" s="7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5" t="s">
        <v>73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80" ht="15.75">
      <c r="A4" s="8"/>
      <c r="B4" s="8"/>
      <c r="C4" s="9"/>
      <c r="D4" s="10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 t="s">
        <v>65</v>
      </c>
      <c r="W4" s="12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K4" s="13"/>
      <c r="AL4" s="13"/>
      <c r="AM4" s="13"/>
      <c r="AN4" s="13"/>
      <c r="AO4" s="13"/>
      <c r="AP4" s="11" t="s">
        <v>65</v>
      </c>
      <c r="AQ4" s="7"/>
      <c r="AR4" s="3"/>
      <c r="AS4" s="3"/>
      <c r="AT4" s="3"/>
      <c r="AU4" s="3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11" t="s">
        <v>65</v>
      </c>
      <c r="BK4" s="6"/>
      <c r="BL4" s="10"/>
      <c r="BM4" s="10"/>
      <c r="BN4" s="14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5"/>
      <c r="CA4" s="11" t="s">
        <v>65</v>
      </c>
    </row>
    <row r="5" spans="1:80" ht="15.75">
      <c r="A5" s="16"/>
      <c r="B5" s="17"/>
      <c r="C5" s="18"/>
      <c r="D5" s="16"/>
      <c r="E5" s="19"/>
      <c r="F5" s="19" t="s">
        <v>48</v>
      </c>
      <c r="G5" s="18"/>
      <c r="H5" s="18"/>
      <c r="I5" s="19"/>
      <c r="J5" s="16"/>
      <c r="K5" s="19" t="s">
        <v>57</v>
      </c>
      <c r="L5" s="19"/>
      <c r="M5" s="19"/>
      <c r="N5" s="19"/>
      <c r="O5" s="19"/>
      <c r="P5" s="16"/>
      <c r="Q5" s="19"/>
      <c r="R5" s="19"/>
      <c r="S5" s="19"/>
      <c r="T5" s="19"/>
      <c r="U5" s="19"/>
      <c r="V5" s="19"/>
      <c r="W5" s="20"/>
      <c r="X5" s="16"/>
      <c r="Y5" s="19"/>
      <c r="Z5" s="19" t="s">
        <v>48</v>
      </c>
      <c r="AA5" s="18"/>
      <c r="AB5" s="18"/>
      <c r="AC5" s="19"/>
      <c r="AD5" s="16"/>
      <c r="AE5" s="19" t="s">
        <v>57</v>
      </c>
      <c r="AF5" s="19"/>
      <c r="AG5" s="19"/>
      <c r="AH5" s="19"/>
      <c r="AI5" s="19"/>
      <c r="AJ5" s="16"/>
      <c r="AK5" s="19"/>
      <c r="AL5" s="19"/>
      <c r="AM5" s="19"/>
      <c r="AN5" s="19"/>
      <c r="AO5" s="19"/>
      <c r="AP5" s="19"/>
      <c r="AQ5" s="21"/>
      <c r="AR5" s="16"/>
      <c r="AS5" s="19"/>
      <c r="AT5" s="19" t="s">
        <v>48</v>
      </c>
      <c r="AU5" s="18"/>
      <c r="AV5" s="18"/>
      <c r="AW5" s="19"/>
      <c r="AX5" s="16"/>
      <c r="AY5" s="19" t="s">
        <v>57</v>
      </c>
      <c r="AZ5" s="19"/>
      <c r="BA5" s="19"/>
      <c r="BB5" s="19"/>
      <c r="BC5" s="19"/>
      <c r="BD5" s="16"/>
      <c r="BE5" s="19"/>
      <c r="BF5" s="19"/>
      <c r="BG5" s="19"/>
      <c r="BH5" s="19"/>
      <c r="BI5" s="19"/>
      <c r="BJ5" s="19"/>
      <c r="BK5" s="22"/>
      <c r="BL5" s="16"/>
      <c r="BM5" s="23" t="s">
        <v>71</v>
      </c>
      <c r="BN5" s="19"/>
      <c r="BO5" s="19"/>
      <c r="BP5" s="16"/>
      <c r="BQ5" s="23" t="s">
        <v>74</v>
      </c>
      <c r="BR5" s="19"/>
      <c r="BS5" s="19"/>
      <c r="BT5" s="16"/>
      <c r="BU5" s="23" t="s">
        <v>75</v>
      </c>
      <c r="BV5" s="19"/>
      <c r="BW5" s="19"/>
      <c r="BX5" s="16"/>
      <c r="BY5" s="19"/>
      <c r="BZ5" s="19"/>
      <c r="CA5" s="19"/>
      <c r="CB5" s="24"/>
    </row>
    <row r="6" spans="1:80" ht="15.75">
      <c r="A6" s="16"/>
      <c r="B6" s="17"/>
      <c r="C6" s="18"/>
      <c r="D6" s="16"/>
      <c r="E6" s="18"/>
      <c r="F6" s="18"/>
      <c r="G6" s="18"/>
      <c r="H6" s="25" t="s">
        <v>53</v>
      </c>
      <c r="I6" s="25" t="s">
        <v>53</v>
      </c>
      <c r="J6" s="16"/>
      <c r="K6" s="18"/>
      <c r="L6" s="18"/>
      <c r="M6" s="18"/>
      <c r="N6" s="25" t="s">
        <v>53</v>
      </c>
      <c r="O6" s="25" t="s">
        <v>53</v>
      </c>
      <c r="P6" s="26" t="s">
        <v>44</v>
      </c>
      <c r="Q6" s="19"/>
      <c r="R6" s="19"/>
      <c r="S6" s="16"/>
      <c r="T6" s="19" t="s">
        <v>62</v>
      </c>
      <c r="U6" s="19"/>
      <c r="V6" s="19"/>
      <c r="W6" s="27"/>
      <c r="X6" s="16"/>
      <c r="Y6" s="18"/>
      <c r="Z6" s="18"/>
      <c r="AA6" s="18"/>
      <c r="AB6" s="25" t="s">
        <v>53</v>
      </c>
      <c r="AC6" s="25" t="s">
        <v>53</v>
      </c>
      <c r="AD6" s="16"/>
      <c r="AE6" s="18"/>
      <c r="AF6" s="18"/>
      <c r="AG6" s="18"/>
      <c r="AH6" s="25" t="s">
        <v>53</v>
      </c>
      <c r="AI6" s="25" t="s">
        <v>53</v>
      </c>
      <c r="AJ6" s="26" t="s">
        <v>44</v>
      </c>
      <c r="AK6" s="19"/>
      <c r="AL6" s="19"/>
      <c r="AM6" s="16"/>
      <c r="AN6" s="19" t="s">
        <v>62</v>
      </c>
      <c r="AO6" s="19"/>
      <c r="AP6" s="19"/>
      <c r="AQ6" s="28"/>
      <c r="AR6" s="16"/>
      <c r="AS6" s="18"/>
      <c r="AT6" s="18"/>
      <c r="AU6" s="18"/>
      <c r="AV6" s="25" t="s">
        <v>53</v>
      </c>
      <c r="AW6" s="25" t="s">
        <v>53</v>
      </c>
      <c r="AX6" s="16"/>
      <c r="AY6" s="18"/>
      <c r="AZ6" s="18"/>
      <c r="BA6" s="18"/>
      <c r="BB6" s="25" t="s">
        <v>53</v>
      </c>
      <c r="BC6" s="25" t="s">
        <v>53</v>
      </c>
      <c r="BD6" s="26" t="s">
        <v>44</v>
      </c>
      <c r="BE6" s="19"/>
      <c r="BF6" s="19"/>
      <c r="BG6" s="16"/>
      <c r="BH6" s="19" t="s">
        <v>62</v>
      </c>
      <c r="BI6" s="19"/>
      <c r="BJ6" s="19"/>
      <c r="BK6" s="29"/>
      <c r="BL6" s="16"/>
      <c r="BM6" s="19" t="s">
        <v>72</v>
      </c>
      <c r="BN6" s="19"/>
      <c r="BO6" s="19"/>
      <c r="BP6" s="16"/>
      <c r="BQ6" s="19" t="s">
        <v>72</v>
      </c>
      <c r="BR6" s="19"/>
      <c r="BS6" s="19"/>
      <c r="BT6" s="16"/>
      <c r="BU6" s="19" t="s">
        <v>72</v>
      </c>
      <c r="BV6" s="19"/>
      <c r="BW6" s="19"/>
      <c r="BX6" s="16"/>
      <c r="BY6" s="19" t="s">
        <v>76</v>
      </c>
      <c r="BZ6" s="19"/>
      <c r="CA6" s="19"/>
      <c r="CB6" s="24"/>
    </row>
    <row r="7" spans="1:80" ht="15.75">
      <c r="A7" s="30"/>
      <c r="B7" s="31"/>
      <c r="C7" s="32"/>
      <c r="D7" s="33" t="s">
        <v>44</v>
      </c>
      <c r="E7" s="34" t="s">
        <v>46</v>
      </c>
      <c r="F7" s="34" t="s">
        <v>49</v>
      </c>
      <c r="G7" s="34" t="s">
        <v>51</v>
      </c>
      <c r="H7" s="34" t="s">
        <v>50</v>
      </c>
      <c r="I7" s="34" t="s">
        <v>50</v>
      </c>
      <c r="J7" s="33" t="s">
        <v>56</v>
      </c>
      <c r="K7" s="34" t="s">
        <v>46</v>
      </c>
      <c r="L7" s="34" t="s">
        <v>49</v>
      </c>
      <c r="M7" s="34" t="s">
        <v>51</v>
      </c>
      <c r="N7" s="34" t="s">
        <v>50</v>
      </c>
      <c r="O7" s="34" t="s">
        <v>50</v>
      </c>
      <c r="P7" s="33" t="s">
        <v>58</v>
      </c>
      <c r="Q7" s="35" t="s">
        <v>59</v>
      </c>
      <c r="R7" s="35" t="s">
        <v>59</v>
      </c>
      <c r="S7" s="26" t="s">
        <v>61</v>
      </c>
      <c r="T7" s="36" t="s">
        <v>61</v>
      </c>
      <c r="U7" s="36" t="s">
        <v>64</v>
      </c>
      <c r="V7" s="36" t="s">
        <v>66</v>
      </c>
      <c r="W7" s="37"/>
      <c r="X7" s="33" t="s">
        <v>44</v>
      </c>
      <c r="Y7" s="34" t="s">
        <v>46</v>
      </c>
      <c r="Z7" s="34" t="s">
        <v>49</v>
      </c>
      <c r="AA7" s="34" t="s">
        <v>51</v>
      </c>
      <c r="AB7" s="34" t="s">
        <v>50</v>
      </c>
      <c r="AC7" s="34" t="s">
        <v>50</v>
      </c>
      <c r="AD7" s="33" t="s">
        <v>56</v>
      </c>
      <c r="AE7" s="34" t="s">
        <v>46</v>
      </c>
      <c r="AF7" s="34" t="s">
        <v>49</v>
      </c>
      <c r="AG7" s="34" t="s">
        <v>51</v>
      </c>
      <c r="AH7" s="34" t="s">
        <v>50</v>
      </c>
      <c r="AI7" s="34" t="s">
        <v>50</v>
      </c>
      <c r="AJ7" s="33" t="s">
        <v>58</v>
      </c>
      <c r="AK7" s="35" t="s">
        <v>59</v>
      </c>
      <c r="AL7" s="35" t="s">
        <v>59</v>
      </c>
      <c r="AM7" s="26" t="s">
        <v>61</v>
      </c>
      <c r="AN7" s="36" t="s">
        <v>61</v>
      </c>
      <c r="AO7" s="36" t="s">
        <v>64</v>
      </c>
      <c r="AP7" s="36" t="s">
        <v>66</v>
      </c>
      <c r="AQ7" s="28"/>
      <c r="AR7" s="33" t="s">
        <v>44</v>
      </c>
      <c r="AS7" s="34" t="s">
        <v>46</v>
      </c>
      <c r="AT7" s="34" t="s">
        <v>49</v>
      </c>
      <c r="AU7" s="34" t="s">
        <v>51</v>
      </c>
      <c r="AV7" s="34" t="s">
        <v>50</v>
      </c>
      <c r="AW7" s="34" t="s">
        <v>50</v>
      </c>
      <c r="AX7" s="33" t="s">
        <v>56</v>
      </c>
      <c r="AY7" s="34" t="s">
        <v>46</v>
      </c>
      <c r="AZ7" s="34" t="s">
        <v>49</v>
      </c>
      <c r="BA7" s="34" t="s">
        <v>51</v>
      </c>
      <c r="BB7" s="34" t="s">
        <v>50</v>
      </c>
      <c r="BC7" s="34" t="s">
        <v>50</v>
      </c>
      <c r="BD7" s="33" t="s">
        <v>58</v>
      </c>
      <c r="BE7" s="35" t="s">
        <v>59</v>
      </c>
      <c r="BF7" s="35" t="s">
        <v>59</v>
      </c>
      <c r="BG7" s="26" t="s">
        <v>61</v>
      </c>
      <c r="BH7" s="36" t="s">
        <v>61</v>
      </c>
      <c r="BI7" s="36" t="s">
        <v>64</v>
      </c>
      <c r="BJ7" s="36" t="s">
        <v>66</v>
      </c>
      <c r="BK7" s="29"/>
      <c r="BL7" s="26" t="s">
        <v>61</v>
      </c>
      <c r="BM7" s="36" t="s">
        <v>61</v>
      </c>
      <c r="BN7" s="36" t="s">
        <v>64</v>
      </c>
      <c r="BO7" s="36" t="s">
        <v>66</v>
      </c>
      <c r="BP7" s="26" t="s">
        <v>61</v>
      </c>
      <c r="BQ7" s="36" t="s">
        <v>61</v>
      </c>
      <c r="BR7" s="36" t="s">
        <v>64</v>
      </c>
      <c r="BS7" s="36" t="s">
        <v>66</v>
      </c>
      <c r="BT7" s="26" t="s">
        <v>61</v>
      </c>
      <c r="BU7" s="36" t="s">
        <v>61</v>
      </c>
      <c r="BV7" s="36" t="s">
        <v>64</v>
      </c>
      <c r="BW7" s="36" t="s">
        <v>66</v>
      </c>
      <c r="BX7" s="26" t="s">
        <v>61</v>
      </c>
      <c r="BY7" s="36" t="s">
        <v>61</v>
      </c>
      <c r="BZ7" s="36" t="s">
        <v>64</v>
      </c>
      <c r="CA7" s="36" t="s">
        <v>66</v>
      </c>
      <c r="CB7" s="24"/>
    </row>
    <row r="8" spans="1:80" ht="15.75">
      <c r="A8" s="30" t="s">
        <v>0</v>
      </c>
      <c r="B8" s="38"/>
      <c r="C8" s="32"/>
      <c r="D8" s="33" t="s">
        <v>45</v>
      </c>
      <c r="E8" s="34" t="s">
        <v>47</v>
      </c>
      <c r="F8" s="34" t="s">
        <v>50</v>
      </c>
      <c r="G8" s="34" t="s">
        <v>47</v>
      </c>
      <c r="H8" s="34" t="s">
        <v>54</v>
      </c>
      <c r="I8" s="35" t="s">
        <v>55</v>
      </c>
      <c r="J8" s="33" t="s">
        <v>45</v>
      </c>
      <c r="K8" s="34" t="s">
        <v>47</v>
      </c>
      <c r="L8" s="34" t="s">
        <v>50</v>
      </c>
      <c r="M8" s="34" t="s">
        <v>47</v>
      </c>
      <c r="N8" s="34" t="s">
        <v>54</v>
      </c>
      <c r="O8" s="35" t="s">
        <v>55</v>
      </c>
      <c r="P8" s="33" t="s">
        <v>45</v>
      </c>
      <c r="Q8" s="35" t="s">
        <v>54</v>
      </c>
      <c r="R8" s="35" t="s">
        <v>60</v>
      </c>
      <c r="S8" s="33" t="s">
        <v>54</v>
      </c>
      <c r="T8" s="39" t="s">
        <v>63</v>
      </c>
      <c r="U8" s="39" t="s">
        <v>60</v>
      </c>
      <c r="V8" s="39" t="s">
        <v>67</v>
      </c>
      <c r="W8" s="40"/>
      <c r="X8" s="33" t="s">
        <v>45</v>
      </c>
      <c r="Y8" s="34" t="s">
        <v>47</v>
      </c>
      <c r="Z8" s="34" t="s">
        <v>50</v>
      </c>
      <c r="AA8" s="34" t="s">
        <v>47</v>
      </c>
      <c r="AB8" s="34" t="s">
        <v>54</v>
      </c>
      <c r="AC8" s="35" t="s">
        <v>55</v>
      </c>
      <c r="AD8" s="33" t="s">
        <v>45</v>
      </c>
      <c r="AE8" s="34" t="s">
        <v>47</v>
      </c>
      <c r="AF8" s="34" t="s">
        <v>50</v>
      </c>
      <c r="AG8" s="34" t="s">
        <v>47</v>
      </c>
      <c r="AH8" s="34" t="s">
        <v>54</v>
      </c>
      <c r="AI8" s="35" t="s">
        <v>55</v>
      </c>
      <c r="AJ8" s="33" t="s">
        <v>45</v>
      </c>
      <c r="AK8" s="35" t="s">
        <v>54</v>
      </c>
      <c r="AL8" s="35" t="s">
        <v>60</v>
      </c>
      <c r="AM8" s="33" t="s">
        <v>54</v>
      </c>
      <c r="AN8" s="39" t="s">
        <v>63</v>
      </c>
      <c r="AO8" s="39" t="s">
        <v>60</v>
      </c>
      <c r="AP8" s="39" t="s">
        <v>67</v>
      </c>
      <c r="AQ8" s="28"/>
      <c r="AR8" s="33" t="s">
        <v>45</v>
      </c>
      <c r="AS8" s="34" t="s">
        <v>47</v>
      </c>
      <c r="AT8" s="34" t="s">
        <v>50</v>
      </c>
      <c r="AU8" s="34" t="s">
        <v>47</v>
      </c>
      <c r="AV8" s="34" t="s">
        <v>54</v>
      </c>
      <c r="AW8" s="35" t="s">
        <v>55</v>
      </c>
      <c r="AX8" s="33" t="s">
        <v>45</v>
      </c>
      <c r="AY8" s="34" t="s">
        <v>47</v>
      </c>
      <c r="AZ8" s="34" t="s">
        <v>50</v>
      </c>
      <c r="BA8" s="34" t="s">
        <v>47</v>
      </c>
      <c r="BB8" s="34" t="s">
        <v>54</v>
      </c>
      <c r="BC8" s="35" t="s">
        <v>55</v>
      </c>
      <c r="BD8" s="33" t="s">
        <v>45</v>
      </c>
      <c r="BE8" s="35" t="s">
        <v>54</v>
      </c>
      <c r="BF8" s="35" t="s">
        <v>60</v>
      </c>
      <c r="BG8" s="33" t="s">
        <v>54</v>
      </c>
      <c r="BH8" s="39" t="s">
        <v>63</v>
      </c>
      <c r="BI8" s="39" t="s">
        <v>60</v>
      </c>
      <c r="BJ8" s="39" t="s">
        <v>67</v>
      </c>
      <c r="BK8" s="29"/>
      <c r="BL8" s="33" t="s">
        <v>54</v>
      </c>
      <c r="BM8" s="39" t="s">
        <v>63</v>
      </c>
      <c r="BN8" s="39" t="s">
        <v>60</v>
      </c>
      <c r="BO8" s="39" t="s">
        <v>67</v>
      </c>
      <c r="BP8" s="33" t="s">
        <v>54</v>
      </c>
      <c r="BQ8" s="39" t="s">
        <v>63</v>
      </c>
      <c r="BR8" s="39" t="s">
        <v>60</v>
      </c>
      <c r="BS8" s="39" t="s">
        <v>67</v>
      </c>
      <c r="BT8" s="33" t="s">
        <v>54</v>
      </c>
      <c r="BU8" s="39" t="s">
        <v>63</v>
      </c>
      <c r="BV8" s="39" t="s">
        <v>60</v>
      </c>
      <c r="BW8" s="39" t="s">
        <v>67</v>
      </c>
      <c r="BX8" s="33" t="s">
        <v>54</v>
      </c>
      <c r="BY8" s="39" t="s">
        <v>63</v>
      </c>
      <c r="BZ8" s="39" t="s">
        <v>60</v>
      </c>
      <c r="CA8" s="39" t="s">
        <v>67</v>
      </c>
      <c r="CB8" s="24"/>
    </row>
    <row r="9" spans="1:80" ht="15.75">
      <c r="A9" s="41" t="s">
        <v>1</v>
      </c>
      <c r="B9" s="42"/>
      <c r="C9" s="43"/>
      <c r="D9" s="44"/>
      <c r="E9" s="45"/>
      <c r="F9" s="45"/>
      <c r="G9" s="43"/>
      <c r="H9" s="45"/>
      <c r="I9" s="43"/>
      <c r="J9" s="46"/>
      <c r="K9" s="43"/>
      <c r="L9" s="43"/>
      <c r="M9" s="43"/>
      <c r="N9" s="43"/>
      <c r="O9" s="43"/>
      <c r="P9" s="44"/>
      <c r="Q9" s="45"/>
      <c r="R9" s="43"/>
      <c r="S9" s="44"/>
      <c r="T9" s="47"/>
      <c r="U9" s="47"/>
      <c r="V9" s="47"/>
      <c r="W9" s="48"/>
      <c r="X9" s="44"/>
      <c r="Y9" s="45"/>
      <c r="Z9" s="45"/>
      <c r="AA9" s="43"/>
      <c r="AB9" s="45"/>
      <c r="AC9" s="43"/>
      <c r="AD9" s="46"/>
      <c r="AE9" s="43"/>
      <c r="AF9" s="43"/>
      <c r="AG9" s="43"/>
      <c r="AH9" s="43"/>
      <c r="AI9" s="43"/>
      <c r="AJ9" s="44"/>
      <c r="AK9" s="45"/>
      <c r="AL9" s="43"/>
      <c r="AM9" s="44"/>
      <c r="AN9" s="47"/>
      <c r="AO9" s="47"/>
      <c r="AP9" s="47"/>
      <c r="AQ9" s="28"/>
      <c r="AR9" s="44"/>
      <c r="AS9" s="45"/>
      <c r="AT9" s="45"/>
      <c r="AU9" s="43"/>
      <c r="AV9" s="45"/>
      <c r="AW9" s="43"/>
      <c r="AX9" s="46"/>
      <c r="AY9" s="43"/>
      <c r="AZ9" s="43"/>
      <c r="BA9" s="43"/>
      <c r="BB9" s="43"/>
      <c r="BC9" s="43"/>
      <c r="BD9" s="44"/>
      <c r="BE9" s="45"/>
      <c r="BF9" s="43"/>
      <c r="BG9" s="44"/>
      <c r="BH9" s="47"/>
      <c r="BI9" s="47"/>
      <c r="BJ9" s="47"/>
      <c r="BK9" s="29"/>
      <c r="BL9" s="44"/>
      <c r="BM9" s="47"/>
      <c r="BN9" s="47"/>
      <c r="BO9" s="47"/>
      <c r="BP9" s="44"/>
      <c r="BQ9" s="47"/>
      <c r="BR9" s="47"/>
      <c r="BS9" s="47"/>
      <c r="BT9" s="44"/>
      <c r="BU9" s="47"/>
      <c r="BV9" s="47"/>
      <c r="BW9" s="47"/>
      <c r="BX9" s="44"/>
      <c r="BY9" s="47"/>
      <c r="BZ9" s="47"/>
      <c r="CA9" s="47"/>
      <c r="CB9" s="24"/>
    </row>
    <row r="10" spans="1:80" ht="15.75">
      <c r="A10" s="49"/>
      <c r="B10" s="50"/>
      <c r="C10" s="9" t="s">
        <v>20</v>
      </c>
      <c r="D10" s="51">
        <v>88</v>
      </c>
      <c r="E10" s="52">
        <v>30</v>
      </c>
      <c r="F10" s="52">
        <v>7</v>
      </c>
      <c r="G10" s="9">
        <f>(493+555+586)*$A$53</f>
        <v>1919.95</v>
      </c>
      <c r="H10" s="52">
        <f>(D10*E10/F10)</f>
        <v>377.14285714285717</v>
      </c>
      <c r="I10" s="9">
        <f>(D10*G10)/F10</f>
        <v>24136.514285714286</v>
      </c>
      <c r="J10" s="53"/>
      <c r="K10" s="9"/>
      <c r="L10" s="9"/>
      <c r="M10" s="9"/>
      <c r="N10" s="9"/>
      <c r="O10" s="9"/>
      <c r="P10" s="51"/>
      <c r="Q10" s="52"/>
      <c r="R10" s="9"/>
      <c r="S10" s="51">
        <f>(H10+N10)</f>
        <v>377.14285714285717</v>
      </c>
      <c r="T10" s="54">
        <f>(I10+O10)</f>
        <v>24136.514285714286</v>
      </c>
      <c r="U10" s="54"/>
      <c r="V10" s="54"/>
      <c r="W10" s="55"/>
      <c r="X10" s="51">
        <v>88</v>
      </c>
      <c r="Y10" s="52">
        <v>30</v>
      </c>
      <c r="Z10" s="52">
        <v>7</v>
      </c>
      <c r="AA10" s="9">
        <f>(493+555+586)*$A$54</f>
        <v>1957.5319999999999</v>
      </c>
      <c r="AB10" s="52">
        <f>(X10*Y10/Z10)</f>
        <v>377.14285714285717</v>
      </c>
      <c r="AC10" s="9">
        <f>(X10*AA10)/Z10</f>
        <v>24608.973714285712</v>
      </c>
      <c r="AD10" s="53"/>
      <c r="AE10" s="9"/>
      <c r="AF10" s="9"/>
      <c r="AG10" s="9"/>
      <c r="AH10" s="9"/>
      <c r="AI10" s="9"/>
      <c r="AJ10" s="51"/>
      <c r="AK10" s="52"/>
      <c r="AL10" s="9"/>
      <c r="AM10" s="51">
        <f>(AB10+AH10)</f>
        <v>377.14285714285717</v>
      </c>
      <c r="AN10" s="54">
        <f>(AC10+AI10)</f>
        <v>24608.973714285712</v>
      </c>
      <c r="AO10" s="54"/>
      <c r="AP10" s="54"/>
      <c r="AQ10" s="28"/>
      <c r="AR10" s="51">
        <v>88</v>
      </c>
      <c r="AS10" s="52">
        <v>30</v>
      </c>
      <c r="AT10" s="52">
        <v>7</v>
      </c>
      <c r="AU10" s="9">
        <f>(493+555+586)*$A$55</f>
        <v>1998.3820000000001</v>
      </c>
      <c r="AV10" s="52">
        <f>(AR10*AS10/AT10)</f>
        <v>377.14285714285717</v>
      </c>
      <c r="AW10" s="9">
        <f>(AR10*AU10)/AT10</f>
        <v>25122.516571428572</v>
      </c>
      <c r="AX10" s="53"/>
      <c r="AY10" s="9"/>
      <c r="AZ10" s="9"/>
      <c r="BA10" s="9"/>
      <c r="BB10" s="9"/>
      <c r="BC10" s="9"/>
      <c r="BD10" s="51"/>
      <c r="BE10" s="52"/>
      <c r="BF10" s="9"/>
      <c r="BG10" s="51">
        <f>(AV10+BB10)</f>
        <v>377.14285714285717</v>
      </c>
      <c r="BH10" s="54">
        <f>(AW10+BC10)</f>
        <v>25122.516571428572</v>
      </c>
      <c r="BI10" s="54"/>
      <c r="BJ10" s="54"/>
      <c r="BK10" s="29"/>
      <c r="BL10" s="51">
        <f>(S10)</f>
        <v>377.14285714285717</v>
      </c>
      <c r="BM10" s="54">
        <f>(T10)</f>
        <v>24136.514285714286</v>
      </c>
      <c r="BN10" s="54"/>
      <c r="BO10" s="54"/>
      <c r="BP10" s="51">
        <f>(AM10)</f>
        <v>377.14285714285717</v>
      </c>
      <c r="BQ10" s="54">
        <f>(AN10)</f>
        <v>24608.973714285712</v>
      </c>
      <c r="BR10" s="54"/>
      <c r="BS10" s="54"/>
      <c r="BT10" s="51">
        <f>(BG10)</f>
        <v>377.14285714285717</v>
      </c>
      <c r="BU10" s="54">
        <f>(BH10)</f>
        <v>25122.516571428572</v>
      </c>
      <c r="BV10" s="54"/>
      <c r="BW10" s="54"/>
      <c r="BX10" s="51">
        <f>(BL10+BP10+BT10)/3</f>
        <v>377.14285714285717</v>
      </c>
      <c r="BY10" s="54">
        <f>(BM10+BQ10+BU10)/3</f>
        <v>24622.66819047619</v>
      </c>
      <c r="BZ10" s="54"/>
      <c r="CA10" s="54"/>
      <c r="CB10" s="24"/>
    </row>
    <row r="11" spans="1:80" ht="15.75">
      <c r="A11" s="49"/>
      <c r="B11" s="50"/>
      <c r="C11" s="9" t="s">
        <v>21</v>
      </c>
      <c r="D11" s="51">
        <v>88</v>
      </c>
      <c r="E11" s="52">
        <v>8</v>
      </c>
      <c r="F11" s="52">
        <v>7</v>
      </c>
      <c r="G11" s="9">
        <f>(197+222)*$A$53</f>
        <v>492.32500000000005</v>
      </c>
      <c r="H11" s="52">
        <f>(D11*E11/F11)</f>
        <v>100.57142857142857</v>
      </c>
      <c r="I11" s="9">
        <f>(D11*G11)/F11</f>
        <v>6189.2285714285726</v>
      </c>
      <c r="J11" s="53"/>
      <c r="K11" s="9"/>
      <c r="L11" s="9"/>
      <c r="M11" s="9"/>
      <c r="N11" s="9"/>
      <c r="O11" s="9"/>
      <c r="P11" s="51"/>
      <c r="Q11" s="52"/>
      <c r="R11" s="9"/>
      <c r="S11" s="51">
        <f>(H11+N11)</f>
        <v>100.57142857142857</v>
      </c>
      <c r="T11" s="54">
        <f>(I11+O11)</f>
        <v>6189.2285714285726</v>
      </c>
      <c r="U11" s="54"/>
      <c r="V11" s="54"/>
      <c r="W11" s="55"/>
      <c r="X11" s="51">
        <v>88</v>
      </c>
      <c r="Y11" s="52">
        <v>8</v>
      </c>
      <c r="Z11" s="52">
        <v>7</v>
      </c>
      <c r="AA11" s="9">
        <f>(197+222)*$A$54</f>
        <v>501.96199999999999</v>
      </c>
      <c r="AB11" s="52">
        <f>(X11*Y11/Z11)</f>
        <v>100.57142857142857</v>
      </c>
      <c r="AC11" s="9">
        <f>(X11*AA11)/Z11</f>
        <v>6310.3794285714293</v>
      </c>
      <c r="AD11" s="53"/>
      <c r="AE11" s="9"/>
      <c r="AF11" s="9"/>
      <c r="AG11" s="9"/>
      <c r="AH11" s="9"/>
      <c r="AI11" s="9"/>
      <c r="AJ11" s="51"/>
      <c r="AK11" s="52"/>
      <c r="AL11" s="9"/>
      <c r="AM11" s="51">
        <f>(AB11+AH11)</f>
        <v>100.57142857142857</v>
      </c>
      <c r="AN11" s="54">
        <f>(AC11+AI11)</f>
        <v>6310.3794285714293</v>
      </c>
      <c r="AO11" s="54"/>
      <c r="AP11" s="54"/>
      <c r="AQ11" s="28"/>
      <c r="AR11" s="51">
        <v>88</v>
      </c>
      <c r="AS11" s="52">
        <v>8</v>
      </c>
      <c r="AT11" s="52">
        <v>7</v>
      </c>
      <c r="AU11" s="9">
        <f>(197+222)*$A$55</f>
        <v>512.43700000000001</v>
      </c>
      <c r="AV11" s="52">
        <f>(AR11*AS11/AT11)</f>
        <v>100.57142857142857</v>
      </c>
      <c r="AW11" s="9">
        <f>(AR11*AU11)/AT11</f>
        <v>6442.0651428571427</v>
      </c>
      <c r="AX11" s="53"/>
      <c r="AY11" s="9"/>
      <c r="AZ11" s="9"/>
      <c r="BA11" s="9"/>
      <c r="BB11" s="9"/>
      <c r="BC11" s="9"/>
      <c r="BD11" s="51"/>
      <c r="BE11" s="52"/>
      <c r="BF11" s="9"/>
      <c r="BG11" s="51">
        <f>(AV11+BB11)</f>
        <v>100.57142857142857</v>
      </c>
      <c r="BH11" s="54">
        <f>(AW11+BC11)</f>
        <v>6442.0651428571427</v>
      </c>
      <c r="BI11" s="54"/>
      <c r="BJ11" s="54"/>
      <c r="BK11" s="29"/>
      <c r="BL11" s="51">
        <f>(S11)</f>
        <v>100.57142857142857</v>
      </c>
      <c r="BM11" s="54">
        <f>(T11)</f>
        <v>6189.2285714285726</v>
      </c>
      <c r="BN11" s="54"/>
      <c r="BO11" s="54"/>
      <c r="BP11" s="51">
        <f>(AM11)</f>
        <v>100.57142857142857</v>
      </c>
      <c r="BQ11" s="54">
        <f>(AN11)</f>
        <v>6310.3794285714293</v>
      </c>
      <c r="BR11" s="54"/>
      <c r="BS11" s="54"/>
      <c r="BT11" s="51">
        <f>(BG11)</f>
        <v>100.57142857142857</v>
      </c>
      <c r="BU11" s="54">
        <f>(BH11)</f>
        <v>6442.0651428571427</v>
      </c>
      <c r="BV11" s="54"/>
      <c r="BW11" s="54"/>
      <c r="BX11" s="51">
        <f>(BL11+BP11+BT11)/3</f>
        <v>100.57142857142857</v>
      </c>
      <c r="BY11" s="54">
        <f>(BM11+BQ11+BU11)/3</f>
        <v>6313.8910476190476</v>
      </c>
      <c r="BZ11" s="54"/>
      <c r="CA11" s="54"/>
      <c r="CB11" s="24"/>
    </row>
    <row r="12" spans="1:80" ht="15.75">
      <c r="A12" s="16" t="s">
        <v>2</v>
      </c>
      <c r="B12" s="19"/>
      <c r="C12" s="18"/>
      <c r="D12" s="56"/>
      <c r="E12" s="57"/>
      <c r="F12" s="57"/>
      <c r="G12" s="18"/>
      <c r="H12" s="57">
        <f>SUM(H10:H11)</f>
        <v>477.71428571428572</v>
      </c>
      <c r="I12" s="18">
        <f>SUM(I10:I11)</f>
        <v>30325.742857142857</v>
      </c>
      <c r="J12" s="58"/>
      <c r="K12" s="18"/>
      <c r="L12" s="18"/>
      <c r="M12" s="18"/>
      <c r="N12" s="57"/>
      <c r="O12" s="18"/>
      <c r="P12" s="56"/>
      <c r="Q12" s="57"/>
      <c r="R12" s="18"/>
      <c r="S12" s="56">
        <f>SUM(S10:S11)</f>
        <v>477.71428571428572</v>
      </c>
      <c r="T12" s="59">
        <f>SUM(T10:T11)</f>
        <v>30325.742857142857</v>
      </c>
      <c r="U12" s="59"/>
      <c r="V12" s="59"/>
      <c r="W12" s="48"/>
      <c r="X12" s="56"/>
      <c r="Y12" s="57"/>
      <c r="Z12" s="57"/>
      <c r="AA12" s="18"/>
      <c r="AB12" s="57">
        <f>SUM(AB10:AB11)</f>
        <v>477.71428571428572</v>
      </c>
      <c r="AC12" s="18">
        <f>SUM(AC10:AC11)</f>
        <v>30919.35314285714</v>
      </c>
      <c r="AD12" s="58"/>
      <c r="AE12" s="18"/>
      <c r="AF12" s="18"/>
      <c r="AG12" s="18"/>
      <c r="AH12" s="57"/>
      <c r="AI12" s="18"/>
      <c r="AJ12" s="56"/>
      <c r="AK12" s="57"/>
      <c r="AL12" s="18"/>
      <c r="AM12" s="56">
        <f>SUM(AM10:AM11)</f>
        <v>477.71428571428572</v>
      </c>
      <c r="AN12" s="59">
        <f>SUM(AN10:AN11)</f>
        <v>30919.35314285714</v>
      </c>
      <c r="AO12" s="59"/>
      <c r="AP12" s="59"/>
      <c r="AQ12" s="28"/>
      <c r="AR12" s="56"/>
      <c r="AS12" s="57"/>
      <c r="AT12" s="57"/>
      <c r="AU12" s="18"/>
      <c r="AV12" s="57">
        <f>SUM(AV10:AV11)</f>
        <v>477.71428571428572</v>
      </c>
      <c r="AW12" s="18">
        <f>SUM(AW10:AW11)</f>
        <v>31564.581714285716</v>
      </c>
      <c r="AX12" s="58"/>
      <c r="AY12" s="18"/>
      <c r="AZ12" s="18"/>
      <c r="BA12" s="18"/>
      <c r="BB12" s="57"/>
      <c r="BC12" s="18"/>
      <c r="BD12" s="56"/>
      <c r="BE12" s="57"/>
      <c r="BF12" s="18"/>
      <c r="BG12" s="56">
        <f>SUM(BG10:BG11)</f>
        <v>477.71428571428572</v>
      </c>
      <c r="BH12" s="59">
        <f>SUM(BH10:BH11)</f>
        <v>31564.581714285716</v>
      </c>
      <c r="BI12" s="59"/>
      <c r="BJ12" s="59"/>
      <c r="BK12" s="29"/>
      <c r="BL12" s="56">
        <f>SUM(BL10:BL11)</f>
        <v>477.71428571428572</v>
      </c>
      <c r="BM12" s="59">
        <f>SUM(BM10:BM11)</f>
        <v>30325.742857142857</v>
      </c>
      <c r="BN12" s="59"/>
      <c r="BO12" s="59"/>
      <c r="BP12" s="56">
        <f>SUM(BP10:BP11)</f>
        <v>477.71428571428572</v>
      </c>
      <c r="BQ12" s="59">
        <f>SUM(BQ10:BQ11)</f>
        <v>30919.35314285714</v>
      </c>
      <c r="BR12" s="59"/>
      <c r="BS12" s="59"/>
      <c r="BT12" s="56">
        <f>SUM(BT10:BT11)</f>
        <v>477.71428571428572</v>
      </c>
      <c r="BU12" s="59">
        <f>SUM(BU10:BU11)</f>
        <v>31564.581714285716</v>
      </c>
      <c r="BV12" s="59"/>
      <c r="BW12" s="59"/>
      <c r="BX12" s="56">
        <f>SUM(BX10:BX11)</f>
        <v>477.71428571428572</v>
      </c>
      <c r="BY12" s="59">
        <f>SUM(BY10:BY11)</f>
        <v>30936.559238095237</v>
      </c>
      <c r="BZ12" s="59"/>
      <c r="CA12" s="59"/>
      <c r="CB12" s="24"/>
    </row>
    <row r="13" spans="1:80" ht="15.75">
      <c r="A13" s="41" t="s">
        <v>3</v>
      </c>
      <c r="B13" s="42"/>
      <c r="C13" s="43"/>
      <c r="D13" s="44"/>
      <c r="E13" s="45"/>
      <c r="F13" s="45"/>
      <c r="G13" s="43"/>
      <c r="H13" s="45"/>
      <c r="I13" s="43"/>
      <c r="J13" s="46"/>
      <c r="K13" s="43"/>
      <c r="L13" s="43"/>
      <c r="M13" s="43"/>
      <c r="N13" s="43"/>
      <c r="O13" s="43"/>
      <c r="P13" s="44"/>
      <c r="Q13" s="45"/>
      <c r="R13" s="43"/>
      <c r="S13" s="44"/>
      <c r="T13" s="47"/>
      <c r="U13" s="47"/>
      <c r="V13" s="47"/>
      <c r="W13" s="48"/>
      <c r="X13" s="44"/>
      <c r="Y13" s="45"/>
      <c r="Z13" s="45"/>
      <c r="AA13" s="43"/>
      <c r="AB13" s="45"/>
      <c r="AC13" s="43"/>
      <c r="AD13" s="46"/>
      <c r="AE13" s="43"/>
      <c r="AF13" s="43"/>
      <c r="AG13" s="43"/>
      <c r="AH13" s="43"/>
      <c r="AI13" s="43"/>
      <c r="AJ13" s="44"/>
      <c r="AK13" s="45"/>
      <c r="AL13" s="43"/>
      <c r="AM13" s="44"/>
      <c r="AN13" s="47"/>
      <c r="AO13" s="47"/>
      <c r="AP13" s="47"/>
      <c r="AQ13" s="28"/>
      <c r="AR13" s="44"/>
      <c r="AS13" s="45"/>
      <c r="AT13" s="45"/>
      <c r="AU13" s="43"/>
      <c r="AV13" s="45"/>
      <c r="AW13" s="43"/>
      <c r="AX13" s="46"/>
      <c r="AY13" s="43"/>
      <c r="AZ13" s="43"/>
      <c r="BA13" s="43"/>
      <c r="BB13" s="43"/>
      <c r="BC13" s="43"/>
      <c r="BD13" s="44"/>
      <c r="BE13" s="45"/>
      <c r="BF13" s="43"/>
      <c r="BG13" s="44"/>
      <c r="BH13" s="47"/>
      <c r="BI13" s="47"/>
      <c r="BJ13" s="47"/>
      <c r="BK13" s="29"/>
      <c r="BL13" s="44"/>
      <c r="BM13" s="47"/>
      <c r="BN13" s="47"/>
      <c r="BO13" s="47"/>
      <c r="BP13" s="44"/>
      <c r="BQ13" s="47"/>
      <c r="BR13" s="47"/>
      <c r="BS13" s="47"/>
      <c r="BT13" s="44"/>
      <c r="BU13" s="47"/>
      <c r="BV13" s="47"/>
      <c r="BW13" s="47"/>
      <c r="BX13" s="44"/>
      <c r="BY13" s="47"/>
      <c r="BZ13" s="47"/>
      <c r="CA13" s="47"/>
      <c r="CB13" s="24"/>
    </row>
    <row r="14" spans="1:80" ht="15.75">
      <c r="A14" s="49"/>
      <c r="B14" s="50"/>
      <c r="C14" s="9" t="s">
        <v>22</v>
      </c>
      <c r="D14" s="51">
        <v>311</v>
      </c>
      <c r="E14" s="52"/>
      <c r="F14" s="52">
        <v>7</v>
      </c>
      <c r="G14" s="9">
        <f>10000*$A$53</f>
        <v>11750</v>
      </c>
      <c r="H14" s="52"/>
      <c r="I14" s="9">
        <f>(D14*G14)/F14</f>
        <v>522035.71428571426</v>
      </c>
      <c r="J14" s="53"/>
      <c r="K14" s="9"/>
      <c r="L14" s="9"/>
      <c r="M14" s="9"/>
      <c r="N14" s="9"/>
      <c r="O14" s="9"/>
      <c r="P14" s="51"/>
      <c r="Q14" s="52"/>
      <c r="R14" s="9"/>
      <c r="S14" s="51"/>
      <c r="T14" s="54"/>
      <c r="U14" s="54"/>
      <c r="V14" s="54">
        <f>(I14+O14)</f>
        <v>522035.71428571426</v>
      </c>
      <c r="W14" s="55"/>
      <c r="X14" s="51">
        <v>311</v>
      </c>
      <c r="Y14" s="52"/>
      <c r="Z14" s="52">
        <v>7</v>
      </c>
      <c r="AA14" s="9">
        <f>10000*$A$54</f>
        <v>11980</v>
      </c>
      <c r="AB14" s="52"/>
      <c r="AC14" s="9">
        <f>(X14*AA14)/Z14</f>
        <v>532254.28571428568</v>
      </c>
      <c r="AD14" s="51"/>
      <c r="AE14" s="9"/>
      <c r="AF14" s="52"/>
      <c r="AG14" s="9"/>
      <c r="AH14" s="9"/>
      <c r="AI14" s="9"/>
      <c r="AJ14" s="51"/>
      <c r="AK14" s="52"/>
      <c r="AL14" s="9"/>
      <c r="AM14" s="51"/>
      <c r="AN14" s="54"/>
      <c r="AO14" s="54"/>
      <c r="AP14" s="54">
        <f>(AC14+AI14)</f>
        <v>532254.28571428568</v>
      </c>
      <c r="AQ14" s="28"/>
      <c r="AR14" s="51">
        <v>311</v>
      </c>
      <c r="AS14" s="52"/>
      <c r="AT14" s="52">
        <v>7</v>
      </c>
      <c r="AU14" s="9">
        <f>10000*$A$55</f>
        <v>12230</v>
      </c>
      <c r="AV14" s="52"/>
      <c r="AW14" s="9">
        <f>(AR14*AU14)/AT14</f>
        <v>543361.42857142852</v>
      </c>
      <c r="AX14" s="53"/>
      <c r="AY14" s="9"/>
      <c r="AZ14" s="9"/>
      <c r="BA14" s="9"/>
      <c r="BB14" s="9"/>
      <c r="BC14" s="9"/>
      <c r="BD14" s="51"/>
      <c r="BE14" s="52"/>
      <c r="BF14" s="9"/>
      <c r="BG14" s="51"/>
      <c r="BH14" s="54"/>
      <c r="BI14" s="54"/>
      <c r="BJ14" s="54">
        <f>(AW14+BC14)</f>
        <v>543361.42857142852</v>
      </c>
      <c r="BK14" s="29"/>
      <c r="BL14" s="51"/>
      <c r="BM14" s="54"/>
      <c r="BN14" s="54"/>
      <c r="BO14" s="54">
        <f>(V14)</f>
        <v>522035.71428571426</v>
      </c>
      <c r="BP14" s="51"/>
      <c r="BQ14" s="54"/>
      <c r="BR14" s="54"/>
      <c r="BS14" s="54">
        <f>(AP14)</f>
        <v>532254.28571428568</v>
      </c>
      <c r="BT14" s="51"/>
      <c r="BU14" s="54"/>
      <c r="BV14" s="54"/>
      <c r="BW14" s="54">
        <f>(BJ14)</f>
        <v>543361.42857142852</v>
      </c>
      <c r="BX14" s="51"/>
      <c r="BY14" s="54"/>
      <c r="BZ14" s="54"/>
      <c r="CA14" s="54">
        <f>(BO14+BS14+BW14)/3</f>
        <v>532550.47619047621</v>
      </c>
      <c r="CB14" s="24"/>
    </row>
    <row r="15" spans="1:80" ht="15.75">
      <c r="A15" s="49"/>
      <c r="B15" s="50"/>
      <c r="C15" s="9" t="s">
        <v>23</v>
      </c>
      <c r="D15" s="51">
        <f>(D14*0.05)</f>
        <v>15.55</v>
      </c>
      <c r="E15" s="52"/>
      <c r="F15" s="52">
        <v>7</v>
      </c>
      <c r="G15" s="9">
        <f>10000*$A$53</f>
        <v>11750</v>
      </c>
      <c r="H15" s="52"/>
      <c r="I15" s="9">
        <f>(D15*G15)/F15</f>
        <v>26101.785714285714</v>
      </c>
      <c r="J15" s="53"/>
      <c r="K15" s="9"/>
      <c r="L15" s="9"/>
      <c r="M15" s="9"/>
      <c r="N15" s="9"/>
      <c r="O15" s="9"/>
      <c r="P15" s="51"/>
      <c r="Q15" s="52"/>
      <c r="R15" s="9"/>
      <c r="S15" s="51"/>
      <c r="T15" s="54"/>
      <c r="U15" s="54"/>
      <c r="V15" s="54">
        <f>(I15+O15)</f>
        <v>26101.785714285714</v>
      </c>
      <c r="W15" s="55"/>
      <c r="X15" s="51">
        <f>(X14*0.05)</f>
        <v>15.55</v>
      </c>
      <c r="Y15" s="52"/>
      <c r="Z15" s="52">
        <v>7</v>
      </c>
      <c r="AA15" s="9">
        <f>10000*$A$54</f>
        <v>11980</v>
      </c>
      <c r="AB15" s="52"/>
      <c r="AC15" s="9">
        <f>(X15*AA15)/Z15</f>
        <v>26612.714285714286</v>
      </c>
      <c r="AD15" s="51"/>
      <c r="AE15" s="9"/>
      <c r="AF15" s="52"/>
      <c r="AG15" s="9"/>
      <c r="AH15" s="9"/>
      <c r="AI15" s="9"/>
      <c r="AJ15" s="51"/>
      <c r="AK15" s="52"/>
      <c r="AL15" s="9"/>
      <c r="AM15" s="51"/>
      <c r="AN15" s="54"/>
      <c r="AO15" s="54"/>
      <c r="AP15" s="54">
        <f>(AC15+AI15)</f>
        <v>26612.714285714286</v>
      </c>
      <c r="AQ15" s="28"/>
      <c r="AR15" s="51">
        <f>(AR14*0.05)</f>
        <v>15.55</v>
      </c>
      <c r="AS15" s="52"/>
      <c r="AT15" s="52">
        <v>7</v>
      </c>
      <c r="AU15" s="9">
        <f>10000*$A$55</f>
        <v>12230</v>
      </c>
      <c r="AV15" s="52"/>
      <c r="AW15" s="9">
        <f>(AR15*AU15)/AT15</f>
        <v>27168.071428571428</v>
      </c>
      <c r="AX15" s="53"/>
      <c r="AY15" s="9"/>
      <c r="AZ15" s="9"/>
      <c r="BA15" s="9"/>
      <c r="BB15" s="9"/>
      <c r="BC15" s="9"/>
      <c r="BD15" s="51"/>
      <c r="BE15" s="52"/>
      <c r="BF15" s="9"/>
      <c r="BG15" s="51"/>
      <c r="BH15" s="54"/>
      <c r="BI15" s="54"/>
      <c r="BJ15" s="54">
        <f>(AW15+BC15)</f>
        <v>27168.071428571428</v>
      </c>
      <c r="BK15" s="29"/>
      <c r="BL15" s="51"/>
      <c r="BM15" s="54"/>
      <c r="BN15" s="54"/>
      <c r="BO15" s="54">
        <f>(V15)</f>
        <v>26101.785714285714</v>
      </c>
      <c r="BP15" s="51"/>
      <c r="BQ15" s="54"/>
      <c r="BR15" s="54"/>
      <c r="BS15" s="54">
        <f>(AP15)</f>
        <v>26612.714285714286</v>
      </c>
      <c r="BT15" s="51"/>
      <c r="BU15" s="54"/>
      <c r="BV15" s="54"/>
      <c r="BW15" s="54">
        <f>(BJ15)</f>
        <v>27168.071428571428</v>
      </c>
      <c r="BX15" s="51"/>
      <c r="BY15" s="54"/>
      <c r="BZ15" s="54"/>
      <c r="CA15" s="54">
        <f>(BO15+BS15+BW15)/3</f>
        <v>26627.523809523806</v>
      </c>
      <c r="CB15" s="24"/>
    </row>
    <row r="16" spans="1:80" ht="15.75">
      <c r="A16" s="49"/>
      <c r="B16" s="50"/>
      <c r="C16" s="9" t="s">
        <v>24</v>
      </c>
      <c r="D16" s="51">
        <v>311</v>
      </c>
      <c r="E16" s="52">
        <v>8</v>
      </c>
      <c r="F16" s="52">
        <v>7</v>
      </c>
      <c r="G16" s="9">
        <f>197*$A$53</f>
        <v>231.47500000000002</v>
      </c>
      <c r="H16" s="52">
        <f>(D16*E16/F16)</f>
        <v>355.42857142857144</v>
      </c>
      <c r="I16" s="9">
        <f>(D16*G16)/F16</f>
        <v>10284.103571428572</v>
      </c>
      <c r="J16" s="53"/>
      <c r="K16" s="9"/>
      <c r="L16" s="9"/>
      <c r="M16" s="9"/>
      <c r="N16" s="9"/>
      <c r="O16" s="9"/>
      <c r="P16" s="51"/>
      <c r="Q16" s="52"/>
      <c r="R16" s="9"/>
      <c r="S16" s="51">
        <v>311</v>
      </c>
      <c r="T16" s="54">
        <f>(I16+O16)</f>
        <v>10284.103571428572</v>
      </c>
      <c r="U16" s="54"/>
      <c r="V16" s="54"/>
      <c r="W16" s="55"/>
      <c r="X16" s="51">
        <v>311</v>
      </c>
      <c r="Y16" s="52">
        <v>8</v>
      </c>
      <c r="Z16" s="52">
        <v>7</v>
      </c>
      <c r="AA16" s="9">
        <f>197*$A$54</f>
        <v>236.006</v>
      </c>
      <c r="AB16" s="52">
        <f>(X16*Y16/Z16)</f>
        <v>355.42857142857144</v>
      </c>
      <c r="AC16" s="9">
        <f>(X16*AA16)/Z16</f>
        <v>10485.409428571427</v>
      </c>
      <c r="AD16" s="51"/>
      <c r="AE16" s="52"/>
      <c r="AF16" s="52"/>
      <c r="AG16" s="9"/>
      <c r="AH16" s="52"/>
      <c r="AI16" s="9"/>
      <c r="AJ16" s="51"/>
      <c r="AK16" s="52"/>
      <c r="AL16" s="9"/>
      <c r="AM16" s="51">
        <f>((AB16+AH16))</f>
        <v>355.42857142857144</v>
      </c>
      <c r="AN16" s="54">
        <f>(AC16+AI16)</f>
        <v>10485.409428571427</v>
      </c>
      <c r="AO16" s="54"/>
      <c r="AP16" s="54"/>
      <c r="AQ16" s="28"/>
      <c r="AR16" s="51">
        <v>311</v>
      </c>
      <c r="AS16" s="52">
        <v>8</v>
      </c>
      <c r="AT16" s="52">
        <v>7</v>
      </c>
      <c r="AU16" s="9">
        <f>197*$A$55</f>
        <v>240.93100000000001</v>
      </c>
      <c r="AV16" s="52">
        <f>(AR16*AS16/AT16)</f>
        <v>355.42857142857144</v>
      </c>
      <c r="AW16" s="9">
        <f>(AR16*AU16)/AT16</f>
        <v>10704.220142857142</v>
      </c>
      <c r="AX16" s="53"/>
      <c r="AY16" s="9"/>
      <c r="AZ16" s="9"/>
      <c r="BA16" s="9"/>
      <c r="BB16" s="9"/>
      <c r="BC16" s="9"/>
      <c r="BD16" s="51"/>
      <c r="BE16" s="52"/>
      <c r="BF16" s="9"/>
      <c r="BG16" s="51">
        <f>((AV16+BB16))</f>
        <v>355.42857142857144</v>
      </c>
      <c r="BH16" s="54">
        <f>(AW16+BC16)</f>
        <v>10704.220142857142</v>
      </c>
      <c r="BI16" s="54"/>
      <c r="BJ16" s="54"/>
      <c r="BK16" s="29"/>
      <c r="BL16" s="51">
        <f>(S16)</f>
        <v>311</v>
      </c>
      <c r="BM16" s="54">
        <f>(T16)</f>
        <v>10284.103571428572</v>
      </c>
      <c r="BN16" s="54"/>
      <c r="BO16" s="54"/>
      <c r="BP16" s="51">
        <f>(AM16)</f>
        <v>355.42857142857144</v>
      </c>
      <c r="BQ16" s="54">
        <f>(AN16)</f>
        <v>10485.409428571427</v>
      </c>
      <c r="BR16" s="54"/>
      <c r="BS16" s="54"/>
      <c r="BT16" s="51">
        <f>(BG16)</f>
        <v>355.42857142857144</v>
      </c>
      <c r="BU16" s="54">
        <f>(BH16)</f>
        <v>10704.220142857142</v>
      </c>
      <c r="BV16" s="54"/>
      <c r="BW16" s="54"/>
      <c r="BX16" s="51">
        <f>(BL16+BP16+BT16)/3</f>
        <v>340.61904761904765</v>
      </c>
      <c r="BY16" s="54">
        <f>(BM16+BQ16+BU16)/3</f>
        <v>10491.244380952381</v>
      </c>
      <c r="BZ16" s="54"/>
      <c r="CA16" s="54"/>
      <c r="CB16" s="24"/>
    </row>
    <row r="17" spans="1:80" ht="15.75">
      <c r="A17" s="49"/>
      <c r="B17" s="50"/>
      <c r="C17" s="9" t="s">
        <v>25</v>
      </c>
      <c r="D17" s="51">
        <v>311</v>
      </c>
      <c r="E17" s="52">
        <v>16</v>
      </c>
      <c r="F17" s="52">
        <v>7</v>
      </c>
      <c r="G17" s="9">
        <f>(327+353)*$A$53</f>
        <v>799</v>
      </c>
      <c r="H17" s="52">
        <f>(D17*E17/F17)</f>
        <v>710.85714285714289</v>
      </c>
      <c r="I17" s="9">
        <f>(D17*G17)/F17</f>
        <v>35498.428571428572</v>
      </c>
      <c r="J17" s="53"/>
      <c r="K17" s="9"/>
      <c r="L17" s="9"/>
      <c r="M17" s="9"/>
      <c r="N17" s="9"/>
      <c r="O17" s="9"/>
      <c r="P17" s="51"/>
      <c r="Q17" s="52"/>
      <c r="R17" s="9"/>
      <c r="S17" s="51">
        <v>311</v>
      </c>
      <c r="T17" s="54">
        <f>(I17+O17)</f>
        <v>35498.428571428572</v>
      </c>
      <c r="U17" s="54"/>
      <c r="V17" s="54"/>
      <c r="W17" s="55"/>
      <c r="X17" s="51">
        <v>234</v>
      </c>
      <c r="Y17" s="52">
        <v>16</v>
      </c>
      <c r="Z17" s="52">
        <v>7</v>
      </c>
      <c r="AA17" s="9">
        <f>(327+353)*$A$54</f>
        <v>814.64</v>
      </c>
      <c r="AB17" s="52">
        <f>(X17*Y17/Z17)</f>
        <v>534.85714285714289</v>
      </c>
      <c r="AC17" s="9">
        <f>(X17*AA17)/Z17</f>
        <v>27232.251428571431</v>
      </c>
      <c r="AD17" s="51">
        <v>77</v>
      </c>
      <c r="AE17" s="52">
        <v>16</v>
      </c>
      <c r="AF17" s="52">
        <v>7</v>
      </c>
      <c r="AG17" s="9">
        <f>(327+353)*$A$54</f>
        <v>814.64</v>
      </c>
      <c r="AH17" s="52">
        <f>(AD17*AE17/AF17)</f>
        <v>176</v>
      </c>
      <c r="AI17" s="9">
        <f>(AD17*AG17)/AF17</f>
        <v>8961.0399999999991</v>
      </c>
      <c r="AJ17" s="51">
        <f>(X17+AD17)</f>
        <v>311</v>
      </c>
      <c r="AK17" s="52">
        <f>(AJ17*AE17)/7</f>
        <v>710.85714285714289</v>
      </c>
      <c r="AL17" s="9"/>
      <c r="AM17" s="51">
        <f>((AB17+AH17))</f>
        <v>710.85714285714289</v>
      </c>
      <c r="AN17" s="54">
        <f>(AC17+AI17)</f>
        <v>36193.291428571429</v>
      </c>
      <c r="AO17" s="54"/>
      <c r="AP17" s="54"/>
      <c r="AQ17" s="28"/>
      <c r="AR17" s="51">
        <v>311</v>
      </c>
      <c r="AS17" s="52">
        <v>16</v>
      </c>
      <c r="AT17" s="52">
        <v>7</v>
      </c>
      <c r="AU17" s="9">
        <f>(327+353)*$A$55</f>
        <v>831.6400000000001</v>
      </c>
      <c r="AV17" s="52">
        <f>(AR17*AS17/AT17)</f>
        <v>710.85714285714289</v>
      </c>
      <c r="AW17" s="9">
        <f>(AR17*AU17)/AT17</f>
        <v>36948.577142857146</v>
      </c>
      <c r="AX17" s="53"/>
      <c r="AY17" s="9"/>
      <c r="AZ17" s="9"/>
      <c r="BA17" s="9"/>
      <c r="BB17" s="9"/>
      <c r="BC17" s="9"/>
      <c r="BD17" s="51"/>
      <c r="BE17" s="52"/>
      <c r="BF17" s="9"/>
      <c r="BG17" s="51">
        <f>((AV17+BB17))</f>
        <v>710.85714285714289</v>
      </c>
      <c r="BH17" s="54">
        <f>(AW17+BC17)</f>
        <v>36948.577142857146</v>
      </c>
      <c r="BI17" s="54"/>
      <c r="BJ17" s="54"/>
      <c r="BK17" s="29"/>
      <c r="BL17" s="51">
        <f>(S17)</f>
        <v>311</v>
      </c>
      <c r="BM17" s="54">
        <f>(T17)</f>
        <v>35498.428571428572</v>
      </c>
      <c r="BN17" s="54"/>
      <c r="BO17" s="54"/>
      <c r="BP17" s="51">
        <f>(AM17)</f>
        <v>710.85714285714289</v>
      </c>
      <c r="BQ17" s="54">
        <f>(AN17)</f>
        <v>36193.291428571429</v>
      </c>
      <c r="BR17" s="54"/>
      <c r="BS17" s="54"/>
      <c r="BT17" s="51">
        <f>(BG17)</f>
        <v>710.85714285714289</v>
      </c>
      <c r="BU17" s="54">
        <f>(BH17)</f>
        <v>36948.577142857146</v>
      </c>
      <c r="BV17" s="54"/>
      <c r="BW17" s="54"/>
      <c r="BX17" s="51">
        <f>(BL17+BP17+BT17)/3</f>
        <v>577.57142857142856</v>
      </c>
      <c r="BY17" s="54">
        <f>(BM17+BQ17+BU17)/3</f>
        <v>36213.432380952385</v>
      </c>
      <c r="BZ17" s="54"/>
      <c r="CA17" s="54"/>
      <c r="CB17" s="24"/>
    </row>
    <row r="18" spans="1:80" ht="15.75">
      <c r="A18" s="16" t="s">
        <v>4</v>
      </c>
      <c r="B18" s="19"/>
      <c r="C18" s="18"/>
      <c r="D18" s="56"/>
      <c r="E18" s="57"/>
      <c r="F18" s="57"/>
      <c r="G18" s="18"/>
      <c r="H18" s="57">
        <f>SUM(H14:H17)</f>
        <v>1066.2857142857142</v>
      </c>
      <c r="I18" s="18">
        <f>SUM(I14:I17)</f>
        <v>593920.03214285709</v>
      </c>
      <c r="J18" s="58"/>
      <c r="K18" s="18"/>
      <c r="L18" s="18"/>
      <c r="M18" s="18"/>
      <c r="N18" s="57"/>
      <c r="O18" s="18"/>
      <c r="P18" s="56"/>
      <c r="Q18" s="57"/>
      <c r="R18" s="18"/>
      <c r="S18" s="56">
        <f>SUM(S14:S17)</f>
        <v>622</v>
      </c>
      <c r="T18" s="59">
        <f>SUM(T14:T17)</f>
        <v>45782.532142857148</v>
      </c>
      <c r="U18" s="59"/>
      <c r="V18" s="59">
        <f>SUM(V14:V17)</f>
        <v>548137.5</v>
      </c>
      <c r="W18" s="48"/>
      <c r="X18" s="56"/>
      <c r="Y18" s="57"/>
      <c r="Z18" s="57"/>
      <c r="AA18" s="18"/>
      <c r="AB18" s="57">
        <f>SUM(AB14:AB17)</f>
        <v>890.28571428571433</v>
      </c>
      <c r="AC18" s="18">
        <f>SUM(AC14:AC17)</f>
        <v>596584.66085714288</v>
      </c>
      <c r="AD18" s="58"/>
      <c r="AE18" s="18"/>
      <c r="AF18" s="18"/>
      <c r="AG18" s="18"/>
      <c r="AH18" s="57">
        <f>SUM(AH14:AH17)</f>
        <v>176</v>
      </c>
      <c r="AI18" s="18">
        <f>SUM(AI14:AI17)</f>
        <v>8961.0399999999991</v>
      </c>
      <c r="AJ18" s="56"/>
      <c r="AK18" s="57"/>
      <c r="AL18" s="18"/>
      <c r="AM18" s="56">
        <f>SUM(AM14:AM17)</f>
        <v>1066.2857142857142</v>
      </c>
      <c r="AN18" s="59">
        <f>SUM(AN14:AN17)</f>
        <v>46678.70085714286</v>
      </c>
      <c r="AO18" s="59"/>
      <c r="AP18" s="59">
        <f>SUM(AP14:AP17)</f>
        <v>558867</v>
      </c>
      <c r="AQ18" s="28"/>
      <c r="AR18" s="56"/>
      <c r="AS18" s="57"/>
      <c r="AT18" s="57"/>
      <c r="AU18" s="18"/>
      <c r="AV18" s="57">
        <f>SUM(AV14:AV17)</f>
        <v>1066.2857142857142</v>
      </c>
      <c r="AW18" s="18">
        <f>SUM(AW14:AW17)</f>
        <v>618182.2972857143</v>
      </c>
      <c r="AX18" s="58"/>
      <c r="AY18" s="18"/>
      <c r="AZ18" s="18"/>
      <c r="BA18" s="18"/>
      <c r="BB18" s="57"/>
      <c r="BC18" s="18"/>
      <c r="BD18" s="56"/>
      <c r="BE18" s="57"/>
      <c r="BF18" s="18"/>
      <c r="BG18" s="56">
        <f>SUM(BG14:BG17)</f>
        <v>1066.2857142857142</v>
      </c>
      <c r="BH18" s="59">
        <f>SUM(BH14:BH17)</f>
        <v>47652.797285714289</v>
      </c>
      <c r="BI18" s="59"/>
      <c r="BJ18" s="59">
        <f>SUM(BJ14:BJ17)</f>
        <v>570529.5</v>
      </c>
      <c r="BK18" s="29"/>
      <c r="BL18" s="56">
        <f>SUM(BL14:BL17)</f>
        <v>622</v>
      </c>
      <c r="BM18" s="59">
        <f>SUM(BM14:BM17)</f>
        <v>45782.532142857148</v>
      </c>
      <c r="BN18" s="59"/>
      <c r="BO18" s="59">
        <f>SUM(BO14:BO17)</f>
        <v>548137.5</v>
      </c>
      <c r="BP18" s="56">
        <f>SUM(BP14:BP17)</f>
        <v>1066.2857142857142</v>
      </c>
      <c r="BQ18" s="59">
        <f>SUM(BQ14:BQ17)</f>
        <v>46678.70085714286</v>
      </c>
      <c r="BR18" s="59"/>
      <c r="BS18" s="59">
        <f>SUM(BS14:BS17)</f>
        <v>558867</v>
      </c>
      <c r="BT18" s="56">
        <f>SUM(BT14:BT17)</f>
        <v>1066.2857142857142</v>
      </c>
      <c r="BU18" s="59">
        <f>SUM(BU14:BU17)</f>
        <v>47652.797285714289</v>
      </c>
      <c r="BV18" s="59"/>
      <c r="BW18" s="59">
        <f>SUM(BW14:BW17)</f>
        <v>570529.5</v>
      </c>
      <c r="BX18" s="56">
        <f>SUM(BX14:BX17)</f>
        <v>918.19047619047615</v>
      </c>
      <c r="BY18" s="59">
        <f>SUM(BY14:BY17)</f>
        <v>46704.676761904768</v>
      </c>
      <c r="BZ18" s="59"/>
      <c r="CA18" s="59">
        <f>SUM(CA14:CA17)</f>
        <v>559178</v>
      </c>
      <c r="CB18" s="24"/>
    </row>
    <row r="19" spans="1:80" ht="15.75">
      <c r="A19" s="41" t="s">
        <v>5</v>
      </c>
      <c r="B19" s="42"/>
      <c r="C19" s="43"/>
      <c r="D19" s="44"/>
      <c r="E19" s="45"/>
      <c r="F19" s="45"/>
      <c r="G19" s="43"/>
      <c r="H19" s="45"/>
      <c r="I19" s="43"/>
      <c r="J19" s="46"/>
      <c r="K19" s="43"/>
      <c r="L19" s="43"/>
      <c r="M19" s="43"/>
      <c r="N19" s="43"/>
      <c r="O19" s="43"/>
      <c r="P19" s="46"/>
      <c r="Q19" s="45"/>
      <c r="R19" s="43"/>
      <c r="S19" s="44"/>
      <c r="T19" s="47"/>
      <c r="U19" s="47"/>
      <c r="V19" s="47"/>
      <c r="W19" s="48"/>
      <c r="X19" s="44"/>
      <c r="Y19" s="45"/>
      <c r="Z19" s="45"/>
      <c r="AA19" s="43"/>
      <c r="AB19" s="45"/>
      <c r="AC19" s="43"/>
      <c r="AD19" s="46"/>
      <c r="AE19" s="43"/>
      <c r="AF19" s="43"/>
      <c r="AG19" s="43"/>
      <c r="AH19" s="43"/>
      <c r="AI19" s="43"/>
      <c r="AJ19" s="46"/>
      <c r="AK19" s="45"/>
      <c r="AL19" s="43"/>
      <c r="AM19" s="44"/>
      <c r="AN19" s="47"/>
      <c r="AO19" s="47"/>
      <c r="AP19" s="47"/>
      <c r="AQ19" s="28"/>
      <c r="AR19" s="44"/>
      <c r="AS19" s="45"/>
      <c r="AT19" s="45"/>
      <c r="AU19" s="43"/>
      <c r="AV19" s="45"/>
      <c r="AW19" s="43"/>
      <c r="AX19" s="46"/>
      <c r="AY19" s="43"/>
      <c r="AZ19" s="43"/>
      <c r="BA19" s="43"/>
      <c r="BB19" s="43"/>
      <c r="BC19" s="43"/>
      <c r="BD19" s="46"/>
      <c r="BE19" s="45"/>
      <c r="BF19" s="43"/>
      <c r="BG19" s="44"/>
      <c r="BH19" s="47"/>
      <c r="BI19" s="47"/>
      <c r="BJ19" s="47"/>
      <c r="BK19" s="29"/>
      <c r="BL19" s="44"/>
      <c r="BM19" s="47"/>
      <c r="BN19" s="47"/>
      <c r="BO19" s="47"/>
      <c r="BP19" s="44"/>
      <c r="BQ19" s="47"/>
      <c r="BR19" s="47"/>
      <c r="BS19" s="47"/>
      <c r="BT19" s="44"/>
      <c r="BU19" s="47"/>
      <c r="BV19" s="47"/>
      <c r="BW19" s="47"/>
      <c r="BX19" s="44"/>
      <c r="BY19" s="47"/>
      <c r="BZ19" s="47"/>
      <c r="CA19" s="47"/>
      <c r="CB19" s="24"/>
    </row>
    <row r="20" spans="1:80" ht="15.75">
      <c r="A20" s="49"/>
      <c r="B20" s="50"/>
      <c r="C20" s="9" t="s">
        <v>26</v>
      </c>
      <c r="D20" s="51"/>
      <c r="E20" s="52"/>
      <c r="F20" s="52"/>
      <c r="G20" s="9"/>
      <c r="H20" s="52"/>
      <c r="I20" s="9"/>
      <c r="J20" s="53"/>
      <c r="K20" s="9"/>
      <c r="L20" s="9"/>
      <c r="M20" s="9"/>
      <c r="N20" s="9"/>
      <c r="O20" s="9"/>
      <c r="P20" s="51">
        <v>311</v>
      </c>
      <c r="Q20" s="52"/>
      <c r="R20" s="9"/>
      <c r="S20" s="51"/>
      <c r="T20" s="54"/>
      <c r="U20" s="54">
        <f>(P20*800*$A$53)</f>
        <v>292340</v>
      </c>
      <c r="V20" s="54"/>
      <c r="W20" s="55"/>
      <c r="X20" s="51"/>
      <c r="Y20" s="52"/>
      <c r="Z20" s="52"/>
      <c r="AA20" s="9"/>
      <c r="AB20" s="52"/>
      <c r="AC20" s="9"/>
      <c r="AD20" s="53"/>
      <c r="AE20" s="9"/>
      <c r="AF20" s="9"/>
      <c r="AG20" s="9"/>
      <c r="AH20" s="9"/>
      <c r="AI20" s="9"/>
      <c r="AJ20" s="51">
        <v>311</v>
      </c>
      <c r="AK20" s="52"/>
      <c r="AL20" s="9"/>
      <c r="AM20" s="51"/>
      <c r="AN20" s="54"/>
      <c r="AO20" s="54">
        <f>(AJ20*800*$A$54)</f>
        <v>298062.39999999997</v>
      </c>
      <c r="AP20" s="54"/>
      <c r="AQ20" s="28"/>
      <c r="AR20" s="51"/>
      <c r="AS20" s="52"/>
      <c r="AT20" s="52"/>
      <c r="AU20" s="9"/>
      <c r="AV20" s="52"/>
      <c r="AW20" s="9"/>
      <c r="AX20" s="53"/>
      <c r="AY20" s="9"/>
      <c r="AZ20" s="9"/>
      <c r="BA20" s="9"/>
      <c r="BB20" s="9"/>
      <c r="BC20" s="9"/>
      <c r="BD20" s="51">
        <v>311</v>
      </c>
      <c r="BE20" s="52"/>
      <c r="BF20" s="9"/>
      <c r="BG20" s="51"/>
      <c r="BH20" s="54"/>
      <c r="BI20" s="54">
        <f>(BD20*800*$A$55)</f>
        <v>304282.40000000002</v>
      </c>
      <c r="BJ20" s="54"/>
      <c r="BK20" s="29"/>
      <c r="BL20" s="51"/>
      <c r="BM20" s="54"/>
      <c r="BN20" s="54">
        <f>(U20)</f>
        <v>292340</v>
      </c>
      <c r="BO20" s="54"/>
      <c r="BP20" s="51"/>
      <c r="BQ20" s="54"/>
      <c r="BR20" s="54">
        <f>(AO20)</f>
        <v>298062.39999999997</v>
      </c>
      <c r="BS20" s="54"/>
      <c r="BT20" s="51"/>
      <c r="BU20" s="54"/>
      <c r="BV20" s="54">
        <f>(BI20)</f>
        <v>304282.40000000002</v>
      </c>
      <c r="BW20" s="54"/>
      <c r="BX20" s="51"/>
      <c r="BY20" s="54"/>
      <c r="BZ20" s="54">
        <f>(BN20+BR20+BV20)/3</f>
        <v>298228.26666666666</v>
      </c>
      <c r="CA20" s="54"/>
      <c r="CB20" s="24"/>
    </row>
    <row r="21" spans="1:80" ht="15.75">
      <c r="A21" s="49"/>
      <c r="B21" s="50"/>
      <c r="C21" s="9" t="s">
        <v>27</v>
      </c>
      <c r="D21" s="51"/>
      <c r="E21" s="52"/>
      <c r="F21" s="52"/>
      <c r="G21" s="9"/>
      <c r="H21" s="52"/>
      <c r="I21" s="9"/>
      <c r="J21" s="53"/>
      <c r="K21" s="9"/>
      <c r="L21" s="9"/>
      <c r="M21" s="9"/>
      <c r="N21" s="9"/>
      <c r="O21" s="9"/>
      <c r="P21" s="51">
        <v>311</v>
      </c>
      <c r="Q21" s="52">
        <f>(P21*120)</f>
        <v>37320</v>
      </c>
      <c r="R21" s="9">
        <f>(P21)*(2451+2647)*($A$53)</f>
        <v>1862936.6500000001</v>
      </c>
      <c r="S21" s="51">
        <f>(H21+Q21)</f>
        <v>37320</v>
      </c>
      <c r="T21" s="54">
        <f>(I21+R21)</f>
        <v>1862936.6500000001</v>
      </c>
      <c r="U21" s="54"/>
      <c r="V21" s="54"/>
      <c r="W21" s="55"/>
      <c r="X21" s="51"/>
      <c r="Y21" s="52"/>
      <c r="Z21" s="52"/>
      <c r="AA21" s="9"/>
      <c r="AB21" s="52"/>
      <c r="AC21" s="9"/>
      <c r="AD21" s="53"/>
      <c r="AE21" s="9"/>
      <c r="AF21" s="9"/>
      <c r="AG21" s="9"/>
      <c r="AH21" s="9"/>
      <c r="AI21" s="9"/>
      <c r="AJ21" s="51">
        <v>311</v>
      </c>
      <c r="AK21" s="52">
        <f>(AJ21*120)</f>
        <v>37320</v>
      </c>
      <c r="AL21" s="9">
        <f>(AJ21)*(2451+2647)*($A$54)</f>
        <v>1899402.6439999999</v>
      </c>
      <c r="AM21" s="51">
        <f>(AB21+AK21)</f>
        <v>37320</v>
      </c>
      <c r="AN21" s="54">
        <f>(AC21+AL21)</f>
        <v>1899402.6439999999</v>
      </c>
      <c r="AO21" s="54"/>
      <c r="AP21" s="54"/>
      <c r="AQ21" s="28"/>
      <c r="AR21" s="51"/>
      <c r="AS21" s="52"/>
      <c r="AT21" s="52"/>
      <c r="AU21" s="9"/>
      <c r="AV21" s="52"/>
      <c r="AW21" s="9"/>
      <c r="AX21" s="53"/>
      <c r="AY21" s="9"/>
      <c r="AZ21" s="9"/>
      <c r="BA21" s="9"/>
      <c r="BB21" s="9"/>
      <c r="BC21" s="9"/>
      <c r="BD21" s="51">
        <v>311</v>
      </c>
      <c r="BE21" s="52">
        <f>(BD21*120)</f>
        <v>37320</v>
      </c>
      <c r="BF21" s="9">
        <f>(BD21)*(2451+2647)*($A$55)</f>
        <v>1939039.594</v>
      </c>
      <c r="BG21" s="51">
        <f>(AV21+BE21)</f>
        <v>37320</v>
      </c>
      <c r="BH21" s="54">
        <f>(AW21+BF21)</f>
        <v>1939039.594</v>
      </c>
      <c r="BI21" s="54"/>
      <c r="BJ21" s="54"/>
      <c r="BK21" s="29"/>
      <c r="BL21" s="51">
        <f>(S21)</f>
        <v>37320</v>
      </c>
      <c r="BM21" s="54">
        <f>(T21)</f>
        <v>1862936.6500000001</v>
      </c>
      <c r="BN21" s="54"/>
      <c r="BO21" s="54"/>
      <c r="BP21" s="51">
        <f>(AM21)</f>
        <v>37320</v>
      </c>
      <c r="BQ21" s="54">
        <f>(AN21)</f>
        <v>1899402.6439999999</v>
      </c>
      <c r="BR21" s="54"/>
      <c r="BS21" s="54"/>
      <c r="BT21" s="51">
        <f>(BG21)</f>
        <v>37320</v>
      </c>
      <c r="BU21" s="54">
        <f>(BH21)</f>
        <v>1939039.594</v>
      </c>
      <c r="BV21" s="54"/>
      <c r="BW21" s="54"/>
      <c r="BX21" s="51">
        <f>(BL21+BP21+BT21)/3</f>
        <v>37320</v>
      </c>
      <c r="BY21" s="54">
        <f>(BM21+BQ21+BU21)/3</f>
        <v>1900459.6293333333</v>
      </c>
      <c r="BZ21" s="54"/>
      <c r="CA21" s="54"/>
      <c r="CB21" s="24"/>
    </row>
    <row r="22" spans="1:80" ht="15.75">
      <c r="A22" s="16" t="s">
        <v>6</v>
      </c>
      <c r="B22" s="19"/>
      <c r="C22" s="18"/>
      <c r="D22" s="56"/>
      <c r="E22" s="57"/>
      <c r="F22" s="57"/>
      <c r="G22" s="18"/>
      <c r="H22" s="57"/>
      <c r="I22" s="18"/>
      <c r="J22" s="58"/>
      <c r="K22" s="18"/>
      <c r="L22" s="18"/>
      <c r="M22" s="18"/>
      <c r="N22" s="57"/>
      <c r="O22" s="18"/>
      <c r="P22" s="56"/>
      <c r="Q22" s="57">
        <f>SUM(Q19:Q21)</f>
        <v>37320</v>
      </c>
      <c r="R22" s="18">
        <f>SUM(R19:R21)</f>
        <v>1862936.6500000001</v>
      </c>
      <c r="S22" s="56">
        <f>SUM(S19:S21)</f>
        <v>37320</v>
      </c>
      <c r="T22" s="59">
        <f>SUM(T19:T21)</f>
        <v>1862936.6500000001</v>
      </c>
      <c r="U22" s="59">
        <f>SUM(U19:U21)</f>
        <v>292340</v>
      </c>
      <c r="V22" s="59"/>
      <c r="W22" s="48"/>
      <c r="X22" s="56"/>
      <c r="Y22" s="57"/>
      <c r="Z22" s="57"/>
      <c r="AA22" s="18"/>
      <c r="AB22" s="57"/>
      <c r="AC22" s="18"/>
      <c r="AD22" s="58"/>
      <c r="AE22" s="18"/>
      <c r="AF22" s="18"/>
      <c r="AG22" s="18"/>
      <c r="AH22" s="57"/>
      <c r="AI22" s="18"/>
      <c r="AJ22" s="56"/>
      <c r="AK22" s="57">
        <f>SUM(AK19:AK21)</f>
        <v>37320</v>
      </c>
      <c r="AL22" s="18">
        <f>SUM(AL19:AL21)</f>
        <v>1899402.6439999999</v>
      </c>
      <c r="AM22" s="56">
        <f>SUM(AM19:AM21)</f>
        <v>37320</v>
      </c>
      <c r="AN22" s="59">
        <f>SUM(AN19:AN21)</f>
        <v>1899402.6439999999</v>
      </c>
      <c r="AO22" s="59">
        <f>SUM(AO19:AO21)</f>
        <v>298062.39999999997</v>
      </c>
      <c r="AP22" s="59"/>
      <c r="AQ22" s="28"/>
      <c r="AR22" s="56"/>
      <c r="AS22" s="57"/>
      <c r="AT22" s="57"/>
      <c r="AU22" s="18"/>
      <c r="AV22" s="57"/>
      <c r="AW22" s="18"/>
      <c r="AX22" s="58"/>
      <c r="AY22" s="18"/>
      <c r="AZ22" s="18"/>
      <c r="BA22" s="18"/>
      <c r="BB22" s="57"/>
      <c r="BC22" s="18"/>
      <c r="BD22" s="56"/>
      <c r="BE22" s="57">
        <f>SUM(BE19:BE21)</f>
        <v>37320</v>
      </c>
      <c r="BF22" s="18">
        <f>SUM(BF19:BF21)</f>
        <v>1939039.594</v>
      </c>
      <c r="BG22" s="56">
        <f>SUM(BG19:BG21)</f>
        <v>37320</v>
      </c>
      <c r="BH22" s="59">
        <f>SUM(BH19:BH21)</f>
        <v>1939039.594</v>
      </c>
      <c r="BI22" s="59">
        <f>SUM(BI19:BI21)</f>
        <v>304282.40000000002</v>
      </c>
      <c r="BJ22" s="59"/>
      <c r="BK22" s="29"/>
      <c r="BL22" s="56">
        <f>SUM(BL19:BL21)</f>
        <v>37320</v>
      </c>
      <c r="BM22" s="59">
        <f>SUM(BM19:BM21)</f>
        <v>1862936.6500000001</v>
      </c>
      <c r="BN22" s="59">
        <f>SUM(BN19:BN21)</f>
        <v>292340</v>
      </c>
      <c r="BO22" s="59"/>
      <c r="BP22" s="56">
        <f>SUM(BP19:BP21)</f>
        <v>37320</v>
      </c>
      <c r="BQ22" s="59">
        <f>SUM(BQ19:BQ21)</f>
        <v>1899402.6439999999</v>
      </c>
      <c r="BR22" s="59">
        <f>SUM(BR19:BR21)</f>
        <v>298062.39999999997</v>
      </c>
      <c r="BS22" s="59"/>
      <c r="BT22" s="56">
        <f>SUM(BT19:BT21)</f>
        <v>37320</v>
      </c>
      <c r="BU22" s="59">
        <f>SUM(BU19:BU21)</f>
        <v>1939039.594</v>
      </c>
      <c r="BV22" s="59">
        <f>SUM(BV19:BV21)</f>
        <v>304282.40000000002</v>
      </c>
      <c r="BW22" s="59"/>
      <c r="BX22" s="56">
        <f>SUM(BX19:BX21)</f>
        <v>37320</v>
      </c>
      <c r="BY22" s="59">
        <f>SUM(BY19:BY21)</f>
        <v>1900459.6293333333</v>
      </c>
      <c r="BZ22" s="59">
        <f>SUM(BZ19:BZ21)</f>
        <v>298228.26666666666</v>
      </c>
      <c r="CA22" s="59"/>
      <c r="CB22" s="24"/>
    </row>
    <row r="23" spans="1:80" ht="15.75">
      <c r="A23" s="41" t="s">
        <v>7</v>
      </c>
      <c r="B23" s="42"/>
      <c r="C23" s="43"/>
      <c r="D23" s="44"/>
      <c r="E23" s="45"/>
      <c r="F23" s="45"/>
      <c r="G23" s="43"/>
      <c r="H23" s="45"/>
      <c r="I23" s="43"/>
      <c r="J23" s="46"/>
      <c r="K23" s="43"/>
      <c r="L23" s="43"/>
      <c r="M23" s="43"/>
      <c r="N23" s="43"/>
      <c r="O23" s="43"/>
      <c r="P23" s="44"/>
      <c r="Q23" s="45"/>
      <c r="R23" s="43"/>
      <c r="S23" s="44"/>
      <c r="T23" s="47"/>
      <c r="U23" s="47"/>
      <c r="V23" s="47"/>
      <c r="W23" s="48"/>
      <c r="X23" s="44"/>
      <c r="Y23" s="45"/>
      <c r="Z23" s="45"/>
      <c r="AA23" s="43"/>
      <c r="AB23" s="45"/>
      <c r="AC23" s="43"/>
      <c r="AD23" s="46"/>
      <c r="AE23" s="43"/>
      <c r="AF23" s="43"/>
      <c r="AG23" s="43"/>
      <c r="AH23" s="43"/>
      <c r="AI23" s="43"/>
      <c r="AJ23" s="44"/>
      <c r="AK23" s="45"/>
      <c r="AL23" s="43"/>
      <c r="AM23" s="44"/>
      <c r="AN23" s="47"/>
      <c r="AO23" s="47"/>
      <c r="AP23" s="47"/>
      <c r="AQ23" s="28"/>
      <c r="AR23" s="44"/>
      <c r="AS23" s="45"/>
      <c r="AT23" s="45"/>
      <c r="AU23" s="43"/>
      <c r="AV23" s="45"/>
      <c r="AW23" s="43"/>
      <c r="AX23" s="46"/>
      <c r="AY23" s="43"/>
      <c r="AZ23" s="43"/>
      <c r="BA23" s="43"/>
      <c r="BB23" s="43"/>
      <c r="BC23" s="43"/>
      <c r="BD23" s="44"/>
      <c r="BE23" s="45"/>
      <c r="BF23" s="43"/>
      <c r="BG23" s="44"/>
      <c r="BH23" s="47"/>
      <c r="BI23" s="47"/>
      <c r="BJ23" s="47"/>
      <c r="BK23" s="29"/>
      <c r="BL23" s="44"/>
      <c r="BM23" s="47"/>
      <c r="BN23" s="47"/>
      <c r="BO23" s="47"/>
      <c r="BP23" s="44"/>
      <c r="BQ23" s="47"/>
      <c r="BR23" s="47"/>
      <c r="BS23" s="47"/>
      <c r="BT23" s="44"/>
      <c r="BU23" s="47"/>
      <c r="BV23" s="47"/>
      <c r="BW23" s="47"/>
      <c r="BX23" s="44"/>
      <c r="BY23" s="47"/>
      <c r="BZ23" s="47"/>
      <c r="CA23" s="47"/>
      <c r="CB23" s="24"/>
    </row>
    <row r="24" spans="1:80" ht="15.75">
      <c r="A24" s="49"/>
      <c r="B24" s="50"/>
      <c r="C24" s="9" t="s">
        <v>28</v>
      </c>
      <c r="D24" s="51"/>
      <c r="E24" s="52"/>
      <c r="F24" s="52"/>
      <c r="G24" s="9"/>
      <c r="H24" s="52"/>
      <c r="I24" s="9"/>
      <c r="J24" s="51"/>
      <c r="K24" s="9"/>
      <c r="L24" s="9"/>
      <c r="M24" s="9"/>
      <c r="N24" s="9"/>
      <c r="O24" s="9"/>
      <c r="P24" s="60">
        <v>311</v>
      </c>
      <c r="Q24" s="52"/>
      <c r="R24" s="9"/>
      <c r="S24" s="51"/>
      <c r="T24" s="54"/>
      <c r="U24" s="54">
        <f>(P24*1000*$A$53)</f>
        <v>365425</v>
      </c>
      <c r="V24" s="54"/>
      <c r="W24" s="55"/>
      <c r="X24" s="51"/>
      <c r="Y24" s="52"/>
      <c r="Z24" s="52"/>
      <c r="AA24" s="9"/>
      <c r="AB24" s="52"/>
      <c r="AC24" s="9"/>
      <c r="AD24" s="51"/>
      <c r="AE24" s="9"/>
      <c r="AF24" s="9"/>
      <c r="AG24" s="9"/>
      <c r="AH24" s="9"/>
      <c r="AI24" s="9"/>
      <c r="AJ24" s="60">
        <v>311</v>
      </c>
      <c r="AK24" s="52"/>
      <c r="AL24" s="9"/>
      <c r="AM24" s="51"/>
      <c r="AN24" s="54"/>
      <c r="AO24" s="54">
        <f>(AJ24*1000*$A$54)</f>
        <v>372578</v>
      </c>
      <c r="AP24" s="54"/>
      <c r="AQ24" s="28"/>
      <c r="AR24" s="51"/>
      <c r="AS24" s="52"/>
      <c r="AT24" s="52"/>
      <c r="AU24" s="9"/>
      <c r="AV24" s="52"/>
      <c r="AW24" s="9"/>
      <c r="AX24" s="51"/>
      <c r="AY24" s="9"/>
      <c r="AZ24" s="9"/>
      <c r="BA24" s="9"/>
      <c r="BB24" s="9"/>
      <c r="BC24" s="9"/>
      <c r="BD24" s="60">
        <v>311</v>
      </c>
      <c r="BE24" s="52"/>
      <c r="BF24" s="9"/>
      <c r="BG24" s="51"/>
      <c r="BH24" s="54"/>
      <c r="BI24" s="54">
        <f>(BD24*1000*$A$55)</f>
        <v>380353</v>
      </c>
      <c r="BJ24" s="54"/>
      <c r="BK24" s="29"/>
      <c r="BL24" s="51"/>
      <c r="BM24" s="54"/>
      <c r="BN24" s="54">
        <f>(U24)</f>
        <v>365425</v>
      </c>
      <c r="BO24" s="54"/>
      <c r="BP24" s="51"/>
      <c r="BQ24" s="54"/>
      <c r="BR24" s="54">
        <f>(AO24)</f>
        <v>372578</v>
      </c>
      <c r="BS24" s="54"/>
      <c r="BT24" s="51"/>
      <c r="BU24" s="54"/>
      <c r="BV24" s="54">
        <f>(BI24)</f>
        <v>380353</v>
      </c>
      <c r="BW24" s="54"/>
      <c r="BX24" s="51"/>
      <c r="BY24" s="54"/>
      <c r="BZ24" s="54">
        <f>(BN24+BR24+BV24)/3</f>
        <v>372785.33333333331</v>
      </c>
      <c r="CA24" s="54"/>
      <c r="CB24" s="24"/>
    </row>
    <row r="25" spans="1:80" ht="15.75">
      <c r="A25" s="49"/>
      <c r="B25" s="50"/>
      <c r="C25" s="9" t="s">
        <v>29</v>
      </c>
      <c r="D25" s="51"/>
      <c r="E25" s="52"/>
      <c r="F25" s="52"/>
      <c r="G25" s="9"/>
      <c r="H25" s="52"/>
      <c r="I25" s="9"/>
      <c r="J25" s="51"/>
      <c r="K25" s="9"/>
      <c r="L25" s="9"/>
      <c r="M25" s="9"/>
      <c r="N25" s="9"/>
      <c r="O25" s="9"/>
      <c r="P25" s="60">
        <v>311</v>
      </c>
      <c r="Q25" s="52">
        <f>(P25*12)</f>
        <v>3732</v>
      </c>
      <c r="R25" s="9">
        <f>(P25)*(245+132+148)*$A$53</f>
        <v>191848.125</v>
      </c>
      <c r="S25" s="51">
        <f>(H25+Q25)</f>
        <v>3732</v>
      </c>
      <c r="T25" s="54">
        <f>(I25+R25)</f>
        <v>191848.125</v>
      </c>
      <c r="U25" s="54"/>
      <c r="V25" s="54"/>
      <c r="W25" s="55"/>
      <c r="X25" s="51"/>
      <c r="Y25" s="52"/>
      <c r="Z25" s="52"/>
      <c r="AA25" s="9"/>
      <c r="AB25" s="52"/>
      <c r="AC25" s="9"/>
      <c r="AD25" s="51"/>
      <c r="AE25" s="9"/>
      <c r="AF25" s="9"/>
      <c r="AG25" s="9"/>
      <c r="AH25" s="9"/>
      <c r="AI25" s="9"/>
      <c r="AJ25" s="60">
        <v>311</v>
      </c>
      <c r="AK25" s="52">
        <f>(AJ25*12)</f>
        <v>3732</v>
      </c>
      <c r="AL25" s="9">
        <f>(AJ25)*(245+132+148)*$A$54</f>
        <v>195603.44999999998</v>
      </c>
      <c r="AM25" s="51">
        <f>(AB25+AK25)</f>
        <v>3732</v>
      </c>
      <c r="AN25" s="54">
        <f>(AC25+AL25)</f>
        <v>195603.44999999998</v>
      </c>
      <c r="AO25" s="54"/>
      <c r="AP25" s="54"/>
      <c r="AQ25" s="28"/>
      <c r="AR25" s="51"/>
      <c r="AS25" s="52"/>
      <c r="AT25" s="52"/>
      <c r="AU25" s="9"/>
      <c r="AV25" s="52"/>
      <c r="AW25" s="9"/>
      <c r="AX25" s="51"/>
      <c r="AY25" s="9"/>
      <c r="AZ25" s="9"/>
      <c r="BA25" s="9"/>
      <c r="BB25" s="9"/>
      <c r="BC25" s="9"/>
      <c r="BD25" s="60">
        <v>311</v>
      </c>
      <c r="BE25" s="52">
        <f>(BD25*12)</f>
        <v>3732</v>
      </c>
      <c r="BF25" s="9">
        <f>(BD25)*(245+132+148)*$A$55</f>
        <v>199685.32500000001</v>
      </c>
      <c r="BG25" s="51">
        <f>(AV25+BE25)</f>
        <v>3732</v>
      </c>
      <c r="BH25" s="54">
        <f>(AW25+BF25)</f>
        <v>199685.32500000001</v>
      </c>
      <c r="BI25" s="54"/>
      <c r="BJ25" s="54"/>
      <c r="BK25" s="29"/>
      <c r="BL25" s="51">
        <f>(S25)</f>
        <v>3732</v>
      </c>
      <c r="BM25" s="54">
        <f>(T25)</f>
        <v>191848.125</v>
      </c>
      <c r="BN25" s="54"/>
      <c r="BO25" s="54"/>
      <c r="BP25" s="51">
        <f>(AM25)</f>
        <v>3732</v>
      </c>
      <c r="BQ25" s="54">
        <f>(AN25)</f>
        <v>195603.44999999998</v>
      </c>
      <c r="BR25" s="54"/>
      <c r="BS25" s="54"/>
      <c r="BT25" s="51">
        <f>(BG25)</f>
        <v>3732</v>
      </c>
      <c r="BU25" s="54">
        <f>(BH25)</f>
        <v>199685.32500000001</v>
      </c>
      <c r="BV25" s="54"/>
      <c r="BW25" s="54"/>
      <c r="BX25" s="51">
        <f>(BL25+BP25+BT25)/3</f>
        <v>3732</v>
      </c>
      <c r="BY25" s="54">
        <f>(BM25+BQ25+BU25)/3</f>
        <v>195712.29999999996</v>
      </c>
      <c r="BZ25" s="54"/>
      <c r="CA25" s="54"/>
      <c r="CB25" s="24"/>
    </row>
    <row r="26" spans="1:80" ht="15.75">
      <c r="A26" s="49"/>
      <c r="B26" s="50"/>
      <c r="C26" s="9" t="s">
        <v>30</v>
      </c>
      <c r="D26" s="51"/>
      <c r="E26" s="52"/>
      <c r="F26" s="52"/>
      <c r="G26" s="9"/>
      <c r="H26" s="52"/>
      <c r="I26" s="9"/>
      <c r="J26" s="53"/>
      <c r="K26" s="9"/>
      <c r="L26" s="9"/>
      <c r="M26" s="9"/>
      <c r="N26" s="9"/>
      <c r="O26" s="9"/>
      <c r="P26" s="60">
        <v>311</v>
      </c>
      <c r="Q26" s="52">
        <f>(P26*56)</f>
        <v>17416</v>
      </c>
      <c r="R26" s="9">
        <f>(P26)*(654+353+1576)*$A$53</f>
        <v>943892.77500000002</v>
      </c>
      <c r="S26" s="51">
        <f>(H26+Q26)</f>
        <v>17416</v>
      </c>
      <c r="T26" s="54">
        <f>(I26+R26)</f>
        <v>943892.77500000002</v>
      </c>
      <c r="U26" s="54"/>
      <c r="V26" s="54"/>
      <c r="W26" s="55"/>
      <c r="X26" s="51"/>
      <c r="Y26" s="52"/>
      <c r="Z26" s="52"/>
      <c r="AA26" s="9"/>
      <c r="AB26" s="52"/>
      <c r="AC26" s="9"/>
      <c r="AD26" s="53"/>
      <c r="AE26" s="9"/>
      <c r="AF26" s="9"/>
      <c r="AG26" s="9"/>
      <c r="AH26" s="9"/>
      <c r="AI26" s="9"/>
      <c r="AJ26" s="51">
        <v>311</v>
      </c>
      <c r="AK26" s="52">
        <f>(AJ26*56)</f>
        <v>17416</v>
      </c>
      <c r="AL26" s="9">
        <f>(AJ26)*(654+353+1576)*$A$54</f>
        <v>962368.97399999993</v>
      </c>
      <c r="AM26" s="51">
        <f>(AB26+AK26)</f>
        <v>17416</v>
      </c>
      <c r="AN26" s="54">
        <f>(AC26+AL26)</f>
        <v>962368.97399999993</v>
      </c>
      <c r="AO26" s="54"/>
      <c r="AP26" s="54"/>
      <c r="AQ26" s="28"/>
      <c r="AR26" s="51"/>
      <c r="AS26" s="52"/>
      <c r="AT26" s="52"/>
      <c r="AU26" s="9"/>
      <c r="AV26" s="52"/>
      <c r="AW26" s="9"/>
      <c r="AX26" s="53"/>
      <c r="AY26" s="9"/>
      <c r="AZ26" s="9"/>
      <c r="BA26" s="9"/>
      <c r="BB26" s="9"/>
      <c r="BC26" s="9"/>
      <c r="BD26" s="51">
        <v>311</v>
      </c>
      <c r="BE26" s="52">
        <f>(BD26*56)</f>
        <v>17416</v>
      </c>
      <c r="BF26" s="9">
        <f>(BD26)*(654+353+1576)*$A$55</f>
        <v>982451.79900000012</v>
      </c>
      <c r="BG26" s="51">
        <f>(AV26+BE26)</f>
        <v>17416</v>
      </c>
      <c r="BH26" s="54">
        <f>(AW26+BF26)</f>
        <v>982451.79900000012</v>
      </c>
      <c r="BI26" s="54"/>
      <c r="BJ26" s="54"/>
      <c r="BK26" s="29"/>
      <c r="BL26" s="51">
        <f>(S26)</f>
        <v>17416</v>
      </c>
      <c r="BM26" s="54">
        <f>(T26)</f>
        <v>943892.77500000002</v>
      </c>
      <c r="BN26" s="54"/>
      <c r="BO26" s="54"/>
      <c r="BP26" s="51">
        <f>(AM26)</f>
        <v>17416</v>
      </c>
      <c r="BQ26" s="54">
        <f>(AN26)</f>
        <v>962368.97399999993</v>
      </c>
      <c r="BR26" s="54"/>
      <c r="BS26" s="54"/>
      <c r="BT26" s="51">
        <f>(BG26)</f>
        <v>17416</v>
      </c>
      <c r="BU26" s="54">
        <f>(BH26)</f>
        <v>982451.79900000012</v>
      </c>
      <c r="BV26" s="54"/>
      <c r="BW26" s="54"/>
      <c r="BX26" s="51">
        <f>(BL26+BP26+BT26)/3</f>
        <v>17416</v>
      </c>
      <c r="BY26" s="54">
        <f>(BM26+BQ26+BU26)/3</f>
        <v>962904.51599999995</v>
      </c>
      <c r="BZ26" s="54"/>
      <c r="CA26" s="54"/>
      <c r="CB26" s="24"/>
    </row>
    <row r="27" spans="1:80" ht="15.75">
      <c r="A27" s="16" t="s">
        <v>8</v>
      </c>
      <c r="B27" s="19"/>
      <c r="C27" s="18"/>
      <c r="D27" s="56"/>
      <c r="E27" s="57"/>
      <c r="F27" s="57"/>
      <c r="G27" s="18"/>
      <c r="H27" s="57"/>
      <c r="I27" s="18"/>
      <c r="J27" s="58"/>
      <c r="K27" s="18"/>
      <c r="L27" s="18"/>
      <c r="M27" s="18"/>
      <c r="N27" s="57"/>
      <c r="O27" s="18"/>
      <c r="P27" s="56"/>
      <c r="Q27" s="57">
        <f>SUM(Q23:Q26)</f>
        <v>21148</v>
      </c>
      <c r="R27" s="18">
        <f>SUM(R23:R26)</f>
        <v>1135740.8999999999</v>
      </c>
      <c r="S27" s="56">
        <f>SUM(S23:S26)</f>
        <v>21148</v>
      </c>
      <c r="T27" s="59">
        <f>SUM(T23:T26)</f>
        <v>1135740.8999999999</v>
      </c>
      <c r="U27" s="59">
        <f>SUM(U23:U26)</f>
        <v>365425</v>
      </c>
      <c r="V27" s="59"/>
      <c r="W27" s="48"/>
      <c r="X27" s="56"/>
      <c r="Y27" s="57"/>
      <c r="Z27" s="57"/>
      <c r="AA27" s="18"/>
      <c r="AB27" s="57"/>
      <c r="AC27" s="18"/>
      <c r="AD27" s="58"/>
      <c r="AE27" s="18"/>
      <c r="AF27" s="18"/>
      <c r="AG27" s="18"/>
      <c r="AH27" s="57"/>
      <c r="AI27" s="18"/>
      <c r="AJ27" s="56"/>
      <c r="AK27" s="57">
        <f>SUM(AK23:AK26)</f>
        <v>21148</v>
      </c>
      <c r="AL27" s="18">
        <f>SUM(AL23:AL26)</f>
        <v>1157972.4239999999</v>
      </c>
      <c r="AM27" s="56">
        <f>SUM(AM23:AM26)</f>
        <v>21148</v>
      </c>
      <c r="AN27" s="59">
        <f>SUM(AN23:AN26)</f>
        <v>1157972.4239999999</v>
      </c>
      <c r="AO27" s="59">
        <f>SUM(AO23:AO26)</f>
        <v>372578</v>
      </c>
      <c r="AP27" s="59"/>
      <c r="AQ27" s="28"/>
      <c r="AR27" s="56"/>
      <c r="AS27" s="57"/>
      <c r="AT27" s="57"/>
      <c r="AU27" s="18"/>
      <c r="AV27" s="57"/>
      <c r="AW27" s="18"/>
      <c r="AX27" s="58"/>
      <c r="AY27" s="18"/>
      <c r="AZ27" s="18"/>
      <c r="BA27" s="18"/>
      <c r="BB27" s="57"/>
      <c r="BC27" s="18"/>
      <c r="BD27" s="56"/>
      <c r="BE27" s="57">
        <f>SUM(BE23:BE26)</f>
        <v>21148</v>
      </c>
      <c r="BF27" s="18">
        <f>SUM(BF23:BF26)</f>
        <v>1182137.1240000001</v>
      </c>
      <c r="BG27" s="56">
        <f>SUM(BG23:BG26)</f>
        <v>21148</v>
      </c>
      <c r="BH27" s="59">
        <f>SUM(BH23:BH26)</f>
        <v>1182137.1240000001</v>
      </c>
      <c r="BI27" s="59">
        <f>SUM(BI23:BI26)</f>
        <v>380353</v>
      </c>
      <c r="BJ27" s="59"/>
      <c r="BK27" s="29"/>
      <c r="BL27" s="56">
        <f>SUM(BL23:BL26)</f>
        <v>21148</v>
      </c>
      <c r="BM27" s="59">
        <f>SUM(BM23:BM26)</f>
        <v>1135740.8999999999</v>
      </c>
      <c r="BN27" s="59">
        <f>SUM(BN23:BN26)</f>
        <v>365425</v>
      </c>
      <c r="BO27" s="59"/>
      <c r="BP27" s="56">
        <f>SUM(BP23:BP26)</f>
        <v>21148</v>
      </c>
      <c r="BQ27" s="59">
        <f>SUM(BQ23:BQ26)</f>
        <v>1157972.4239999999</v>
      </c>
      <c r="BR27" s="59">
        <f>SUM(BR23:BR26)</f>
        <v>372578</v>
      </c>
      <c r="BS27" s="59"/>
      <c r="BT27" s="56">
        <f>SUM(BT23:BT26)</f>
        <v>21148</v>
      </c>
      <c r="BU27" s="59">
        <f>SUM(BU23:BU26)</f>
        <v>1182137.1240000001</v>
      </c>
      <c r="BV27" s="59">
        <f>SUM(BV23:BV26)</f>
        <v>380353</v>
      </c>
      <c r="BW27" s="59"/>
      <c r="BX27" s="56">
        <f>SUM(BX23:BX26)</f>
        <v>21148</v>
      </c>
      <c r="BY27" s="59">
        <f>SUM(BY23:BY26)</f>
        <v>1158616.8159999999</v>
      </c>
      <c r="BZ27" s="59">
        <f>SUM(BZ23:BZ26)</f>
        <v>372785.33333333331</v>
      </c>
      <c r="CA27" s="59"/>
      <c r="CB27" s="24"/>
    </row>
    <row r="28" spans="1:80" ht="15.75">
      <c r="A28" s="41" t="s">
        <v>9</v>
      </c>
      <c r="B28" s="42"/>
      <c r="C28" s="43"/>
      <c r="D28" s="44"/>
      <c r="E28" s="45"/>
      <c r="F28" s="45"/>
      <c r="G28" s="43"/>
      <c r="H28" s="45"/>
      <c r="I28" s="43"/>
      <c r="J28" s="46"/>
      <c r="K28" s="43"/>
      <c r="L28" s="43"/>
      <c r="M28" s="43"/>
      <c r="N28" s="43"/>
      <c r="O28" s="43"/>
      <c r="P28" s="44"/>
      <c r="Q28" s="45"/>
      <c r="R28" s="43"/>
      <c r="S28" s="44"/>
      <c r="T28" s="47"/>
      <c r="U28" s="47"/>
      <c r="V28" s="47"/>
      <c r="W28" s="48"/>
      <c r="X28" s="44"/>
      <c r="Y28" s="45"/>
      <c r="Z28" s="45"/>
      <c r="AA28" s="43"/>
      <c r="AB28" s="45"/>
      <c r="AC28" s="43"/>
      <c r="AD28" s="46"/>
      <c r="AE28" s="43"/>
      <c r="AF28" s="43"/>
      <c r="AG28" s="43"/>
      <c r="AH28" s="43"/>
      <c r="AI28" s="43"/>
      <c r="AJ28" s="44"/>
      <c r="AK28" s="45"/>
      <c r="AL28" s="43"/>
      <c r="AM28" s="44"/>
      <c r="AN28" s="47"/>
      <c r="AO28" s="47"/>
      <c r="AP28" s="47"/>
      <c r="AQ28" s="28"/>
      <c r="AR28" s="44"/>
      <c r="AS28" s="45"/>
      <c r="AT28" s="45"/>
      <c r="AU28" s="43"/>
      <c r="AV28" s="45"/>
      <c r="AW28" s="43"/>
      <c r="AX28" s="46"/>
      <c r="AY28" s="43"/>
      <c r="AZ28" s="43"/>
      <c r="BA28" s="43"/>
      <c r="BB28" s="43"/>
      <c r="BC28" s="43"/>
      <c r="BD28" s="44"/>
      <c r="BE28" s="45"/>
      <c r="BF28" s="43"/>
      <c r="BG28" s="44"/>
      <c r="BH28" s="47"/>
      <c r="BI28" s="47"/>
      <c r="BJ28" s="47"/>
      <c r="BK28" s="29"/>
      <c r="BL28" s="44"/>
      <c r="BM28" s="47"/>
      <c r="BN28" s="47"/>
      <c r="BO28" s="47"/>
      <c r="BP28" s="44"/>
      <c r="BQ28" s="47"/>
      <c r="BR28" s="47"/>
      <c r="BS28" s="47"/>
      <c r="BT28" s="44"/>
      <c r="BU28" s="47"/>
      <c r="BV28" s="47"/>
      <c r="BW28" s="47"/>
      <c r="BX28" s="44"/>
      <c r="BY28" s="47"/>
      <c r="BZ28" s="47"/>
      <c r="CA28" s="47"/>
      <c r="CB28" s="24"/>
    </row>
    <row r="29" spans="1:80" ht="15.75">
      <c r="A29" s="49"/>
      <c r="B29" s="50"/>
      <c r="C29" s="9" t="s">
        <v>31</v>
      </c>
      <c r="D29" s="51"/>
      <c r="E29" s="52"/>
      <c r="F29" s="52"/>
      <c r="G29" s="9"/>
      <c r="H29" s="52"/>
      <c r="I29" s="9"/>
      <c r="J29" s="53"/>
      <c r="K29" s="9"/>
      <c r="L29" s="9"/>
      <c r="M29" s="9"/>
      <c r="N29" s="9"/>
      <c r="O29" s="9"/>
      <c r="P29" s="60">
        <v>311</v>
      </c>
      <c r="Q29" s="52">
        <f>(P29*14)</f>
        <v>4354</v>
      </c>
      <c r="R29" s="9">
        <f>(P29)*(245+132+148+111)*$A$53</f>
        <v>232410.30000000002</v>
      </c>
      <c r="S29" s="51">
        <f t="shared" ref="S29:T32" si="0">(H29+Q29)</f>
        <v>4354</v>
      </c>
      <c r="T29" s="54">
        <f t="shared" si="0"/>
        <v>232410.30000000002</v>
      </c>
      <c r="U29" s="54"/>
      <c r="V29" s="54"/>
      <c r="W29" s="55"/>
      <c r="X29" s="51"/>
      <c r="Y29" s="52"/>
      <c r="Z29" s="52"/>
      <c r="AA29" s="9"/>
      <c r="AB29" s="52"/>
      <c r="AC29" s="9"/>
      <c r="AD29" s="53"/>
      <c r="AE29" s="9"/>
      <c r="AF29" s="9"/>
      <c r="AG29" s="9"/>
      <c r="AH29" s="9"/>
      <c r="AI29" s="9"/>
      <c r="AJ29" s="60">
        <v>311</v>
      </c>
      <c r="AK29" s="52">
        <f>(AJ29*14)</f>
        <v>4354</v>
      </c>
      <c r="AL29" s="9">
        <f>(AJ29)*(245+132+148+111)*$A$54</f>
        <v>236959.60799999998</v>
      </c>
      <c r="AM29" s="51">
        <f t="shared" ref="AM29:AN32" si="1">(AB29+AK29)</f>
        <v>4354</v>
      </c>
      <c r="AN29" s="54">
        <f t="shared" si="1"/>
        <v>236959.60799999998</v>
      </c>
      <c r="AO29" s="54"/>
      <c r="AP29" s="54"/>
      <c r="AQ29" s="28"/>
      <c r="AR29" s="51"/>
      <c r="AS29" s="52"/>
      <c r="AT29" s="52"/>
      <c r="AU29" s="9"/>
      <c r="AV29" s="52"/>
      <c r="AW29" s="9"/>
      <c r="AX29" s="53"/>
      <c r="AY29" s="9"/>
      <c r="AZ29" s="9"/>
      <c r="BA29" s="9"/>
      <c r="BB29" s="9"/>
      <c r="BC29" s="9"/>
      <c r="BD29" s="60">
        <v>311</v>
      </c>
      <c r="BE29" s="52">
        <f>(BD29*14)</f>
        <v>4354</v>
      </c>
      <c r="BF29" s="9">
        <f>(BD29)*(245+132+148+111)*$A$55</f>
        <v>241904.50800000003</v>
      </c>
      <c r="BG29" s="51">
        <f t="shared" ref="BG29:BH32" si="2">(AV29+BE29)</f>
        <v>4354</v>
      </c>
      <c r="BH29" s="54">
        <f t="shared" si="2"/>
        <v>241904.50800000003</v>
      </c>
      <c r="BI29" s="54"/>
      <c r="BJ29" s="54"/>
      <c r="BK29" s="29"/>
      <c r="BL29" s="51">
        <f t="shared" ref="BL29:BM32" si="3">(S29)</f>
        <v>4354</v>
      </c>
      <c r="BM29" s="54">
        <f t="shared" si="3"/>
        <v>232410.30000000002</v>
      </c>
      <c r="BN29" s="54"/>
      <c r="BO29" s="54"/>
      <c r="BP29" s="51">
        <f t="shared" ref="BP29:BQ32" si="4">(AM29)</f>
        <v>4354</v>
      </c>
      <c r="BQ29" s="54">
        <f t="shared" si="4"/>
        <v>236959.60799999998</v>
      </c>
      <c r="BR29" s="54"/>
      <c r="BS29" s="54"/>
      <c r="BT29" s="51">
        <f t="shared" ref="BT29:BU32" si="5">(BG29)</f>
        <v>4354</v>
      </c>
      <c r="BU29" s="54">
        <f t="shared" si="5"/>
        <v>241904.50800000003</v>
      </c>
      <c r="BV29" s="54"/>
      <c r="BW29" s="54"/>
      <c r="BX29" s="51">
        <f t="shared" ref="BX29:BY32" si="6">(BL29+BP29+BT29)/3</f>
        <v>4354</v>
      </c>
      <c r="BY29" s="54">
        <f t="shared" si="6"/>
        <v>237091.47199999998</v>
      </c>
      <c r="BZ29" s="54"/>
      <c r="CA29" s="54"/>
      <c r="CB29" s="24"/>
    </row>
    <row r="30" spans="1:80" ht="15.75">
      <c r="A30" s="49"/>
      <c r="B30" s="50"/>
      <c r="C30" s="9" t="s">
        <v>32</v>
      </c>
      <c r="D30" s="51"/>
      <c r="E30" s="52"/>
      <c r="F30" s="52"/>
      <c r="G30" s="9"/>
      <c r="H30" s="52"/>
      <c r="I30" s="9"/>
      <c r="J30" s="53"/>
      <c r="K30" s="9"/>
      <c r="L30" s="9"/>
      <c r="M30" s="9"/>
      <c r="N30" s="9"/>
      <c r="O30" s="9"/>
      <c r="P30" s="60">
        <v>311</v>
      </c>
      <c r="Q30" s="52">
        <f>(P30*9)</f>
        <v>2799</v>
      </c>
      <c r="R30" s="9">
        <f>(P30)*(41+88+197+111)*$A$53</f>
        <v>159690.72500000001</v>
      </c>
      <c r="S30" s="51">
        <f t="shared" si="0"/>
        <v>2799</v>
      </c>
      <c r="T30" s="54">
        <f t="shared" si="0"/>
        <v>159690.72500000001</v>
      </c>
      <c r="U30" s="54"/>
      <c r="V30" s="54"/>
      <c r="W30" s="55"/>
      <c r="X30" s="51"/>
      <c r="Y30" s="52"/>
      <c r="Z30" s="52"/>
      <c r="AA30" s="9"/>
      <c r="AB30" s="52"/>
      <c r="AC30" s="9"/>
      <c r="AD30" s="53"/>
      <c r="AE30" s="9"/>
      <c r="AF30" s="9"/>
      <c r="AG30" s="9"/>
      <c r="AH30" s="9"/>
      <c r="AI30" s="9"/>
      <c r="AJ30" s="60">
        <v>311</v>
      </c>
      <c r="AK30" s="52">
        <f>(AJ30*9)</f>
        <v>2799</v>
      </c>
      <c r="AL30" s="9">
        <f>(AJ30)*(41+88+197+111)*$A$54</f>
        <v>162816.58599999998</v>
      </c>
      <c r="AM30" s="51">
        <f t="shared" si="1"/>
        <v>2799</v>
      </c>
      <c r="AN30" s="54">
        <f t="shared" si="1"/>
        <v>162816.58599999998</v>
      </c>
      <c r="AO30" s="54"/>
      <c r="AP30" s="54"/>
      <c r="AQ30" s="28"/>
      <c r="AR30" s="51"/>
      <c r="AS30" s="52"/>
      <c r="AT30" s="52"/>
      <c r="AU30" s="9"/>
      <c r="AV30" s="52"/>
      <c r="AW30" s="9"/>
      <c r="AX30" s="53"/>
      <c r="AY30" s="9"/>
      <c r="AZ30" s="9"/>
      <c r="BA30" s="9"/>
      <c r="BB30" s="9"/>
      <c r="BC30" s="9"/>
      <c r="BD30" s="60">
        <v>311</v>
      </c>
      <c r="BE30" s="52">
        <f>(BD30*9)</f>
        <v>2799</v>
      </c>
      <c r="BF30" s="9">
        <f>(BD30)*(41+88+197+111)*$A$55</f>
        <v>166214.261</v>
      </c>
      <c r="BG30" s="51">
        <f t="shared" si="2"/>
        <v>2799</v>
      </c>
      <c r="BH30" s="54">
        <f t="shared" si="2"/>
        <v>166214.261</v>
      </c>
      <c r="BI30" s="54"/>
      <c r="BJ30" s="54"/>
      <c r="BK30" s="29"/>
      <c r="BL30" s="51">
        <f t="shared" si="3"/>
        <v>2799</v>
      </c>
      <c r="BM30" s="54">
        <f t="shared" si="3"/>
        <v>159690.72500000001</v>
      </c>
      <c r="BN30" s="54"/>
      <c r="BO30" s="54"/>
      <c r="BP30" s="51">
        <f t="shared" si="4"/>
        <v>2799</v>
      </c>
      <c r="BQ30" s="54">
        <f t="shared" si="4"/>
        <v>162816.58599999998</v>
      </c>
      <c r="BR30" s="54"/>
      <c r="BS30" s="54"/>
      <c r="BT30" s="51">
        <f t="shared" si="5"/>
        <v>2799</v>
      </c>
      <c r="BU30" s="54">
        <f t="shared" si="5"/>
        <v>166214.261</v>
      </c>
      <c r="BV30" s="54"/>
      <c r="BW30" s="54"/>
      <c r="BX30" s="51">
        <f t="shared" si="6"/>
        <v>2799</v>
      </c>
      <c r="BY30" s="54">
        <f t="shared" si="6"/>
        <v>162907.19066666666</v>
      </c>
      <c r="BZ30" s="54"/>
      <c r="CA30" s="54"/>
      <c r="CB30" s="24"/>
    </row>
    <row r="31" spans="1:80" ht="15.75">
      <c r="A31" s="49"/>
      <c r="B31" s="50"/>
      <c r="C31" s="9" t="s">
        <v>33</v>
      </c>
      <c r="D31" s="51"/>
      <c r="E31" s="52"/>
      <c r="F31" s="52"/>
      <c r="G31" s="9"/>
      <c r="H31" s="52"/>
      <c r="I31" s="9"/>
      <c r="J31" s="53"/>
      <c r="K31" s="9"/>
      <c r="L31" s="9"/>
      <c r="M31" s="9"/>
      <c r="N31" s="9"/>
      <c r="O31" s="9"/>
      <c r="P31" s="60">
        <v>311</v>
      </c>
      <c r="Q31" s="52">
        <f>(P31*12)</f>
        <v>3732</v>
      </c>
      <c r="R31" s="9">
        <f>(P31)*(176+394)*$A$53</f>
        <v>208292.25</v>
      </c>
      <c r="S31" s="51">
        <f t="shared" si="0"/>
        <v>3732</v>
      </c>
      <c r="T31" s="54">
        <f t="shared" si="0"/>
        <v>208292.25</v>
      </c>
      <c r="U31" s="54"/>
      <c r="V31" s="54"/>
      <c r="W31" s="55"/>
      <c r="X31" s="51"/>
      <c r="Y31" s="52"/>
      <c r="Z31" s="52"/>
      <c r="AA31" s="9"/>
      <c r="AB31" s="52"/>
      <c r="AC31" s="9"/>
      <c r="AD31" s="53"/>
      <c r="AE31" s="9"/>
      <c r="AF31" s="9"/>
      <c r="AG31" s="9"/>
      <c r="AH31" s="9"/>
      <c r="AI31" s="9"/>
      <c r="AJ31" s="60">
        <v>311</v>
      </c>
      <c r="AK31" s="52">
        <f>(AJ31*12)</f>
        <v>3732</v>
      </c>
      <c r="AL31" s="9">
        <f>(AJ31)*(176+394)*$A$54</f>
        <v>212369.46</v>
      </c>
      <c r="AM31" s="51">
        <f t="shared" si="1"/>
        <v>3732</v>
      </c>
      <c r="AN31" s="54">
        <f t="shared" si="1"/>
        <v>212369.46</v>
      </c>
      <c r="AO31" s="54"/>
      <c r="AP31" s="54"/>
      <c r="AQ31" s="28"/>
      <c r="AR31" s="51"/>
      <c r="AS31" s="52"/>
      <c r="AT31" s="52"/>
      <c r="AU31" s="9"/>
      <c r="AV31" s="52"/>
      <c r="AW31" s="9"/>
      <c r="AX31" s="53"/>
      <c r="AY31" s="9"/>
      <c r="AZ31" s="9"/>
      <c r="BA31" s="9"/>
      <c r="BB31" s="9"/>
      <c r="BC31" s="9"/>
      <c r="BD31" s="60">
        <v>311</v>
      </c>
      <c r="BE31" s="52">
        <f>(BD31*12)</f>
        <v>3732</v>
      </c>
      <c r="BF31" s="9">
        <f>(BD31)*(176+394)*$A$55</f>
        <v>216801.21000000002</v>
      </c>
      <c r="BG31" s="51">
        <f t="shared" si="2"/>
        <v>3732</v>
      </c>
      <c r="BH31" s="54">
        <f t="shared" si="2"/>
        <v>216801.21000000002</v>
      </c>
      <c r="BI31" s="54"/>
      <c r="BJ31" s="54"/>
      <c r="BK31" s="29"/>
      <c r="BL31" s="51">
        <f t="shared" si="3"/>
        <v>3732</v>
      </c>
      <c r="BM31" s="54">
        <f t="shared" si="3"/>
        <v>208292.25</v>
      </c>
      <c r="BN31" s="54"/>
      <c r="BO31" s="54"/>
      <c r="BP31" s="51">
        <f t="shared" si="4"/>
        <v>3732</v>
      </c>
      <c r="BQ31" s="54">
        <f t="shared" si="4"/>
        <v>212369.46</v>
      </c>
      <c r="BR31" s="54"/>
      <c r="BS31" s="54"/>
      <c r="BT31" s="51">
        <f t="shared" si="5"/>
        <v>3732</v>
      </c>
      <c r="BU31" s="54">
        <f t="shared" si="5"/>
        <v>216801.21000000002</v>
      </c>
      <c r="BV31" s="54"/>
      <c r="BW31" s="54"/>
      <c r="BX31" s="51">
        <f t="shared" si="6"/>
        <v>3732</v>
      </c>
      <c r="BY31" s="54">
        <f t="shared" si="6"/>
        <v>212487.63999999998</v>
      </c>
      <c r="BZ31" s="54"/>
      <c r="CA31" s="54"/>
      <c r="CB31" s="24"/>
    </row>
    <row r="32" spans="1:80" ht="15.75">
      <c r="A32" s="49"/>
      <c r="B32" s="50"/>
      <c r="C32" s="9" t="s">
        <v>34</v>
      </c>
      <c r="D32" s="51"/>
      <c r="E32" s="52"/>
      <c r="F32" s="52"/>
      <c r="G32" s="9"/>
      <c r="H32" s="52"/>
      <c r="I32" s="9"/>
      <c r="J32" s="53"/>
      <c r="K32" s="9"/>
      <c r="L32" s="9"/>
      <c r="M32" s="9"/>
      <c r="N32" s="9"/>
      <c r="O32" s="9"/>
      <c r="P32" s="60">
        <v>311</v>
      </c>
      <c r="Q32" s="52">
        <f>(P32*4)</f>
        <v>1244</v>
      </c>
      <c r="R32" s="9">
        <f>(P32)*(41+44+99)*$A$53</f>
        <v>67238.2</v>
      </c>
      <c r="S32" s="51">
        <f t="shared" si="0"/>
        <v>1244</v>
      </c>
      <c r="T32" s="54">
        <f t="shared" si="0"/>
        <v>67238.2</v>
      </c>
      <c r="U32" s="54"/>
      <c r="V32" s="54"/>
      <c r="W32" s="55"/>
      <c r="X32" s="51"/>
      <c r="Y32" s="52"/>
      <c r="Z32" s="52"/>
      <c r="AA32" s="9"/>
      <c r="AB32" s="52"/>
      <c r="AC32" s="9"/>
      <c r="AD32" s="53"/>
      <c r="AE32" s="9"/>
      <c r="AF32" s="9"/>
      <c r="AG32" s="9"/>
      <c r="AH32" s="9"/>
      <c r="AI32" s="9"/>
      <c r="AJ32" s="60">
        <v>311</v>
      </c>
      <c r="AK32" s="52">
        <f>(AJ32*4)</f>
        <v>1244</v>
      </c>
      <c r="AL32" s="9">
        <f>(AJ32)*(41+44+99)*$A$54</f>
        <v>68554.351999999999</v>
      </c>
      <c r="AM32" s="51">
        <f t="shared" si="1"/>
        <v>1244</v>
      </c>
      <c r="AN32" s="54">
        <f t="shared" si="1"/>
        <v>68554.351999999999</v>
      </c>
      <c r="AO32" s="54"/>
      <c r="AP32" s="54"/>
      <c r="AQ32" s="28"/>
      <c r="AR32" s="51"/>
      <c r="AS32" s="52"/>
      <c r="AT32" s="52"/>
      <c r="AU32" s="9"/>
      <c r="AV32" s="52"/>
      <c r="AW32" s="9"/>
      <c r="AX32" s="53"/>
      <c r="AY32" s="9"/>
      <c r="AZ32" s="9"/>
      <c r="BA32" s="9"/>
      <c r="BB32" s="9"/>
      <c r="BC32" s="9"/>
      <c r="BD32" s="60">
        <v>311</v>
      </c>
      <c r="BE32" s="52">
        <f>(BD32*4)</f>
        <v>1244</v>
      </c>
      <c r="BF32" s="9">
        <f>(BD32)*(41+44+99)*$A$55</f>
        <v>69984.952000000005</v>
      </c>
      <c r="BG32" s="51">
        <f t="shared" si="2"/>
        <v>1244</v>
      </c>
      <c r="BH32" s="54">
        <f t="shared" si="2"/>
        <v>69984.952000000005</v>
      </c>
      <c r="BI32" s="54"/>
      <c r="BJ32" s="54"/>
      <c r="BK32" s="29"/>
      <c r="BL32" s="51">
        <f t="shared" si="3"/>
        <v>1244</v>
      </c>
      <c r="BM32" s="54">
        <f t="shared" si="3"/>
        <v>67238.2</v>
      </c>
      <c r="BN32" s="54"/>
      <c r="BO32" s="54"/>
      <c r="BP32" s="51">
        <f t="shared" si="4"/>
        <v>1244</v>
      </c>
      <c r="BQ32" s="54">
        <f t="shared" si="4"/>
        <v>68554.351999999999</v>
      </c>
      <c r="BR32" s="54"/>
      <c r="BS32" s="54"/>
      <c r="BT32" s="51">
        <f t="shared" si="5"/>
        <v>1244</v>
      </c>
      <c r="BU32" s="54">
        <f t="shared" si="5"/>
        <v>69984.952000000005</v>
      </c>
      <c r="BV32" s="54"/>
      <c r="BW32" s="54"/>
      <c r="BX32" s="51">
        <f t="shared" si="6"/>
        <v>1244</v>
      </c>
      <c r="BY32" s="54">
        <f t="shared" si="6"/>
        <v>68592.501333333334</v>
      </c>
      <c r="BZ32" s="54"/>
      <c r="CA32" s="54"/>
      <c r="CB32" s="24"/>
    </row>
    <row r="33" spans="1:80" ht="15.75">
      <c r="A33" s="16" t="s">
        <v>10</v>
      </c>
      <c r="B33" s="19"/>
      <c r="C33" s="18"/>
      <c r="D33" s="56"/>
      <c r="E33" s="57"/>
      <c r="F33" s="57"/>
      <c r="G33" s="18"/>
      <c r="H33" s="57"/>
      <c r="I33" s="18"/>
      <c r="J33" s="58"/>
      <c r="K33" s="18"/>
      <c r="L33" s="18"/>
      <c r="M33" s="18"/>
      <c r="N33" s="57"/>
      <c r="O33" s="18"/>
      <c r="P33" s="56"/>
      <c r="Q33" s="57">
        <f>SUM(Q28:Q32)</f>
        <v>12129</v>
      </c>
      <c r="R33" s="18">
        <f>SUM(R28:R32)</f>
        <v>667631.47499999998</v>
      </c>
      <c r="S33" s="56">
        <f>SUM(S28:S32)</f>
        <v>12129</v>
      </c>
      <c r="T33" s="59">
        <f>SUM(T28:T32)</f>
        <v>667631.47499999998</v>
      </c>
      <c r="U33" s="59"/>
      <c r="V33" s="59"/>
      <c r="W33" s="48"/>
      <c r="X33" s="56"/>
      <c r="Y33" s="57"/>
      <c r="Z33" s="57"/>
      <c r="AA33" s="18"/>
      <c r="AB33" s="57"/>
      <c r="AC33" s="18"/>
      <c r="AD33" s="58"/>
      <c r="AE33" s="18"/>
      <c r="AF33" s="18"/>
      <c r="AG33" s="18"/>
      <c r="AH33" s="57"/>
      <c r="AI33" s="18"/>
      <c r="AJ33" s="56"/>
      <c r="AK33" s="57">
        <f>SUM(AK28:AK32)</f>
        <v>12129</v>
      </c>
      <c r="AL33" s="18">
        <f>SUM(AL28:AL32)</f>
        <v>680700.00599999994</v>
      </c>
      <c r="AM33" s="56">
        <f>SUM(AM28:AM32)</f>
        <v>12129</v>
      </c>
      <c r="AN33" s="59">
        <f>SUM(AN28:AN32)</f>
        <v>680700.00599999994</v>
      </c>
      <c r="AO33" s="59"/>
      <c r="AP33" s="59"/>
      <c r="AQ33" s="28"/>
      <c r="AR33" s="56"/>
      <c r="AS33" s="57"/>
      <c r="AT33" s="57"/>
      <c r="AU33" s="18"/>
      <c r="AV33" s="57"/>
      <c r="AW33" s="18"/>
      <c r="AX33" s="58"/>
      <c r="AY33" s="18"/>
      <c r="AZ33" s="18"/>
      <c r="BA33" s="18"/>
      <c r="BB33" s="57"/>
      <c r="BC33" s="18"/>
      <c r="BD33" s="56"/>
      <c r="BE33" s="57">
        <f>SUM(BE28:BE32)</f>
        <v>12129</v>
      </c>
      <c r="BF33" s="18">
        <f>SUM(BF28:BF32)</f>
        <v>694904.9310000001</v>
      </c>
      <c r="BG33" s="56">
        <f>SUM(BG28:BG32)</f>
        <v>12129</v>
      </c>
      <c r="BH33" s="59">
        <f>SUM(BH28:BH32)</f>
        <v>694904.9310000001</v>
      </c>
      <c r="BI33" s="59"/>
      <c r="BJ33" s="59"/>
      <c r="BK33" s="29"/>
      <c r="BL33" s="56">
        <f>SUM(BL28:BL32)</f>
        <v>12129</v>
      </c>
      <c r="BM33" s="59">
        <f>SUM(BM28:BM32)</f>
        <v>667631.47499999998</v>
      </c>
      <c r="BN33" s="59"/>
      <c r="BO33" s="59"/>
      <c r="BP33" s="56">
        <f>SUM(BP28:BP32)</f>
        <v>12129</v>
      </c>
      <c r="BQ33" s="59">
        <f>SUM(BQ28:BQ32)</f>
        <v>680700.00599999994</v>
      </c>
      <c r="BR33" s="59"/>
      <c r="BS33" s="59"/>
      <c r="BT33" s="56">
        <f>SUM(BT28:BT32)</f>
        <v>12129</v>
      </c>
      <c r="BU33" s="59">
        <f>SUM(BU28:BU32)</f>
        <v>694904.9310000001</v>
      </c>
      <c r="BV33" s="59"/>
      <c r="BW33" s="59"/>
      <c r="BX33" s="56">
        <f>SUM(BX28:BX32)</f>
        <v>12129</v>
      </c>
      <c r="BY33" s="59">
        <f>SUM(BY28:BY32)</f>
        <v>681078.804</v>
      </c>
      <c r="BZ33" s="59"/>
      <c r="CA33" s="59"/>
      <c r="CB33" s="24"/>
    </row>
    <row r="34" spans="1:80" ht="15.75">
      <c r="A34" s="41" t="s">
        <v>11</v>
      </c>
      <c r="B34" s="42"/>
      <c r="C34" s="43"/>
      <c r="D34" s="44"/>
      <c r="E34" s="45"/>
      <c r="F34" s="45"/>
      <c r="G34" s="43"/>
      <c r="H34" s="45"/>
      <c r="I34" s="43"/>
      <c r="J34" s="46"/>
      <c r="K34" s="43"/>
      <c r="L34" s="43"/>
      <c r="M34" s="43"/>
      <c r="N34" s="43"/>
      <c r="O34" s="43"/>
      <c r="P34" s="44"/>
      <c r="Q34" s="45"/>
      <c r="R34" s="43"/>
      <c r="S34" s="44"/>
      <c r="T34" s="47"/>
      <c r="U34" s="47"/>
      <c r="V34" s="47"/>
      <c r="W34" s="48"/>
      <c r="X34" s="44"/>
      <c r="Y34" s="45"/>
      <c r="Z34" s="45"/>
      <c r="AA34" s="43"/>
      <c r="AB34" s="45"/>
      <c r="AC34" s="43"/>
      <c r="AD34" s="46"/>
      <c r="AE34" s="43"/>
      <c r="AF34" s="43"/>
      <c r="AG34" s="43"/>
      <c r="AH34" s="43"/>
      <c r="AI34" s="43"/>
      <c r="AJ34" s="44"/>
      <c r="AK34" s="45"/>
      <c r="AL34" s="43"/>
      <c r="AM34" s="44"/>
      <c r="AN34" s="47"/>
      <c r="AO34" s="47"/>
      <c r="AP34" s="47"/>
      <c r="AQ34" s="28"/>
      <c r="AR34" s="44"/>
      <c r="AS34" s="45"/>
      <c r="AT34" s="45"/>
      <c r="AU34" s="43"/>
      <c r="AV34" s="45"/>
      <c r="AW34" s="43"/>
      <c r="AX34" s="46"/>
      <c r="AY34" s="43"/>
      <c r="AZ34" s="43"/>
      <c r="BA34" s="43"/>
      <c r="BB34" s="43"/>
      <c r="BC34" s="43"/>
      <c r="BD34" s="44"/>
      <c r="BE34" s="45"/>
      <c r="BF34" s="43"/>
      <c r="BG34" s="44"/>
      <c r="BH34" s="47"/>
      <c r="BI34" s="47"/>
      <c r="BJ34" s="47"/>
      <c r="BK34" s="29"/>
      <c r="BL34" s="44"/>
      <c r="BM34" s="47"/>
      <c r="BN34" s="47"/>
      <c r="BO34" s="47"/>
      <c r="BP34" s="44"/>
      <c r="BQ34" s="47"/>
      <c r="BR34" s="47"/>
      <c r="BS34" s="47"/>
      <c r="BT34" s="44"/>
      <c r="BU34" s="47"/>
      <c r="BV34" s="47"/>
      <c r="BW34" s="47"/>
      <c r="BX34" s="44"/>
      <c r="BY34" s="47"/>
      <c r="BZ34" s="47"/>
      <c r="CA34" s="47"/>
      <c r="CB34" s="24"/>
    </row>
    <row r="35" spans="1:80" ht="15.75">
      <c r="A35" s="49"/>
      <c r="B35" s="50"/>
      <c r="C35" s="9" t="s">
        <v>35</v>
      </c>
      <c r="D35" s="51"/>
      <c r="E35" s="52"/>
      <c r="F35" s="52"/>
      <c r="G35" s="9"/>
      <c r="H35" s="52"/>
      <c r="I35" s="9"/>
      <c r="J35" s="53"/>
      <c r="K35" s="9"/>
      <c r="L35" s="9"/>
      <c r="M35" s="9"/>
      <c r="N35" s="9"/>
      <c r="O35" s="9"/>
      <c r="P35" s="51">
        <v>311</v>
      </c>
      <c r="Q35" s="52">
        <f>(P35*36)</f>
        <v>11196</v>
      </c>
      <c r="R35" s="9">
        <f>(P35)*(985+888)*$A$53</f>
        <v>684441.02500000002</v>
      </c>
      <c r="S35" s="51">
        <f t="shared" ref="S35:T40" si="7">(H35+Q35)</f>
        <v>11196</v>
      </c>
      <c r="T35" s="54">
        <f t="shared" si="7"/>
        <v>684441.02500000002</v>
      </c>
      <c r="U35" s="54"/>
      <c r="V35" s="54"/>
      <c r="W35" s="55"/>
      <c r="X35" s="51"/>
      <c r="Y35" s="52"/>
      <c r="Z35" s="52"/>
      <c r="AA35" s="9"/>
      <c r="AB35" s="52"/>
      <c r="AC35" s="9"/>
      <c r="AD35" s="53"/>
      <c r="AE35" s="9"/>
      <c r="AF35" s="9"/>
      <c r="AG35" s="9"/>
      <c r="AH35" s="9"/>
      <c r="AI35" s="9"/>
      <c r="AJ35" s="51">
        <v>311</v>
      </c>
      <c r="AK35" s="52">
        <f>(AJ35*36)</f>
        <v>11196</v>
      </c>
      <c r="AL35" s="9">
        <f>(AJ35)*(985+888)*$A$54</f>
        <v>697838.59399999992</v>
      </c>
      <c r="AM35" s="51">
        <f t="shared" ref="AM35:AN40" si="8">(AB35+AK35)</f>
        <v>11196</v>
      </c>
      <c r="AN35" s="54">
        <f t="shared" si="8"/>
        <v>697838.59399999992</v>
      </c>
      <c r="AO35" s="54"/>
      <c r="AP35" s="54"/>
      <c r="AQ35" s="28"/>
      <c r="AR35" s="51"/>
      <c r="AS35" s="52"/>
      <c r="AT35" s="52"/>
      <c r="AU35" s="9"/>
      <c r="AV35" s="52"/>
      <c r="AW35" s="9"/>
      <c r="AX35" s="53"/>
      <c r="AY35" s="9"/>
      <c r="AZ35" s="9"/>
      <c r="BA35" s="9"/>
      <c r="BB35" s="9"/>
      <c r="BC35" s="9"/>
      <c r="BD35" s="51">
        <v>311</v>
      </c>
      <c r="BE35" s="52">
        <f>(BD35*36)</f>
        <v>11196</v>
      </c>
      <c r="BF35" s="9">
        <f>(BD35)*(985+888)*$A$55</f>
        <v>712401.16899999999</v>
      </c>
      <c r="BG35" s="51">
        <f t="shared" ref="BG35:BH40" si="9">(AV35+BE35)</f>
        <v>11196</v>
      </c>
      <c r="BH35" s="54">
        <f t="shared" si="9"/>
        <v>712401.16899999999</v>
      </c>
      <c r="BI35" s="54"/>
      <c r="BJ35" s="54"/>
      <c r="BK35" s="29"/>
      <c r="BL35" s="51">
        <f t="shared" ref="BL35:BM41" si="10">(S35)</f>
        <v>11196</v>
      </c>
      <c r="BM35" s="54">
        <f t="shared" si="10"/>
        <v>684441.02500000002</v>
      </c>
      <c r="BN35" s="54"/>
      <c r="BO35" s="54"/>
      <c r="BP35" s="51">
        <f t="shared" ref="BP35:BQ41" si="11">(AM35)</f>
        <v>11196</v>
      </c>
      <c r="BQ35" s="54">
        <f t="shared" si="11"/>
        <v>697838.59399999992</v>
      </c>
      <c r="BR35" s="54"/>
      <c r="BS35" s="54"/>
      <c r="BT35" s="51">
        <f t="shared" ref="BT35:BU41" si="12">(BG35)</f>
        <v>11196</v>
      </c>
      <c r="BU35" s="54">
        <f t="shared" si="12"/>
        <v>712401.16899999999</v>
      </c>
      <c r="BV35" s="54"/>
      <c r="BW35" s="54"/>
      <c r="BX35" s="51">
        <f t="shared" ref="BX35:BY41" si="13">(BL35+BP35+BT35)/3</f>
        <v>11196</v>
      </c>
      <c r="BY35" s="54">
        <f t="shared" si="13"/>
        <v>698226.92933333328</v>
      </c>
      <c r="BZ35" s="54"/>
      <c r="CA35" s="54"/>
      <c r="CB35" s="24"/>
    </row>
    <row r="36" spans="1:80" ht="15.75">
      <c r="A36" s="49"/>
      <c r="B36" s="50"/>
      <c r="C36" s="9" t="s">
        <v>36</v>
      </c>
      <c r="D36" s="51"/>
      <c r="E36" s="52"/>
      <c r="F36" s="52"/>
      <c r="G36" s="9"/>
      <c r="H36" s="52"/>
      <c r="I36" s="9"/>
      <c r="J36" s="53"/>
      <c r="K36" s="9"/>
      <c r="L36" s="9"/>
      <c r="M36" s="9"/>
      <c r="N36" s="9"/>
      <c r="O36" s="9"/>
      <c r="P36" s="51">
        <v>311</v>
      </c>
      <c r="Q36" s="52">
        <f>(P36*26)</f>
        <v>8086</v>
      </c>
      <c r="R36" s="9">
        <f>(P36)*(1062)*$A$53</f>
        <v>388081.35000000003</v>
      </c>
      <c r="S36" s="51">
        <f t="shared" si="7"/>
        <v>8086</v>
      </c>
      <c r="T36" s="54">
        <f t="shared" si="7"/>
        <v>388081.35000000003</v>
      </c>
      <c r="U36" s="54"/>
      <c r="V36" s="54"/>
      <c r="W36" s="55"/>
      <c r="X36" s="51"/>
      <c r="Y36" s="52"/>
      <c r="Z36" s="52"/>
      <c r="AA36" s="9"/>
      <c r="AB36" s="52"/>
      <c r="AC36" s="9"/>
      <c r="AD36" s="53"/>
      <c r="AE36" s="9"/>
      <c r="AF36" s="9"/>
      <c r="AG36" s="9"/>
      <c r="AH36" s="9"/>
      <c r="AI36" s="9"/>
      <c r="AJ36" s="51">
        <v>311</v>
      </c>
      <c r="AK36" s="52">
        <f>(AJ36*26)</f>
        <v>8086</v>
      </c>
      <c r="AL36" s="9">
        <f>(AJ36)*(1062)*$A$54</f>
        <v>395677.83600000001</v>
      </c>
      <c r="AM36" s="51">
        <f t="shared" si="8"/>
        <v>8086</v>
      </c>
      <c r="AN36" s="54">
        <f t="shared" si="8"/>
        <v>395677.83600000001</v>
      </c>
      <c r="AO36" s="54"/>
      <c r="AP36" s="54"/>
      <c r="AQ36" s="28"/>
      <c r="AR36" s="51"/>
      <c r="AS36" s="52"/>
      <c r="AT36" s="52"/>
      <c r="AU36" s="9"/>
      <c r="AV36" s="52"/>
      <c r="AW36" s="9"/>
      <c r="AX36" s="53"/>
      <c r="AY36" s="9"/>
      <c r="AZ36" s="9"/>
      <c r="BA36" s="9"/>
      <c r="BB36" s="9"/>
      <c r="BC36" s="9"/>
      <c r="BD36" s="51">
        <v>311</v>
      </c>
      <c r="BE36" s="52">
        <f>(BD36*26)</f>
        <v>8086</v>
      </c>
      <c r="BF36" s="9">
        <f>(BD36)*(1062)*$A$55</f>
        <v>403934.88600000006</v>
      </c>
      <c r="BG36" s="51">
        <f t="shared" si="9"/>
        <v>8086</v>
      </c>
      <c r="BH36" s="54">
        <f t="shared" si="9"/>
        <v>403934.88600000006</v>
      </c>
      <c r="BI36" s="54"/>
      <c r="BJ36" s="54"/>
      <c r="BK36" s="29"/>
      <c r="BL36" s="51">
        <f t="shared" si="10"/>
        <v>8086</v>
      </c>
      <c r="BM36" s="54">
        <f t="shared" si="10"/>
        <v>388081.35000000003</v>
      </c>
      <c r="BN36" s="54"/>
      <c r="BO36" s="54"/>
      <c r="BP36" s="51">
        <f t="shared" si="11"/>
        <v>8086</v>
      </c>
      <c r="BQ36" s="54">
        <f t="shared" si="11"/>
        <v>395677.83600000001</v>
      </c>
      <c r="BR36" s="54"/>
      <c r="BS36" s="54"/>
      <c r="BT36" s="51">
        <f t="shared" si="12"/>
        <v>8086</v>
      </c>
      <c r="BU36" s="54">
        <f t="shared" si="12"/>
        <v>403934.88600000006</v>
      </c>
      <c r="BV36" s="54"/>
      <c r="BW36" s="54"/>
      <c r="BX36" s="51">
        <f t="shared" si="13"/>
        <v>8086</v>
      </c>
      <c r="BY36" s="54">
        <f t="shared" si="13"/>
        <v>395898.02400000003</v>
      </c>
      <c r="BZ36" s="54"/>
      <c r="CA36" s="54"/>
      <c r="CB36" s="24"/>
    </row>
    <row r="37" spans="1:80" ht="15.75">
      <c r="A37" s="49"/>
      <c r="B37" s="50"/>
      <c r="C37" s="9" t="s">
        <v>37</v>
      </c>
      <c r="D37" s="51"/>
      <c r="E37" s="52"/>
      <c r="F37" s="52"/>
      <c r="G37" s="9"/>
      <c r="H37" s="52"/>
      <c r="I37" s="9"/>
      <c r="J37" s="53"/>
      <c r="K37" s="9"/>
      <c r="L37" s="9"/>
      <c r="M37" s="9"/>
      <c r="N37" s="9"/>
      <c r="O37" s="9"/>
      <c r="P37" s="51">
        <v>311</v>
      </c>
      <c r="Q37" s="52">
        <f>(P37*4)</f>
        <v>1244</v>
      </c>
      <c r="R37" s="9">
        <f>(P37)*(99+111)*$A$53</f>
        <v>76739.25</v>
      </c>
      <c r="S37" s="51">
        <f t="shared" si="7"/>
        <v>1244</v>
      </c>
      <c r="T37" s="54">
        <f t="shared" si="7"/>
        <v>76739.25</v>
      </c>
      <c r="U37" s="54"/>
      <c r="V37" s="54"/>
      <c r="W37" s="55"/>
      <c r="X37" s="51"/>
      <c r="Y37" s="52"/>
      <c r="Z37" s="52"/>
      <c r="AA37" s="9"/>
      <c r="AB37" s="52"/>
      <c r="AC37" s="9"/>
      <c r="AD37" s="53"/>
      <c r="AE37" s="9"/>
      <c r="AF37" s="9"/>
      <c r="AG37" s="9"/>
      <c r="AH37" s="9"/>
      <c r="AI37" s="9"/>
      <c r="AJ37" s="51">
        <v>311</v>
      </c>
      <c r="AK37" s="52">
        <f>(AJ37*4)</f>
        <v>1244</v>
      </c>
      <c r="AL37" s="9">
        <f>(AJ37)*(99+111)*$A$54</f>
        <v>78241.37999999999</v>
      </c>
      <c r="AM37" s="51">
        <f t="shared" si="8"/>
        <v>1244</v>
      </c>
      <c r="AN37" s="54">
        <f t="shared" si="8"/>
        <v>78241.37999999999</v>
      </c>
      <c r="AO37" s="54"/>
      <c r="AP37" s="54"/>
      <c r="AQ37" s="28"/>
      <c r="AR37" s="51"/>
      <c r="AS37" s="52"/>
      <c r="AT37" s="52"/>
      <c r="AU37" s="9"/>
      <c r="AV37" s="52"/>
      <c r="AW37" s="9"/>
      <c r="AX37" s="53"/>
      <c r="AY37" s="9"/>
      <c r="AZ37" s="9"/>
      <c r="BA37" s="9"/>
      <c r="BB37" s="9"/>
      <c r="BC37" s="9"/>
      <c r="BD37" s="51">
        <v>311</v>
      </c>
      <c r="BE37" s="52">
        <f>(BD37*4)</f>
        <v>1244</v>
      </c>
      <c r="BF37" s="9">
        <f>(BD37)*(99+111)*$A$55</f>
        <v>79874.13</v>
      </c>
      <c r="BG37" s="51">
        <f t="shared" si="9"/>
        <v>1244</v>
      </c>
      <c r="BH37" s="54">
        <f t="shared" si="9"/>
        <v>79874.13</v>
      </c>
      <c r="BI37" s="54"/>
      <c r="BJ37" s="54"/>
      <c r="BK37" s="29"/>
      <c r="BL37" s="51">
        <f t="shared" si="10"/>
        <v>1244</v>
      </c>
      <c r="BM37" s="54">
        <f t="shared" si="10"/>
        <v>76739.25</v>
      </c>
      <c r="BN37" s="54"/>
      <c r="BO37" s="54"/>
      <c r="BP37" s="51">
        <f t="shared" si="11"/>
        <v>1244</v>
      </c>
      <c r="BQ37" s="54">
        <f t="shared" si="11"/>
        <v>78241.37999999999</v>
      </c>
      <c r="BR37" s="54"/>
      <c r="BS37" s="54"/>
      <c r="BT37" s="51">
        <f t="shared" si="12"/>
        <v>1244</v>
      </c>
      <c r="BU37" s="54">
        <f t="shared" si="12"/>
        <v>79874.13</v>
      </c>
      <c r="BV37" s="54"/>
      <c r="BW37" s="54"/>
      <c r="BX37" s="51">
        <f t="shared" si="13"/>
        <v>1244</v>
      </c>
      <c r="BY37" s="54">
        <f t="shared" si="13"/>
        <v>78284.92</v>
      </c>
      <c r="BZ37" s="54"/>
      <c r="CA37" s="54"/>
      <c r="CB37" s="24"/>
    </row>
    <row r="38" spans="1:80" ht="15.75">
      <c r="A38" s="41"/>
      <c r="B38" s="61"/>
      <c r="C38" s="43" t="s">
        <v>38</v>
      </c>
      <c r="D38" s="44"/>
      <c r="E38" s="45"/>
      <c r="F38" s="45"/>
      <c r="G38" s="43"/>
      <c r="H38" s="45"/>
      <c r="I38" s="43"/>
      <c r="J38" s="46"/>
      <c r="K38" s="43"/>
      <c r="L38" s="43"/>
      <c r="M38" s="43"/>
      <c r="N38" s="43"/>
      <c r="O38" s="43"/>
      <c r="P38" s="44">
        <v>311</v>
      </c>
      <c r="Q38" s="45">
        <f>(P38*5)</f>
        <v>1555</v>
      </c>
      <c r="R38" s="43">
        <f>(P38)*(41+44+99+55)*$A$53</f>
        <v>87336.574999999997</v>
      </c>
      <c r="S38" s="44">
        <f t="shared" si="7"/>
        <v>1555</v>
      </c>
      <c r="T38" s="47">
        <f t="shared" si="7"/>
        <v>87336.574999999997</v>
      </c>
      <c r="U38" s="47"/>
      <c r="V38" s="47"/>
      <c r="W38" s="48"/>
      <c r="X38" s="44"/>
      <c r="Y38" s="45"/>
      <c r="Z38" s="45"/>
      <c r="AA38" s="43"/>
      <c r="AB38" s="45"/>
      <c r="AC38" s="43"/>
      <c r="AD38" s="46"/>
      <c r="AE38" s="43"/>
      <c r="AF38" s="43"/>
      <c r="AG38" s="43"/>
      <c r="AH38" s="43"/>
      <c r="AI38" s="43"/>
      <c r="AJ38" s="44">
        <v>311</v>
      </c>
      <c r="AK38" s="45">
        <f>(AJ38*5)</f>
        <v>1555</v>
      </c>
      <c r="AL38" s="43">
        <f>(AJ38)*(41+44+99+55)*$A$54</f>
        <v>89046.141999999993</v>
      </c>
      <c r="AM38" s="44">
        <f t="shared" si="8"/>
        <v>1555</v>
      </c>
      <c r="AN38" s="47">
        <f t="shared" si="8"/>
        <v>89046.141999999993</v>
      </c>
      <c r="AO38" s="47"/>
      <c r="AP38" s="47"/>
      <c r="AQ38" s="62"/>
      <c r="AR38" s="44"/>
      <c r="AS38" s="45"/>
      <c r="AT38" s="45"/>
      <c r="AU38" s="43"/>
      <c r="AV38" s="45"/>
      <c r="AW38" s="43"/>
      <c r="AX38" s="46"/>
      <c r="AY38" s="43"/>
      <c r="AZ38" s="43"/>
      <c r="BA38" s="43"/>
      <c r="BB38" s="43"/>
      <c r="BC38" s="43"/>
      <c r="BD38" s="44">
        <v>311</v>
      </c>
      <c r="BE38" s="45">
        <f>(BD38*5)</f>
        <v>1555</v>
      </c>
      <c r="BF38" s="43">
        <f>(BD38)*(41+44+99+55)*$A$55</f>
        <v>90904.367000000013</v>
      </c>
      <c r="BG38" s="44">
        <f t="shared" si="9"/>
        <v>1555</v>
      </c>
      <c r="BH38" s="47">
        <f t="shared" si="9"/>
        <v>90904.367000000013</v>
      </c>
      <c r="BI38" s="47"/>
      <c r="BJ38" s="47"/>
      <c r="BK38" s="63"/>
      <c r="BL38" s="44">
        <f t="shared" si="10"/>
        <v>1555</v>
      </c>
      <c r="BM38" s="47">
        <f t="shared" si="10"/>
        <v>87336.574999999997</v>
      </c>
      <c r="BN38" s="47"/>
      <c r="BO38" s="47"/>
      <c r="BP38" s="44">
        <f t="shared" si="11"/>
        <v>1555</v>
      </c>
      <c r="BQ38" s="47">
        <f t="shared" si="11"/>
        <v>89046.141999999993</v>
      </c>
      <c r="BR38" s="47"/>
      <c r="BS38" s="47"/>
      <c r="BT38" s="44">
        <f t="shared" si="12"/>
        <v>1555</v>
      </c>
      <c r="BU38" s="47">
        <f t="shared" si="12"/>
        <v>90904.367000000013</v>
      </c>
      <c r="BV38" s="47"/>
      <c r="BW38" s="47"/>
      <c r="BX38" s="44">
        <f t="shared" si="13"/>
        <v>1555</v>
      </c>
      <c r="BY38" s="47">
        <f t="shared" si="13"/>
        <v>89095.694666666677</v>
      </c>
      <c r="BZ38" s="47"/>
      <c r="CA38" s="47"/>
      <c r="CB38" s="24"/>
    </row>
    <row r="39" spans="1:80" ht="15.75">
      <c r="A39" s="49"/>
      <c r="B39" s="50"/>
      <c r="C39" s="9" t="s">
        <v>39</v>
      </c>
      <c r="D39" s="51"/>
      <c r="E39" s="52"/>
      <c r="F39" s="52"/>
      <c r="G39" s="9"/>
      <c r="H39" s="52"/>
      <c r="I39" s="9"/>
      <c r="J39" s="53"/>
      <c r="K39" s="9"/>
      <c r="L39" s="9"/>
      <c r="M39" s="9"/>
      <c r="N39" s="9"/>
      <c r="O39" s="9"/>
      <c r="P39" s="51">
        <v>311</v>
      </c>
      <c r="Q39" s="52">
        <f>(P39*6)</f>
        <v>1866</v>
      </c>
      <c r="R39" s="9">
        <f>(P39)*(148+166)*$A$53</f>
        <v>114743.45</v>
      </c>
      <c r="S39" s="51">
        <f t="shared" si="7"/>
        <v>1866</v>
      </c>
      <c r="T39" s="54">
        <f t="shared" si="7"/>
        <v>114743.45</v>
      </c>
      <c r="U39" s="54"/>
      <c r="V39" s="54"/>
      <c r="W39" s="55"/>
      <c r="X39" s="51"/>
      <c r="Y39" s="52"/>
      <c r="Z39" s="52"/>
      <c r="AA39" s="9"/>
      <c r="AB39" s="52"/>
      <c r="AC39" s="9"/>
      <c r="AD39" s="53"/>
      <c r="AE39" s="9"/>
      <c r="AF39" s="9"/>
      <c r="AG39" s="9"/>
      <c r="AH39" s="9"/>
      <c r="AI39" s="9"/>
      <c r="AJ39" s="51">
        <v>311</v>
      </c>
      <c r="AK39" s="52">
        <f>(AJ39*6)</f>
        <v>1866</v>
      </c>
      <c r="AL39" s="9">
        <f>(AJ39)*(148+166)*$A$54</f>
        <v>116989.492</v>
      </c>
      <c r="AM39" s="51">
        <f t="shared" si="8"/>
        <v>1866</v>
      </c>
      <c r="AN39" s="54">
        <f t="shared" si="8"/>
        <v>116989.492</v>
      </c>
      <c r="AO39" s="54"/>
      <c r="AP39" s="54"/>
      <c r="AQ39" s="28"/>
      <c r="AR39" s="51"/>
      <c r="AS39" s="52"/>
      <c r="AT39" s="52"/>
      <c r="AU39" s="9"/>
      <c r="AV39" s="52"/>
      <c r="AW39" s="9"/>
      <c r="AX39" s="53"/>
      <c r="AY39" s="9"/>
      <c r="AZ39" s="9"/>
      <c r="BA39" s="9"/>
      <c r="BB39" s="9"/>
      <c r="BC39" s="9"/>
      <c r="BD39" s="51">
        <v>311</v>
      </c>
      <c r="BE39" s="52">
        <f>(BD39*6)</f>
        <v>1866</v>
      </c>
      <c r="BF39" s="9">
        <f>(BD39)*(148+166)*$A$55</f>
        <v>119430.842</v>
      </c>
      <c r="BG39" s="51">
        <f t="shared" si="9"/>
        <v>1866</v>
      </c>
      <c r="BH39" s="54">
        <f t="shared" si="9"/>
        <v>119430.842</v>
      </c>
      <c r="BI39" s="54"/>
      <c r="BJ39" s="54"/>
      <c r="BK39" s="29"/>
      <c r="BL39" s="51">
        <f t="shared" si="10"/>
        <v>1866</v>
      </c>
      <c r="BM39" s="54">
        <f t="shared" si="10"/>
        <v>114743.45</v>
      </c>
      <c r="BN39" s="54"/>
      <c r="BO39" s="54"/>
      <c r="BP39" s="51">
        <f t="shared" si="11"/>
        <v>1866</v>
      </c>
      <c r="BQ39" s="54">
        <f t="shared" si="11"/>
        <v>116989.492</v>
      </c>
      <c r="BR39" s="54"/>
      <c r="BS39" s="54"/>
      <c r="BT39" s="51">
        <f t="shared" si="12"/>
        <v>1866</v>
      </c>
      <c r="BU39" s="54">
        <f t="shared" si="12"/>
        <v>119430.842</v>
      </c>
      <c r="BV39" s="54"/>
      <c r="BW39" s="54"/>
      <c r="BX39" s="51">
        <f t="shared" si="13"/>
        <v>1866</v>
      </c>
      <c r="BY39" s="54">
        <f t="shared" si="13"/>
        <v>117054.59466666666</v>
      </c>
      <c r="BZ39" s="54"/>
      <c r="CA39" s="54"/>
      <c r="CB39" s="24"/>
    </row>
    <row r="40" spans="1:80" ht="15.75">
      <c r="A40" s="41"/>
      <c r="B40" s="61"/>
      <c r="C40" s="43" t="s">
        <v>40</v>
      </c>
      <c r="D40" s="44"/>
      <c r="E40" s="45"/>
      <c r="F40" s="45"/>
      <c r="G40" s="43"/>
      <c r="H40" s="45"/>
      <c r="I40" s="43"/>
      <c r="J40" s="46"/>
      <c r="K40" s="43"/>
      <c r="L40" s="43"/>
      <c r="M40" s="43"/>
      <c r="N40" s="43"/>
      <c r="O40" s="43"/>
      <c r="P40" s="44">
        <v>88</v>
      </c>
      <c r="Q40" s="45">
        <f>(P40*0.5)</f>
        <v>44</v>
      </c>
      <c r="R40" s="43">
        <f>(Q40)*(48.03)*$A$53</f>
        <v>2483.1510000000003</v>
      </c>
      <c r="S40" s="44">
        <f t="shared" si="7"/>
        <v>44</v>
      </c>
      <c r="T40" s="47">
        <f t="shared" si="7"/>
        <v>2483.1510000000003</v>
      </c>
      <c r="U40" s="47"/>
      <c r="V40" s="47"/>
      <c r="W40" s="48"/>
      <c r="X40" s="44"/>
      <c r="Y40" s="45"/>
      <c r="Z40" s="45"/>
      <c r="AA40" s="43"/>
      <c r="AB40" s="45"/>
      <c r="AC40" s="43"/>
      <c r="AD40" s="46"/>
      <c r="AE40" s="43"/>
      <c r="AF40" s="43"/>
      <c r="AG40" s="43"/>
      <c r="AH40" s="43"/>
      <c r="AI40" s="43"/>
      <c r="AJ40" s="44">
        <v>88</v>
      </c>
      <c r="AK40" s="45">
        <f>(AJ40*0.5)</f>
        <v>44</v>
      </c>
      <c r="AL40" s="43">
        <f>(AK40)*(48.03)*$A$54</f>
        <v>2531.7573600000001</v>
      </c>
      <c r="AM40" s="44">
        <f t="shared" si="8"/>
        <v>44</v>
      </c>
      <c r="AN40" s="47">
        <f t="shared" si="8"/>
        <v>2531.7573600000001</v>
      </c>
      <c r="AO40" s="47"/>
      <c r="AP40" s="47"/>
      <c r="AQ40" s="62"/>
      <c r="AR40" s="44"/>
      <c r="AS40" s="45"/>
      <c r="AT40" s="45"/>
      <c r="AU40" s="43"/>
      <c r="AV40" s="45"/>
      <c r="AW40" s="43"/>
      <c r="AX40" s="46"/>
      <c r="AY40" s="43"/>
      <c r="AZ40" s="43"/>
      <c r="BA40" s="43"/>
      <c r="BB40" s="43"/>
      <c r="BC40" s="43"/>
      <c r="BD40" s="44">
        <v>88</v>
      </c>
      <c r="BE40" s="45">
        <f>(BD40*0.5)</f>
        <v>44</v>
      </c>
      <c r="BF40" s="43">
        <f>(BE40)*(48.03)*$A$55</f>
        <v>2584.5903600000006</v>
      </c>
      <c r="BG40" s="44">
        <f t="shared" si="9"/>
        <v>44</v>
      </c>
      <c r="BH40" s="47">
        <f t="shared" si="9"/>
        <v>2584.5903600000006</v>
      </c>
      <c r="BI40" s="47"/>
      <c r="BJ40" s="47"/>
      <c r="BK40" s="63"/>
      <c r="BL40" s="44">
        <f t="shared" si="10"/>
        <v>44</v>
      </c>
      <c r="BM40" s="47">
        <f t="shared" si="10"/>
        <v>2483.1510000000003</v>
      </c>
      <c r="BN40" s="47"/>
      <c r="BO40" s="47"/>
      <c r="BP40" s="44">
        <f t="shared" si="11"/>
        <v>44</v>
      </c>
      <c r="BQ40" s="47">
        <f t="shared" si="11"/>
        <v>2531.7573600000001</v>
      </c>
      <c r="BR40" s="47"/>
      <c r="BS40" s="47"/>
      <c r="BT40" s="44">
        <f t="shared" si="12"/>
        <v>44</v>
      </c>
      <c r="BU40" s="47">
        <f t="shared" si="12"/>
        <v>2584.5903600000006</v>
      </c>
      <c r="BV40" s="47"/>
      <c r="BW40" s="47"/>
      <c r="BX40" s="44">
        <f t="shared" si="13"/>
        <v>44</v>
      </c>
      <c r="BY40" s="47">
        <f t="shared" si="13"/>
        <v>2533.1662400000005</v>
      </c>
      <c r="BZ40" s="47"/>
      <c r="CA40" s="47"/>
      <c r="CB40" s="24"/>
    </row>
    <row r="41" spans="1:80" ht="15.75">
      <c r="A41" s="49"/>
      <c r="B41" s="50"/>
      <c r="C41" s="9" t="s">
        <v>41</v>
      </c>
      <c r="D41" s="51">
        <v>88</v>
      </c>
      <c r="E41" s="52">
        <v>15</v>
      </c>
      <c r="F41" s="52">
        <v>5</v>
      </c>
      <c r="G41" s="9">
        <f>(816)*$A$53</f>
        <v>958.80000000000007</v>
      </c>
      <c r="H41" s="52">
        <f>(D41*E41/F41)</f>
        <v>264</v>
      </c>
      <c r="I41" s="9">
        <f>(D41*G41)/F41</f>
        <v>16874.88</v>
      </c>
      <c r="J41" s="53"/>
      <c r="K41" s="9"/>
      <c r="L41" s="9"/>
      <c r="M41" s="9"/>
      <c r="N41" s="9"/>
      <c r="O41" s="9"/>
      <c r="P41" s="51"/>
      <c r="Q41" s="52"/>
      <c r="R41" s="9"/>
      <c r="S41" s="51">
        <f>(H41)</f>
        <v>264</v>
      </c>
      <c r="T41" s="54">
        <f>(I41)</f>
        <v>16874.88</v>
      </c>
      <c r="U41" s="54"/>
      <c r="V41" s="54"/>
      <c r="W41" s="55"/>
      <c r="X41" s="51">
        <v>88</v>
      </c>
      <c r="Y41" s="52">
        <v>15</v>
      </c>
      <c r="Z41" s="52">
        <v>5</v>
      </c>
      <c r="AA41" s="9">
        <f>(816)*$A$54</f>
        <v>977.56799999999998</v>
      </c>
      <c r="AB41" s="52">
        <f>(X41*Y41/Z41)</f>
        <v>264</v>
      </c>
      <c r="AC41" s="9">
        <f>(X41*AA41)/Z41</f>
        <v>17205.196799999998</v>
      </c>
      <c r="AD41" s="53"/>
      <c r="AE41" s="9"/>
      <c r="AF41" s="9"/>
      <c r="AG41" s="9"/>
      <c r="AH41" s="9"/>
      <c r="AI41" s="9"/>
      <c r="AJ41" s="51"/>
      <c r="AK41" s="52"/>
      <c r="AL41" s="9"/>
      <c r="AM41" s="51">
        <v>101</v>
      </c>
      <c r="AN41" s="54">
        <f>(AC41)</f>
        <v>17205.196799999998</v>
      </c>
      <c r="AO41" s="54"/>
      <c r="AP41" s="54"/>
      <c r="AQ41" s="28"/>
      <c r="AR41" s="51">
        <v>88</v>
      </c>
      <c r="AS41" s="52">
        <v>15</v>
      </c>
      <c r="AT41" s="52">
        <v>5</v>
      </c>
      <c r="AU41" s="9">
        <f>(816)*$A$55</f>
        <v>997.96800000000007</v>
      </c>
      <c r="AV41" s="52">
        <f>(AR41*AS41/AT41)</f>
        <v>264</v>
      </c>
      <c r="AW41" s="9">
        <f>(AR41*AU41)/AT41</f>
        <v>17564.236800000002</v>
      </c>
      <c r="AX41" s="53"/>
      <c r="AY41" s="9"/>
      <c r="AZ41" s="9"/>
      <c r="BA41" s="9"/>
      <c r="BB41" s="9"/>
      <c r="BC41" s="9"/>
      <c r="BD41" s="51"/>
      <c r="BE41" s="52"/>
      <c r="BF41" s="9"/>
      <c r="BG41" s="51">
        <f>(AV41)</f>
        <v>264</v>
      </c>
      <c r="BH41" s="54">
        <f>(AW41)</f>
        <v>17564.236800000002</v>
      </c>
      <c r="BI41" s="54"/>
      <c r="BJ41" s="54"/>
      <c r="BK41" s="29"/>
      <c r="BL41" s="51">
        <f t="shared" si="10"/>
        <v>264</v>
      </c>
      <c r="BM41" s="54">
        <f t="shared" si="10"/>
        <v>16874.88</v>
      </c>
      <c r="BN41" s="54"/>
      <c r="BO41" s="54"/>
      <c r="BP41" s="51">
        <f t="shared" si="11"/>
        <v>101</v>
      </c>
      <c r="BQ41" s="54">
        <f t="shared" si="11"/>
        <v>17205.196799999998</v>
      </c>
      <c r="BR41" s="54"/>
      <c r="BS41" s="54"/>
      <c r="BT41" s="51">
        <f t="shared" si="12"/>
        <v>264</v>
      </c>
      <c r="BU41" s="54">
        <f t="shared" si="12"/>
        <v>17564.236800000002</v>
      </c>
      <c r="BV41" s="54"/>
      <c r="BW41" s="54"/>
      <c r="BX41" s="51">
        <f t="shared" si="13"/>
        <v>209.66666666666666</v>
      </c>
      <c r="BY41" s="54">
        <f t="shared" si="13"/>
        <v>17214.771199999999</v>
      </c>
      <c r="BZ41" s="54"/>
      <c r="CA41" s="54"/>
      <c r="CB41" s="24"/>
    </row>
    <row r="42" spans="1:80" ht="15.75">
      <c r="A42" s="16" t="s">
        <v>12</v>
      </c>
      <c r="B42" s="19"/>
      <c r="C42" s="18"/>
      <c r="D42" s="56"/>
      <c r="E42" s="57"/>
      <c r="F42" s="57"/>
      <c r="G42" s="18"/>
      <c r="H42" s="57">
        <f>SUM(H34:H41)</f>
        <v>264</v>
      </c>
      <c r="I42" s="18">
        <f>SUM(I34:I41)</f>
        <v>16874.88</v>
      </c>
      <c r="J42" s="58"/>
      <c r="K42" s="18"/>
      <c r="L42" s="18"/>
      <c r="M42" s="18"/>
      <c r="N42" s="57"/>
      <c r="O42" s="18"/>
      <c r="P42" s="56"/>
      <c r="Q42" s="57">
        <f>SUM(Q34:Q41)</f>
        <v>23991</v>
      </c>
      <c r="R42" s="18">
        <f>SUM(R34:R41)</f>
        <v>1353824.801</v>
      </c>
      <c r="S42" s="56">
        <f>SUM(S34:S41)</f>
        <v>24255</v>
      </c>
      <c r="T42" s="59">
        <f>SUM(T34:T41)</f>
        <v>1370699.6809999999</v>
      </c>
      <c r="U42" s="59"/>
      <c r="V42" s="59"/>
      <c r="W42" s="48"/>
      <c r="X42" s="56"/>
      <c r="Y42" s="57"/>
      <c r="Z42" s="57"/>
      <c r="AA42" s="18"/>
      <c r="AB42" s="57">
        <f>SUM(AB34:AB41)</f>
        <v>264</v>
      </c>
      <c r="AC42" s="18">
        <f>SUM(AC34:AC41)</f>
        <v>17205.196799999998</v>
      </c>
      <c r="AD42" s="58"/>
      <c r="AE42" s="18"/>
      <c r="AF42" s="18"/>
      <c r="AG42" s="18"/>
      <c r="AH42" s="57"/>
      <c r="AI42" s="18"/>
      <c r="AJ42" s="56"/>
      <c r="AK42" s="57">
        <f>SUM(AK34:AK41)</f>
        <v>23991</v>
      </c>
      <c r="AL42" s="18">
        <f>SUM(AL34:AL41)</f>
        <v>1380325.2013599998</v>
      </c>
      <c r="AM42" s="56">
        <f>SUM(AM34:AM41)</f>
        <v>24092</v>
      </c>
      <c r="AN42" s="59">
        <f>SUM(AN34:AN41)</f>
        <v>1397530.3981599999</v>
      </c>
      <c r="AO42" s="59"/>
      <c r="AP42" s="59"/>
      <c r="AQ42" s="28"/>
      <c r="AR42" s="56"/>
      <c r="AS42" s="57"/>
      <c r="AT42" s="57"/>
      <c r="AU42" s="18"/>
      <c r="AV42" s="57">
        <f>SUM(AV34:AV41)</f>
        <v>264</v>
      </c>
      <c r="AW42" s="18">
        <f>SUM(AW34:AW41)</f>
        <v>17564.236800000002</v>
      </c>
      <c r="AX42" s="58"/>
      <c r="AY42" s="18"/>
      <c r="AZ42" s="18"/>
      <c r="BA42" s="18"/>
      <c r="BB42" s="57"/>
      <c r="BC42" s="18"/>
      <c r="BD42" s="56"/>
      <c r="BE42" s="57">
        <f>SUM(BE34:BE41)</f>
        <v>23991</v>
      </c>
      <c r="BF42" s="18">
        <f>SUM(BF34:BF41)</f>
        <v>1409129.9843600001</v>
      </c>
      <c r="BG42" s="56">
        <f>SUM(BG34:BG41)</f>
        <v>24255</v>
      </c>
      <c r="BH42" s="59">
        <f>SUM(BH34:BH41)</f>
        <v>1426694.2211600002</v>
      </c>
      <c r="BI42" s="59"/>
      <c r="BJ42" s="59"/>
      <c r="BK42" s="29"/>
      <c r="BL42" s="56">
        <f>SUM(BL34:BL41)</f>
        <v>24255</v>
      </c>
      <c r="BM42" s="59">
        <f>SUM(BM34:BM41)</f>
        <v>1370699.6809999999</v>
      </c>
      <c r="BN42" s="59"/>
      <c r="BO42" s="59"/>
      <c r="BP42" s="56">
        <f>SUM(BP34:BP41)</f>
        <v>24092</v>
      </c>
      <c r="BQ42" s="59">
        <f>SUM(BQ34:BQ41)</f>
        <v>1397530.3981599999</v>
      </c>
      <c r="BR42" s="59"/>
      <c r="BS42" s="59"/>
      <c r="BT42" s="56">
        <f>SUM(BT34:BT41)</f>
        <v>24255</v>
      </c>
      <c r="BU42" s="59">
        <f>SUM(BU34:BU41)</f>
        <v>1426694.2211600002</v>
      </c>
      <c r="BV42" s="59"/>
      <c r="BW42" s="59"/>
      <c r="BX42" s="56">
        <f>SUM(BX34:BX41)</f>
        <v>24200.666666666668</v>
      </c>
      <c r="BY42" s="59">
        <f>SUM(BY34:BY41)</f>
        <v>1398308.1001066666</v>
      </c>
      <c r="BZ42" s="59"/>
      <c r="CA42" s="59"/>
      <c r="CB42" s="24"/>
    </row>
    <row r="43" spans="1:80" ht="15.75">
      <c r="A43" s="41" t="s">
        <v>13</v>
      </c>
      <c r="B43" s="42"/>
      <c r="C43" s="43"/>
      <c r="D43" s="44"/>
      <c r="E43" s="45"/>
      <c r="F43" s="45"/>
      <c r="G43" s="43"/>
      <c r="H43" s="45"/>
      <c r="I43" s="43"/>
      <c r="J43" s="46"/>
      <c r="K43" s="43"/>
      <c r="L43" s="43"/>
      <c r="M43" s="43"/>
      <c r="N43" s="43"/>
      <c r="O43" s="43"/>
      <c r="P43" s="44"/>
      <c r="Q43" s="45"/>
      <c r="R43" s="43"/>
      <c r="S43" s="44"/>
      <c r="T43" s="47"/>
      <c r="U43" s="47"/>
      <c r="V43" s="47"/>
      <c r="W43" s="48"/>
      <c r="X43" s="44"/>
      <c r="Y43" s="45"/>
      <c r="Z43" s="45"/>
      <c r="AA43" s="43"/>
      <c r="AB43" s="45"/>
      <c r="AC43" s="43"/>
      <c r="AD43" s="46"/>
      <c r="AE43" s="43"/>
      <c r="AF43" s="43"/>
      <c r="AG43" s="43"/>
      <c r="AH43" s="43"/>
      <c r="AI43" s="43"/>
      <c r="AJ43" s="44"/>
      <c r="AK43" s="45"/>
      <c r="AL43" s="43"/>
      <c r="AM43" s="44"/>
      <c r="AN43" s="47"/>
      <c r="AO43" s="47"/>
      <c r="AP43" s="47"/>
      <c r="AQ43" s="28"/>
      <c r="AR43" s="44"/>
      <c r="AS43" s="45"/>
      <c r="AT43" s="45"/>
      <c r="AU43" s="43"/>
      <c r="AV43" s="45"/>
      <c r="AW43" s="43"/>
      <c r="AX43" s="46"/>
      <c r="AY43" s="43"/>
      <c r="AZ43" s="43"/>
      <c r="BA43" s="43"/>
      <c r="BB43" s="43"/>
      <c r="BC43" s="43"/>
      <c r="BD43" s="44"/>
      <c r="BE43" s="45"/>
      <c r="BF43" s="43"/>
      <c r="BG43" s="44"/>
      <c r="BH43" s="47"/>
      <c r="BI43" s="47"/>
      <c r="BJ43" s="47"/>
      <c r="BK43" s="29"/>
      <c r="BL43" s="44"/>
      <c r="BM43" s="47"/>
      <c r="BN43" s="47"/>
      <c r="BO43" s="47"/>
      <c r="BP43" s="44"/>
      <c r="BQ43" s="47"/>
      <c r="BR43" s="47"/>
      <c r="BS43" s="47"/>
      <c r="BT43" s="44"/>
      <c r="BU43" s="47"/>
      <c r="BV43" s="47"/>
      <c r="BW43" s="47"/>
      <c r="BX43" s="44"/>
      <c r="BY43" s="47"/>
      <c r="BZ43" s="47"/>
      <c r="CA43" s="47"/>
      <c r="CB43" s="24"/>
    </row>
    <row r="44" spans="1:80" ht="15.75">
      <c r="A44" s="49"/>
      <c r="B44" s="50"/>
      <c r="C44" s="9" t="s">
        <v>42</v>
      </c>
      <c r="D44" s="51"/>
      <c r="E44" s="52"/>
      <c r="F44" s="52"/>
      <c r="G44" s="9"/>
      <c r="H44" s="52"/>
      <c r="I44" s="9"/>
      <c r="J44" s="53"/>
      <c r="K44" s="9"/>
      <c r="L44" s="9"/>
      <c r="M44" s="9"/>
      <c r="N44" s="9"/>
      <c r="O44" s="9"/>
      <c r="P44" s="51">
        <v>311</v>
      </c>
      <c r="Q44" s="52">
        <f>(P44*12)</f>
        <v>3732</v>
      </c>
      <c r="R44" s="9">
        <f>(P44)*(444+234)*$A$53</f>
        <v>247758.15000000002</v>
      </c>
      <c r="S44" s="51">
        <f>(H44+Q44)</f>
        <v>3732</v>
      </c>
      <c r="T44" s="54">
        <f>(I44+R44)</f>
        <v>247758.15000000002</v>
      </c>
      <c r="U44" s="54"/>
      <c r="V44" s="54"/>
      <c r="W44" s="55"/>
      <c r="X44" s="51"/>
      <c r="Y44" s="52"/>
      <c r="Z44" s="52"/>
      <c r="AA44" s="9"/>
      <c r="AB44" s="52"/>
      <c r="AC44" s="9"/>
      <c r="AD44" s="53"/>
      <c r="AE44" s="9"/>
      <c r="AF44" s="9"/>
      <c r="AG44" s="9"/>
      <c r="AH44" s="9"/>
      <c r="AI44" s="9"/>
      <c r="AJ44" s="51">
        <v>311</v>
      </c>
      <c r="AK44" s="52">
        <f>(AJ44*12)</f>
        <v>3732</v>
      </c>
      <c r="AL44" s="9">
        <f>(AJ44)*(444+234)*$A$54</f>
        <v>252607.88399999999</v>
      </c>
      <c r="AM44" s="51">
        <f>(AB44+AK44)</f>
        <v>3732</v>
      </c>
      <c r="AN44" s="54">
        <f>(AC44+AL44)</f>
        <v>252607.88399999999</v>
      </c>
      <c r="AO44" s="54"/>
      <c r="AP44" s="54"/>
      <c r="AQ44" s="28"/>
      <c r="AR44" s="51"/>
      <c r="AS44" s="52"/>
      <c r="AT44" s="52"/>
      <c r="AU44" s="9"/>
      <c r="AV44" s="52"/>
      <c r="AW44" s="9"/>
      <c r="AX44" s="53"/>
      <c r="AY44" s="9"/>
      <c r="AZ44" s="9"/>
      <c r="BA44" s="9"/>
      <c r="BB44" s="9"/>
      <c r="BC44" s="9"/>
      <c r="BD44" s="51">
        <v>311</v>
      </c>
      <c r="BE44" s="52">
        <f>(BD44*12)</f>
        <v>3732</v>
      </c>
      <c r="BF44" s="9">
        <f>(BD44)*(444+234)*$A$55</f>
        <v>257879.33400000003</v>
      </c>
      <c r="BG44" s="51">
        <f>(AV44+BE44)</f>
        <v>3732</v>
      </c>
      <c r="BH44" s="54">
        <f>(AW44+BF44)</f>
        <v>257879.33400000003</v>
      </c>
      <c r="BI44" s="54"/>
      <c r="BJ44" s="54"/>
      <c r="BK44" s="29"/>
      <c r="BL44" s="51">
        <f>(S44)</f>
        <v>3732</v>
      </c>
      <c r="BM44" s="54">
        <f>(T44)</f>
        <v>247758.15000000002</v>
      </c>
      <c r="BN44" s="54"/>
      <c r="BO44" s="54"/>
      <c r="BP44" s="51">
        <f>(AM44)</f>
        <v>3732</v>
      </c>
      <c r="BQ44" s="54">
        <f>(AN44)</f>
        <v>252607.88399999999</v>
      </c>
      <c r="BR44" s="54"/>
      <c r="BS44" s="54"/>
      <c r="BT44" s="51">
        <f>(BG44)</f>
        <v>3732</v>
      </c>
      <c r="BU44" s="54">
        <f>(BH44)</f>
        <v>257879.33400000003</v>
      </c>
      <c r="BV44" s="54"/>
      <c r="BW44" s="54"/>
      <c r="BX44" s="51">
        <f>(BL44+BP44+BT44)/3</f>
        <v>3732</v>
      </c>
      <c r="BY44" s="54">
        <f>(BM44+BQ44+BU44)/3</f>
        <v>252748.45600000001</v>
      </c>
      <c r="BZ44" s="54"/>
      <c r="CA44" s="54"/>
      <c r="CB44" s="24"/>
    </row>
    <row r="45" spans="1:80" ht="15.75">
      <c r="A45" s="49"/>
      <c r="B45" s="50"/>
      <c r="C45" s="9" t="s">
        <v>43</v>
      </c>
      <c r="D45" s="51"/>
      <c r="E45" s="52"/>
      <c r="F45" s="52"/>
      <c r="G45" s="9"/>
      <c r="H45" s="52"/>
      <c r="I45" s="9"/>
      <c r="J45" s="53"/>
      <c r="K45" s="9"/>
      <c r="L45" s="9"/>
      <c r="M45" s="9"/>
      <c r="N45" s="9"/>
      <c r="O45" s="9"/>
      <c r="P45" s="51">
        <v>311</v>
      </c>
      <c r="Q45" s="52">
        <f>(P45*30)</f>
        <v>9330</v>
      </c>
      <c r="R45" s="9">
        <f>(P45)*(706+394+222+117)*$A$53</f>
        <v>525846.57500000007</v>
      </c>
      <c r="S45" s="51">
        <f>(H45+Q45)</f>
        <v>9330</v>
      </c>
      <c r="T45" s="54">
        <f>(I45+R45)</f>
        <v>525846.57500000007</v>
      </c>
      <c r="U45" s="54"/>
      <c r="V45" s="54"/>
      <c r="W45" s="55"/>
      <c r="X45" s="51"/>
      <c r="Y45" s="52"/>
      <c r="Z45" s="52"/>
      <c r="AA45" s="9"/>
      <c r="AB45" s="52"/>
      <c r="AC45" s="9"/>
      <c r="AD45" s="53"/>
      <c r="AE45" s="9"/>
      <c r="AF45" s="9"/>
      <c r="AG45" s="9"/>
      <c r="AH45" s="9"/>
      <c r="AI45" s="9"/>
      <c r="AJ45" s="51">
        <v>311</v>
      </c>
      <c r="AK45" s="52">
        <f>(AJ45*30)</f>
        <v>9330</v>
      </c>
      <c r="AL45" s="9">
        <f>(AJ45)*(706+394+222+117)*$A$54</f>
        <v>536139.74199999997</v>
      </c>
      <c r="AM45" s="51">
        <f>(AB45+AK45)</f>
        <v>9330</v>
      </c>
      <c r="AN45" s="54">
        <f>(AC45+AL45)</f>
        <v>536139.74199999997</v>
      </c>
      <c r="AO45" s="54"/>
      <c r="AP45" s="54"/>
      <c r="AQ45" s="28"/>
      <c r="AR45" s="51"/>
      <c r="AS45" s="52"/>
      <c r="AT45" s="52"/>
      <c r="AU45" s="9"/>
      <c r="AV45" s="52"/>
      <c r="AW45" s="9"/>
      <c r="AX45" s="53"/>
      <c r="AY45" s="9"/>
      <c r="AZ45" s="9"/>
      <c r="BA45" s="9"/>
      <c r="BB45" s="9"/>
      <c r="BC45" s="9"/>
      <c r="BD45" s="51">
        <v>311</v>
      </c>
      <c r="BE45" s="52">
        <f>(BD45*30)</f>
        <v>9330</v>
      </c>
      <c r="BF45" s="9">
        <f>(BD45)*(706+394+222+117)*$A$55</f>
        <v>547327.96700000006</v>
      </c>
      <c r="BG45" s="51">
        <f>(AV45+BE45)</f>
        <v>9330</v>
      </c>
      <c r="BH45" s="54">
        <f>(AW45+BF45)</f>
        <v>547327.96700000006</v>
      </c>
      <c r="BI45" s="54"/>
      <c r="BJ45" s="54"/>
      <c r="BK45" s="29"/>
      <c r="BL45" s="51">
        <f>(S45)</f>
        <v>9330</v>
      </c>
      <c r="BM45" s="54">
        <f>(T45)</f>
        <v>525846.57500000007</v>
      </c>
      <c r="BN45" s="54"/>
      <c r="BO45" s="54"/>
      <c r="BP45" s="51">
        <f>(AM45)</f>
        <v>9330</v>
      </c>
      <c r="BQ45" s="54">
        <f>(AN45)</f>
        <v>536139.74199999997</v>
      </c>
      <c r="BR45" s="54"/>
      <c r="BS45" s="54"/>
      <c r="BT45" s="51">
        <f>(BG45)</f>
        <v>9330</v>
      </c>
      <c r="BU45" s="54">
        <f>(BH45)</f>
        <v>547327.96700000006</v>
      </c>
      <c r="BV45" s="54"/>
      <c r="BW45" s="54"/>
      <c r="BX45" s="51">
        <f>(BL45+BP45+BT45)/3</f>
        <v>9330</v>
      </c>
      <c r="BY45" s="54">
        <f>(BM45+BQ45+BU45)/3</f>
        <v>536438.0946666667</v>
      </c>
      <c r="BZ45" s="54"/>
      <c r="CA45" s="54"/>
      <c r="CB45" s="24"/>
    </row>
    <row r="46" spans="1:80" ht="15.75">
      <c r="A46" s="16" t="s">
        <v>14</v>
      </c>
      <c r="B46" s="19"/>
      <c r="C46" s="18"/>
      <c r="D46" s="56"/>
      <c r="E46" s="57"/>
      <c r="F46" s="57"/>
      <c r="G46" s="18"/>
      <c r="H46" s="57"/>
      <c r="I46" s="18"/>
      <c r="J46" s="58"/>
      <c r="K46" s="18"/>
      <c r="L46" s="18"/>
      <c r="M46" s="18"/>
      <c r="N46" s="57"/>
      <c r="O46" s="18"/>
      <c r="P46" s="56"/>
      <c r="Q46" s="57">
        <f>SUM(Q43:Q45)</f>
        <v>13062</v>
      </c>
      <c r="R46" s="18">
        <f>SUM(R43:R45)</f>
        <v>773604.72500000009</v>
      </c>
      <c r="S46" s="56">
        <f>SUM(S43:S45)</f>
        <v>13062</v>
      </c>
      <c r="T46" s="59">
        <f>SUM(T43:T45)</f>
        <v>773604.72500000009</v>
      </c>
      <c r="U46" s="59"/>
      <c r="V46" s="59"/>
      <c r="W46" s="48"/>
      <c r="X46" s="56"/>
      <c r="Y46" s="57"/>
      <c r="Z46" s="57"/>
      <c r="AA46" s="18"/>
      <c r="AB46" s="57"/>
      <c r="AC46" s="18"/>
      <c r="AD46" s="58"/>
      <c r="AE46" s="18"/>
      <c r="AF46" s="18"/>
      <c r="AG46" s="18"/>
      <c r="AH46" s="57"/>
      <c r="AI46" s="18"/>
      <c r="AJ46" s="56"/>
      <c r="AK46" s="57">
        <f>SUM(AK43:AK45)</f>
        <v>13062</v>
      </c>
      <c r="AL46" s="18">
        <f>SUM(AL43:AL45)</f>
        <v>788747.62599999993</v>
      </c>
      <c r="AM46" s="56">
        <f>SUM(AM43:AM45)</f>
        <v>13062</v>
      </c>
      <c r="AN46" s="59">
        <f>SUM(AN43:AN45)</f>
        <v>788747.62599999993</v>
      </c>
      <c r="AO46" s="59"/>
      <c r="AP46" s="59"/>
      <c r="AQ46" s="28"/>
      <c r="AR46" s="56"/>
      <c r="AS46" s="57"/>
      <c r="AT46" s="57"/>
      <c r="AU46" s="18"/>
      <c r="AV46" s="57"/>
      <c r="AW46" s="18"/>
      <c r="AX46" s="58"/>
      <c r="AY46" s="18"/>
      <c r="AZ46" s="18"/>
      <c r="BA46" s="18"/>
      <c r="BB46" s="57"/>
      <c r="BC46" s="18"/>
      <c r="BD46" s="56"/>
      <c r="BE46" s="57">
        <f>SUM(BE43:BE45)</f>
        <v>13062</v>
      </c>
      <c r="BF46" s="18">
        <f>SUM(BF43:BF45)</f>
        <v>805207.30100000009</v>
      </c>
      <c r="BG46" s="56">
        <f>SUM(BG43:BG45)</f>
        <v>13062</v>
      </c>
      <c r="BH46" s="59">
        <f>SUM(BH43:BH45)</f>
        <v>805207.30100000009</v>
      </c>
      <c r="BI46" s="59"/>
      <c r="BJ46" s="59"/>
      <c r="BK46" s="29"/>
      <c r="BL46" s="56">
        <f>SUM(BL43:BL45)</f>
        <v>13062</v>
      </c>
      <c r="BM46" s="59">
        <f>SUM(BM43:BM45)</f>
        <v>773604.72500000009</v>
      </c>
      <c r="BN46" s="59"/>
      <c r="BO46" s="59"/>
      <c r="BP46" s="56">
        <f>SUM(BP43:BP45)</f>
        <v>13062</v>
      </c>
      <c r="BQ46" s="59">
        <f>SUM(BQ43:BQ45)</f>
        <v>788747.62599999993</v>
      </c>
      <c r="BR46" s="59"/>
      <c r="BS46" s="59"/>
      <c r="BT46" s="56">
        <f>SUM(BT43:BT45)</f>
        <v>13062</v>
      </c>
      <c r="BU46" s="59">
        <f>SUM(BU43:BU45)</f>
        <v>805207.30100000009</v>
      </c>
      <c r="BV46" s="59"/>
      <c r="BW46" s="59"/>
      <c r="BX46" s="56">
        <f>SUM(BX43:BX45)</f>
        <v>13062</v>
      </c>
      <c r="BY46" s="59">
        <f>SUM(BY43:BY45)</f>
        <v>789186.55066666671</v>
      </c>
      <c r="BZ46" s="59"/>
      <c r="CA46" s="59"/>
      <c r="CB46" s="24"/>
    </row>
    <row r="47" spans="1:80" ht="15.75">
      <c r="A47" s="41"/>
      <c r="B47" s="61"/>
      <c r="C47" s="43"/>
      <c r="D47" s="44"/>
      <c r="E47" s="45"/>
      <c r="F47" s="45"/>
      <c r="G47" s="43"/>
      <c r="H47" s="45"/>
      <c r="I47" s="43"/>
      <c r="J47" s="46"/>
      <c r="K47" s="43"/>
      <c r="L47" s="43"/>
      <c r="M47" s="43"/>
      <c r="N47" s="43"/>
      <c r="O47" s="43"/>
      <c r="P47" s="44"/>
      <c r="Q47" s="45"/>
      <c r="R47" s="43"/>
      <c r="S47" s="44"/>
      <c r="T47" s="47"/>
      <c r="U47" s="47"/>
      <c r="V47" s="47"/>
      <c r="W47" s="48"/>
      <c r="X47" s="44"/>
      <c r="Y47" s="45"/>
      <c r="Z47" s="45"/>
      <c r="AA47" s="43"/>
      <c r="AB47" s="45"/>
      <c r="AC47" s="43"/>
      <c r="AD47" s="46"/>
      <c r="AE47" s="43"/>
      <c r="AF47" s="43"/>
      <c r="AG47" s="43"/>
      <c r="AH47" s="43"/>
      <c r="AI47" s="43"/>
      <c r="AJ47" s="44"/>
      <c r="AK47" s="45"/>
      <c r="AL47" s="43"/>
      <c r="AM47" s="44"/>
      <c r="AN47" s="47"/>
      <c r="AO47" s="47"/>
      <c r="AP47" s="47"/>
      <c r="AQ47" s="28"/>
      <c r="AR47" s="44"/>
      <c r="AS47" s="45"/>
      <c r="AT47" s="45"/>
      <c r="AU47" s="43"/>
      <c r="AV47" s="45"/>
      <c r="AW47" s="43"/>
      <c r="AX47" s="46"/>
      <c r="AY47" s="43"/>
      <c r="AZ47" s="43"/>
      <c r="BA47" s="43"/>
      <c r="BB47" s="43"/>
      <c r="BC47" s="43"/>
      <c r="BD47" s="44"/>
      <c r="BE47" s="45"/>
      <c r="BF47" s="43"/>
      <c r="BG47" s="44"/>
      <c r="BH47" s="47"/>
      <c r="BI47" s="47"/>
      <c r="BJ47" s="47"/>
      <c r="BK47" s="29"/>
      <c r="BL47" s="44"/>
      <c r="BM47" s="47"/>
      <c r="BN47" s="47"/>
      <c r="BO47" s="47"/>
      <c r="BP47" s="44"/>
      <c r="BQ47" s="47"/>
      <c r="BR47" s="47"/>
      <c r="BS47" s="47"/>
      <c r="BT47" s="44"/>
      <c r="BU47" s="47"/>
      <c r="BV47" s="47"/>
      <c r="BW47" s="47"/>
      <c r="BX47" s="44"/>
      <c r="BY47" s="47"/>
      <c r="BZ47" s="47"/>
      <c r="CA47" s="47"/>
      <c r="CB47" s="24"/>
    </row>
    <row r="48" spans="1:80">
      <c r="A48" s="64" t="s">
        <v>15</v>
      </c>
      <c r="B48" s="65"/>
      <c r="C48" s="66"/>
      <c r="D48" s="67"/>
      <c r="E48" s="68"/>
      <c r="F48" s="68"/>
      <c r="G48" s="66"/>
      <c r="H48" s="68">
        <f>(H12+H18+H22+H27+H33+H42+H46)</f>
        <v>1808</v>
      </c>
      <c r="I48" s="66">
        <f>(I12+I18+I22+I27+I33+I42+I46)</f>
        <v>641120.65499999991</v>
      </c>
      <c r="J48" s="69"/>
      <c r="K48" s="66"/>
      <c r="L48" s="66"/>
      <c r="M48" s="66"/>
      <c r="N48" s="68"/>
      <c r="O48" s="66"/>
      <c r="P48" s="67"/>
      <c r="Q48" s="68">
        <f t="shared" ref="Q48:V48" si="14">(Q12+Q18+Q22+Q27+Q33+Q42+Q46)</f>
        <v>107650</v>
      </c>
      <c r="R48" s="66">
        <f t="shared" si="14"/>
        <v>5793738.550999999</v>
      </c>
      <c r="S48" s="67">
        <f t="shared" si="14"/>
        <v>109013.71428571429</v>
      </c>
      <c r="T48" s="70">
        <f t="shared" si="14"/>
        <v>5886721.7060000002</v>
      </c>
      <c r="U48" s="70">
        <f t="shared" si="14"/>
        <v>657765</v>
      </c>
      <c r="V48" s="70">
        <f t="shared" si="14"/>
        <v>548137.5</v>
      </c>
      <c r="W48" s="48"/>
      <c r="X48" s="67"/>
      <c r="Y48" s="68"/>
      <c r="Z48" s="68"/>
      <c r="AA48" s="66"/>
      <c r="AB48" s="68">
        <f>(AB12+AB18+AB22+AB27+AB33+AB42+AB46)</f>
        <v>1632</v>
      </c>
      <c r="AC48" s="66">
        <f>(AC12+AC18+AC22+AC27+AC33+AC42+AC46)</f>
        <v>644709.2108</v>
      </c>
      <c r="AD48" s="69"/>
      <c r="AE48" s="66"/>
      <c r="AF48" s="66"/>
      <c r="AG48" s="66"/>
      <c r="AH48" s="68">
        <f>(AH12+AH18+AH22+AH27+AH33+AH42+AH46)</f>
        <v>176</v>
      </c>
      <c r="AI48" s="66">
        <f>(AI12+AI18+AI22+AI27+AI33+AI42+AI46)</f>
        <v>8961.0399999999991</v>
      </c>
      <c r="AJ48" s="67"/>
      <c r="AK48" s="68">
        <f t="shared" ref="AK48:AP48" si="15">(AK12+AK18+AK22+AK27+AK33+AK42+AK46)</f>
        <v>107650</v>
      </c>
      <c r="AL48" s="66">
        <f t="shared" si="15"/>
        <v>5907147.9013599996</v>
      </c>
      <c r="AM48" s="67">
        <f t="shared" si="15"/>
        <v>109295</v>
      </c>
      <c r="AN48" s="70">
        <f t="shared" si="15"/>
        <v>6001951.1521600001</v>
      </c>
      <c r="AO48" s="70">
        <f t="shared" si="15"/>
        <v>670640.39999999991</v>
      </c>
      <c r="AP48" s="70">
        <f t="shared" si="15"/>
        <v>558867</v>
      </c>
      <c r="AQ48" s="28"/>
      <c r="AR48" s="67"/>
      <c r="AS48" s="68"/>
      <c r="AT48" s="68"/>
      <c r="AU48" s="66"/>
      <c r="AV48" s="68">
        <f>(AV12+AV18+AV22+AV27+AV33+AV42+AV46)</f>
        <v>1808</v>
      </c>
      <c r="AW48" s="66">
        <f>(AW12+AW18+AW22+AW27+AW33+AW42+AW46)</f>
        <v>667311.11580000003</v>
      </c>
      <c r="AX48" s="69"/>
      <c r="AY48" s="66"/>
      <c r="AZ48" s="66"/>
      <c r="BA48" s="66"/>
      <c r="BB48" s="68"/>
      <c r="BC48" s="66"/>
      <c r="BD48" s="67"/>
      <c r="BE48" s="68">
        <f t="shared" ref="BE48:BJ48" si="16">(BE12+BE18+BE22+BE27+BE33+BE42+BE46)</f>
        <v>107650</v>
      </c>
      <c r="BF48" s="66">
        <f t="shared" si="16"/>
        <v>6030418.9343600003</v>
      </c>
      <c r="BG48" s="67">
        <f t="shared" si="16"/>
        <v>109458</v>
      </c>
      <c r="BH48" s="70">
        <f t="shared" si="16"/>
        <v>6127200.5501600001</v>
      </c>
      <c r="BI48" s="70">
        <f t="shared" si="16"/>
        <v>684635.4</v>
      </c>
      <c r="BJ48" s="70">
        <f t="shared" si="16"/>
        <v>570529.5</v>
      </c>
      <c r="BK48" s="71"/>
      <c r="BL48" s="67">
        <f t="shared" ref="BL48:CA48" si="17">(BL12+BL18+BL22+BL27+BL33+BL42+BL46)</f>
        <v>109013.71428571429</v>
      </c>
      <c r="BM48" s="70">
        <f t="shared" si="17"/>
        <v>5886721.7060000002</v>
      </c>
      <c r="BN48" s="70">
        <f t="shared" si="17"/>
        <v>657765</v>
      </c>
      <c r="BO48" s="70">
        <f t="shared" si="17"/>
        <v>548137.5</v>
      </c>
      <c r="BP48" s="67">
        <f t="shared" si="17"/>
        <v>109295</v>
      </c>
      <c r="BQ48" s="70">
        <f t="shared" si="17"/>
        <v>6001951.1521600001</v>
      </c>
      <c r="BR48" s="70">
        <f t="shared" si="17"/>
        <v>670640.39999999991</v>
      </c>
      <c r="BS48" s="70">
        <f t="shared" si="17"/>
        <v>558867</v>
      </c>
      <c r="BT48" s="67">
        <f t="shared" si="17"/>
        <v>109458</v>
      </c>
      <c r="BU48" s="70">
        <f t="shared" si="17"/>
        <v>6127200.5501600001</v>
      </c>
      <c r="BV48" s="70">
        <f t="shared" si="17"/>
        <v>684635.4</v>
      </c>
      <c r="BW48" s="70">
        <f t="shared" si="17"/>
        <v>570529.5</v>
      </c>
      <c r="BX48" s="67">
        <f t="shared" si="17"/>
        <v>109255.57142857143</v>
      </c>
      <c r="BY48" s="70">
        <f t="shared" si="17"/>
        <v>6005291.1361066662</v>
      </c>
      <c r="BZ48" s="70">
        <f t="shared" si="17"/>
        <v>671013.6</v>
      </c>
      <c r="CA48" s="70">
        <f t="shared" si="17"/>
        <v>559178</v>
      </c>
      <c r="CB48" s="24"/>
    </row>
    <row r="49" spans="1:80" ht="15.75">
      <c r="A49" s="72"/>
      <c r="B49" s="73"/>
      <c r="C49" s="74"/>
      <c r="D49" s="75"/>
      <c r="E49" s="76"/>
      <c r="F49" s="76"/>
      <c r="G49" s="74"/>
      <c r="H49" s="76"/>
      <c r="I49" s="74"/>
      <c r="J49" s="77"/>
      <c r="K49" s="74"/>
      <c r="L49" s="74"/>
      <c r="M49" s="74"/>
      <c r="N49" s="74"/>
      <c r="O49" s="74"/>
      <c r="P49" s="75"/>
      <c r="Q49" s="76"/>
      <c r="R49" s="74"/>
      <c r="S49" s="75"/>
      <c r="T49" s="78"/>
      <c r="U49" s="78"/>
      <c r="V49" s="78"/>
      <c r="W49" s="55"/>
      <c r="X49" s="75"/>
      <c r="Y49" s="76"/>
      <c r="Z49" s="76"/>
      <c r="AA49" s="74"/>
      <c r="AB49" s="76"/>
      <c r="AC49" s="74"/>
      <c r="AD49" s="77"/>
      <c r="AE49" s="74"/>
      <c r="AF49" s="74"/>
      <c r="AG49" s="74"/>
      <c r="AH49" s="74"/>
      <c r="AI49" s="74"/>
      <c r="AJ49" s="75"/>
      <c r="AK49" s="76"/>
      <c r="AL49" s="74"/>
      <c r="AM49" s="75"/>
      <c r="AN49" s="78"/>
      <c r="AO49" s="78"/>
      <c r="AP49" s="78"/>
      <c r="AQ49" s="28"/>
      <c r="AR49" s="75"/>
      <c r="AS49" s="76"/>
      <c r="AT49" s="76"/>
      <c r="AU49" s="74"/>
      <c r="AV49" s="76"/>
      <c r="AW49" s="74"/>
      <c r="AX49" s="77"/>
      <c r="AY49" s="74"/>
      <c r="AZ49" s="74"/>
      <c r="BA49" s="74"/>
      <c r="BB49" s="74"/>
      <c r="BC49" s="74"/>
      <c r="BD49" s="75"/>
      <c r="BE49" s="76"/>
      <c r="BF49" s="74"/>
      <c r="BG49" s="75"/>
      <c r="BH49" s="78"/>
      <c r="BI49" s="78"/>
      <c r="BJ49" s="78"/>
      <c r="BK49" s="29"/>
      <c r="BL49" s="75"/>
      <c r="BM49" s="78"/>
      <c r="BN49" s="78"/>
      <c r="BO49" s="78"/>
      <c r="BP49" s="75"/>
      <c r="BQ49" s="78"/>
      <c r="BR49" s="78"/>
      <c r="BS49" s="78"/>
      <c r="BT49" s="75"/>
      <c r="BU49" s="78"/>
      <c r="BV49" s="78"/>
      <c r="BW49" s="78"/>
      <c r="BX49" s="75"/>
      <c r="BY49" s="78"/>
      <c r="BZ49" s="78"/>
      <c r="CA49" s="78"/>
      <c r="CB49" s="24"/>
    </row>
    <row r="50" spans="1:80" ht="15.75">
      <c r="A50" s="79" t="s">
        <v>16</v>
      </c>
      <c r="B50" s="80"/>
      <c r="C50" s="81"/>
      <c r="D50" s="82"/>
      <c r="E50" s="83"/>
      <c r="F50" s="83"/>
      <c r="G50" s="81"/>
      <c r="H50" s="83"/>
      <c r="I50" s="81"/>
      <c r="J50" s="84"/>
      <c r="K50" s="81"/>
      <c r="L50" s="81"/>
      <c r="M50" s="81"/>
      <c r="N50" s="81"/>
      <c r="O50" s="81"/>
      <c r="P50" s="82"/>
      <c r="Q50" s="83"/>
      <c r="R50" s="81"/>
      <c r="S50" s="82"/>
      <c r="T50" s="85"/>
      <c r="U50" s="85"/>
      <c r="V50" s="85">
        <f>(T48+U48+V48)</f>
        <v>7092624.2060000002</v>
      </c>
      <c r="W50" s="55"/>
      <c r="X50" s="82"/>
      <c r="Y50" s="83"/>
      <c r="Z50" s="83"/>
      <c r="AA50" s="81"/>
      <c r="AB50" s="83"/>
      <c r="AC50" s="81"/>
      <c r="AD50" s="84"/>
      <c r="AE50" s="81"/>
      <c r="AF50" s="81"/>
      <c r="AG50" s="81"/>
      <c r="AH50" s="81"/>
      <c r="AI50" s="81"/>
      <c r="AJ50" s="82"/>
      <c r="AK50" s="83"/>
      <c r="AL50" s="81"/>
      <c r="AM50" s="82"/>
      <c r="AN50" s="85"/>
      <c r="AO50" s="85"/>
      <c r="AP50" s="85">
        <f>(AN48+AO48+AP48)</f>
        <v>7231458.5521600004</v>
      </c>
      <c r="AQ50" s="28"/>
      <c r="AR50" s="82"/>
      <c r="AS50" s="83"/>
      <c r="AT50" s="83"/>
      <c r="AU50" s="81"/>
      <c r="AV50" s="83"/>
      <c r="AW50" s="81"/>
      <c r="AX50" s="84"/>
      <c r="AY50" s="81"/>
      <c r="AZ50" s="81"/>
      <c r="BA50" s="81"/>
      <c r="BB50" s="81"/>
      <c r="BC50" s="81"/>
      <c r="BD50" s="82"/>
      <c r="BE50" s="83"/>
      <c r="BF50" s="81"/>
      <c r="BG50" s="82"/>
      <c r="BH50" s="85"/>
      <c r="BI50" s="85"/>
      <c r="BJ50" s="85">
        <f>(BH48+BI48+BJ48)</f>
        <v>7382365.4501600005</v>
      </c>
      <c r="BK50" s="29"/>
      <c r="BL50" s="82"/>
      <c r="BM50" s="85"/>
      <c r="BN50" s="85"/>
      <c r="BO50" s="85">
        <f>(BM48+BN48+BO48)</f>
        <v>7092624.2060000002</v>
      </c>
      <c r="BP50" s="82"/>
      <c r="BQ50" s="85"/>
      <c r="BR50" s="85"/>
      <c r="BS50" s="85">
        <f>(BQ48+BR48+BS48)</f>
        <v>7231458.5521600004</v>
      </c>
      <c r="BT50" s="82"/>
      <c r="BU50" s="85"/>
      <c r="BV50" s="85"/>
      <c r="BW50" s="85">
        <f>(BU48+BV48+BW48)</f>
        <v>7382365.4501600005</v>
      </c>
      <c r="BX50" s="82"/>
      <c r="BY50" s="85"/>
      <c r="BZ50" s="85"/>
      <c r="CA50" s="85">
        <f>(BY48+BZ48+CA48)</f>
        <v>7235482.7361066658</v>
      </c>
      <c r="CB50" s="24"/>
    </row>
    <row r="51" spans="1:80" ht="15.75">
      <c r="A51" s="86"/>
      <c r="B51" s="86"/>
      <c r="C51" s="86"/>
      <c r="D51" s="87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6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6"/>
      <c r="AR51" s="89"/>
      <c r="AS51" s="90"/>
      <c r="AT51" s="90"/>
      <c r="AU51" s="90"/>
      <c r="AV51" s="90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6"/>
      <c r="BK51" s="7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</row>
    <row r="52" spans="1:80">
      <c r="Q52" s="91">
        <f>(H48+N48+Q48)</f>
        <v>109458</v>
      </c>
      <c r="R52" s="92">
        <f>(I48+O48+R48+U48)</f>
        <v>7092624.2059999993</v>
      </c>
      <c r="V52" s="92"/>
      <c r="AK52" s="91">
        <f>(AB48+AH48+AK48)</f>
        <v>109458</v>
      </c>
      <c r="AL52" s="92">
        <f>(AC48+AI48+AL48+AO48)</f>
        <v>7231458.5521600004</v>
      </c>
      <c r="AP52" s="92"/>
      <c r="BE52" s="91">
        <f>(AV48+BB48+BE48)</f>
        <v>109458</v>
      </c>
      <c r="BF52" s="92">
        <f>(AW48+BC48+BF48+BI48)</f>
        <v>7382365.4501600005</v>
      </c>
      <c r="BJ52" s="92"/>
    </row>
    <row r="53" spans="1:80">
      <c r="A53" s="93">
        <v>1.175</v>
      </c>
      <c r="B53" s="93" t="s">
        <v>17</v>
      </c>
    </row>
    <row r="54" spans="1:80">
      <c r="A54" s="93">
        <v>1.198</v>
      </c>
      <c r="B54" s="93" t="s">
        <v>18</v>
      </c>
    </row>
    <row r="55" spans="1:80">
      <c r="A55" s="93">
        <v>1.2230000000000001</v>
      </c>
      <c r="B55" s="93" t="s">
        <v>19</v>
      </c>
    </row>
  </sheetData>
  <pageMargins left="0.5" right="0.5" top="0.5" bottom="0.5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EPA</cp:lastModifiedBy>
  <cp:lastPrinted>2011-01-27T15:55:06Z</cp:lastPrinted>
  <dcterms:created xsi:type="dcterms:W3CDTF">2011-01-27T13:41:53Z</dcterms:created>
  <dcterms:modified xsi:type="dcterms:W3CDTF">2011-01-27T18:29:06Z</dcterms:modified>
</cp:coreProperties>
</file>