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ppendix B" sheetId="1" r:id="rId1"/>
    <sheet name="Appendix C" sheetId="2" r:id="rId2"/>
    <sheet name="Assumptions" sheetId="3" r:id="rId3"/>
  </sheets>
  <externalReferences>
    <externalReference r:id="rId6"/>
  </externalReferences>
  <definedNames>
    <definedName name="_ftn1" localSheetId="2">'Assumptions'!$A$65</definedName>
    <definedName name="_ftn2" localSheetId="0">'Appendix B'!$A$62</definedName>
    <definedName name="_ftnref1" localSheetId="2">'Assumptions'!#REF!</definedName>
    <definedName name="ALI2008">'Assumptions'!#REF!</definedName>
    <definedName name="ALI2009">'Assumptions'!$B$58</definedName>
    <definedName name="ALI2010">'Assumptions'!$B$59</definedName>
    <definedName name="ALI2011">'Assumptions'!$B$60</definedName>
    <definedName name="AverageDialArounds">'Assumptions'!$B$50</definedName>
    <definedName name="ConfigureFollowup">'Assumptions'!$B$34</definedName>
    <definedName name="ConfigureProvider">'Assumptions'!$B$35</definedName>
    <definedName name="ConfigureUser">'Assumptions'!$B$33</definedName>
    <definedName name="ConnectNewCity">'Assumptions'!$B$55</definedName>
    <definedName name="ConnectSameCity">'Assumptions'!$B$54</definedName>
    <definedName name="CostCollectionFrequency">'Assumptions'!$B$48</definedName>
    <definedName name="GatewayAmortization">'Assumptions'!$B$53</definedName>
    <definedName name="GatewayPrice">'Assumptions'!$B$52</definedName>
    <definedName name="Gateways">'Assumptions'!$B$51</definedName>
    <definedName name="HourlyService">'Assumptions'!$B$13</definedName>
    <definedName name="HourlySoftware">'Assumptions'!$B$12</definedName>
    <definedName name="HourlyUser">'Assumptions'!$B$14</definedName>
    <definedName name="HoursCompliance">'[1]Assumptions'!$B$40</definedName>
    <definedName name="HoursCostCollection">'Assumptions'!$B$26</definedName>
    <definedName name="HoursCostPassthrough">'Assumptions'!$B$27</definedName>
    <definedName name="HoursCPEExchange">'Assumptions'!$B$32</definedName>
    <definedName name="HoursCPEFix">'Assumptions'!$B$25</definedName>
    <definedName name="HoursDevelopProvisioning">'Assumptions'!$B$21</definedName>
    <definedName name="HoursDevelopRegistration">'Assumptions'!$B$19</definedName>
    <definedName name="HoursDevelopRouting">'Assumptions'!$B$17</definedName>
    <definedName name="HoursDialAround">'Assumptions'!$B$29</definedName>
    <definedName name="HoursMailinVerify">'Assumptions'!$B$31</definedName>
    <definedName name="HoursMaintainProvisioning">'Assumptions'!$B$22</definedName>
    <definedName name="HoursMaintainRegistration">'Assumptions'!$B$20</definedName>
    <definedName name="HoursMaintainRouting">'Assumptions'!$B$18</definedName>
    <definedName name="HoursModifyAdvisory">'Assumptions'!$B$23</definedName>
    <definedName name="HoursNewNumber">'Assumptions'!$B$28</definedName>
    <definedName name="HoursOnlineVerify">'Assumptions'!$B$30</definedName>
    <definedName name="HoursStorage">'Assumptions'!$B$24</definedName>
    <definedName name="MaintainRegistration">'Assumptions'!$B$16</definedName>
    <definedName name="MaintainRouting">'Assumptions'!$B$15</definedName>
    <definedName name="NewProviders">'Assumptions'!$B$2</definedName>
    <definedName name="PaperCost">'Assumptions'!$B$62</definedName>
    <definedName name="PaperStorage">'Assumptions'!$B$61</definedName>
    <definedName name="PassthroughFrequency">'Assumptions'!$B$49</definedName>
    <definedName name="PriceNewCity">'Assumptions'!$B$57</definedName>
    <definedName name="PriceRouting">'Assumptions'!$B$15</definedName>
    <definedName name="PriceSameCity">'Assumptions'!$B$56</definedName>
    <definedName name="_xlnm.Print_Titles" localSheetId="0">'Appendix B'!$1:$2</definedName>
    <definedName name="Providers">'Assumptions'!$B$1</definedName>
    <definedName name="RegisterContact">'Assumptions'!$B$37</definedName>
    <definedName name="RegisterProvider">'Assumptions'!$B$38</definedName>
    <definedName name="RegisterUser">'Assumptions'!$B$36</definedName>
    <definedName name="Registrations2009">'Assumptions'!$B$8</definedName>
    <definedName name="Registrations2010">'Assumptions'!$B$9</definedName>
    <definedName name="Registrations2011">'Assumptions'!$B$10</definedName>
    <definedName name="UpdateContact">'Assumptions'!$B$40</definedName>
    <definedName name="UpdateProvider">'Assumptions'!$B$41</definedName>
    <definedName name="UpdateUser">'Assumptions'!$B$39</definedName>
    <definedName name="UserAdvisory">'Assumptions'!$B$42</definedName>
    <definedName name="UserMailinVerify">'Assumptions'!$B$44</definedName>
    <definedName name="UserOnlineVerify">'Assumptions'!$B$43</definedName>
    <definedName name="Users2008">'Assumptions'!$B$3</definedName>
    <definedName name="Users2009">'Assumptions'!$B$4</definedName>
    <definedName name="Users2010">'Assumptions'!$B$5</definedName>
    <definedName name="Users2011">'Assumptions'!$B$6</definedName>
    <definedName name="UsersChange">'Assumptions'!$B$7</definedName>
    <definedName name="UsersDialAround">'Assumptions'!$B$46</definedName>
    <definedName name="UsersNewProvider">'Assumptions'!$B$7</definedName>
    <definedName name="UsersOnlineVerifyPercent">'Assumptions'!$B$47</definedName>
    <definedName name="UsersProxy">'Assumptions'!$B$45</definedName>
    <definedName name="UsersUpdate">'Assumptions'!$B$11</definedName>
  </definedNames>
  <calcPr fullCalcOnLoad="1"/>
</workbook>
</file>

<file path=xl/sharedStrings.xml><?xml version="1.0" encoding="utf-8"?>
<sst xmlns="http://schemas.openxmlformats.org/spreadsheetml/2006/main" count="223" uniqueCount="170">
  <si>
    <t>Average</t>
  </si>
  <si>
    <t>Subtotal</t>
  </si>
  <si>
    <t>(C) Collection of Registered Location</t>
  </si>
  <si>
    <t>(D) Provisioning of Registered Location and other information to ALI databases</t>
  </si>
  <si>
    <t>(E) User Advisory</t>
  </si>
  <si>
    <t>(hours included in (C) above)</t>
  </si>
  <si>
    <t>(costs included in (C) above)</t>
  </si>
  <si>
    <t>(F) Record of Affirmative Acknowledgement</t>
  </si>
  <si>
    <t>Costs to providers and users of obtaining affirmative acknowledgement included in (C) above</t>
  </si>
  <si>
    <t>Costs to providers and users of posting and reading advisory included in (C) above</t>
  </si>
  <si>
    <t>Providers</t>
  </si>
  <si>
    <t>Users2008</t>
  </si>
  <si>
    <t>Users2009</t>
  </si>
  <si>
    <t>Users2010</t>
  </si>
  <si>
    <t>UsersChange</t>
  </si>
  <si>
    <t>UsersUpdate</t>
  </si>
  <si>
    <t>HourlySoftware</t>
  </si>
  <si>
    <t>HourlyService</t>
  </si>
  <si>
    <t>HourlyUser</t>
  </si>
  <si>
    <t>MaintainRouting</t>
  </si>
  <si>
    <t>MaintainRegister</t>
  </si>
  <si>
    <t>HoursDevelopRouting</t>
  </si>
  <si>
    <t>HoursDevelopRegister</t>
  </si>
  <si>
    <t>HoursMaintainRouting</t>
  </si>
  <si>
    <t>HoursMaintainRegister</t>
  </si>
  <si>
    <t>HoursDevelopProvisioning</t>
  </si>
  <si>
    <t>HoursMaintainProvisioning</t>
  </si>
  <si>
    <t>HoursStorage</t>
  </si>
  <si>
    <t>ConfigureUser</t>
  </si>
  <si>
    <t>ConfigureFollowup</t>
  </si>
  <si>
    <t>ConfigureProvider</t>
  </si>
  <si>
    <t>RegisterUser</t>
  </si>
  <si>
    <t>RegisterContact</t>
  </si>
  <si>
    <t>RegisterProvider</t>
  </si>
  <si>
    <t>UpdateUser</t>
  </si>
  <si>
    <t>UpdateContact</t>
  </si>
  <si>
    <t>UpdateProvider</t>
  </si>
  <si>
    <t>Gateways</t>
  </si>
  <si>
    <t>GatewayPrice</t>
  </si>
  <si>
    <t>GatewayAmortization</t>
  </si>
  <si>
    <t>ConnectSameCity</t>
  </si>
  <si>
    <t>ConnectNewCity</t>
  </si>
  <si>
    <t>PriceSameCity</t>
  </si>
  <si>
    <t>PriceNewCity</t>
  </si>
  <si>
    <t>ALI2009</t>
  </si>
  <si>
    <t>ALI2010</t>
  </si>
  <si>
    <t>PaperStorage</t>
  </si>
  <si>
    <t>PaperCost</t>
  </si>
  <si>
    <t>Estimated Burden to the Public in Hours</t>
  </si>
  <si>
    <t>(A) Collection of Routing Information</t>
  </si>
  <si>
    <t>(B) Provisioning of Routing Information</t>
  </si>
  <si>
    <t>Costs to providers and users of provisioning routing information included in (A) above</t>
  </si>
  <si>
    <t>(hours included in (A) above)</t>
  </si>
  <si>
    <t>(costs included in (A) above)</t>
  </si>
  <si>
    <t>Annual cost to providers for maintenance of systems to automatically obtain, retain, and provision routing information from registered users.  [Providers x Hours/Provider x Software Cost/Hour]</t>
  </si>
  <si>
    <r>
      <t xml:space="preserve">Cost to providers for configuring consumer premises equipment for automatic provisioning of routing information. [Number of registrations each year </t>
    </r>
    <r>
      <rPr>
        <sz val="10"/>
        <rFont val="Arial"/>
        <family val="0"/>
      </rPr>
      <t>x Configuration attempts needing follow-up x Hours/User x Service costs/Hour]</t>
    </r>
  </si>
  <si>
    <t>Cost to users for configuring consumer premises equipment for automatic provisioning of routing information. [Number of registrations each year x (User hours + (Configuration attempts needing follow-up x Follow-up hours/user) x User costs/Hour]</t>
  </si>
  <si>
    <t>Annual cost to providers for maintenance of systems associated with registration services.  [Providers x Hours/Provider x Software cost/Hour]</t>
  </si>
  <si>
    <t>Annual cost to providers to maintain automated system for provisioning information to ALI databases. [Providers x Hours/Provider x Software cost/Hour]</t>
  </si>
  <si>
    <t>(G) Interstate TRS Fund Submission</t>
  </si>
  <si>
    <t>Costs to providers of overseeing electronic storage of affirmative acknowledgement for users registered online.  [Providers x Cost/Provider x Software cost/Hour]</t>
  </si>
  <si>
    <t>APPENDIX B</t>
  </si>
  <si>
    <t>NewProviders</t>
  </si>
  <si>
    <t>Users2011</t>
  </si>
  <si>
    <t>Registrations2009</t>
  </si>
  <si>
    <t>Registrations2010</t>
  </si>
  <si>
    <t>Registrations2011</t>
  </si>
  <si>
    <t>HoursModifyAdvisory</t>
  </si>
  <si>
    <t>HoursCPEFix</t>
  </si>
  <si>
    <t>HoursCostCollection</t>
  </si>
  <si>
    <t>HoursCostPassthrough</t>
  </si>
  <si>
    <t>HoursNewNumber</t>
  </si>
  <si>
    <t>HoursDialAround</t>
  </si>
  <si>
    <t>HoursOnlineVerify</t>
  </si>
  <si>
    <t>HoursMailinVerify</t>
  </si>
  <si>
    <t>Estimated Burden to the Public                         in Dollars</t>
  </si>
  <si>
    <t>Annual cost to providers for additional server space, memory, communications, and backup/recovery service associated with routing information systems. [Providers x Costs/Provider]</t>
  </si>
  <si>
    <t>Subtotal, Capital and Startup Cost</t>
  </si>
  <si>
    <t>Subtotal, Operation, Maintenance, and Services Cost</t>
  </si>
  <si>
    <t>Annual cost to providers for additional server space, memory, communications, and backup/recovery service associated with registration systems. [Providers x Costs/Provider]</t>
  </si>
  <si>
    <t>Cost to providers of gateway routers. [Number of routers x Costs/Router / Router amortization]</t>
  </si>
  <si>
    <t>Costs to providers for dedicated lines between gateway routers and specialized routers.  [Number of connections x Costs/Connection]</t>
  </si>
  <si>
    <t>Costs to providers for access to Wireline E911 Network and related services.  [Number of users x Costs/User]</t>
  </si>
  <si>
    <t>Costs to providers of storing paper records of affirmative acknowledgement for users registered over the telephone.  [Cumulative number of registrations x Telephone registrations / Paper record per cubic foot * Cost per cubic foot]</t>
  </si>
  <si>
    <r>
      <t xml:space="preserve">Costs to providers to collect and submit costs of complying with the numbering and emergency handling requirements of the </t>
    </r>
    <r>
      <rPr>
        <i/>
        <sz val="10"/>
        <rFont val="Arial"/>
        <family val="2"/>
      </rPr>
      <t>Order</t>
    </r>
    <r>
      <rPr>
        <sz val="10"/>
        <rFont val="Arial"/>
        <family val="0"/>
      </rPr>
      <t>.</t>
    </r>
  </si>
  <si>
    <t>(no exterior costs)</t>
  </si>
  <si>
    <t>APPENDIX C</t>
  </si>
  <si>
    <t>HoursCPEExchange</t>
  </si>
  <si>
    <t>UserAdvisory</t>
  </si>
  <si>
    <t>UserOnlineVerify</t>
  </si>
  <si>
    <t>UserMailinVerify</t>
  </si>
  <si>
    <t>UsersProxy</t>
  </si>
  <si>
    <t>UsersDialAround</t>
  </si>
  <si>
    <t>UsersOnlineVerifyPercent</t>
  </si>
  <si>
    <t>CostCollectionFrequency</t>
  </si>
  <si>
    <t>AverageDialArounds</t>
  </si>
  <si>
    <t>ALI2011</t>
  </si>
  <si>
    <t>Cost to providers to develop, test, and deploy automated system for provisioning information to ALI databases. [NewProviders x Hours/Provider x Software cost/Hour amortized over three years]</t>
  </si>
  <si>
    <t>Cost to providers for development, testing, and deployment of a webpage to collect registration information, including FAQs, etc., and to develop a separate tracking system for mail-in registration. [NewProviders x Hours/Provider x Software cost/Hour amortized over three years]</t>
  </si>
  <si>
    <t>Cost to providers for development, testing, and deployment of systems to automatically obtain, retain, and provision routing information from registered users. [NewProviders x Hours/Provider x Software Cost/Hour amortized over three years]</t>
  </si>
  <si>
    <t>(E) User Advisory (Revised)</t>
  </si>
  <si>
    <r>
      <t xml:space="preserve">Costs to providers to collect and submit costs of complying with the numbering and emergency handling requirements of the </t>
    </r>
    <r>
      <rPr>
        <i/>
        <sz val="10"/>
        <rFont val="Arial"/>
        <family val="2"/>
      </rPr>
      <t>Order</t>
    </r>
    <r>
      <rPr>
        <sz val="10"/>
        <rFont val="Arial"/>
        <family val="2"/>
      </rPr>
      <t>.  [Providers x Hours to Collect Costs/Provider x Frequency of Collection x Attorney Cost/Hour]</t>
    </r>
  </si>
  <si>
    <r>
      <t>Costs to users to read revised advisory posted on website and included in promotional materials</t>
    </r>
    <r>
      <rPr>
        <sz val="10"/>
        <rFont val="Arial"/>
        <family val="2"/>
      </rPr>
      <t>.  [New users x Hours/user x User Cost/Hour]</t>
    </r>
  </si>
  <si>
    <t>(H) Message Notifying Callers of New Number</t>
  </si>
  <si>
    <t>Cost to providers for registration. [Number of registrations each year x Telephone Registrations x Hours/User x Service Cost/Hour]</t>
  </si>
  <si>
    <t>Cost to users for registration. [Number of registrations each year x ((Online registrations x User hours) + (Telephone registrations x Hours/user)) x User Cost/Hour]</t>
  </si>
  <si>
    <t>Cost to providers for Registered Location updates. (Number of users x Number of updates x Telephone updates x Hours/User x Service Cost/Hour)</t>
  </si>
  <si>
    <t>Cost to users for Registered Location updates. (Number of users x Number of updates x ((Online updates x User hours) + (Telephone updates x Hours/User)) x User Cost/Hour)</t>
  </si>
  <si>
    <r>
      <t>Costs to providers to revise user advisory posted on website and included in promotional materials</t>
    </r>
    <r>
      <rPr>
        <sz val="10"/>
        <rFont val="Arial"/>
        <family val="2"/>
      </rPr>
      <t>.  [Providers x Hours/Provider x Attorney Cost/Hour amortized over three years]</t>
    </r>
  </si>
  <si>
    <r>
      <t>Costs to providers of recording messages for users with proxy numbers</t>
    </r>
    <r>
      <rPr>
        <sz val="10"/>
        <rFont val="Arial"/>
        <family val="2"/>
      </rPr>
      <t>.  [Users in 2008 x Percentage of Users with Proxy Numbers x Hours to record message x Service Cost/Hour, amortized over three years]</t>
    </r>
  </si>
  <si>
    <t>(I) Ascertaining Registration Status</t>
  </si>
  <si>
    <r>
      <t>Costs to providers to collect and verify dial-around user's registration status</t>
    </r>
    <r>
      <rPr>
        <sz val="10"/>
        <rFont val="Arial"/>
        <family val="2"/>
      </rPr>
      <t>.  [Users x Percentage of users that dial-around x Average number of dial-around calls per user x Hours to verify x Service Cost/Hour]</t>
    </r>
  </si>
  <si>
    <t>Costs to dial-around users to verify registration status.  [Users x Percentage of users that dial-around x Average number of dial-around calls per user x Hours to verify x User Cost/Hour]</t>
  </si>
  <si>
    <t>(J) Verifying Registration Information</t>
  </si>
  <si>
    <r>
      <t>Costs to providers to process online verifications</t>
    </r>
    <r>
      <rPr>
        <sz val="10"/>
        <rFont val="Arial"/>
        <family val="2"/>
      </rPr>
      <t>.  [Registrations x Percent verifications online x Hours to process x Service Cost/Hour]</t>
    </r>
  </si>
  <si>
    <r>
      <t>Costs to users to submit online verifications</t>
    </r>
    <r>
      <rPr>
        <sz val="10"/>
        <rFont val="Arial"/>
        <family val="2"/>
      </rPr>
      <t>.  [Registrations x Percent verifications online x Hours to submit x User Cost/Hour]</t>
    </r>
  </si>
  <si>
    <r>
      <t>Costs to providers to process mail-in verifications</t>
    </r>
    <r>
      <rPr>
        <sz val="10"/>
        <rFont val="Arial"/>
        <family val="2"/>
      </rPr>
      <t>.  [Registrations x Percent verifications mailed in x Hours to process x Service Cost/Hour]</t>
    </r>
  </si>
  <si>
    <r>
      <t>Costs to users to submit mail-in verifications</t>
    </r>
    <r>
      <rPr>
        <sz val="10"/>
        <rFont val="Arial"/>
        <family val="2"/>
      </rPr>
      <t>.  [Registrations x Percent verifications mailed in x Hours to submit x User Cost/Hour]</t>
    </r>
  </si>
  <si>
    <t>PassthroughFrequency</t>
  </si>
  <si>
    <t>(K) Pass-Through Petitions</t>
  </si>
  <si>
    <r>
      <t>Costs to providers to file petitions with Commission to pass costs through to consumers</t>
    </r>
    <r>
      <rPr>
        <sz val="10"/>
        <rFont val="Arial"/>
        <family val="2"/>
      </rPr>
      <t>.  [Providers x Frequency of Petitions x Hours to File Petition/Provider x Attorney Cost/Hour]</t>
    </r>
  </si>
  <si>
    <t>(L) CPE Information Exchange</t>
  </si>
  <si>
    <r>
      <t>Costs to providers to develop software to share information with new default providers regarding existing CPE</t>
    </r>
    <r>
      <rPr>
        <sz val="10"/>
        <rFont val="Arial"/>
        <family val="2"/>
      </rPr>
      <t>.  [Providers x Hours/Provider x Software Cost/Hour amortized over three years]</t>
    </r>
  </si>
  <si>
    <r>
      <t>Costs to providers to exchange CPE information when user changes default providers</t>
    </r>
    <r>
      <rPr>
        <sz val="10"/>
        <rFont val="Arial"/>
        <family val="2"/>
      </rPr>
      <t>.  [Users x Percent of users changing providers x Providers per Change x Hours/Provider x Service Cost/Hour]</t>
    </r>
  </si>
  <si>
    <t>Capital and Startup Cost for First Numbering Order</t>
  </si>
  <si>
    <t>Operation, Maintenance, and Services Cost for First Numbering Order</t>
  </si>
  <si>
    <t>Total for First Numbering Order</t>
  </si>
  <si>
    <t>Cost to providers of storing paper records of mail-in verifications. [Cumulative number of registrations x Percent verifications mailed in / Paper record per cubic foot * Cost per cubic foot]</t>
  </si>
  <si>
    <t>Costs to providers of revising user advisory.</t>
  </si>
  <si>
    <t>Costs to providers of creating message to notify callers of new number.</t>
  </si>
  <si>
    <t>Costs to providers of ascertaining registration status of dial-around users.</t>
  </si>
  <si>
    <t>Costs to providers of petitioning Commission to pass-through certain costs to consumers.</t>
  </si>
  <si>
    <t>Costs to providers of exchanging CPE information with former and new default providers.</t>
  </si>
  <si>
    <t>Capital and Startup Cost for Second Numbering Order</t>
  </si>
  <si>
    <t>Operation, Maintenance, and Services Cost for Second Numbering Order</t>
  </si>
  <si>
    <t>Total for Second Numbering Order</t>
  </si>
  <si>
    <t>Cumulative Capital and Startup Cost</t>
  </si>
  <si>
    <t>Cumulative Operation, Maintenance, and Services Cost</t>
  </si>
  <si>
    <t>Cumulative Total</t>
  </si>
  <si>
    <t>Costs to providers to revise user advisory posted on website and included in promotional materials to include the additional information regarding toll free issues.  [Providers x Hours/Provider x Attorney Cost/Hour amortized over three years]</t>
  </si>
  <si>
    <t>Cost to providers for development, testing, and deployment of systems to gather and or provide information to facilitate the transfer of the toll free number to a toll free subscription with a toll free service provider that is under the direct control of the user. [Providers x Hours/Provider x Software Cost/Hour amortized over three years</t>
  </si>
  <si>
    <t>1st Year</t>
  </si>
  <si>
    <t>2nd Year</t>
  </si>
  <si>
    <t>3rd Year</t>
  </si>
  <si>
    <r>
      <t xml:space="preserve">Routing Information </t>
    </r>
    <r>
      <rPr>
        <b/>
        <i/>
        <sz val="10"/>
        <rFont val="Arial"/>
        <family val="2"/>
      </rPr>
      <t>(Proposed Revised Requirement)</t>
    </r>
    <r>
      <rPr>
        <sz val="10"/>
        <rFont val="Arial"/>
        <family val="0"/>
      </rPr>
      <t xml:space="preserve"> Cost to providers for development, testing, and deployment of systems to remove any toll free number that has not been transferred to a subscription with a toll free service provider and for which the user is the subscriber of record, and to ensure that the toll free number of a user that is associated with a geographically appropriate NANP number will be associated with the same URI as that geographically appropriate NANP telephone number.  [Providers x Hours/Provider x Software Cost/Hour amortized over three years]</t>
    </r>
  </si>
  <si>
    <r>
      <t xml:space="preserve">Costs to providers and users of posting and reading advisory included in (C) above </t>
    </r>
    <r>
      <rPr>
        <b/>
        <sz val="10"/>
        <rFont val="Arial"/>
        <family val="2"/>
      </rPr>
      <t>(First Numbering Order)</t>
    </r>
  </si>
  <si>
    <t>(Second Numbering Order)</t>
  </si>
  <si>
    <t xml:space="preserve"> </t>
  </si>
  <si>
    <r>
      <t>User Advisory (</t>
    </r>
    <r>
      <rPr>
        <b/>
        <i/>
        <sz val="10"/>
        <rFont val="Arial"/>
        <family val="2"/>
      </rPr>
      <t>Proposed Revised Requirement</t>
    </r>
    <r>
      <rPr>
        <b/>
        <sz val="10"/>
        <rFont val="Arial"/>
        <family val="2"/>
      </rPr>
      <t>)</t>
    </r>
  </si>
  <si>
    <r>
      <t xml:space="preserve">(M) Transferring Toll Free Numbers </t>
    </r>
    <r>
      <rPr>
        <b/>
        <i/>
        <sz val="10"/>
        <rFont val="Arial"/>
        <family val="2"/>
      </rPr>
      <t>(New Proposed Requirement)</t>
    </r>
  </si>
  <si>
    <t>Annual Responses</t>
  </si>
  <si>
    <t>Routing information collections</t>
  </si>
  <si>
    <t>Registered location collections</t>
  </si>
  <si>
    <t>Provisions to the ALI databases</t>
  </si>
  <si>
    <t>Advisories</t>
  </si>
  <si>
    <t>Affirmative acknowledgements</t>
  </si>
  <si>
    <t>Interstate TRS Fund submissions</t>
  </si>
  <si>
    <t>Provisions of routing information to the TRS Numbering Directory</t>
  </si>
  <si>
    <t>Revised advisories</t>
  </si>
  <si>
    <t>New number notifications</t>
  </si>
  <si>
    <t>Numbering Directory queries to determine registration status</t>
  </si>
  <si>
    <t>Registration verifications</t>
  </si>
  <si>
    <t>Petitions seeking pass-through of numbering costs</t>
  </si>
  <si>
    <t>Information exchanges after default provider switch</t>
  </si>
  <si>
    <t>Numbering Directory transactions for toll free subscriptions and matches with URI associated with geographically appopriate NANP number</t>
  </si>
  <si>
    <t>User advisories addressing toll free issues</t>
  </si>
  <si>
    <t>Switches to toll free subscriptions</t>
  </si>
  <si>
    <t>Total Number of Annual Responses Over the Next Three Years</t>
  </si>
  <si>
    <t xml:space="preserve">Total Number of Annual Responses </t>
  </si>
  <si>
    <t xml:space="preserve">Estimated "In-House" Costs in Dollars to the Public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</si>
</sst>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169" fontId="0" fillId="0" borderId="2" xfId="0" applyNumberFormat="1" applyBorder="1" applyAlignment="1">
      <alignment/>
    </xf>
    <xf numFmtId="0" fontId="0" fillId="0" borderId="1" xfId="0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2"/>
    </xf>
    <xf numFmtId="169" fontId="6" fillId="0" borderId="2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9" fontId="7" fillId="0" borderId="4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" fontId="6" fillId="0" borderId="6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wrapText="1" indent="2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 indent="1"/>
    </xf>
    <xf numFmtId="169" fontId="0" fillId="0" borderId="9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5" fillId="0" borderId="16" xfId="0" applyFont="1" applyBorder="1" applyAlignment="1">
      <alignment wrapText="1"/>
    </xf>
    <xf numFmtId="1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69" fontId="6" fillId="0" borderId="9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0" fillId="0" borderId="17" xfId="0" applyBorder="1" applyAlignment="1">
      <alignment horizontal="left" wrapText="1" indent="1"/>
    </xf>
    <xf numFmtId="1" fontId="0" fillId="0" borderId="6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0" fontId="5" fillId="0" borderId="18" xfId="0" applyFont="1" applyBorder="1" applyAlignment="1">
      <alignment horizontal="center" wrapText="1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18" xfId="0" applyFont="1" applyBorder="1" applyAlignment="1">
      <alignment wrapText="1"/>
    </xf>
    <xf numFmtId="169" fontId="7" fillId="0" borderId="0" xfId="0" applyNumberFormat="1" applyFont="1" applyBorder="1" applyAlignment="1">
      <alignment/>
    </xf>
    <xf numFmtId="169" fontId="7" fillId="0" borderId="2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20" xfId="0" applyBorder="1" applyAlignment="1" applyProtection="1">
      <alignment horizontal="left" wrapText="1" indent="1"/>
      <protection locked="0"/>
    </xf>
    <xf numFmtId="0" fontId="0" fillId="0" borderId="20" xfId="0" applyBorder="1" applyAlignment="1">
      <alignment horizontal="left" wrapText="1" indent="2"/>
    </xf>
    <xf numFmtId="0" fontId="6" fillId="0" borderId="20" xfId="0" applyFont="1" applyBorder="1" applyAlignment="1">
      <alignment horizontal="left" wrapText="1" indent="2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6" fillId="0" borderId="22" xfId="0" applyFont="1" applyBorder="1" applyAlignment="1">
      <alignment horizontal="left" wrapText="1" indent="2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0" xfId="0" applyFont="1" applyBorder="1" applyAlignment="1">
      <alignment/>
    </xf>
    <xf numFmtId="1" fontId="7" fillId="0" borderId="2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9" fontId="6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left" wrapText="1" indent="1"/>
    </xf>
    <xf numFmtId="0" fontId="5" fillId="0" borderId="25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 wrapText="1"/>
    </xf>
    <xf numFmtId="0" fontId="0" fillId="0" borderId="27" xfId="0" applyBorder="1" applyAlignment="1">
      <alignment horizontal="left" wrapText="1" indent="1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Border="1" applyAlignment="1">
      <alignment horizontal="left" wrapText="1" indent="1"/>
    </xf>
    <xf numFmtId="1" fontId="7" fillId="0" borderId="0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69" fontId="7" fillId="0" borderId="9" xfId="0" applyNumberFormat="1" applyFont="1" applyBorder="1" applyAlignment="1">
      <alignment/>
    </xf>
    <xf numFmtId="1" fontId="6" fillId="0" borderId="27" xfId="0" applyNumberFormat="1" applyFont="1" applyBorder="1" applyAlignment="1">
      <alignment/>
    </xf>
    <xf numFmtId="169" fontId="6" fillId="0" borderId="27" xfId="0" applyNumberFormat="1" applyFont="1" applyBorder="1" applyAlignment="1">
      <alignment/>
    </xf>
    <xf numFmtId="169" fontId="7" fillId="0" borderId="8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9" fontId="0" fillId="0" borderId="8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8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6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left" wrapText="1" indent="1"/>
    </xf>
    <xf numFmtId="169" fontId="6" fillId="0" borderId="8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7" fillId="0" borderId="12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1" fontId="7" fillId="0" borderId="29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169" fontId="0" fillId="0" borderId="12" xfId="0" applyNumberFormat="1" applyBorder="1" applyAlignment="1">
      <alignment horizontal="center"/>
    </xf>
    <xf numFmtId="1" fontId="7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olas.degani\Local%20Settings\Temporary%20Internet%20Files\OLK193\Chart%20for%20TRS%20Numbering%20Order%20PRA%20AppendixB%20(100308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Assumptions"/>
    </sheetNames>
    <sheetDataSet>
      <sheetData sheetId="1">
        <row r="40">
          <cell r="B40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75" zoomScaleNormal="75" zoomScaleSheetLayoutView="75" workbookViewId="0" topLeftCell="A4">
      <selection activeCell="G4" sqref="G4"/>
    </sheetView>
  </sheetViews>
  <sheetFormatPr defaultColWidth="9.140625" defaultRowHeight="12.75"/>
  <cols>
    <col min="1" max="1" width="43.7109375" style="1" customWidth="1"/>
    <col min="2" max="2" width="12.00390625" style="2" customWidth="1"/>
    <col min="3" max="3" width="10.421875" style="2" customWidth="1"/>
    <col min="4" max="4" width="10.140625" style="2" customWidth="1"/>
    <col min="5" max="5" width="11.8515625" style="2" bestFit="1" customWidth="1"/>
    <col min="6" max="6" width="11.28125" style="2" customWidth="1"/>
    <col min="7" max="7" width="12.7109375" style="2" customWidth="1"/>
    <col min="8" max="8" width="11.7109375" style="2" customWidth="1"/>
    <col min="9" max="9" width="11.8515625" style="2" customWidth="1"/>
    <col min="10" max="16384" width="9.140625" style="2" customWidth="1"/>
  </cols>
  <sheetData>
    <row r="1" spans="1:10" s="12" customFormat="1" ht="27.75" customHeight="1" thickBot="1" thickTop="1">
      <c r="A1" s="57" t="s">
        <v>61</v>
      </c>
      <c r="B1" s="128" t="s">
        <v>48</v>
      </c>
      <c r="C1" s="129"/>
      <c r="D1" s="129"/>
      <c r="E1" s="130"/>
      <c r="F1" s="126" t="s">
        <v>169</v>
      </c>
      <c r="G1" s="126"/>
      <c r="H1" s="126"/>
      <c r="I1" s="127"/>
      <c r="J1" s="125"/>
    </row>
    <row r="2" spans="1:10" s="11" customFormat="1" ht="14.25" thickBot="1" thickTop="1">
      <c r="A2" s="131"/>
      <c r="B2" s="132" t="s">
        <v>141</v>
      </c>
      <c r="C2" s="107" t="s">
        <v>142</v>
      </c>
      <c r="D2" s="107" t="s">
        <v>143</v>
      </c>
      <c r="E2" s="109" t="s">
        <v>0</v>
      </c>
      <c r="F2" s="108" t="s">
        <v>141</v>
      </c>
      <c r="G2" s="107" t="s">
        <v>142</v>
      </c>
      <c r="H2" s="107" t="s">
        <v>143</v>
      </c>
      <c r="I2" s="109" t="s">
        <v>0</v>
      </c>
      <c r="J2" s="27"/>
    </row>
    <row r="3" spans="1:9" ht="13.5" thickTop="1">
      <c r="A3" s="57" t="s">
        <v>49</v>
      </c>
      <c r="B3" s="31"/>
      <c r="C3" s="32"/>
      <c r="D3" s="32"/>
      <c r="F3" s="110"/>
      <c r="G3" s="45"/>
      <c r="H3" s="45"/>
      <c r="I3" s="18"/>
    </row>
    <row r="4" spans="1:9" ht="63.75" customHeight="1">
      <c r="A4" s="19" t="s">
        <v>99</v>
      </c>
      <c r="B4" s="28">
        <f>NewProviders*HoursDevelopRouting</f>
        <v>1600</v>
      </c>
      <c r="C4" s="4">
        <v>0</v>
      </c>
      <c r="D4" s="4">
        <v>0</v>
      </c>
      <c r="E4" s="4">
        <f>SUM(B4:D4)/3</f>
        <v>533.3333333333334</v>
      </c>
      <c r="F4" s="111">
        <f>B4*HourlySoftware/3</f>
        <v>32730.666666666668</v>
      </c>
      <c r="G4" s="3">
        <f>F4</f>
        <v>32730.666666666668</v>
      </c>
      <c r="H4" s="3">
        <f>F4</f>
        <v>32730.666666666668</v>
      </c>
      <c r="I4" s="18">
        <f>SUM(F4:H4)/3</f>
        <v>32730.666666666668</v>
      </c>
    </row>
    <row r="5" spans="1:9" ht="63.75">
      <c r="A5" s="19" t="s">
        <v>54</v>
      </c>
      <c r="B5" s="28">
        <f>Providers*HoursMaintainRouting</f>
        <v>3000</v>
      </c>
      <c r="C5" s="4">
        <f>Providers*HoursMaintainRouting</f>
        <v>3000</v>
      </c>
      <c r="D5" s="4">
        <f>Providers*HoursMaintainRouting</f>
        <v>3000</v>
      </c>
      <c r="E5" s="4">
        <f>SUM(B5:D5)/3</f>
        <v>3000</v>
      </c>
      <c r="F5" s="111">
        <f>B5*HourlySoftware</f>
        <v>184110</v>
      </c>
      <c r="G5" s="3">
        <f>C5*HourlySoftware</f>
        <v>184110</v>
      </c>
      <c r="H5" s="3">
        <f>D5*HourlySoftware</f>
        <v>184110</v>
      </c>
      <c r="I5" s="18">
        <f>SUM(F5:H5)/3</f>
        <v>184110</v>
      </c>
    </row>
    <row r="6" spans="1:9" ht="63.75">
      <c r="A6" s="19" t="s">
        <v>55</v>
      </c>
      <c r="B6" s="28">
        <f>Registrations2009*ConfigureFollowup*ConfigureProvider</f>
        <v>27450</v>
      </c>
      <c r="C6" s="4">
        <f>Registrations2010*ConfigureFollowup*ConfigureProvider</f>
        <v>7470</v>
      </c>
      <c r="D6" s="4">
        <f>Registrations2011*ConfigureFollowup*ConfigureProvider</f>
        <v>6660</v>
      </c>
      <c r="E6" s="4">
        <f>SUM(B6:D6)/3</f>
        <v>13860</v>
      </c>
      <c r="F6" s="111">
        <f>B6*HourlyService</f>
        <v>798520.5</v>
      </c>
      <c r="G6" s="3">
        <f>C6*HourlyService</f>
        <v>217302.3</v>
      </c>
      <c r="H6" s="3">
        <f>D6*HourlyService</f>
        <v>193739.4</v>
      </c>
      <c r="I6" s="18">
        <f>SUM(F6:H6)/3</f>
        <v>403187.39999999997</v>
      </c>
    </row>
    <row r="7" spans="1:9" ht="76.5">
      <c r="A7" s="19" t="s">
        <v>56</v>
      </c>
      <c r="B7" s="28">
        <f>Registrations2009*(ConfigureUser+(ConfigureFollowup*ConfigureProvider))</f>
        <v>88450.00000000001</v>
      </c>
      <c r="C7" s="4">
        <f>Registrations2010*(ConfigureUser+(ConfigureFollowup*ConfigureProvider))</f>
        <v>24070.000000000004</v>
      </c>
      <c r="D7" s="4">
        <f>Registrations2011*(ConfigureUser+(ConfigureFollowup*ConfigureProvider))</f>
        <v>21460.000000000004</v>
      </c>
      <c r="E7" s="4">
        <f>SUM(B7:D7)/3</f>
        <v>44660.00000000001</v>
      </c>
      <c r="F7" s="111">
        <f>B7*HourlyUser</f>
        <v>1539914.5000000002</v>
      </c>
      <c r="G7" s="3">
        <f>C7*HourlyUser</f>
        <v>419058.70000000007</v>
      </c>
      <c r="H7" s="3">
        <f>D7*HourlyUser</f>
        <v>373618.6000000001</v>
      </c>
      <c r="I7" s="18">
        <f>SUM(F7:H7)/3</f>
        <v>777530.6000000001</v>
      </c>
    </row>
    <row r="8" spans="1:9" ht="165.75">
      <c r="A8" s="19" t="s">
        <v>144</v>
      </c>
      <c r="B8" s="28">
        <v>90000</v>
      </c>
      <c r="C8" s="4">
        <v>45000</v>
      </c>
      <c r="D8" s="4">
        <v>18000</v>
      </c>
      <c r="E8" s="4">
        <v>51000</v>
      </c>
      <c r="F8" s="111">
        <v>1905300</v>
      </c>
      <c r="G8" s="3">
        <v>952650</v>
      </c>
      <c r="H8" s="3">
        <v>381060</v>
      </c>
      <c r="I8" s="18">
        <v>1079670</v>
      </c>
    </row>
    <row r="9" spans="1:9" s="15" customFormat="1" ht="12.75">
      <c r="A9" s="20" t="s">
        <v>1</v>
      </c>
      <c r="B9" s="29">
        <v>210500</v>
      </c>
      <c r="C9" s="13">
        <v>79540</v>
      </c>
      <c r="D9" s="13">
        <v>49120</v>
      </c>
      <c r="E9" s="36">
        <v>113053</v>
      </c>
      <c r="F9" s="78">
        <v>4460576</v>
      </c>
      <c r="G9" s="14">
        <v>1805852</v>
      </c>
      <c r="H9" s="14">
        <v>1165259</v>
      </c>
      <c r="I9" s="21">
        <v>2477229</v>
      </c>
    </row>
    <row r="10" spans="1:9" ht="12.75">
      <c r="A10" s="30" t="s">
        <v>50</v>
      </c>
      <c r="B10" s="40"/>
      <c r="C10" s="41"/>
      <c r="D10" s="41"/>
      <c r="E10" s="77"/>
      <c r="F10" s="112"/>
      <c r="G10" s="42"/>
      <c r="H10" s="42"/>
      <c r="I10" s="43"/>
    </row>
    <row r="11" spans="1:9" ht="25.5">
      <c r="A11" s="44" t="s">
        <v>51</v>
      </c>
      <c r="B11" s="81" t="s">
        <v>52</v>
      </c>
      <c r="C11" s="82"/>
      <c r="D11" s="82"/>
      <c r="E11" s="83"/>
      <c r="F11" s="86" t="s">
        <v>53</v>
      </c>
      <c r="G11" s="84"/>
      <c r="H11" s="84"/>
      <c r="I11" s="85"/>
    </row>
    <row r="12" spans="1:9" ht="12.75">
      <c r="A12" s="30" t="s">
        <v>2</v>
      </c>
      <c r="B12" s="31"/>
      <c r="C12" s="32"/>
      <c r="D12" s="32"/>
      <c r="F12" s="110"/>
      <c r="G12" s="45"/>
      <c r="H12" s="45"/>
      <c r="I12" s="46"/>
    </row>
    <row r="13" spans="1:9" ht="76.5">
      <c r="A13" s="19" t="s">
        <v>98</v>
      </c>
      <c r="B13" s="28">
        <f>NewProviders*HoursDevelopRegistration</f>
        <v>600</v>
      </c>
      <c r="C13" s="4">
        <v>0</v>
      </c>
      <c r="D13" s="4">
        <v>0</v>
      </c>
      <c r="E13" s="4">
        <f aca="true" t="shared" si="0" ref="E13:E19">SUM(B13:D13)/3</f>
        <v>200</v>
      </c>
      <c r="F13" s="111">
        <f>B13*HourlySoftware/3</f>
        <v>12274</v>
      </c>
      <c r="G13" s="3">
        <f>F13</f>
        <v>12274</v>
      </c>
      <c r="H13" s="3">
        <f>F13</f>
        <v>12274</v>
      </c>
      <c r="I13" s="18">
        <f aca="true" t="shared" si="1" ref="I13:I19">SUM(F13:H13)/3</f>
        <v>12274</v>
      </c>
    </row>
    <row r="14" spans="1:9" ht="37.5" customHeight="1">
      <c r="A14" s="19" t="s">
        <v>57</v>
      </c>
      <c r="B14" s="28">
        <f>Providers*HoursMaintainRegistration</f>
        <v>3000</v>
      </c>
      <c r="C14" s="4">
        <f>Providers*HoursMaintainRegistration</f>
        <v>3000</v>
      </c>
      <c r="D14" s="4">
        <f>Providers*HoursMaintainRegistration</f>
        <v>3000</v>
      </c>
      <c r="E14" s="4">
        <f t="shared" si="0"/>
        <v>3000</v>
      </c>
      <c r="F14" s="111">
        <f>B14*HourlySoftware</f>
        <v>184110</v>
      </c>
      <c r="G14" s="3">
        <f>C14*HourlySoftware</f>
        <v>184110</v>
      </c>
      <c r="H14" s="3">
        <f>D14*HourlySoftware</f>
        <v>184110</v>
      </c>
      <c r="I14" s="18">
        <f t="shared" si="1"/>
        <v>184110</v>
      </c>
    </row>
    <row r="15" spans="1:9" ht="39" customHeight="1">
      <c r="A15" s="19" t="s">
        <v>104</v>
      </c>
      <c r="B15" s="28">
        <f>Registrations2009*RegisterContact*RegisterProvider</f>
        <v>7625</v>
      </c>
      <c r="C15" s="4">
        <f>Registrations2010*RegisterContact*RegisterProvider</f>
        <v>2075</v>
      </c>
      <c r="D15" s="4">
        <f>Registrations2011*RegisterContact*RegisterProvider</f>
        <v>1850</v>
      </c>
      <c r="E15" s="4">
        <f t="shared" si="0"/>
        <v>3850</v>
      </c>
      <c r="F15" s="111">
        <f>B15*HourlyService</f>
        <v>221811.25</v>
      </c>
      <c r="G15" s="3">
        <f>C15*HourlyService</f>
        <v>60361.75</v>
      </c>
      <c r="H15" s="3">
        <f>D15*HourlyService</f>
        <v>53816.5</v>
      </c>
      <c r="I15" s="18">
        <f t="shared" si="1"/>
        <v>111996.5</v>
      </c>
    </row>
    <row r="16" spans="1:9" ht="51">
      <c r="A16" s="19" t="s">
        <v>105</v>
      </c>
      <c r="B16" s="28">
        <f>Registrations2009*(((1-RegisterContact)*RegisterUser)+(RegisterContact*RegisterProvider))</f>
        <v>48800</v>
      </c>
      <c r="C16" s="4">
        <f>Registrations2010*(((1-RegisterContact)*RegisterUser)+(RegisterContact*RegisterProvider))</f>
        <v>13280</v>
      </c>
      <c r="D16" s="4">
        <f>Registrations2011*(((1-RegisterContact)*RegisterUser)+(RegisterContact*RegisterProvider))</f>
        <v>11840</v>
      </c>
      <c r="E16" s="4">
        <f t="shared" si="0"/>
        <v>24640</v>
      </c>
      <c r="F16" s="111">
        <f>B16*HourlyUser</f>
        <v>849608</v>
      </c>
      <c r="G16" s="3">
        <f>C16*HourlyUser</f>
        <v>231204.8</v>
      </c>
      <c r="H16" s="3">
        <f>D16*HourlyUser</f>
        <v>206134.4</v>
      </c>
      <c r="I16" s="18">
        <f t="shared" si="1"/>
        <v>428982.39999999997</v>
      </c>
    </row>
    <row r="17" spans="1:9" ht="51">
      <c r="A17" s="19" t="s">
        <v>106</v>
      </c>
      <c r="B17" s="28">
        <f>(Users2009*UsersUpdate)*UpdateContact*UpdateProvider</f>
        <v>848</v>
      </c>
      <c r="C17" s="4">
        <f>(Users2010*UsersUpdate)*UpdateContact*UpdateProvider</f>
        <v>944</v>
      </c>
      <c r="D17" s="4">
        <f>(Users2011*UsersUpdate)*UpdateContact*UpdateProvider</f>
        <v>992</v>
      </c>
      <c r="E17" s="4">
        <f t="shared" si="0"/>
        <v>928</v>
      </c>
      <c r="F17" s="111">
        <f>B17*HourlyService</f>
        <v>24668.32</v>
      </c>
      <c r="G17" s="3">
        <f>C17*HourlyService</f>
        <v>27460.96</v>
      </c>
      <c r="H17" s="3">
        <f>D17*HourlyService</f>
        <v>28857.28</v>
      </c>
      <c r="I17" s="18">
        <f t="shared" si="1"/>
        <v>26995.52</v>
      </c>
    </row>
    <row r="18" spans="1:9" ht="51">
      <c r="A18" s="19" t="s">
        <v>107</v>
      </c>
      <c r="B18" s="28">
        <f>(Users2009*UsersUpdate)*(((1-UpdateContact)*UpdateUser)+(UpdateContact*UpdateProvider))</f>
        <v>5618.000000000001</v>
      </c>
      <c r="C18" s="4">
        <f>(Users2010*UsersUpdate)*(((1-UpdateContact)*UpdateUser)+(UpdateContact*UpdateProvider))</f>
        <v>6254.000000000001</v>
      </c>
      <c r="D18" s="4">
        <f>(Users2011*UsersUpdate)*(((1-UpdateContact)*UpdateUser)+(UpdateContact*UpdateProvider))</f>
        <v>6572.000000000001</v>
      </c>
      <c r="E18" s="4">
        <f t="shared" si="0"/>
        <v>6148.000000000001</v>
      </c>
      <c r="F18" s="111">
        <f>B18*HourlyUser</f>
        <v>97809.38000000002</v>
      </c>
      <c r="G18" s="3">
        <f>C18*HourlyUser</f>
        <v>108882.14000000001</v>
      </c>
      <c r="H18" s="3">
        <f>D18*HourlyUser</f>
        <v>114418.52000000002</v>
      </c>
      <c r="I18" s="18">
        <f t="shared" si="1"/>
        <v>107036.68000000001</v>
      </c>
    </row>
    <row r="19" spans="1:9" s="15" customFormat="1" ht="12.75">
      <c r="A19" s="34" t="s">
        <v>1</v>
      </c>
      <c r="B19" s="35">
        <f>SUM(B13:B18)</f>
        <v>66491</v>
      </c>
      <c r="C19" s="36">
        <f>SUM(C13:C18)</f>
        <v>25553</v>
      </c>
      <c r="D19" s="36">
        <f>SUM(D13:D18)</f>
        <v>24254</v>
      </c>
      <c r="E19" s="37">
        <f t="shared" si="0"/>
        <v>38766</v>
      </c>
      <c r="F19" s="106">
        <f>SUM(F13:F18)</f>
        <v>1390280.9500000002</v>
      </c>
      <c r="G19" s="38">
        <f>SUM(G13:G18)</f>
        <v>624293.65</v>
      </c>
      <c r="H19" s="38">
        <f>SUM(H13:H18)</f>
        <v>599610.7000000001</v>
      </c>
      <c r="I19" s="39">
        <f t="shared" si="1"/>
        <v>871395.1000000001</v>
      </c>
    </row>
    <row r="20" spans="1:9" ht="25.5">
      <c r="A20" s="17" t="s">
        <v>3</v>
      </c>
      <c r="B20" s="27"/>
      <c r="F20" s="111"/>
      <c r="G20" s="3"/>
      <c r="H20" s="3"/>
      <c r="I20" s="18"/>
    </row>
    <row r="21" spans="1:9" ht="51" customHeight="1">
      <c r="A21" s="19" t="s">
        <v>97</v>
      </c>
      <c r="B21" s="28">
        <f>NewProviders*HoursDevelopProvisioning</f>
        <v>3200</v>
      </c>
      <c r="C21" s="4">
        <v>0</v>
      </c>
      <c r="D21" s="4">
        <v>0</v>
      </c>
      <c r="E21" s="4">
        <f>SUM(B21:D21)/3</f>
        <v>1066.6666666666667</v>
      </c>
      <c r="F21" s="111">
        <f>B21*HourlySoftware/3</f>
        <v>65461.333333333336</v>
      </c>
      <c r="G21" s="3">
        <f>F21</f>
        <v>65461.333333333336</v>
      </c>
      <c r="H21" s="3">
        <f>F21</f>
        <v>65461.333333333336</v>
      </c>
      <c r="I21" s="18">
        <f>SUM(F21:H21)/3</f>
        <v>65461.333333333336</v>
      </c>
    </row>
    <row r="22" spans="1:9" ht="51">
      <c r="A22" s="19" t="s">
        <v>58</v>
      </c>
      <c r="B22" s="28">
        <f>Providers*HoursMaintainProvisioning</f>
        <v>4800</v>
      </c>
      <c r="C22" s="4">
        <f>Providers*HoursMaintainProvisioning</f>
        <v>4800</v>
      </c>
      <c r="D22" s="4">
        <f>Providers*HoursMaintainProvisioning</f>
        <v>4800</v>
      </c>
      <c r="E22" s="4">
        <f>SUM(B22:D22)/3</f>
        <v>4800</v>
      </c>
      <c r="F22" s="111">
        <f>B22*HourlySoftware</f>
        <v>294576</v>
      </c>
      <c r="G22" s="3">
        <f>C22*HourlySoftware</f>
        <v>294576</v>
      </c>
      <c r="H22" s="3">
        <f>D22*HourlySoftware</f>
        <v>294576</v>
      </c>
      <c r="I22" s="18">
        <f>SUM(F22:H22)/3</f>
        <v>294576</v>
      </c>
    </row>
    <row r="23" spans="1:9" s="15" customFormat="1" ht="12.75">
      <c r="A23" s="20" t="s">
        <v>1</v>
      </c>
      <c r="B23" s="29">
        <f>SUM(B21:B22)</f>
        <v>8000</v>
      </c>
      <c r="C23" s="13">
        <f>SUM(C21:C22)</f>
        <v>4800</v>
      </c>
      <c r="D23" s="13">
        <f>SUM(D21:D22)</f>
        <v>4800</v>
      </c>
      <c r="E23" s="13">
        <f>SUM(B23:D23)/3</f>
        <v>5866.666666666667</v>
      </c>
      <c r="F23" s="78">
        <f>SUM(F21:F22)</f>
        <v>360037.3333333333</v>
      </c>
      <c r="G23" s="14">
        <f>SUM(G21:G22)</f>
        <v>360037.3333333333</v>
      </c>
      <c r="H23" s="14">
        <f>SUM(H21:H22)</f>
        <v>360037.3333333333</v>
      </c>
      <c r="I23" s="21">
        <f>SUM(F23:H23)/3</f>
        <v>360037.3333333333</v>
      </c>
    </row>
    <row r="24" spans="1:9" ht="12.75">
      <c r="A24" s="30" t="s">
        <v>4</v>
      </c>
      <c r="B24" s="40"/>
      <c r="C24" s="41"/>
      <c r="D24" s="41"/>
      <c r="E24" s="77"/>
      <c r="F24" s="113"/>
      <c r="G24" s="42"/>
      <c r="H24" s="42"/>
      <c r="I24" s="43"/>
    </row>
    <row r="25" spans="1:9" ht="38.25">
      <c r="A25" s="44" t="s">
        <v>145</v>
      </c>
      <c r="B25" s="133" t="s">
        <v>5</v>
      </c>
      <c r="C25" s="84"/>
      <c r="D25" s="84"/>
      <c r="E25" s="114"/>
      <c r="F25" s="86" t="s">
        <v>6</v>
      </c>
      <c r="G25" s="84"/>
      <c r="H25" s="84"/>
      <c r="I25" s="85"/>
    </row>
    <row r="26" spans="1:9" s="16" customFormat="1" ht="12.75">
      <c r="A26" s="47" t="s">
        <v>146</v>
      </c>
      <c r="B26" s="48"/>
      <c r="C26" s="49"/>
      <c r="D26" s="49"/>
      <c r="E26" s="13"/>
      <c r="F26" s="48"/>
      <c r="G26" s="50"/>
      <c r="H26" s="50"/>
      <c r="I26" s="51"/>
    </row>
    <row r="27" spans="1:9" ht="51" customHeight="1">
      <c r="A27" s="52" t="s">
        <v>108</v>
      </c>
      <c r="B27" s="53">
        <f>Providers*HoursModifyAdvisory</f>
        <v>480</v>
      </c>
      <c r="C27" s="54">
        <f>0</f>
        <v>0</v>
      </c>
      <c r="D27" s="54">
        <f>0</f>
        <v>0</v>
      </c>
      <c r="E27" s="54">
        <f>SUM(B27:D27)/3</f>
        <v>160</v>
      </c>
      <c r="F27" s="115">
        <f>$B27*HourlySoftware/3</f>
        <v>9819.199999999999</v>
      </c>
      <c r="G27" s="55">
        <f>$B27*HourlySoftware/3</f>
        <v>9819.199999999999</v>
      </c>
      <c r="H27" s="55">
        <f>$B27*HourlySoftware/3</f>
        <v>9819.199999999999</v>
      </c>
      <c r="I27" s="56">
        <f>SUM(F27:H27)/3</f>
        <v>9819.199999999999</v>
      </c>
    </row>
    <row r="28" spans="1:9" ht="39" customHeight="1">
      <c r="A28" s="52" t="s">
        <v>102</v>
      </c>
      <c r="B28" s="53">
        <f>Users2009*UserAdvisory</f>
        <v>13250</v>
      </c>
      <c r="C28" s="54">
        <f>(Users2010-Users2009)*UserAdvisory</f>
        <v>1500</v>
      </c>
      <c r="D28" s="54">
        <f>(Users2011-Users2010)*UserAdvisory</f>
        <v>750</v>
      </c>
      <c r="E28" s="54">
        <f>SUM(B28:D28)/3</f>
        <v>5166.666666666667</v>
      </c>
      <c r="F28" s="115">
        <f>B28*HourlyUser</f>
        <v>230682.5</v>
      </c>
      <c r="G28" s="55">
        <f>C28*HourlyUser</f>
        <v>26115</v>
      </c>
      <c r="H28" s="55">
        <f>D28*HourlyUser</f>
        <v>13057.5</v>
      </c>
      <c r="I28" s="18">
        <f>SUM(F28:H28)/3</f>
        <v>89951.66666666667</v>
      </c>
    </row>
    <row r="29" spans="1:10" s="15" customFormat="1" ht="25.5">
      <c r="A29" s="94" t="s">
        <v>148</v>
      </c>
      <c r="B29" s="29"/>
      <c r="C29" s="13"/>
      <c r="D29" s="13"/>
      <c r="E29" s="13"/>
      <c r="F29" s="78"/>
      <c r="G29" s="14"/>
      <c r="H29" s="14"/>
      <c r="I29" s="18"/>
      <c r="J29" s="2"/>
    </row>
    <row r="30" spans="1:9" ht="76.5">
      <c r="A30" s="95" t="s">
        <v>139</v>
      </c>
      <c r="B30" s="35">
        <v>10800</v>
      </c>
      <c r="C30" s="13">
        <v>1260</v>
      </c>
      <c r="D30" s="13">
        <v>720</v>
      </c>
      <c r="E30" s="13">
        <v>4260</v>
      </c>
      <c r="F30" s="106">
        <v>228636</v>
      </c>
      <c r="G30" s="14">
        <v>26674</v>
      </c>
      <c r="H30" s="14">
        <v>15242</v>
      </c>
      <c r="I30" s="39">
        <v>90184</v>
      </c>
    </row>
    <row r="31" spans="1:10" ht="12.75">
      <c r="A31" s="117" t="s">
        <v>1</v>
      </c>
      <c r="B31" s="48">
        <v>24530</v>
      </c>
      <c r="C31" s="49">
        <v>2760</v>
      </c>
      <c r="D31" s="49">
        <v>1470</v>
      </c>
      <c r="E31" s="116">
        <v>9587</v>
      </c>
      <c r="F31" s="104">
        <v>469138</v>
      </c>
      <c r="G31" s="50">
        <v>62608</v>
      </c>
      <c r="H31" s="50">
        <v>38119</v>
      </c>
      <c r="I31" s="39">
        <v>189955</v>
      </c>
      <c r="J31" s="111"/>
    </row>
    <row r="32" spans="1:9" ht="26.25" customHeight="1">
      <c r="A32" s="72" t="s">
        <v>7</v>
      </c>
      <c r="B32" s="96" t="s">
        <v>147</v>
      </c>
      <c r="C32" s="97"/>
      <c r="D32" s="97"/>
      <c r="E32" s="4"/>
      <c r="F32" s="96" t="s">
        <v>147</v>
      </c>
      <c r="G32" s="45"/>
      <c r="H32" s="45"/>
      <c r="I32" s="18"/>
    </row>
    <row r="33" spans="1:9" ht="51">
      <c r="A33" s="19" t="s">
        <v>60</v>
      </c>
      <c r="B33" s="28">
        <f>Providers*HoursStorage</f>
        <v>144</v>
      </c>
      <c r="C33" s="4">
        <f>Providers*HoursStorage</f>
        <v>144</v>
      </c>
      <c r="D33" s="4">
        <f>Providers*HoursStorage</f>
        <v>144</v>
      </c>
      <c r="E33" s="4">
        <f>SUM(B33:D33)/3</f>
        <v>144</v>
      </c>
      <c r="F33" s="28">
        <f>B33*HourlySoftware</f>
        <v>8837.279999999999</v>
      </c>
      <c r="G33" s="3">
        <f>C33*HourlySoftware</f>
        <v>8837.279999999999</v>
      </c>
      <c r="H33" s="3">
        <f>D33*HourlySoftware</f>
        <v>8837.279999999999</v>
      </c>
      <c r="I33" s="18">
        <f>SUM(F33:H33)/3</f>
        <v>8837.279999999999</v>
      </c>
    </row>
    <row r="34" spans="1:9" s="15" customFormat="1" ht="12.75">
      <c r="A34" s="34" t="s">
        <v>1</v>
      </c>
      <c r="B34" s="35">
        <f>SUM(B33:B33)</f>
        <v>144</v>
      </c>
      <c r="C34" s="36">
        <f>SUM(C33:C33)</f>
        <v>144</v>
      </c>
      <c r="D34" s="36">
        <f>SUM(D33:D33)</f>
        <v>144</v>
      </c>
      <c r="E34" s="119">
        <f>SUM(B34:D34)/3</f>
        <v>144</v>
      </c>
      <c r="F34" s="28">
        <f>SUM(F33:F33)</f>
        <v>8837.279999999999</v>
      </c>
      <c r="G34" s="38">
        <f>SUM(G33:G33)</f>
        <v>8837.279999999999</v>
      </c>
      <c r="H34" s="38">
        <f>SUM(H33:H33)</f>
        <v>8837.279999999999</v>
      </c>
      <c r="I34" s="39">
        <f>SUM(F34:H34)/3</f>
        <v>8837.279999999999</v>
      </c>
    </row>
    <row r="35" spans="1:9" s="16" customFormat="1" ht="12.75">
      <c r="A35" s="47" t="s">
        <v>59</v>
      </c>
      <c r="B35" s="48"/>
      <c r="C35" s="49"/>
      <c r="D35" s="49"/>
      <c r="E35" s="13"/>
      <c r="F35" s="118"/>
      <c r="G35" s="50"/>
      <c r="H35" s="50"/>
      <c r="I35" s="51"/>
    </row>
    <row r="36" spans="1:9" ht="63.75">
      <c r="A36" s="52" t="s">
        <v>101</v>
      </c>
      <c r="B36" s="53">
        <f>Providers*(HoursCostCollection*CostCollectionFrequency)</f>
        <v>1152</v>
      </c>
      <c r="C36" s="54">
        <f>Providers*(HoursCostCollection*CostCollectionFrequency)</f>
        <v>1152</v>
      </c>
      <c r="D36" s="54">
        <f>Providers*(HoursCostCollection*CostCollectionFrequency)</f>
        <v>1152</v>
      </c>
      <c r="E36" s="54">
        <f>SUM(B36:D36)/3</f>
        <v>1152</v>
      </c>
      <c r="F36" s="115">
        <f>B36*HourlySoftware</f>
        <v>70698.23999999999</v>
      </c>
      <c r="G36" s="55">
        <f>C36*HourlySoftware</f>
        <v>70698.23999999999</v>
      </c>
      <c r="H36" s="55">
        <f>D36*HourlySoftware</f>
        <v>70698.23999999999</v>
      </c>
      <c r="I36" s="56">
        <f>SUM(F36:H36)/3</f>
        <v>70698.23999999999</v>
      </c>
    </row>
    <row r="37" spans="1:9" s="15" customFormat="1" ht="12.75">
      <c r="A37" s="34" t="s">
        <v>1</v>
      </c>
      <c r="B37" s="35">
        <f>SUM(B36:B36)</f>
        <v>1152</v>
      </c>
      <c r="C37" s="36">
        <f>SUM(C36:C36)</f>
        <v>1152</v>
      </c>
      <c r="D37" s="36">
        <f>SUM(D36:D36)</f>
        <v>1152</v>
      </c>
      <c r="E37" s="37">
        <f>SUM(B37:D37)/3</f>
        <v>1152</v>
      </c>
      <c r="F37" s="106">
        <f>SUM(F36:F36)</f>
        <v>70698.23999999999</v>
      </c>
      <c r="G37" s="38">
        <f>SUM(G36:G36)</f>
        <v>70698.23999999999</v>
      </c>
      <c r="H37" s="38">
        <f>SUM(H36:H36)</f>
        <v>70698.23999999999</v>
      </c>
      <c r="I37" s="39">
        <f>SUM(F37:H37)/3</f>
        <v>70698.23999999999</v>
      </c>
    </row>
    <row r="38" spans="1:9" s="16" customFormat="1" ht="12.75">
      <c r="A38" s="47" t="s">
        <v>103</v>
      </c>
      <c r="B38" s="48"/>
      <c r="C38" s="49"/>
      <c r="D38" s="49"/>
      <c r="E38" s="13"/>
      <c r="F38" s="48"/>
      <c r="G38" s="50"/>
      <c r="H38" s="50"/>
      <c r="I38" s="51"/>
    </row>
    <row r="39" spans="1:9" ht="63.75">
      <c r="A39" s="52" t="s">
        <v>109</v>
      </c>
      <c r="B39" s="53">
        <f>Users2008*UsersProxy*HoursNewNumber</f>
        <v>18000</v>
      </c>
      <c r="C39" s="54">
        <v>0</v>
      </c>
      <c r="D39" s="54">
        <v>0</v>
      </c>
      <c r="E39" s="54">
        <f>SUM(B39:D39)/3</f>
        <v>6000</v>
      </c>
      <c r="F39" s="53">
        <f>$B39*HourlyService/3</f>
        <v>174540</v>
      </c>
      <c r="G39" s="55">
        <f>$B39*HourlyService/3</f>
        <v>174540</v>
      </c>
      <c r="H39" s="55">
        <f>$B39*HourlyService/3</f>
        <v>174540</v>
      </c>
      <c r="I39" s="56">
        <f>SUM(F39:H39)/3</f>
        <v>174540</v>
      </c>
    </row>
    <row r="40" spans="1:9" s="15" customFormat="1" ht="12.75">
      <c r="A40" s="34" t="s">
        <v>1</v>
      </c>
      <c r="B40" s="35">
        <f>SUM(B39:B39)</f>
        <v>18000</v>
      </c>
      <c r="C40" s="36">
        <f>SUM(C39:C39)</f>
        <v>0</v>
      </c>
      <c r="D40" s="36">
        <f>SUM(D39:D39)</f>
        <v>0</v>
      </c>
      <c r="E40" s="119">
        <f>SUM(B40:D40)/3</f>
        <v>6000</v>
      </c>
      <c r="F40" s="28">
        <f>SUM(F39:F39)</f>
        <v>174540</v>
      </c>
      <c r="G40" s="38">
        <f>SUM(G39:G39)</f>
        <v>174540</v>
      </c>
      <c r="H40" s="38">
        <f>SUM(H39:H39)</f>
        <v>174540</v>
      </c>
      <c r="I40" s="39">
        <f>SUM(F40:H40)/3</f>
        <v>174540</v>
      </c>
    </row>
    <row r="41" spans="1:9" s="16" customFormat="1" ht="12.75">
      <c r="A41" s="47" t="s">
        <v>110</v>
      </c>
      <c r="B41" s="48"/>
      <c r="C41" s="49"/>
      <c r="D41" s="49"/>
      <c r="E41" s="14"/>
      <c r="F41" s="118"/>
      <c r="G41" s="50"/>
      <c r="H41" s="50"/>
      <c r="I41" s="51"/>
    </row>
    <row r="42" spans="1:9" ht="63.75">
      <c r="A42" s="52" t="s">
        <v>111</v>
      </c>
      <c r="B42" s="53">
        <f>Users2009*UsersDialAround*AverageDialArounds*HoursDialAround</f>
        <v>23850</v>
      </c>
      <c r="C42" s="54">
        <f>Users2010*UsersDialAround*AverageDialArounds*HoursDialAround</f>
        <v>26550</v>
      </c>
      <c r="D42" s="54">
        <f>Users2011*UsersDialAround*AverageDialArounds*HoursDialAround</f>
        <v>27900</v>
      </c>
      <c r="E42" s="98">
        <f>SUM(B42:D42)/3</f>
        <v>26100</v>
      </c>
      <c r="F42" s="115">
        <f>B42*HourlyService</f>
        <v>693796.5</v>
      </c>
      <c r="G42" s="55">
        <f>C42*HourlyService</f>
        <v>772339.5</v>
      </c>
      <c r="H42" s="55">
        <f>D42*HourlyService</f>
        <v>811611</v>
      </c>
      <c r="I42" s="56">
        <f>SUM(F42:H42)/3</f>
        <v>759249</v>
      </c>
    </row>
    <row r="43" spans="1:9" ht="51">
      <c r="A43" s="52" t="s">
        <v>112</v>
      </c>
      <c r="B43" s="53">
        <f>Users2009*UsersDialAround*AverageDialArounds*HoursDialAround</f>
        <v>23850</v>
      </c>
      <c r="C43" s="54">
        <f>Users2010*UsersDialAround*AverageDialArounds*HoursDialAround</f>
        <v>26550</v>
      </c>
      <c r="D43" s="54">
        <f>Users2011*UsersDialAround*AverageDialArounds*HoursDialAround</f>
        <v>27900</v>
      </c>
      <c r="E43" s="54">
        <f>SUM(B43:D43)/3</f>
        <v>26100</v>
      </c>
      <c r="F43" s="115">
        <f>B43*HourlyUser</f>
        <v>415228.5</v>
      </c>
      <c r="G43" s="55">
        <f>C43*HourlyUser</f>
        <v>462235.5</v>
      </c>
      <c r="H43" s="55">
        <f>D43*HourlyUser</f>
        <v>485739</v>
      </c>
      <c r="I43" s="56">
        <f>SUM(F43:H43)/3</f>
        <v>454401</v>
      </c>
    </row>
    <row r="44" spans="1:9" s="15" customFormat="1" ht="12.75">
      <c r="A44" s="34" t="s">
        <v>1</v>
      </c>
      <c r="B44" s="35">
        <f>SUM(B42:B43)</f>
        <v>47700</v>
      </c>
      <c r="C44" s="36">
        <f>SUM(C42:C43)</f>
        <v>53100</v>
      </c>
      <c r="D44" s="36">
        <f>SUM(D42:D43)</f>
        <v>55800</v>
      </c>
      <c r="E44" s="37">
        <f>SUM(B44:D44)/3</f>
        <v>52200</v>
      </c>
      <c r="F44" s="78">
        <f>SUM(F42:F43)</f>
        <v>1109025</v>
      </c>
      <c r="G44" s="38">
        <f>SUM(G42:G43)</f>
        <v>1234575</v>
      </c>
      <c r="H44" s="38">
        <f>SUM(H42:H43)</f>
        <v>1297350</v>
      </c>
      <c r="I44" s="39">
        <f>SUM(F44:H44)/3</f>
        <v>1213650</v>
      </c>
    </row>
    <row r="45" spans="1:9" s="16" customFormat="1" ht="12.75">
      <c r="A45" s="47" t="s">
        <v>113</v>
      </c>
      <c r="B45" s="48"/>
      <c r="C45" s="49"/>
      <c r="D45" s="49"/>
      <c r="E45" s="13"/>
      <c r="F45" s="118"/>
      <c r="G45" s="50"/>
      <c r="H45" s="50"/>
      <c r="I45" s="51"/>
    </row>
    <row r="46" spans="1:9" ht="39" customHeight="1">
      <c r="A46" s="52" t="s">
        <v>114</v>
      </c>
      <c r="B46" s="53">
        <f>Registrations2009*UsersOnlineVerifyPercent*HoursOnlineVerify</f>
        <v>3111</v>
      </c>
      <c r="C46" s="54">
        <f>Registrations2010*UsersOnlineVerifyPercent*HoursOnlineVerify</f>
        <v>846.6</v>
      </c>
      <c r="D46" s="54">
        <f>Registrations2011*UsersOnlineVerifyPercent*HoursOnlineVerify</f>
        <v>754.8000000000001</v>
      </c>
      <c r="E46" s="54">
        <f>SUM(B46:D46)/3</f>
        <v>1570.8</v>
      </c>
      <c r="F46" s="115">
        <f>B46*HourlyService</f>
        <v>90498.99</v>
      </c>
      <c r="G46" s="55">
        <v>24639</v>
      </c>
      <c r="H46" s="55">
        <v>21963</v>
      </c>
      <c r="I46" s="56">
        <f>SUM(F46:H46)/3</f>
        <v>45700.329999999994</v>
      </c>
    </row>
    <row r="47" spans="1:9" ht="38.25">
      <c r="A47" s="52" t="s">
        <v>115</v>
      </c>
      <c r="B47" s="53">
        <f>Registrations2009*UsersOnlineVerifyPercent*UserOnlineVerify</f>
        <v>3111</v>
      </c>
      <c r="C47" s="54">
        <f>Registrations2010*UsersOnlineVerifyPercent*UserOnlineVerify</f>
        <v>846.6</v>
      </c>
      <c r="D47" s="54">
        <f>Registrations2011*UsersOnlineVerifyPercent*UserOnlineVerify</f>
        <v>754.8000000000001</v>
      </c>
      <c r="E47" s="54">
        <f>SUM(B47:D47)/3</f>
        <v>1570.8</v>
      </c>
      <c r="F47" s="115">
        <f>B47*HourlyUser</f>
        <v>54162.51</v>
      </c>
      <c r="G47" s="55">
        <v>14746</v>
      </c>
      <c r="H47" s="55">
        <v>13145</v>
      </c>
      <c r="I47" s="56">
        <f>SUM(F47:H47)/3</f>
        <v>27351.170000000002</v>
      </c>
    </row>
    <row r="48" spans="1:9" ht="39" customHeight="1">
      <c r="A48" s="52" t="s">
        <v>116</v>
      </c>
      <c r="B48" s="53">
        <f>Registrations2009*(1-UsersOnlineVerifyPercent)*HoursMailinVerify</f>
        <v>36600</v>
      </c>
      <c r="C48" s="54">
        <f>Registrations2010*(1-UsersOnlineVerifyPercent)*HoursMailinVerify</f>
        <v>9960</v>
      </c>
      <c r="D48" s="54">
        <f>Registrations2011*(1-UsersOnlineVerifyPercent)*HoursMailinVerify</f>
        <v>8880</v>
      </c>
      <c r="E48" s="54">
        <f>SUM(B48:D48)/3</f>
        <v>18480</v>
      </c>
      <c r="F48" s="115">
        <f>B48*HourlyService</f>
        <v>1064694</v>
      </c>
      <c r="G48" s="55">
        <f>C48*HourlyService</f>
        <v>289736.4</v>
      </c>
      <c r="H48" s="55">
        <f>D48*HourlyService</f>
        <v>258319.2</v>
      </c>
      <c r="I48" s="56">
        <f>SUM(F48:H48)/3</f>
        <v>537583.2</v>
      </c>
    </row>
    <row r="49" spans="1:9" ht="38.25">
      <c r="A49" s="52" t="s">
        <v>117</v>
      </c>
      <c r="B49" s="53">
        <f>Registrations2009*(1-UsersOnlineVerifyPercent)*UserMailinVerify</f>
        <v>18300</v>
      </c>
      <c r="C49" s="54">
        <f>Registrations2010*(1-UsersOnlineVerifyPercent)*UserMailinVerify</f>
        <v>4980</v>
      </c>
      <c r="D49" s="54">
        <f>Registrations2011*(1-UsersOnlineVerifyPercent)*UserMailinVerify</f>
        <v>4440</v>
      </c>
      <c r="E49" s="54">
        <f>SUM(B49:D49)/3</f>
        <v>9240</v>
      </c>
      <c r="F49" s="115">
        <f>B49*HourlyUser</f>
        <v>318603</v>
      </c>
      <c r="G49" s="55">
        <f>C49*HourlyUser</f>
        <v>86701.8</v>
      </c>
      <c r="H49" s="55">
        <f>D49*HourlyUser</f>
        <v>77300.4</v>
      </c>
      <c r="I49" s="56">
        <f>SUM(F49:H49)/3</f>
        <v>160868.4</v>
      </c>
    </row>
    <row r="50" spans="1:9" s="15" customFormat="1" ht="12.75">
      <c r="A50" s="34" t="s">
        <v>1</v>
      </c>
      <c r="B50" s="35">
        <f>SUM(B46:B49)</f>
        <v>61122</v>
      </c>
      <c r="C50" s="36">
        <f>SUM(C46:C49)</f>
        <v>16633.2</v>
      </c>
      <c r="D50" s="36">
        <f>SUM(D46:D49)</f>
        <v>14829.6</v>
      </c>
      <c r="E50" s="37">
        <f>SUM(B50:D50)/3</f>
        <v>30861.600000000002</v>
      </c>
      <c r="F50" s="106">
        <f>SUM(F46:F49)</f>
        <v>1527958.5</v>
      </c>
      <c r="G50" s="38">
        <f>SUM(G46:G49)</f>
        <v>415823.2</v>
      </c>
      <c r="H50" s="38">
        <v>370727</v>
      </c>
      <c r="I50" s="39">
        <v>771502</v>
      </c>
    </row>
    <row r="51" spans="1:9" s="16" customFormat="1" ht="12.75">
      <c r="A51" s="47" t="s">
        <v>119</v>
      </c>
      <c r="B51" s="48"/>
      <c r="C51" s="49"/>
      <c r="D51" s="49"/>
      <c r="E51" s="13"/>
      <c r="F51" s="78"/>
      <c r="G51" s="50"/>
      <c r="H51" s="50"/>
      <c r="I51" s="51"/>
    </row>
    <row r="52" spans="1:9" ht="51" customHeight="1">
      <c r="A52" s="52" t="s">
        <v>120</v>
      </c>
      <c r="B52" s="53">
        <f>Providers*PassthroughFrequency*HoursCostPassthrough</f>
        <v>768</v>
      </c>
      <c r="C52" s="54">
        <f>Providers*PassthroughFrequency*HoursCostPassthrough</f>
        <v>768</v>
      </c>
      <c r="D52" s="54">
        <f>Providers*PassthroughFrequency*HoursCostPassthrough</f>
        <v>768</v>
      </c>
      <c r="E52" s="54">
        <f>SUM(B52:D52)/3</f>
        <v>768</v>
      </c>
      <c r="F52" s="115">
        <f>B52*HourlySoftware</f>
        <v>47132.159999999996</v>
      </c>
      <c r="G52" s="55">
        <f>C52*HourlySoftware</f>
        <v>47132.159999999996</v>
      </c>
      <c r="H52" s="55">
        <f>D52*HourlySoftware</f>
        <v>47132.159999999996</v>
      </c>
      <c r="I52" s="56">
        <f>SUM(F52:H52)/3</f>
        <v>47132.159999999996</v>
      </c>
    </row>
    <row r="53" spans="1:9" s="15" customFormat="1" ht="12.75">
      <c r="A53" s="34" t="s">
        <v>1</v>
      </c>
      <c r="B53" s="35">
        <f>SUM(B52:B52)</f>
        <v>768</v>
      </c>
      <c r="C53" s="36">
        <f>SUM(C52:C52)</f>
        <v>768</v>
      </c>
      <c r="D53" s="36">
        <f>SUM(D52:D52)</f>
        <v>768</v>
      </c>
      <c r="E53" s="37">
        <f>SUM(B53:D53)/3</f>
        <v>768</v>
      </c>
      <c r="F53" s="106">
        <f>SUM(F52:F52)</f>
        <v>47132.159999999996</v>
      </c>
      <c r="G53" s="38">
        <f>SUM(G52:G52)</f>
        <v>47132.159999999996</v>
      </c>
      <c r="H53" s="38">
        <f>SUM(H52:H52)</f>
        <v>47132.159999999996</v>
      </c>
      <c r="I53" s="39">
        <f>SUM(F53:H53)/3</f>
        <v>47132.159999999996</v>
      </c>
    </row>
    <row r="54" spans="1:9" s="16" customFormat="1" ht="12.75">
      <c r="A54" s="47" t="s">
        <v>121</v>
      </c>
      <c r="B54" s="48"/>
      <c r="C54" s="49"/>
      <c r="D54" s="49"/>
      <c r="E54" s="13"/>
      <c r="F54" s="118"/>
      <c r="G54" s="50"/>
      <c r="H54" s="50"/>
      <c r="I54" s="51"/>
    </row>
    <row r="55" spans="1:9" ht="51">
      <c r="A55" s="52" t="s">
        <v>122</v>
      </c>
      <c r="B55" s="53">
        <f>Providers*HoursCPEFix</f>
        <v>3600</v>
      </c>
      <c r="C55" s="54">
        <f>0</f>
        <v>0</v>
      </c>
      <c r="D55" s="54">
        <f>0</f>
        <v>0</v>
      </c>
      <c r="E55" s="54">
        <f>SUM(B55:D55)/3</f>
        <v>1200</v>
      </c>
      <c r="F55" s="115">
        <f>$B55*HourlySoftware/3</f>
        <v>73644</v>
      </c>
      <c r="G55" s="55">
        <f>$B55*HourlySoftware/3</f>
        <v>73644</v>
      </c>
      <c r="H55" s="55">
        <f>$B55*HourlySoftware/3</f>
        <v>73644</v>
      </c>
      <c r="I55" s="56">
        <f>SUM(F55:H55)/3</f>
        <v>73644</v>
      </c>
    </row>
    <row r="56" spans="1:9" ht="51" customHeight="1">
      <c r="A56" s="52" t="s">
        <v>123</v>
      </c>
      <c r="B56" s="53">
        <f>Users2008*UsersChange*2*HoursCPEExchange</f>
        <v>1360</v>
      </c>
      <c r="C56" s="54">
        <f>Users2009*UsersChange*2*HoursCPEExchange</f>
        <v>1802.0000000000002</v>
      </c>
      <c r="D56" s="54">
        <f>Users2010*UsersChange*2*HoursCPEExchange</f>
        <v>2006.0000000000002</v>
      </c>
      <c r="E56" s="54">
        <f>SUM(B56:D56)/3</f>
        <v>1722.6666666666667</v>
      </c>
      <c r="F56" s="115">
        <f>B56*HourlyService</f>
        <v>39562.4</v>
      </c>
      <c r="G56" s="55">
        <f>C56*HourlyService</f>
        <v>52420.18000000001</v>
      </c>
      <c r="H56" s="55">
        <f>D56*HourlyService</f>
        <v>58354.54000000001</v>
      </c>
      <c r="I56" s="56">
        <f>SUM(F56:H56)/3</f>
        <v>50112.373333333344</v>
      </c>
    </row>
    <row r="57" spans="1:9" s="15" customFormat="1" ht="12.75">
      <c r="A57" s="34" t="s">
        <v>1</v>
      </c>
      <c r="B57" s="29">
        <f>SUM(B55:B56)</f>
        <v>4960</v>
      </c>
      <c r="C57" s="13">
        <f>SUM(C55:C56)</f>
        <v>1802.0000000000002</v>
      </c>
      <c r="D57" s="13">
        <f>SUM(D55:D56)</f>
        <v>2006.0000000000002</v>
      </c>
      <c r="E57" s="37">
        <f>SUM(B57:D57)/3</f>
        <v>2922.6666666666665</v>
      </c>
      <c r="F57" s="78">
        <f>SUM(F55:F56)</f>
        <v>113206.4</v>
      </c>
      <c r="G57" s="14">
        <f>SUM(G55:G56)</f>
        <v>126064.18000000001</v>
      </c>
      <c r="H57" s="14">
        <f>SUM(H55:H56)</f>
        <v>131998.54</v>
      </c>
      <c r="I57" s="39">
        <f>SUM(F57:H57)/3</f>
        <v>123756.37333333334</v>
      </c>
    </row>
    <row r="58" spans="1:9" ht="25.5" customHeight="1">
      <c r="A58" s="94" t="s">
        <v>149</v>
      </c>
      <c r="B58" s="134"/>
      <c r="C58" s="101"/>
      <c r="D58" s="101"/>
      <c r="E58" s="100"/>
      <c r="F58" s="105"/>
      <c r="G58" s="102"/>
      <c r="H58" s="102"/>
      <c r="I58" s="56"/>
    </row>
    <row r="59" spans="1:10" s="75" customFormat="1" ht="96.75" customHeight="1">
      <c r="A59" s="99" t="s">
        <v>140</v>
      </c>
      <c r="B59" s="35">
        <v>31770</v>
      </c>
      <c r="C59" s="36">
        <v>15840</v>
      </c>
      <c r="D59" s="36">
        <v>8100</v>
      </c>
      <c r="E59" s="13">
        <v>18570</v>
      </c>
      <c r="F59" s="106">
        <v>672570</v>
      </c>
      <c r="G59" s="38">
        <v>335332</v>
      </c>
      <c r="H59" s="38">
        <v>171477</v>
      </c>
      <c r="I59" s="39">
        <v>393126</v>
      </c>
      <c r="J59" s="2"/>
    </row>
    <row r="60" spans="1:10" s="75" customFormat="1" ht="16.5" customHeight="1">
      <c r="A60" s="79" t="s">
        <v>1</v>
      </c>
      <c r="B60" s="103">
        <v>31770</v>
      </c>
      <c r="C60" s="103">
        <v>15840</v>
      </c>
      <c r="D60" s="103">
        <v>8100</v>
      </c>
      <c r="E60" s="121">
        <v>18570</v>
      </c>
      <c r="F60" s="104">
        <v>672570</v>
      </c>
      <c r="G60" s="104">
        <v>335332</v>
      </c>
      <c r="H60" s="104">
        <v>171477</v>
      </c>
      <c r="I60" s="39">
        <v>393126</v>
      </c>
      <c r="J60" s="2"/>
    </row>
    <row r="61" spans="1:9" ht="12.75">
      <c r="A61" s="123" t="s">
        <v>138</v>
      </c>
      <c r="B61" s="76">
        <f>SUM(B9+B19+B23+B31+B34+B37+B40+B44+B50+B53+B57+B59)</f>
        <v>475137</v>
      </c>
      <c r="C61" s="76">
        <f aca="true" t="shared" si="2" ref="C61:I61">SUM(C9+C19+C23+C31+C34+C37+C40+C44+C50+C53+C57+C59)</f>
        <v>202092.2</v>
      </c>
      <c r="D61" s="124">
        <f t="shared" si="2"/>
        <v>162443.6</v>
      </c>
      <c r="E61" s="122">
        <f t="shared" si="2"/>
        <v>279890.93333333335</v>
      </c>
      <c r="F61" s="120">
        <f>SUM(F9+F19+F23+F31+F34+F37+F40+F44+F50+F53+F57+F59)</f>
        <v>10403999.863333335</v>
      </c>
      <c r="G61" s="76">
        <f t="shared" si="2"/>
        <v>5265793.043333333</v>
      </c>
      <c r="H61" s="76">
        <f t="shared" si="2"/>
        <v>4435786.253333334</v>
      </c>
      <c r="I61" s="39">
        <f t="shared" si="2"/>
        <v>6701858.486666666</v>
      </c>
    </row>
    <row r="62" ht="12.75">
      <c r="I62" s="2" t="s">
        <v>147</v>
      </c>
    </row>
    <row r="63" ht="12.75">
      <c r="A63" s="12" t="s">
        <v>150</v>
      </c>
    </row>
    <row r="64" spans="1:2" ht="12.75">
      <c r="A64" s="1" t="s">
        <v>151</v>
      </c>
      <c r="B64" s="89">
        <v>1850000</v>
      </c>
    </row>
    <row r="65" spans="1:2" ht="25.5">
      <c r="A65" s="1" t="s">
        <v>157</v>
      </c>
      <c r="B65" s="89">
        <v>1850000</v>
      </c>
    </row>
    <row r="66" spans="1:2" ht="12.75">
      <c r="A66" s="1" t="s">
        <v>152</v>
      </c>
      <c r="B66" s="89">
        <v>810000</v>
      </c>
    </row>
    <row r="67" spans="1:2" ht="12.75">
      <c r="A67" s="1" t="s">
        <v>153</v>
      </c>
      <c r="B67" s="89">
        <v>810000</v>
      </c>
    </row>
    <row r="68" spans="1:2" ht="12.75">
      <c r="A68" s="1" t="s">
        <v>154</v>
      </c>
      <c r="B68" s="89">
        <v>462000</v>
      </c>
    </row>
    <row r="69" spans="1:2" ht="12.75">
      <c r="A69" s="1" t="s">
        <v>155</v>
      </c>
      <c r="B69" s="89">
        <v>462000</v>
      </c>
    </row>
    <row r="70" spans="1:2" ht="12.75">
      <c r="A70" s="1" t="s">
        <v>156</v>
      </c>
      <c r="B70" s="90">
        <v>432</v>
      </c>
    </row>
    <row r="71" spans="1:2" ht="12.75">
      <c r="A71" s="1" t="s">
        <v>158</v>
      </c>
      <c r="B71" s="90">
        <v>462000</v>
      </c>
    </row>
    <row r="72" spans="1:2" ht="12.75">
      <c r="A72" s="1" t="s">
        <v>159</v>
      </c>
      <c r="B72" s="89">
        <v>180000</v>
      </c>
    </row>
    <row r="73" spans="1:2" ht="25.5">
      <c r="A73" s="1" t="s">
        <v>160</v>
      </c>
      <c r="B73" s="89">
        <v>9787500</v>
      </c>
    </row>
    <row r="74" spans="1:2" ht="12.75">
      <c r="A74" s="1" t="s">
        <v>161</v>
      </c>
      <c r="B74" s="90">
        <v>462000</v>
      </c>
    </row>
    <row r="75" spans="1:2" ht="25.5">
      <c r="A75" s="1" t="s">
        <v>162</v>
      </c>
      <c r="B75" s="90">
        <v>144</v>
      </c>
    </row>
    <row r="76" spans="1:2" ht="12.75">
      <c r="A76" s="1" t="s">
        <v>163</v>
      </c>
      <c r="B76" s="90">
        <v>152000</v>
      </c>
    </row>
    <row r="77" spans="1:2" ht="38.25">
      <c r="A77" s="1" t="s">
        <v>164</v>
      </c>
      <c r="B77" s="90">
        <v>850</v>
      </c>
    </row>
    <row r="78" spans="1:2" ht="12.75">
      <c r="A78" s="1" t="s">
        <v>165</v>
      </c>
      <c r="B78" s="90">
        <v>51</v>
      </c>
    </row>
    <row r="79" spans="1:2" ht="12.75">
      <c r="A79" s="1" t="s">
        <v>166</v>
      </c>
      <c r="B79" s="90">
        <v>619</v>
      </c>
    </row>
    <row r="80" spans="1:2" ht="25.5">
      <c r="A80" s="91" t="s">
        <v>167</v>
      </c>
      <c r="B80" s="93">
        <v>17289595</v>
      </c>
    </row>
    <row r="81" spans="1:2" ht="12.75">
      <c r="A81" s="91" t="s">
        <v>168</v>
      </c>
      <c r="B81" s="92">
        <v>5763199</v>
      </c>
    </row>
  </sheetData>
  <mergeCells count="6">
    <mergeCell ref="B1:E1"/>
    <mergeCell ref="F1:I1"/>
    <mergeCell ref="B25:E25"/>
    <mergeCell ref="F25:I25"/>
    <mergeCell ref="B11:E11"/>
    <mergeCell ref="F11:I11"/>
  </mergeCells>
  <printOptions/>
  <pageMargins left="0.75" right="0.75" top="1" bottom="1" header="0.5" footer="0.5"/>
  <pageSetup horizontalDpi="600" verticalDpi="600" orientation="landscape" scale="73" r:id="rId1"/>
  <rowBreaks count="3" manualBreakCount="3">
    <brk id="23" max="255" man="1"/>
    <brk id="37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0">
      <selection activeCell="E55" sqref="E55"/>
    </sheetView>
  </sheetViews>
  <sheetFormatPr defaultColWidth="9.140625" defaultRowHeight="12.75"/>
  <cols>
    <col min="1" max="1" width="44.28125" style="0" customWidth="1"/>
    <col min="2" max="5" width="10.7109375" style="0" bestFit="1" customWidth="1"/>
  </cols>
  <sheetData>
    <row r="1" spans="1:5" ht="13.5" thickTop="1">
      <c r="A1" s="61" t="s">
        <v>86</v>
      </c>
      <c r="B1" s="80" t="s">
        <v>75</v>
      </c>
      <c r="C1" s="80"/>
      <c r="D1" s="80"/>
      <c r="E1" s="88"/>
    </row>
    <row r="2" spans="1:5" ht="13.5" thickBot="1">
      <c r="A2" s="24"/>
      <c r="B2" s="25">
        <v>2009</v>
      </c>
      <c r="C2" s="25">
        <v>2010</v>
      </c>
      <c r="D2" s="25">
        <v>2011</v>
      </c>
      <c r="E2" s="26" t="s">
        <v>0</v>
      </c>
    </row>
    <row r="3" spans="1:5" ht="13.5" thickTop="1">
      <c r="A3" s="64" t="s">
        <v>49</v>
      </c>
      <c r="B3" s="3"/>
      <c r="C3" s="3"/>
      <c r="D3" s="3"/>
      <c r="E3" s="18"/>
    </row>
    <row r="4" spans="1:5" ht="51" customHeight="1">
      <c r="A4" s="65" t="s">
        <v>76</v>
      </c>
      <c r="B4" s="3">
        <f>Providers*MaintainRouting</f>
        <v>31200</v>
      </c>
      <c r="C4" s="3">
        <f>Providers*MaintainRouting</f>
        <v>31200</v>
      </c>
      <c r="D4" s="3">
        <f>Providers*MaintainRouting</f>
        <v>31200</v>
      </c>
      <c r="E4" s="18">
        <f>SUM(B4:D4)/3</f>
        <v>31200</v>
      </c>
    </row>
    <row r="5" spans="1:5" ht="12.75">
      <c r="A5" s="66" t="s">
        <v>77</v>
      </c>
      <c r="B5" s="3">
        <f>0</f>
        <v>0</v>
      </c>
      <c r="C5" s="3">
        <f>0</f>
        <v>0</v>
      </c>
      <c r="D5" s="3">
        <f>0</f>
        <v>0</v>
      </c>
      <c r="E5" s="18">
        <f>SUM(B5:D5)/3</f>
        <v>0</v>
      </c>
    </row>
    <row r="6" spans="1:5" ht="25.5">
      <c r="A6" s="66" t="s">
        <v>78</v>
      </c>
      <c r="B6" s="3">
        <f>B4</f>
        <v>31200</v>
      </c>
      <c r="C6" s="3">
        <f>C4</f>
        <v>31200</v>
      </c>
      <c r="D6" s="3">
        <f>D4</f>
        <v>31200</v>
      </c>
      <c r="E6" s="18">
        <f>SUM(B6:D6)/3</f>
        <v>31200</v>
      </c>
    </row>
    <row r="7" spans="1:5" ht="12.75">
      <c r="A7" s="67" t="s">
        <v>1</v>
      </c>
      <c r="B7" s="14">
        <f>SUM(B4:B4)</f>
        <v>31200</v>
      </c>
      <c r="C7" s="14">
        <f>SUM(C4:C4)</f>
        <v>31200</v>
      </c>
      <c r="D7" s="14">
        <f>SUM(D4:D4)</f>
        <v>31200</v>
      </c>
      <c r="E7" s="21">
        <f>SUM(B7:D7)/3</f>
        <v>31200</v>
      </c>
    </row>
    <row r="8" spans="1:5" ht="12.75">
      <c r="A8" s="68" t="s">
        <v>50</v>
      </c>
      <c r="B8" s="42"/>
      <c r="C8" s="42"/>
      <c r="D8" s="42"/>
      <c r="E8" s="43"/>
    </row>
    <row r="9" spans="1:5" ht="25.5">
      <c r="A9" s="69" t="s">
        <v>51</v>
      </c>
      <c r="B9" s="84" t="s">
        <v>53</v>
      </c>
      <c r="C9" s="84"/>
      <c r="D9" s="84"/>
      <c r="E9" s="85"/>
    </row>
    <row r="10" spans="1:5" ht="12.75">
      <c r="A10" s="68" t="s">
        <v>2</v>
      </c>
      <c r="B10" s="45"/>
      <c r="C10" s="45"/>
      <c r="D10" s="45"/>
      <c r="E10" s="46"/>
    </row>
    <row r="11" spans="1:5" ht="51" customHeight="1">
      <c r="A11" s="70" t="s">
        <v>79</v>
      </c>
      <c r="B11" s="3">
        <f>Providers*MaintainRegistration</f>
        <v>31200</v>
      </c>
      <c r="C11" s="3">
        <f>Providers*MaintainRegistration</f>
        <v>31200</v>
      </c>
      <c r="D11" s="3">
        <f>Providers*MaintainRegistration</f>
        <v>31200</v>
      </c>
      <c r="E11" s="18">
        <f>SUM(B11:D11)/3</f>
        <v>31200</v>
      </c>
    </row>
    <row r="12" spans="1:5" ht="12.75">
      <c r="A12" s="66" t="s">
        <v>77</v>
      </c>
      <c r="B12" s="3">
        <f>0</f>
        <v>0</v>
      </c>
      <c r="C12" s="3">
        <f>0</f>
        <v>0</v>
      </c>
      <c r="D12" s="3">
        <f>0</f>
        <v>0</v>
      </c>
      <c r="E12" s="18">
        <f>SUM(B12:D12)/3</f>
        <v>0</v>
      </c>
    </row>
    <row r="13" spans="1:5" ht="25.5">
      <c r="A13" s="66" t="s">
        <v>78</v>
      </c>
      <c r="B13" s="3">
        <f>B11</f>
        <v>31200</v>
      </c>
      <c r="C13" s="3">
        <f>C11</f>
        <v>31200</v>
      </c>
      <c r="D13" s="3">
        <f>D11</f>
        <v>31200</v>
      </c>
      <c r="E13" s="18">
        <f>SUM(B13:D13)/3</f>
        <v>31200</v>
      </c>
    </row>
    <row r="14" spans="1:5" ht="12.75">
      <c r="A14" s="71" t="s">
        <v>1</v>
      </c>
      <c r="B14" s="38">
        <f>SUM(B11:B11)</f>
        <v>31200</v>
      </c>
      <c r="C14" s="38">
        <f>SUM(C11:C11)</f>
        <v>31200</v>
      </c>
      <c r="D14" s="38">
        <f>SUM(D11:D11)</f>
        <v>31200</v>
      </c>
      <c r="E14" s="39">
        <f>SUM(B14:D14)/3</f>
        <v>31200</v>
      </c>
    </row>
    <row r="15" spans="1:5" ht="25.5">
      <c r="A15" s="72" t="s">
        <v>3</v>
      </c>
      <c r="B15" s="3"/>
      <c r="C15" s="3"/>
      <c r="D15" s="3"/>
      <c r="E15" s="18"/>
    </row>
    <row r="16" spans="1:5" ht="25.5">
      <c r="A16" s="70" t="s">
        <v>80</v>
      </c>
      <c r="B16" s="3">
        <f>Gateways*GatewayPrice/GatewayAmortization</f>
        <v>2100000</v>
      </c>
      <c r="C16" s="3">
        <f>Gateways*GatewayPrice/GatewayAmortization</f>
        <v>2100000</v>
      </c>
      <c r="D16" s="3">
        <f>Gateways*GatewayPrice/GatewayAmortization</f>
        <v>2100000</v>
      </c>
      <c r="E16" s="18">
        <f aca="true" t="shared" si="0" ref="E16:E21">SUM(B16:D16)/3</f>
        <v>2100000</v>
      </c>
    </row>
    <row r="17" spans="1:5" ht="38.25">
      <c r="A17" s="70" t="s">
        <v>81</v>
      </c>
      <c r="B17" s="3">
        <f>(ConnectSameCity*PriceSameCity)+(ConnectNewCity*PriceNewCity)</f>
        <v>1940000</v>
      </c>
      <c r="C17" s="3">
        <f>(ConnectSameCity*PriceSameCity)+(ConnectNewCity*PriceNewCity)</f>
        <v>1940000</v>
      </c>
      <c r="D17" s="3">
        <f>(ConnectSameCity*PriceSameCity)+(ConnectNewCity*PriceNewCity)</f>
        <v>1940000</v>
      </c>
      <c r="E17" s="18">
        <f t="shared" si="0"/>
        <v>1940000</v>
      </c>
    </row>
    <row r="18" spans="1:5" ht="38.25">
      <c r="A18" s="70" t="s">
        <v>82</v>
      </c>
      <c r="B18" s="3">
        <f>Users2009*ALI2009</f>
        <v>132500</v>
      </c>
      <c r="C18" s="3">
        <f>Users2010*ALI2010</f>
        <v>147500</v>
      </c>
      <c r="D18" s="3">
        <f>Users2011*ALI2011</f>
        <v>155000</v>
      </c>
      <c r="E18" s="18">
        <f t="shared" si="0"/>
        <v>145000</v>
      </c>
    </row>
    <row r="19" spans="1:5" ht="12.75">
      <c r="A19" s="66" t="s">
        <v>77</v>
      </c>
      <c r="B19" s="3">
        <f>B16</f>
        <v>2100000</v>
      </c>
      <c r="C19" s="3">
        <f>C16</f>
        <v>2100000</v>
      </c>
      <c r="D19" s="3">
        <f>D16</f>
        <v>2100000</v>
      </c>
      <c r="E19" s="18">
        <f t="shared" si="0"/>
        <v>2100000</v>
      </c>
    </row>
    <row r="20" spans="1:5" ht="25.5">
      <c r="A20" s="66" t="s">
        <v>78</v>
      </c>
      <c r="B20" s="3">
        <f>SUM(B17,B18)</f>
        <v>2072500</v>
      </c>
      <c r="C20" s="3">
        <f>SUM(C17,C18)</f>
        <v>2087500</v>
      </c>
      <c r="D20" s="3">
        <f>SUM(D17,D18)</f>
        <v>2095000</v>
      </c>
      <c r="E20" s="18">
        <f t="shared" si="0"/>
        <v>2085000</v>
      </c>
    </row>
    <row r="21" spans="1:5" ht="12.75">
      <c r="A21" s="67" t="s">
        <v>1</v>
      </c>
      <c r="B21" s="14">
        <f>SUM(B16:B18)</f>
        <v>4172500</v>
      </c>
      <c r="C21" s="14">
        <f>SUM(C16:C18)</f>
        <v>4187500</v>
      </c>
      <c r="D21" s="14">
        <f>SUM(D16:D18)</f>
        <v>4195000</v>
      </c>
      <c r="E21" s="21">
        <f t="shared" si="0"/>
        <v>4185000</v>
      </c>
    </row>
    <row r="22" spans="1:5" ht="12.75">
      <c r="A22" s="68" t="s">
        <v>4</v>
      </c>
      <c r="B22" s="42"/>
      <c r="C22" s="42"/>
      <c r="D22" s="42"/>
      <c r="E22" s="43"/>
    </row>
    <row r="23" spans="1:5" ht="25.5">
      <c r="A23" s="69" t="s">
        <v>9</v>
      </c>
      <c r="B23" s="84" t="s">
        <v>6</v>
      </c>
      <c r="C23" s="84"/>
      <c r="D23" s="84"/>
      <c r="E23" s="85"/>
    </row>
    <row r="24" spans="1:5" ht="12.75">
      <c r="A24" s="68" t="s">
        <v>7</v>
      </c>
      <c r="B24" s="32"/>
      <c r="C24" s="32"/>
      <c r="D24" s="32"/>
      <c r="E24" s="33"/>
    </row>
    <row r="25" spans="1:5" ht="27" customHeight="1">
      <c r="A25" s="70" t="s">
        <v>8</v>
      </c>
      <c r="B25" s="86" t="s">
        <v>6</v>
      </c>
      <c r="C25" s="86"/>
      <c r="D25" s="86"/>
      <c r="E25" s="87"/>
    </row>
    <row r="26" spans="1:5" ht="63.75">
      <c r="A26" s="70" t="s">
        <v>83</v>
      </c>
      <c r="B26" s="3">
        <f>(Registrations2009)*RegisterContact/PaperStorage*PaperCost</f>
        <v>671</v>
      </c>
      <c r="C26" s="3">
        <f>(Registrations2009+Registrations2010)*RegisterContact/PaperStorage*PaperCost</f>
        <v>853.5999999999999</v>
      </c>
      <c r="D26" s="3">
        <f>(Registrations2009+Registrations2010+Registrations2011)*RegisterContact/PaperStorage*PaperCost</f>
        <v>1016.4000000000001</v>
      </c>
      <c r="E26" s="18">
        <f aca="true" t="shared" si="1" ref="E26:E34">SUM(B26:D26)/3</f>
        <v>847</v>
      </c>
    </row>
    <row r="27" spans="1:5" ht="12.75">
      <c r="A27" s="66" t="s">
        <v>77</v>
      </c>
      <c r="B27" s="3">
        <v>0</v>
      </c>
      <c r="C27" s="3">
        <v>0</v>
      </c>
      <c r="D27" s="3">
        <v>0</v>
      </c>
      <c r="E27" s="18">
        <f t="shared" si="1"/>
        <v>0</v>
      </c>
    </row>
    <row r="28" spans="1:5" ht="25.5">
      <c r="A28" s="66" t="s">
        <v>78</v>
      </c>
      <c r="B28" s="3">
        <f>B26</f>
        <v>671</v>
      </c>
      <c r="C28" s="3">
        <f>C26</f>
        <v>853.5999999999999</v>
      </c>
      <c r="D28" s="3">
        <f>D26</f>
        <v>1016.4000000000001</v>
      </c>
      <c r="E28" s="18">
        <f t="shared" si="1"/>
        <v>847</v>
      </c>
    </row>
    <row r="29" spans="1:5" ht="12.75">
      <c r="A29" s="71" t="s">
        <v>1</v>
      </c>
      <c r="B29" s="38">
        <f>SUM(B26:B26)</f>
        <v>671</v>
      </c>
      <c r="C29" s="38">
        <f>SUM(C26:C26)</f>
        <v>853.5999999999999</v>
      </c>
      <c r="D29" s="38">
        <f>SUM(D26:D26)</f>
        <v>1016.4000000000001</v>
      </c>
      <c r="E29" s="39">
        <f t="shared" si="1"/>
        <v>847</v>
      </c>
    </row>
    <row r="30" spans="1:5" ht="12.75">
      <c r="A30" s="68" t="s">
        <v>59</v>
      </c>
      <c r="B30" s="42"/>
      <c r="C30" s="42"/>
      <c r="D30" s="42"/>
      <c r="E30" s="43"/>
    </row>
    <row r="31" spans="1:5" ht="38.25">
      <c r="A31" s="69" t="s">
        <v>84</v>
      </c>
      <c r="B31" s="84" t="s">
        <v>85</v>
      </c>
      <c r="C31" s="84"/>
      <c r="D31" s="84"/>
      <c r="E31" s="85"/>
    </row>
    <row r="32" spans="1:5" ht="25.5">
      <c r="A32" s="73" t="s">
        <v>124</v>
      </c>
      <c r="B32" s="62">
        <f aca="true" t="shared" si="2" ref="B32:D34">SUM(B5,B12,B19,B27)</f>
        <v>2100000</v>
      </c>
      <c r="C32" s="62">
        <f t="shared" si="2"/>
        <v>2100000</v>
      </c>
      <c r="D32" s="62">
        <f t="shared" si="2"/>
        <v>2100000</v>
      </c>
      <c r="E32" s="63">
        <f t="shared" si="1"/>
        <v>2100000</v>
      </c>
    </row>
    <row r="33" spans="1:5" ht="25.5">
      <c r="A33" s="73" t="s">
        <v>125</v>
      </c>
      <c r="B33" s="62">
        <f t="shared" si="2"/>
        <v>2135571</v>
      </c>
      <c r="C33" s="62">
        <f t="shared" si="2"/>
        <v>2150753.6</v>
      </c>
      <c r="D33" s="62">
        <f t="shared" si="2"/>
        <v>2158416.4</v>
      </c>
      <c r="E33" s="63">
        <f t="shared" si="1"/>
        <v>2148247</v>
      </c>
    </row>
    <row r="34" spans="1:5" ht="13.5" thickBot="1">
      <c r="A34" s="74" t="s">
        <v>126</v>
      </c>
      <c r="B34" s="22">
        <f t="shared" si="2"/>
        <v>4235571</v>
      </c>
      <c r="C34" s="22">
        <f t="shared" si="2"/>
        <v>4250753.6</v>
      </c>
      <c r="D34" s="22">
        <f t="shared" si="2"/>
        <v>4258416.4</v>
      </c>
      <c r="E34" s="23">
        <f t="shared" si="1"/>
        <v>4248247</v>
      </c>
    </row>
    <row r="35" spans="1:5" ht="13.5" thickTop="1">
      <c r="A35" s="68" t="s">
        <v>100</v>
      </c>
      <c r="B35" s="42"/>
      <c r="C35" s="42"/>
      <c r="D35" s="42"/>
      <c r="E35" s="43"/>
    </row>
    <row r="36" spans="1:5" ht="12.75">
      <c r="A36" s="69" t="s">
        <v>128</v>
      </c>
      <c r="B36" s="84" t="s">
        <v>85</v>
      </c>
      <c r="C36" s="84"/>
      <c r="D36" s="84"/>
      <c r="E36" s="85"/>
    </row>
    <row r="37" spans="1:5" ht="12.75">
      <c r="A37" s="47" t="s">
        <v>103</v>
      </c>
      <c r="B37" s="42"/>
      <c r="C37" s="42"/>
      <c r="D37" s="42"/>
      <c r="E37" s="43"/>
    </row>
    <row r="38" spans="1:5" ht="25.5">
      <c r="A38" s="69" t="s">
        <v>129</v>
      </c>
      <c r="B38" s="84" t="s">
        <v>85</v>
      </c>
      <c r="C38" s="84"/>
      <c r="D38" s="84"/>
      <c r="E38" s="85"/>
    </row>
    <row r="39" spans="1:5" ht="12.75">
      <c r="A39" s="47" t="s">
        <v>110</v>
      </c>
      <c r="B39" s="42"/>
      <c r="C39" s="42"/>
      <c r="D39" s="42"/>
      <c r="E39" s="43"/>
    </row>
    <row r="40" spans="1:5" ht="25.5">
      <c r="A40" s="69" t="s">
        <v>130</v>
      </c>
      <c r="B40" s="84" t="s">
        <v>85</v>
      </c>
      <c r="C40" s="84"/>
      <c r="D40" s="84"/>
      <c r="E40" s="85"/>
    </row>
    <row r="41" spans="1:5" ht="12.75">
      <c r="A41" s="47" t="s">
        <v>113</v>
      </c>
      <c r="B41" s="3"/>
      <c r="C41" s="3"/>
      <c r="D41" s="3"/>
      <c r="E41" s="18"/>
    </row>
    <row r="42" spans="1:5" ht="51" customHeight="1">
      <c r="A42" s="65" t="s">
        <v>127</v>
      </c>
      <c r="B42" s="3">
        <f>(Registrations2009)*(1-UsersOnlineVerifyPercent)/PaperStorage*PaperCost</f>
        <v>2684</v>
      </c>
      <c r="C42" s="3">
        <f>(Registrations2009+Registrations2010)*(1-UsersOnlineVerifyPercent)/PaperStorage*PaperCost</f>
        <v>3414.3999999999996</v>
      </c>
      <c r="D42" s="3">
        <f>(Registrations2009+Registrations2010+Registrations2011)*(1-UsersOnlineVerifyPercent)/PaperStorage*PaperCost</f>
        <v>4065.6000000000004</v>
      </c>
      <c r="E42" s="18">
        <f>SUM(B42:D42)/3</f>
        <v>3388</v>
      </c>
    </row>
    <row r="43" spans="1:5" ht="12.75">
      <c r="A43" s="66" t="s">
        <v>77</v>
      </c>
      <c r="B43" s="3">
        <f>0</f>
        <v>0</v>
      </c>
      <c r="C43" s="3">
        <f>0</f>
        <v>0</v>
      </c>
      <c r="D43" s="3">
        <f>0</f>
        <v>0</v>
      </c>
      <c r="E43" s="18">
        <f>SUM(B43:D43)/3</f>
        <v>0</v>
      </c>
    </row>
    <row r="44" spans="1:5" ht="25.5">
      <c r="A44" s="66" t="s">
        <v>78</v>
      </c>
      <c r="B44" s="3">
        <f>B42</f>
        <v>2684</v>
      </c>
      <c r="C44" s="3">
        <f>C42</f>
        <v>3414.3999999999996</v>
      </c>
      <c r="D44" s="3">
        <f>D42</f>
        <v>4065.6000000000004</v>
      </c>
      <c r="E44" s="18">
        <f>SUM(B44:D44)/3</f>
        <v>3388</v>
      </c>
    </row>
    <row r="45" spans="1:5" ht="12.75">
      <c r="A45" s="67" t="s">
        <v>1</v>
      </c>
      <c r="B45" s="14">
        <f>SUM(B42:B42)</f>
        <v>2684</v>
      </c>
      <c r="C45" s="14">
        <f>SUM(C42:C42)</f>
        <v>3414.3999999999996</v>
      </c>
      <c r="D45" s="14">
        <f>SUM(D42:D42)</f>
        <v>4065.6000000000004</v>
      </c>
      <c r="E45" s="21">
        <f>SUM(B45:D45)/3</f>
        <v>3388</v>
      </c>
    </row>
    <row r="46" spans="1:5" ht="12.75">
      <c r="A46" s="47" t="s">
        <v>119</v>
      </c>
      <c r="B46" s="42"/>
      <c r="C46" s="42"/>
      <c r="D46" s="42"/>
      <c r="E46" s="43"/>
    </row>
    <row r="47" spans="1:5" ht="25.5">
      <c r="A47" s="69" t="s">
        <v>131</v>
      </c>
      <c r="B47" s="84" t="s">
        <v>85</v>
      </c>
      <c r="C47" s="84"/>
      <c r="D47" s="84"/>
      <c r="E47" s="85"/>
    </row>
    <row r="48" spans="1:5" ht="12.75">
      <c r="A48" s="47" t="s">
        <v>121</v>
      </c>
      <c r="B48" s="42"/>
      <c r="C48" s="42"/>
      <c r="D48" s="42"/>
      <c r="E48" s="43"/>
    </row>
    <row r="49" spans="1:5" ht="25.5">
      <c r="A49" s="69" t="s">
        <v>132</v>
      </c>
      <c r="B49" s="84" t="s">
        <v>85</v>
      </c>
      <c r="C49" s="84"/>
      <c r="D49" s="84"/>
      <c r="E49" s="85"/>
    </row>
    <row r="50" spans="1:5" ht="25.5">
      <c r="A50" s="73" t="s">
        <v>133</v>
      </c>
      <c r="B50" s="62">
        <f aca="true" t="shared" si="3" ref="B50:D52">SUM(B43)</f>
        <v>0</v>
      </c>
      <c r="C50" s="62">
        <f t="shared" si="3"/>
        <v>0</v>
      </c>
      <c r="D50" s="62">
        <f t="shared" si="3"/>
        <v>0</v>
      </c>
      <c r="E50" s="63">
        <f aca="true" t="shared" si="4" ref="E50:E55">SUM(B50:D50)/3</f>
        <v>0</v>
      </c>
    </row>
    <row r="51" spans="1:5" ht="25.5">
      <c r="A51" s="73" t="s">
        <v>134</v>
      </c>
      <c r="B51" s="62">
        <f t="shared" si="3"/>
        <v>2684</v>
      </c>
      <c r="C51" s="62">
        <f t="shared" si="3"/>
        <v>3414.3999999999996</v>
      </c>
      <c r="D51" s="62">
        <f t="shared" si="3"/>
        <v>4065.6000000000004</v>
      </c>
      <c r="E51" s="63">
        <f t="shared" si="4"/>
        <v>3388</v>
      </c>
    </row>
    <row r="52" spans="1:5" ht="13.5" thickBot="1">
      <c r="A52" s="74" t="s">
        <v>135</v>
      </c>
      <c r="B52" s="22">
        <f t="shared" si="3"/>
        <v>2684</v>
      </c>
      <c r="C52" s="22">
        <f t="shared" si="3"/>
        <v>3414.3999999999996</v>
      </c>
      <c r="D52" s="22">
        <f t="shared" si="3"/>
        <v>4065.6000000000004</v>
      </c>
      <c r="E52" s="23">
        <f t="shared" si="4"/>
        <v>3388</v>
      </c>
    </row>
    <row r="53" spans="1:5" ht="13.5" thickTop="1">
      <c r="A53" s="73" t="s">
        <v>136</v>
      </c>
      <c r="B53" s="62">
        <f aca="true" t="shared" si="5" ref="B53:D55">SUM(B32,B50)</f>
        <v>2100000</v>
      </c>
      <c r="C53" s="62">
        <f t="shared" si="5"/>
        <v>2100000</v>
      </c>
      <c r="D53" s="62">
        <f t="shared" si="5"/>
        <v>2100000</v>
      </c>
      <c r="E53" s="63">
        <f t="shared" si="4"/>
        <v>2100000</v>
      </c>
    </row>
    <row r="54" spans="1:5" ht="25.5">
      <c r="A54" s="73" t="s">
        <v>137</v>
      </c>
      <c r="B54" s="62">
        <f t="shared" si="5"/>
        <v>2138255</v>
      </c>
      <c r="C54" s="62">
        <f t="shared" si="5"/>
        <v>2154168</v>
      </c>
      <c r="D54" s="62">
        <f t="shared" si="5"/>
        <v>2162482</v>
      </c>
      <c r="E54" s="63">
        <f t="shared" si="4"/>
        <v>2151635</v>
      </c>
    </row>
    <row r="55" spans="1:5" ht="13.5" thickBot="1">
      <c r="A55" s="74" t="s">
        <v>138</v>
      </c>
      <c r="B55" s="22">
        <f t="shared" si="5"/>
        <v>4238255</v>
      </c>
      <c r="C55" s="22">
        <f t="shared" si="5"/>
        <v>4254168</v>
      </c>
      <c r="D55" s="22">
        <f t="shared" si="5"/>
        <v>4262482</v>
      </c>
      <c r="E55" s="23">
        <f t="shared" si="4"/>
        <v>4251635</v>
      </c>
    </row>
    <row r="56" ht="13.5" thickTop="1"/>
  </sheetData>
  <mergeCells count="10">
    <mergeCell ref="B49:E49"/>
    <mergeCell ref="B47:E47"/>
    <mergeCell ref="B36:E36"/>
    <mergeCell ref="B38:E38"/>
    <mergeCell ref="B40:E40"/>
    <mergeCell ref="B31:E31"/>
    <mergeCell ref="B1:E1"/>
    <mergeCell ref="B9:E9"/>
    <mergeCell ref="B23:E23"/>
    <mergeCell ref="B25:E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B49" sqref="B49"/>
    </sheetView>
  </sheetViews>
  <sheetFormatPr defaultColWidth="9.140625" defaultRowHeight="12.75"/>
  <cols>
    <col min="1" max="1" width="28.421875" style="9" bestFit="1" customWidth="1"/>
    <col min="2" max="2" width="14.140625" style="9" bestFit="1" customWidth="1"/>
  </cols>
  <sheetData>
    <row r="1" spans="1:2" ht="15">
      <c r="A1" s="5" t="s">
        <v>10</v>
      </c>
      <c r="B1" s="59">
        <v>12</v>
      </c>
    </row>
    <row r="2" spans="1:2" ht="15">
      <c r="A2" s="5" t="s">
        <v>62</v>
      </c>
      <c r="B2" s="59">
        <v>2</v>
      </c>
    </row>
    <row r="3" spans="1:2" ht="15">
      <c r="A3" s="5" t="s">
        <v>11</v>
      </c>
      <c r="B3" s="59">
        <v>200000</v>
      </c>
    </row>
    <row r="4" spans="1:2" ht="15">
      <c r="A4" s="5" t="s">
        <v>12</v>
      </c>
      <c r="B4" s="59">
        <v>265000</v>
      </c>
    </row>
    <row r="5" spans="1:2" ht="15">
      <c r="A5" s="5" t="s">
        <v>13</v>
      </c>
      <c r="B5" s="59">
        <v>295000</v>
      </c>
    </row>
    <row r="6" spans="1:2" ht="15">
      <c r="A6" s="5" t="s">
        <v>63</v>
      </c>
      <c r="B6" s="59">
        <v>310000</v>
      </c>
    </row>
    <row r="7" spans="1:2" ht="15">
      <c r="A7" s="5" t="s">
        <v>14</v>
      </c>
      <c r="B7" s="7">
        <v>0.2</v>
      </c>
    </row>
    <row r="8" spans="1:2" ht="15">
      <c r="A8" s="5" t="s">
        <v>64</v>
      </c>
      <c r="B8" s="59">
        <v>305000</v>
      </c>
    </row>
    <row r="9" spans="1:2" ht="15">
      <c r="A9" s="5" t="s">
        <v>65</v>
      </c>
      <c r="B9" s="59">
        <v>83000</v>
      </c>
    </row>
    <row r="10" spans="1:2" ht="15">
      <c r="A10" s="5" t="s">
        <v>66</v>
      </c>
      <c r="B10" s="59">
        <v>74000</v>
      </c>
    </row>
    <row r="11" spans="1:2" ht="15">
      <c r="A11" s="5" t="s">
        <v>15</v>
      </c>
      <c r="B11" s="7">
        <v>0.4</v>
      </c>
    </row>
    <row r="12" spans="1:2" ht="15">
      <c r="A12" s="5" t="s">
        <v>16</v>
      </c>
      <c r="B12" s="8">
        <v>61.37</v>
      </c>
    </row>
    <row r="13" spans="1:2" ht="15">
      <c r="A13" s="5" t="s">
        <v>17</v>
      </c>
      <c r="B13" s="8">
        <v>29.09</v>
      </c>
    </row>
    <row r="14" spans="1:2" ht="15">
      <c r="A14" s="5" t="s">
        <v>18</v>
      </c>
      <c r="B14" s="8">
        <v>17.41</v>
      </c>
    </row>
    <row r="15" spans="1:2" ht="15">
      <c r="A15" s="5" t="s">
        <v>19</v>
      </c>
      <c r="B15" s="8">
        <v>2600</v>
      </c>
    </row>
    <row r="16" spans="1:2" ht="15">
      <c r="A16" s="5" t="s">
        <v>20</v>
      </c>
      <c r="B16" s="8">
        <v>2600</v>
      </c>
    </row>
    <row r="17" spans="1:2" ht="15">
      <c r="A17" s="5" t="s">
        <v>21</v>
      </c>
      <c r="B17" s="58">
        <v>800</v>
      </c>
    </row>
    <row r="18" spans="1:2" ht="15">
      <c r="A18" s="5" t="s">
        <v>23</v>
      </c>
      <c r="B18" s="58">
        <v>250</v>
      </c>
    </row>
    <row r="19" spans="1:2" ht="15">
      <c r="A19" s="5" t="s">
        <v>22</v>
      </c>
      <c r="B19" s="58">
        <v>300</v>
      </c>
    </row>
    <row r="20" spans="1:2" ht="15">
      <c r="A20" s="5" t="s">
        <v>24</v>
      </c>
      <c r="B20" s="58">
        <v>250</v>
      </c>
    </row>
    <row r="21" spans="1:2" ht="15">
      <c r="A21" s="5" t="s">
        <v>25</v>
      </c>
      <c r="B21" s="58">
        <v>1600</v>
      </c>
    </row>
    <row r="22" spans="1:2" ht="15">
      <c r="A22" s="5" t="s">
        <v>26</v>
      </c>
      <c r="B22" s="58">
        <v>400</v>
      </c>
    </row>
    <row r="23" spans="1:2" ht="15">
      <c r="A23" s="5" t="s">
        <v>67</v>
      </c>
      <c r="B23" s="58">
        <v>40</v>
      </c>
    </row>
    <row r="24" spans="1:2" ht="15">
      <c r="A24" s="5" t="s">
        <v>27</v>
      </c>
      <c r="B24" s="58">
        <v>12</v>
      </c>
    </row>
    <row r="25" spans="1:2" ht="15">
      <c r="A25" s="5" t="s">
        <v>68</v>
      </c>
      <c r="B25" s="58">
        <v>300</v>
      </c>
    </row>
    <row r="26" spans="1:2" ht="15">
      <c r="A26" s="5" t="s">
        <v>69</v>
      </c>
      <c r="B26" s="58">
        <v>8</v>
      </c>
    </row>
    <row r="27" spans="1:2" ht="15">
      <c r="A27" s="5" t="s">
        <v>70</v>
      </c>
      <c r="B27" s="58">
        <v>16</v>
      </c>
    </row>
    <row r="28" spans="1:2" ht="15">
      <c r="A28" s="5" t="s">
        <v>71</v>
      </c>
      <c r="B28" s="60">
        <v>0.1</v>
      </c>
    </row>
    <row r="29" spans="1:2" ht="15">
      <c r="A29" s="9" t="s">
        <v>72</v>
      </c>
      <c r="B29" s="60">
        <v>0.008</v>
      </c>
    </row>
    <row r="30" spans="1:2" ht="15">
      <c r="A30" s="9" t="s">
        <v>73</v>
      </c>
      <c r="B30" s="60">
        <v>0.017</v>
      </c>
    </row>
    <row r="31" spans="1:2" ht="15">
      <c r="A31" s="9" t="s">
        <v>74</v>
      </c>
      <c r="B31" s="60">
        <v>0.3</v>
      </c>
    </row>
    <row r="32" spans="1:2" ht="15">
      <c r="A32" s="9" t="s">
        <v>87</v>
      </c>
      <c r="B32" s="60">
        <v>0.017</v>
      </c>
    </row>
    <row r="33" spans="1:2" ht="15">
      <c r="A33" s="5" t="s">
        <v>28</v>
      </c>
      <c r="B33" s="6">
        <v>0.2</v>
      </c>
    </row>
    <row r="34" spans="1:2" ht="15">
      <c r="A34" s="5" t="s">
        <v>29</v>
      </c>
      <c r="B34" s="7">
        <v>0.3</v>
      </c>
    </row>
    <row r="35" spans="1:2" ht="15">
      <c r="A35" s="5" t="s">
        <v>30</v>
      </c>
      <c r="B35" s="6">
        <v>0.3</v>
      </c>
    </row>
    <row r="36" spans="1:2" ht="15">
      <c r="A36" s="5" t="s">
        <v>31</v>
      </c>
      <c r="B36" s="6">
        <v>0.15</v>
      </c>
    </row>
    <row r="37" spans="1:2" ht="15">
      <c r="A37" s="5" t="s">
        <v>32</v>
      </c>
      <c r="B37" s="7">
        <v>0.1</v>
      </c>
    </row>
    <row r="38" spans="1:2" ht="15">
      <c r="A38" s="5" t="s">
        <v>33</v>
      </c>
      <c r="B38" s="6">
        <v>0.25</v>
      </c>
    </row>
    <row r="39" spans="1:2" ht="15">
      <c r="A39" s="5" t="s">
        <v>34</v>
      </c>
      <c r="B39" s="6">
        <v>0.05</v>
      </c>
    </row>
    <row r="40" spans="1:2" ht="15">
      <c r="A40" s="5" t="s">
        <v>35</v>
      </c>
      <c r="B40" s="7">
        <v>0.1</v>
      </c>
    </row>
    <row r="41" spans="1:2" ht="15">
      <c r="A41" s="5" t="s">
        <v>36</v>
      </c>
      <c r="B41" s="6">
        <v>0.08</v>
      </c>
    </row>
    <row r="42" spans="1:2" ht="15">
      <c r="A42" s="5" t="s">
        <v>88</v>
      </c>
      <c r="B42" s="6">
        <v>0.05</v>
      </c>
    </row>
    <row r="43" spans="1:2" ht="15">
      <c r="A43" s="5" t="s">
        <v>89</v>
      </c>
      <c r="B43" s="60">
        <v>0.017</v>
      </c>
    </row>
    <row r="44" spans="1:2" ht="15">
      <c r="A44" s="5" t="s">
        <v>90</v>
      </c>
      <c r="B44" s="6">
        <v>0.15</v>
      </c>
    </row>
    <row r="45" spans="1:2" ht="15">
      <c r="A45" s="5" t="s">
        <v>91</v>
      </c>
      <c r="B45" s="7">
        <v>0.9</v>
      </c>
    </row>
    <row r="46" spans="1:2" ht="15">
      <c r="A46" s="5" t="s">
        <v>92</v>
      </c>
      <c r="B46" s="7">
        <v>0.75</v>
      </c>
    </row>
    <row r="47" spans="1:2" ht="15">
      <c r="A47" s="5" t="s">
        <v>93</v>
      </c>
      <c r="B47" s="7">
        <v>0.6</v>
      </c>
    </row>
    <row r="48" spans="1:2" ht="15">
      <c r="A48" s="5" t="s">
        <v>94</v>
      </c>
      <c r="B48" s="60">
        <v>12</v>
      </c>
    </row>
    <row r="49" spans="1:2" ht="15">
      <c r="A49" s="5" t="s">
        <v>118</v>
      </c>
      <c r="B49" s="60">
        <v>4</v>
      </c>
    </row>
    <row r="50" spans="1:2" ht="15">
      <c r="A50" s="5" t="s">
        <v>95</v>
      </c>
      <c r="B50" s="60">
        <v>15</v>
      </c>
    </row>
    <row r="51" spans="1:2" ht="15">
      <c r="A51" s="5" t="s">
        <v>37</v>
      </c>
      <c r="B51" s="60">
        <v>75</v>
      </c>
    </row>
    <row r="52" spans="1:2" ht="15">
      <c r="A52" s="5" t="s">
        <v>38</v>
      </c>
      <c r="B52" s="8">
        <v>140000</v>
      </c>
    </row>
    <row r="53" spans="1:2" ht="15">
      <c r="A53" s="5" t="s">
        <v>39</v>
      </c>
      <c r="B53" s="60">
        <v>5</v>
      </c>
    </row>
    <row r="54" spans="1:2" ht="15">
      <c r="A54" s="9" t="s">
        <v>40</v>
      </c>
      <c r="B54" s="60">
        <v>75</v>
      </c>
    </row>
    <row r="55" spans="1:2" ht="15">
      <c r="A55" s="9" t="s">
        <v>41</v>
      </c>
      <c r="B55" s="60">
        <v>125</v>
      </c>
    </row>
    <row r="56" spans="1:2" ht="15">
      <c r="A56" s="9" t="s">
        <v>42</v>
      </c>
      <c r="B56" s="8">
        <v>4200</v>
      </c>
    </row>
    <row r="57" spans="1:2" ht="15">
      <c r="A57" s="9" t="s">
        <v>43</v>
      </c>
      <c r="B57" s="8">
        <v>13000</v>
      </c>
    </row>
    <row r="58" spans="1:2" ht="15">
      <c r="A58" s="5" t="s">
        <v>44</v>
      </c>
      <c r="B58" s="8">
        <v>0.5</v>
      </c>
    </row>
    <row r="59" spans="1:2" ht="15">
      <c r="A59" s="5" t="s">
        <v>45</v>
      </c>
      <c r="B59" s="8">
        <v>0.5</v>
      </c>
    </row>
    <row r="60" spans="1:2" ht="15">
      <c r="A60" s="5" t="s">
        <v>96</v>
      </c>
      <c r="B60" s="8">
        <v>0.5</v>
      </c>
    </row>
    <row r="61" spans="1:2" ht="15">
      <c r="A61" s="5" t="s">
        <v>46</v>
      </c>
      <c r="B61" s="60">
        <v>500</v>
      </c>
    </row>
    <row r="62" spans="1:2" ht="15">
      <c r="A62" s="5" t="s">
        <v>47</v>
      </c>
      <c r="B62" s="8">
        <v>11</v>
      </c>
    </row>
    <row r="65" ht="15">
      <c r="A65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nicholas.degani</dc:creator>
  <cp:keywords/>
  <dc:description/>
  <cp:lastModifiedBy>cathy.williams</cp:lastModifiedBy>
  <cp:lastPrinted>2010-10-22T19:09:10Z</cp:lastPrinted>
  <dcterms:created xsi:type="dcterms:W3CDTF">2008-06-20T18:03:34Z</dcterms:created>
  <dcterms:modified xsi:type="dcterms:W3CDTF">2010-10-22T19:16:48Z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