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325" yWindow="90" windowWidth="19065" windowHeight="10815" tabRatio="889" firstSheet="9" activeTab="9"/>
  </bookViews>
  <sheets>
    <sheet name="Summary 2" sheetId="150" state="hidden" r:id="rId1"/>
    <sheet name="Capital vs. O&amp;M" sheetId="173" state="hidden" r:id="rId2"/>
    <sheet name="Responses" sheetId="174" state="hidden" r:id="rId3"/>
    <sheet name="Avg-Yr1-3" sheetId="3" state="hidden" r:id="rId4"/>
    <sheet name="Testing Costs" sheetId="136" state="hidden" r:id="rId5"/>
    <sheet name="Monitors" sheetId="137" state="hidden" r:id="rId6"/>
    <sheet name="BURDEN SUMMARY" sheetId="175" state="hidden" r:id="rId7"/>
    <sheet name="QA" sheetId="176" state="hidden" r:id="rId8"/>
    <sheet name="Base Data" sheetId="49" state="hidden" r:id="rId9"/>
    <sheet name="Fac-ExistLrgSolid-Yr1" sheetId="10" r:id="rId10"/>
    <sheet name="Fac-ExistLrgSolid-Yr2" sheetId="103" r:id="rId11"/>
    <sheet name="Fac-ExistLrgSolid-Yr3" sheetId="104" r:id="rId12"/>
    <sheet name="Fac-ExistLrgLiquid-Yr1" sheetId="105" r:id="rId13"/>
    <sheet name="Fac-ExistLrgLiquid-Yr2" sheetId="106" r:id="rId14"/>
    <sheet name="Fac-ExistLrgLiquid-Yr3" sheetId="107" r:id="rId15"/>
    <sheet name="Fac-ExistLrgGas-Yr1" sheetId="108" r:id="rId16"/>
    <sheet name="Fac-ExistLrgGas-Yr2" sheetId="109" r:id="rId17"/>
    <sheet name="Fac-ExistLrgGas-Yr3" sheetId="110" r:id="rId18"/>
    <sheet name="Fac-NewLrgSolid-Yr1" sheetId="111" r:id="rId19"/>
    <sheet name="Fac-NewLrgSolid-Yr2" sheetId="138" r:id="rId20"/>
    <sheet name="Fac-NewLrgSolid-Yr3" sheetId="139" r:id="rId21"/>
    <sheet name="Fac-NewLrgLiquid-Yr1" sheetId="114" r:id="rId22"/>
    <sheet name="Fac-NewLrgLiquid-Yr2" sheetId="140" r:id="rId23"/>
    <sheet name="Fac-NewLrgLiquid-Yr3" sheetId="141" r:id="rId24"/>
    <sheet name="Fac-NewLrgGas-Yr1" sheetId="170" r:id="rId25"/>
    <sheet name="Fac-NewLrgGas-Yr2" sheetId="171" r:id="rId26"/>
    <sheet name="Fac-NewLrgGas-Yr3" sheetId="172" r:id="rId27"/>
    <sheet name="Fac - ExistSmlSolid-Yr1" sheetId="51" r:id="rId28"/>
    <sheet name="Fac - ExistSmlSolid-Yr2" sheetId="88" r:id="rId29"/>
    <sheet name="Fac - ExistSmlSolid-Yr3" sheetId="89" r:id="rId30"/>
    <sheet name="Fac - ExistSmlLiquid-Yr1" sheetId="90" r:id="rId31"/>
    <sheet name="Fac - ExistSmlLiquid-Yr2" sheetId="91" r:id="rId32"/>
    <sheet name="Fac - ExistSmlLiquid-Yr3" sheetId="92" r:id="rId33"/>
    <sheet name="Fac - ExistSmlGas-Yr1" sheetId="123" r:id="rId34"/>
    <sheet name="Fac - ExistSmlGas-Yr2" sheetId="126" r:id="rId35"/>
    <sheet name="Fac - ExistSmlGas-Yr3" sheetId="127" r:id="rId36"/>
    <sheet name="Fac-NewSmlSolid-Yr1" sheetId="156" r:id="rId37"/>
    <sheet name="Fac-NewSmlSolid-Yr2" sheetId="157" r:id="rId38"/>
    <sheet name="Fac-NewSmlSolid-Yr3" sheetId="158" r:id="rId39"/>
    <sheet name="Fac-NewSmlLiquid-Yr1" sheetId="159" r:id="rId40"/>
    <sheet name="Fac-NewSmlLiquid-Yr2" sheetId="162" r:id="rId41"/>
    <sheet name="Fac-NewSmlLiquid-Yr3" sheetId="163" r:id="rId42"/>
    <sheet name="Fac-NewSmlGas-Yr1" sheetId="164" r:id="rId43"/>
    <sheet name="Fac-NewSmlGas-Yr2" sheetId="165" r:id="rId44"/>
    <sheet name="Fac-NewSmlGas-Yr3" sheetId="166" r:id="rId45"/>
    <sheet name="Agency Base Data" sheetId="152" state="hidden" r:id="rId46"/>
    <sheet name="AgencyYR1" sheetId="167" r:id="rId47"/>
    <sheet name="AgencyYR2" sheetId="168" r:id="rId48"/>
    <sheet name="AgencyYR3" sheetId="169" r:id="rId49"/>
  </sheets>
  <externalReferences>
    <externalReference r:id="rId50"/>
  </externalReferences>
  <definedNames>
    <definedName name="_xlnm._FilterDatabase" localSheetId="29" hidden="1">'Fac - ExistSmlSolid-Yr3'!$A$3:$S$3</definedName>
    <definedName name="_xlnm._FilterDatabase" localSheetId="9" hidden="1">'Fac-ExistLrgSolid-Yr1'!$A$3:$S$3</definedName>
    <definedName name="cler">[1]basis!$C$26</definedName>
    <definedName name="comptime" localSheetId="46">AgencyYR1!#REF!</definedName>
    <definedName name="comptime" localSheetId="47">AgencyYR2!#REF!</definedName>
    <definedName name="comptime" localSheetId="48">AgencyYR3!#REF!</definedName>
    <definedName name="excd">[1]basis!$C$19</definedName>
    <definedName name="lit">[1]basis!$C$13</definedName>
    <definedName name="mang">[1]basis!$C$25</definedName>
    <definedName name="new_respondents">[1]basis!$C$17</definedName>
    <definedName name="noexcd">[1]basis!$C$20</definedName>
    <definedName name="_xlnm.Print_Area" localSheetId="46">AgencyYR1!$A$1:$N$40</definedName>
    <definedName name="_xlnm.Print_Area" localSheetId="47">AgencyYR2!$A$1:$N$40</definedName>
    <definedName name="_xlnm.Print_Area" localSheetId="48">AgencyYR3!$A$1:$N$40</definedName>
    <definedName name="_xlnm.Print_Area" localSheetId="12">'Fac-ExistLrgLiquid-Yr1'!$A$1:$Q$87</definedName>
    <definedName name="_xlnm.Print_Area" localSheetId="24">'Fac-NewLrgGas-Yr1'!$A$1:$Q$73</definedName>
    <definedName name="_xlnm.Print_Area" localSheetId="18">'Fac-NewLrgSolid-Yr1'!$A$1:$Q$76</definedName>
    <definedName name="_xlnm.Print_Titles" localSheetId="33">'Fac - ExistSmlGas-Yr1'!$1:$3</definedName>
    <definedName name="_xlnm.Print_Titles" localSheetId="34">'Fac - ExistSmlGas-Yr2'!$1:$3</definedName>
    <definedName name="_xlnm.Print_Titles" localSheetId="35">'Fac - ExistSmlGas-Yr3'!$1:$3</definedName>
    <definedName name="_xlnm.Print_Titles" localSheetId="30">'Fac - ExistSmlLiquid-Yr1'!$1:$3</definedName>
    <definedName name="_xlnm.Print_Titles" localSheetId="31">'Fac - ExistSmlLiquid-Yr2'!$1:$3</definedName>
    <definedName name="_xlnm.Print_Titles" localSheetId="32">'Fac - ExistSmlLiquid-Yr3'!$1:$3</definedName>
    <definedName name="_xlnm.Print_Titles" localSheetId="27">'Fac - ExistSmlSolid-Yr1'!$1:$3</definedName>
    <definedName name="_xlnm.Print_Titles" localSheetId="28">'Fac - ExistSmlSolid-Yr2'!$1:$3</definedName>
    <definedName name="_xlnm.Print_Titles" localSheetId="29">'Fac - ExistSmlSolid-Yr3'!$1:$3</definedName>
    <definedName name="_xlnm.Print_Titles" localSheetId="15">'Fac-ExistLrgGas-Yr1'!$1:$3</definedName>
    <definedName name="_xlnm.Print_Titles" localSheetId="16">'Fac-ExistLrgGas-Yr2'!$1:$3</definedName>
    <definedName name="_xlnm.Print_Titles" localSheetId="17">'Fac-ExistLrgGas-Yr3'!$1:$3</definedName>
    <definedName name="_xlnm.Print_Titles" localSheetId="12">'Fac-ExistLrgLiquid-Yr1'!$1:$3</definedName>
    <definedName name="_xlnm.Print_Titles" localSheetId="13">'Fac-ExistLrgLiquid-Yr2'!$1:$3</definedName>
    <definedName name="_xlnm.Print_Titles" localSheetId="14">'Fac-ExistLrgLiquid-Yr3'!$1:$3</definedName>
    <definedName name="_xlnm.Print_Titles" localSheetId="9">'Fac-ExistLrgSolid-Yr1'!$1:$3</definedName>
    <definedName name="_xlnm.Print_Titles" localSheetId="10">'Fac-ExistLrgSolid-Yr2'!$1:$3</definedName>
    <definedName name="_xlnm.Print_Titles" localSheetId="11">'Fac-ExistLrgSolid-Yr3'!$1:$3</definedName>
    <definedName name="_xlnm.Print_Titles" localSheetId="24">'Fac-NewLrgGas-Yr1'!$1:$3</definedName>
    <definedName name="_xlnm.Print_Titles" localSheetId="25">'Fac-NewLrgGas-Yr2'!$1:$3</definedName>
    <definedName name="_xlnm.Print_Titles" localSheetId="26">'Fac-NewLrgGas-Yr3'!$1:$3</definedName>
    <definedName name="_xlnm.Print_Titles" localSheetId="21">'Fac-NewLrgLiquid-Yr1'!$1:$3</definedName>
    <definedName name="_xlnm.Print_Titles" localSheetId="22">'Fac-NewLrgLiquid-Yr2'!$1:$3</definedName>
    <definedName name="_xlnm.Print_Titles" localSheetId="23">'Fac-NewLrgLiquid-Yr3'!$1:$3</definedName>
    <definedName name="_xlnm.Print_Titles" localSheetId="18">'Fac-NewLrgSolid-Yr1'!$1:$3</definedName>
    <definedName name="_xlnm.Print_Titles" localSheetId="19">'Fac-NewLrgSolid-Yr2'!$1:$3</definedName>
    <definedName name="_xlnm.Print_Titles" localSheetId="20">'Fac-NewLrgSolid-Yr3'!$1:$3</definedName>
    <definedName name="_xlnm.Print_Titles" localSheetId="42">'Fac-NewSmlGas-Yr1'!$1:$2</definedName>
    <definedName name="_xlnm.Print_Titles" localSheetId="43">'Fac-NewSmlGas-Yr2'!$1:$2</definedName>
    <definedName name="_xlnm.Print_Titles" localSheetId="44">'Fac-NewSmlGas-Yr3'!$1:$2</definedName>
    <definedName name="_xlnm.Print_Titles" localSheetId="39">'Fac-NewSmlLiquid-Yr1'!$1:$2</definedName>
    <definedName name="_xlnm.Print_Titles" localSheetId="40">'Fac-NewSmlLiquid-Yr2'!$1:$2</definedName>
    <definedName name="_xlnm.Print_Titles" localSheetId="41">'Fac-NewSmlLiquid-Yr3'!$1:$2</definedName>
    <definedName name="_xlnm.Print_Titles" localSheetId="36">'Fac-NewSmlSolid-Yr1'!$1:$3</definedName>
    <definedName name="_xlnm.Print_Titles" localSheetId="37">'Fac-NewSmlSolid-Yr2'!$1:$2</definedName>
    <definedName name="_xlnm.Print_Titles" localSheetId="38">'Fac-NewSmlSolid-Yr3'!$1:$3</definedName>
    <definedName name="read1">#REF!</definedName>
    <definedName name="respondents" localSheetId="46">AgencyYR1!#REF!</definedName>
    <definedName name="respondents" localSheetId="47">AgencyYR2!#REF!</definedName>
    <definedName name="respondents" localSheetId="48">AgencyYR3!#REF!</definedName>
    <definedName name="retest" localSheetId="46">AgencyYR1!#REF!</definedName>
    <definedName name="retest" localSheetId="47">AgencyYR2!#REF!</definedName>
    <definedName name="retest" localSheetId="48">AgencyYR3!#REF!</definedName>
    <definedName name="sperfac" localSheetId="46">AgencyYR1!#REF!</definedName>
    <definedName name="sperfac" localSheetId="47">AgencyYR2!#REF!</definedName>
    <definedName name="sperfac" localSheetId="48">AgencyYR3!#REF!</definedName>
    <definedName name="ssmalf">[1]basis!$C$21</definedName>
    <definedName name="tech">[1]basis!$C$24</definedName>
  </definedNames>
  <calcPr calcId="125725"/>
</workbook>
</file>

<file path=xl/calcChain.xml><?xml version="1.0" encoding="utf-8"?>
<calcChain xmlns="http://schemas.openxmlformats.org/spreadsheetml/2006/main">
  <c r="I9" i="158"/>
  <c r="I9" i="166"/>
  <c r="I12" i="104" l="1"/>
  <c r="I12" i="103"/>
  <c r="I91" i="49"/>
  <c r="E92"/>
  <c r="E72"/>
  <c r="F105"/>
  <c r="E105"/>
  <c r="F97"/>
  <c r="H8" i="169"/>
  <c r="H8" i="168"/>
  <c r="H9" i="169"/>
  <c r="I9"/>
  <c r="J9" s="1"/>
  <c r="H9" i="168"/>
  <c r="I9"/>
  <c r="J9" s="1"/>
  <c r="H9" i="167"/>
  <c r="I9"/>
  <c r="J9" s="1"/>
  <c r="L9" i="169" l="1"/>
  <c r="K9"/>
  <c r="M9" s="1"/>
  <c r="L9" i="168"/>
  <c r="K9"/>
  <c r="M9" s="1"/>
  <c r="L9" i="167"/>
  <c r="K9"/>
  <c r="M9" s="1"/>
  <c r="I8" i="169"/>
  <c r="J8" s="1"/>
  <c r="I8" i="168"/>
  <c r="J8" s="1"/>
  <c r="H8" i="167"/>
  <c r="I8"/>
  <c r="J8" s="1"/>
  <c r="I11" i="104"/>
  <c r="L8" i="169" l="1"/>
  <c r="K8"/>
  <c r="M8" s="1"/>
  <c r="L8" i="168"/>
  <c r="K8"/>
  <c r="M8" s="1"/>
  <c r="L8" i="167"/>
  <c r="K8"/>
  <c r="M8" s="1"/>
  <c r="E65" i="49"/>
  <c r="I31" i="107" l="1"/>
  <c r="I30"/>
  <c r="I31" i="106"/>
  <c r="I30"/>
  <c r="F98" i="49" l="1"/>
  <c r="E91"/>
  <c r="B30" i="136"/>
  <c r="I41" i="110"/>
  <c r="E35" i="49"/>
  <c r="L82"/>
  <c r="D40"/>
  <c r="H43"/>
  <c r="E25" l="1"/>
  <c r="E20"/>
  <c r="H29"/>
  <c r="H28"/>
  <c r="H27"/>
  <c r="C28" i="136" l="1"/>
  <c r="P20" i="126" l="1"/>
  <c r="P20" i="91"/>
  <c r="P20" i="88"/>
  <c r="I9" i="156"/>
  <c r="I23" i="158" s="1"/>
  <c r="I59" i="172"/>
  <c r="I59" i="171"/>
  <c r="I59" i="170"/>
  <c r="E73" i="49"/>
  <c r="I37" i="170"/>
  <c r="I37" i="171" s="1"/>
  <c r="O20" i="141"/>
  <c r="H20"/>
  <c r="J20" s="1"/>
  <c r="O20" i="140"/>
  <c r="H20"/>
  <c r="J20" s="1"/>
  <c r="O20" i="114"/>
  <c r="H20"/>
  <c r="J20" s="1"/>
  <c r="I28"/>
  <c r="I27"/>
  <c r="I36" i="139"/>
  <c r="I36" i="138"/>
  <c r="I37" i="111"/>
  <c r="I37" i="138" s="1"/>
  <c r="I37" i="139" s="1"/>
  <c r="I36" i="111"/>
  <c r="I31"/>
  <c r="I30"/>
  <c r="I31" i="138"/>
  <c r="I30"/>
  <c r="I31" i="139"/>
  <c r="I30"/>
  <c r="I20" i="111"/>
  <c r="I20" i="138" s="1"/>
  <c r="H20" i="139"/>
  <c r="H20" i="138"/>
  <c r="P47" i="139"/>
  <c r="I17"/>
  <c r="I17" i="138"/>
  <c r="I24" i="139"/>
  <c r="I24" i="138"/>
  <c r="I25" i="111"/>
  <c r="I25" i="138" s="1"/>
  <c r="I25" i="139" s="1"/>
  <c r="I24" i="111"/>
  <c r="I17"/>
  <c r="O20"/>
  <c r="H20"/>
  <c r="J20" s="1"/>
  <c r="I20" i="139" l="1"/>
  <c r="O20" s="1"/>
  <c r="O20" i="138"/>
  <c r="I37" i="172"/>
  <c r="I61" i="171"/>
  <c r="I60"/>
  <c r="J20" i="138"/>
  <c r="I60" i="170"/>
  <c r="I23" i="156"/>
  <c r="J20" i="139"/>
  <c r="L20" i="141"/>
  <c r="K20"/>
  <c r="N20" s="1"/>
  <c r="L20" i="140"/>
  <c r="K20"/>
  <c r="N20" s="1"/>
  <c r="L20" i="114"/>
  <c r="K20"/>
  <c r="N20" s="1"/>
  <c r="L20" i="139"/>
  <c r="K20"/>
  <c r="N20" s="1"/>
  <c r="L20" i="138"/>
  <c r="K20"/>
  <c r="N20" s="1"/>
  <c r="L20" i="111"/>
  <c r="K20"/>
  <c r="N20" s="1"/>
  <c r="I61" i="172" l="1"/>
  <c r="I60"/>
  <c r="I12" i="139"/>
  <c r="I11"/>
  <c r="I10"/>
  <c r="I9"/>
  <c r="I10" i="138"/>
  <c r="I11"/>
  <c r="I12"/>
  <c r="I9"/>
  <c r="I10" i="111"/>
  <c r="I14" i="138" s="1"/>
  <c r="I11" i="111"/>
  <c r="I15" i="138" s="1"/>
  <c r="I12" i="111"/>
  <c r="I16" i="138" s="1"/>
  <c r="I9" i="111"/>
  <c r="I13" i="138" l="1"/>
  <c r="I55" i="111"/>
  <c r="I56"/>
  <c r="I57"/>
  <c r="I58"/>
  <c r="I59"/>
  <c r="I54"/>
  <c r="I16" i="139"/>
  <c r="I15"/>
  <c r="I14"/>
  <c r="I55" i="138"/>
  <c r="I55" i="139" s="1"/>
  <c r="I56" i="138"/>
  <c r="I56" i="139" s="1"/>
  <c r="I57" i="138"/>
  <c r="I57" i="139" s="1"/>
  <c r="I58" i="138"/>
  <c r="I58" i="139" s="1"/>
  <c r="I59" i="138"/>
  <c r="I59" i="139" s="1"/>
  <c r="I54" i="138"/>
  <c r="I54" i="139" s="1"/>
  <c r="I13"/>
  <c r="E64" i="49" l="1"/>
  <c r="I36" i="110"/>
  <c r="I35"/>
  <c r="I23" i="107"/>
  <c r="E45" i="49"/>
  <c r="I23" i="106"/>
  <c r="I23" i="104"/>
  <c r="O23" s="1"/>
  <c r="I23" i="103"/>
  <c r="O23" s="1"/>
  <c r="O23" i="107"/>
  <c r="H23"/>
  <c r="J23" s="1"/>
  <c r="O23" i="106"/>
  <c r="H23"/>
  <c r="J23" s="1"/>
  <c r="O23" i="105"/>
  <c r="H23"/>
  <c r="J23" s="1"/>
  <c r="B18" i="136"/>
  <c r="H23" i="104"/>
  <c r="J23" s="1"/>
  <c r="H23" i="103"/>
  <c r="J23" s="1"/>
  <c r="O23" i="10"/>
  <c r="H23"/>
  <c r="J23" s="1"/>
  <c r="L23" i="107" l="1"/>
  <c r="K23"/>
  <c r="N23" s="1"/>
  <c r="L23" i="106"/>
  <c r="K23"/>
  <c r="N23" s="1"/>
  <c r="L23" i="105"/>
  <c r="K23"/>
  <c r="N23" s="1"/>
  <c r="L23" i="104"/>
  <c r="K23"/>
  <c r="N23" s="1"/>
  <c r="L23" i="103"/>
  <c r="K23"/>
  <c r="N23" s="1"/>
  <c r="L23" i="10"/>
  <c r="K23"/>
  <c r="N23" s="1"/>
  <c r="I43" i="104" l="1"/>
  <c r="I42"/>
  <c r="O42" s="1"/>
  <c r="I43" i="107"/>
  <c r="O43" s="1"/>
  <c r="H43"/>
  <c r="J43" s="1"/>
  <c r="I42"/>
  <c r="O42" s="1"/>
  <c r="H42"/>
  <c r="I43" i="106"/>
  <c r="I42"/>
  <c r="O42" s="1"/>
  <c r="O43"/>
  <c r="H43"/>
  <c r="J43" s="1"/>
  <c r="H42"/>
  <c r="O43" i="105"/>
  <c r="H43"/>
  <c r="J43" s="1"/>
  <c r="O42"/>
  <c r="H42"/>
  <c r="J42" s="1"/>
  <c r="O43" i="104"/>
  <c r="H43"/>
  <c r="J43" s="1"/>
  <c r="H42"/>
  <c r="J42" s="1"/>
  <c r="O43" i="10"/>
  <c r="H43"/>
  <c r="J43" s="1"/>
  <c r="O42"/>
  <c r="H42"/>
  <c r="J42" s="1"/>
  <c r="I31" i="104"/>
  <c r="I30"/>
  <c r="I31" i="103"/>
  <c r="I30"/>
  <c r="I43"/>
  <c r="I42"/>
  <c r="O42" s="1"/>
  <c r="O43"/>
  <c r="H43"/>
  <c r="J43" s="1"/>
  <c r="H42"/>
  <c r="J42" i="107" l="1"/>
  <c r="J42" i="106"/>
  <c r="J42" i="103"/>
  <c r="L42" i="107"/>
  <c r="K42"/>
  <c r="N42" s="1"/>
  <c r="L43"/>
  <c r="K43"/>
  <c r="N43" s="1"/>
  <c r="L42" i="106"/>
  <c r="K42"/>
  <c r="N42" s="1"/>
  <c r="L43"/>
  <c r="K43"/>
  <c r="N43" s="1"/>
  <c r="L42" i="105"/>
  <c r="K42"/>
  <c r="N42" s="1"/>
  <c r="L43"/>
  <c r="K43"/>
  <c r="N43" s="1"/>
  <c r="L42" i="104"/>
  <c r="K42"/>
  <c r="N42" s="1"/>
  <c r="L43"/>
  <c r="K43"/>
  <c r="N43" s="1"/>
  <c r="L42" i="10"/>
  <c r="K42"/>
  <c r="N42" s="1"/>
  <c r="L43"/>
  <c r="K43"/>
  <c r="N43" s="1"/>
  <c r="L42" i="103"/>
  <c r="K42"/>
  <c r="N42" s="1"/>
  <c r="L43"/>
  <c r="K43"/>
  <c r="N43" s="1"/>
  <c r="D26" i="49" l="1"/>
  <c r="D42" l="1"/>
  <c r="D41"/>
  <c r="D36"/>
  <c r="D21"/>
  <c r="D16"/>
  <c r="D17"/>
  <c r="D18"/>
  <c r="N51" l="1"/>
  <c r="N50"/>
  <c r="N49"/>
  <c r="N48"/>
  <c r="R51"/>
  <c r="R50"/>
  <c r="R49"/>
  <c r="R48"/>
  <c r="D37"/>
  <c r="D27"/>
  <c r="D23"/>
  <c r="P47" i="172" l="1"/>
  <c r="O47"/>
  <c r="H47"/>
  <c r="J47" s="1"/>
  <c r="P47" i="171"/>
  <c r="O47"/>
  <c r="H47"/>
  <c r="J47" s="1"/>
  <c r="P47" i="170"/>
  <c r="O47"/>
  <c r="H47"/>
  <c r="J47" s="1"/>
  <c r="P47" i="141"/>
  <c r="O47"/>
  <c r="H47"/>
  <c r="J47" s="1"/>
  <c r="P47" i="140"/>
  <c r="O47"/>
  <c r="H47"/>
  <c r="J47" s="1"/>
  <c r="P47" i="114"/>
  <c r="O47"/>
  <c r="H47"/>
  <c r="J47" s="1"/>
  <c r="O47" i="139"/>
  <c r="H47"/>
  <c r="J47" s="1"/>
  <c r="P47" i="138"/>
  <c r="O47"/>
  <c r="H47"/>
  <c r="J47" s="1"/>
  <c r="P47" i="111"/>
  <c r="O47"/>
  <c r="H47"/>
  <c r="J47" s="1"/>
  <c r="P51" i="110"/>
  <c r="O51"/>
  <c r="H51"/>
  <c r="J51" s="1"/>
  <c r="P51" i="109"/>
  <c r="O51"/>
  <c r="H51"/>
  <c r="J51" s="1"/>
  <c r="P51" i="108"/>
  <c r="O51"/>
  <c r="H51"/>
  <c r="J51" s="1"/>
  <c r="P54" i="107"/>
  <c r="O54"/>
  <c r="H54"/>
  <c r="J54" s="1"/>
  <c r="P54" i="106"/>
  <c r="O54"/>
  <c r="H54"/>
  <c r="J54" s="1"/>
  <c r="P54" i="105"/>
  <c r="O54"/>
  <c r="H54"/>
  <c r="J54" s="1"/>
  <c r="P54" i="104"/>
  <c r="O54"/>
  <c r="H54"/>
  <c r="J54" s="1"/>
  <c r="P54" i="103"/>
  <c r="O54"/>
  <c r="H54"/>
  <c r="J54" s="1"/>
  <c r="H54" i="10"/>
  <c r="O49" i="109"/>
  <c r="H49"/>
  <c r="J49" s="1"/>
  <c r="P50"/>
  <c r="P48"/>
  <c r="P47"/>
  <c r="P46"/>
  <c r="P45"/>
  <c r="L47" i="172" l="1"/>
  <c r="K47"/>
  <c r="N47" s="1"/>
  <c r="M47"/>
  <c r="L47" i="171"/>
  <c r="K47"/>
  <c r="N47" s="1"/>
  <c r="M47"/>
  <c r="L47" i="170"/>
  <c r="K47"/>
  <c r="N47" s="1"/>
  <c r="M47"/>
  <c r="L47" i="141"/>
  <c r="K47"/>
  <c r="N47" s="1"/>
  <c r="M47"/>
  <c r="L47" i="140"/>
  <c r="K47"/>
  <c r="N47" s="1"/>
  <c r="M47"/>
  <c r="L47" i="114"/>
  <c r="K47"/>
  <c r="N47" s="1"/>
  <c r="M47"/>
  <c r="L47" i="139"/>
  <c r="K47"/>
  <c r="N47" s="1"/>
  <c r="M47"/>
  <c r="L47" i="138"/>
  <c r="K47"/>
  <c r="N47" s="1"/>
  <c r="M47"/>
  <c r="L47" i="111"/>
  <c r="K47"/>
  <c r="N47" s="1"/>
  <c r="M47"/>
  <c r="L51" i="110"/>
  <c r="K51"/>
  <c r="N51" s="1"/>
  <c r="M51"/>
  <c r="L51" i="109"/>
  <c r="K51"/>
  <c r="N51" s="1"/>
  <c r="M51"/>
  <c r="L51" i="108"/>
  <c r="K51"/>
  <c r="N51" s="1"/>
  <c r="M51"/>
  <c r="L54" i="107"/>
  <c r="K54"/>
  <c r="N54" s="1"/>
  <c r="M54"/>
  <c r="L54" i="106"/>
  <c r="K54"/>
  <c r="N54" s="1"/>
  <c r="M54"/>
  <c r="L54" i="105"/>
  <c r="K54"/>
  <c r="N54" s="1"/>
  <c r="M54"/>
  <c r="L54" i="104"/>
  <c r="K54"/>
  <c r="N54" s="1"/>
  <c r="M54"/>
  <c r="L54" i="103"/>
  <c r="K54"/>
  <c r="N54" s="1"/>
  <c r="M54"/>
  <c r="J54" i="10"/>
  <c r="K54" s="1"/>
  <c r="P54"/>
  <c r="O54"/>
  <c r="M54"/>
  <c r="K49" i="109"/>
  <c r="L49"/>
  <c r="N49" s="1"/>
  <c r="P49"/>
  <c r="P52" s="1"/>
  <c r="P69" s="1"/>
  <c r="M49"/>
  <c r="L54" i="10" l="1"/>
  <c r="N54"/>
  <c r="I20" i="104"/>
  <c r="I9" i="164"/>
  <c r="I23" i="166" s="1"/>
  <c r="I18" i="114"/>
  <c r="I12"/>
  <c r="I9"/>
  <c r="H17" i="167" l="1"/>
  <c r="H14"/>
  <c r="H12"/>
  <c r="H11"/>
  <c r="H10"/>
  <c r="I55" i="114"/>
  <c r="I56"/>
  <c r="I57"/>
  <c r="I58"/>
  <c r="I59"/>
  <c r="I54"/>
  <c r="I37"/>
  <c r="I36"/>
  <c r="I39" i="141"/>
  <c r="I34" i="114"/>
  <c r="I33"/>
  <c r="I30" i="141"/>
  <c r="I30" i="140"/>
  <c r="I31" i="114"/>
  <c r="I31" i="140" s="1"/>
  <c r="I30" i="114"/>
  <c r="I33" i="110"/>
  <c r="I32"/>
  <c r="I33" i="109"/>
  <c r="I32"/>
  <c r="I34" i="107"/>
  <c r="I33"/>
  <c r="I34" i="106"/>
  <c r="I33"/>
  <c r="I34" i="104"/>
  <c r="I33"/>
  <c r="I34" i="103"/>
  <c r="I33"/>
  <c r="H30" i="172"/>
  <c r="J30" s="1"/>
  <c r="F30"/>
  <c r="O30" s="1"/>
  <c r="H29"/>
  <c r="J29" s="1"/>
  <c r="L29" s="1"/>
  <c r="F29"/>
  <c r="O29" s="1"/>
  <c r="H30" i="171"/>
  <c r="J30" s="1"/>
  <c r="F30"/>
  <c r="O30" s="1"/>
  <c r="H29"/>
  <c r="J29" s="1"/>
  <c r="F29"/>
  <c r="O29" s="1"/>
  <c r="H30" i="170"/>
  <c r="J30" s="1"/>
  <c r="F30"/>
  <c r="O30" s="1"/>
  <c r="H29"/>
  <c r="J29" s="1"/>
  <c r="L29" s="1"/>
  <c r="F29"/>
  <c r="O29" s="1"/>
  <c r="H31" i="141"/>
  <c r="F31"/>
  <c r="H30"/>
  <c r="F30"/>
  <c r="O30" s="1"/>
  <c r="H31" i="140"/>
  <c r="F31"/>
  <c r="H30"/>
  <c r="F30"/>
  <c r="O30" s="1"/>
  <c r="H31" i="114"/>
  <c r="J31" s="1"/>
  <c r="F31"/>
  <c r="O31" s="1"/>
  <c r="H30"/>
  <c r="J30" s="1"/>
  <c r="F30"/>
  <c r="H31" i="139"/>
  <c r="J31" s="1"/>
  <c r="F31"/>
  <c r="O31" s="1"/>
  <c r="H30"/>
  <c r="J30" s="1"/>
  <c r="F30"/>
  <c r="O30" s="1"/>
  <c r="H31" i="138"/>
  <c r="J31" s="1"/>
  <c r="F31"/>
  <c r="O31" s="1"/>
  <c r="H30"/>
  <c r="J30" s="1"/>
  <c r="L30" s="1"/>
  <c r="F30"/>
  <c r="O30" s="1"/>
  <c r="H31" i="111"/>
  <c r="J31" s="1"/>
  <c r="F31"/>
  <c r="O31" s="1"/>
  <c r="H30"/>
  <c r="J30" s="1"/>
  <c r="F30"/>
  <c r="O30" s="1"/>
  <c r="H33" i="110"/>
  <c r="J33" s="1"/>
  <c r="F33"/>
  <c r="O33" s="1"/>
  <c r="H32"/>
  <c r="J32" s="1"/>
  <c r="L32" s="1"/>
  <c r="F32"/>
  <c r="O32" s="1"/>
  <c r="H33" i="109"/>
  <c r="J33" s="1"/>
  <c r="F33"/>
  <c r="O33" s="1"/>
  <c r="H32"/>
  <c r="F32"/>
  <c r="O32" s="1"/>
  <c r="H33" i="108"/>
  <c r="J33" s="1"/>
  <c r="F33"/>
  <c r="O33" s="1"/>
  <c r="H32"/>
  <c r="J32" s="1"/>
  <c r="F32"/>
  <c r="O32" s="1"/>
  <c r="H34" i="107"/>
  <c r="J34" s="1"/>
  <c r="F34"/>
  <c r="O34" s="1"/>
  <c r="H33"/>
  <c r="J33" s="1"/>
  <c r="F33"/>
  <c r="O33" s="1"/>
  <c r="H34" i="106"/>
  <c r="J34" s="1"/>
  <c r="F34"/>
  <c r="O34" s="1"/>
  <c r="H33"/>
  <c r="J33" s="1"/>
  <c r="L33" s="1"/>
  <c r="F33"/>
  <c r="O33" s="1"/>
  <c r="H34" i="105"/>
  <c r="J34" s="1"/>
  <c r="F34"/>
  <c r="O34" s="1"/>
  <c r="H33"/>
  <c r="J33" s="1"/>
  <c r="L33" s="1"/>
  <c r="F33"/>
  <c r="O33" s="1"/>
  <c r="H34" i="104"/>
  <c r="F34"/>
  <c r="O34" s="1"/>
  <c r="H33"/>
  <c r="J33" s="1"/>
  <c r="F33"/>
  <c r="O33" s="1"/>
  <c r="H34" i="103"/>
  <c r="J34" s="1"/>
  <c r="F34"/>
  <c r="O34" s="1"/>
  <c r="H33"/>
  <c r="J33" s="1"/>
  <c r="F33"/>
  <c r="O33" s="1"/>
  <c r="F34" i="10"/>
  <c r="F33"/>
  <c r="D45" i="49"/>
  <c r="D44"/>
  <c r="D43"/>
  <c r="D39"/>
  <c r="D38"/>
  <c r="E40" s="1"/>
  <c r="D29"/>
  <c r="D30"/>
  <c r="D28"/>
  <c r="D24"/>
  <c r="D25"/>
  <c r="D19"/>
  <c r="D20"/>
  <c r="R46"/>
  <c r="N46"/>
  <c r="D46" l="1"/>
  <c r="E11"/>
  <c r="B52"/>
  <c r="I50" i="110" s="1"/>
  <c r="H21" i="49"/>
  <c r="H26"/>
  <c r="H36"/>
  <c r="H19"/>
  <c r="H25"/>
  <c r="H38"/>
  <c r="H40"/>
  <c r="H44"/>
  <c r="H45"/>
  <c r="I45" s="1"/>
  <c r="J30" i="140"/>
  <c r="L30" s="1"/>
  <c r="J34" i="104"/>
  <c r="L34" s="1"/>
  <c r="H17" i="49"/>
  <c r="H22"/>
  <c r="H37"/>
  <c r="H20"/>
  <c r="H23"/>
  <c r="H24"/>
  <c r="H30"/>
  <c r="H39"/>
  <c r="I31" i="141"/>
  <c r="J31" s="1"/>
  <c r="L31" s="1"/>
  <c r="J31" i="140"/>
  <c r="K31" s="1"/>
  <c r="O31"/>
  <c r="J30" i="141"/>
  <c r="L30" s="1"/>
  <c r="O30" i="114"/>
  <c r="J32" i="109"/>
  <c r="K30" i="172"/>
  <c r="L30"/>
  <c r="K29"/>
  <c r="N29" s="1"/>
  <c r="L29" i="171"/>
  <c r="K29"/>
  <c r="N29" s="1"/>
  <c r="K30"/>
  <c r="L30"/>
  <c r="N30" s="1"/>
  <c r="K30" i="170"/>
  <c r="L30"/>
  <c r="K29"/>
  <c r="N29" s="1"/>
  <c r="K30" i="140"/>
  <c r="L30" i="114"/>
  <c r="K30"/>
  <c r="K31"/>
  <c r="L31"/>
  <c r="L30" i="139"/>
  <c r="K30"/>
  <c r="K31"/>
  <c r="L31"/>
  <c r="K31" i="138"/>
  <c r="L31"/>
  <c r="K30"/>
  <c r="N30" s="1"/>
  <c r="L31" i="111"/>
  <c r="K31"/>
  <c r="L30"/>
  <c r="K30"/>
  <c r="K33" i="110"/>
  <c r="L33"/>
  <c r="K32"/>
  <c r="K33" i="109"/>
  <c r="L33"/>
  <c r="L32" i="108"/>
  <c r="K32"/>
  <c r="N32" s="1"/>
  <c r="K33"/>
  <c r="L33"/>
  <c r="N33" s="1"/>
  <c r="L33" i="107"/>
  <c r="K33"/>
  <c r="K34"/>
  <c r="L34"/>
  <c r="K34" i="106"/>
  <c r="L34"/>
  <c r="K33"/>
  <c r="N33" s="1"/>
  <c r="K34" i="105"/>
  <c r="L34"/>
  <c r="K33"/>
  <c r="N33" s="1"/>
  <c r="L33" i="104"/>
  <c r="K33"/>
  <c r="K34"/>
  <c r="L33" i="103"/>
  <c r="K33"/>
  <c r="L34"/>
  <c r="K34"/>
  <c r="I5" i="3"/>
  <c r="H5"/>
  <c r="E5"/>
  <c r="H23" i="168"/>
  <c r="I23" s="1"/>
  <c r="J23" s="1"/>
  <c r="H23" i="167"/>
  <c r="P31" i="127"/>
  <c r="P29" i="123"/>
  <c r="P31" i="92"/>
  <c r="H19" i="127"/>
  <c r="P19" i="126"/>
  <c r="O19"/>
  <c r="M19"/>
  <c r="H19"/>
  <c r="J19" s="1"/>
  <c r="P19" i="123"/>
  <c r="O19"/>
  <c r="M19"/>
  <c r="H19"/>
  <c r="J19" s="1"/>
  <c r="H19" i="92"/>
  <c r="P19" i="91"/>
  <c r="O19"/>
  <c r="M19"/>
  <c r="H19"/>
  <c r="J19" s="1"/>
  <c r="P19" i="90"/>
  <c r="O19"/>
  <c r="M19"/>
  <c r="H19"/>
  <c r="J19" s="1"/>
  <c r="H19" i="89"/>
  <c r="P19" i="88"/>
  <c r="O19"/>
  <c r="M19"/>
  <c r="H19"/>
  <c r="J19" s="1"/>
  <c r="P19" i="51"/>
  <c r="O19"/>
  <c r="M19"/>
  <c r="H19"/>
  <c r="J19" s="1"/>
  <c r="H21" i="167"/>
  <c r="P68" i="108"/>
  <c r="I9" i="165"/>
  <c r="I23" i="164"/>
  <c r="H24" i="166"/>
  <c r="H23"/>
  <c r="H22"/>
  <c r="S16"/>
  <c r="H15"/>
  <c r="H14"/>
  <c r="H13"/>
  <c r="O9"/>
  <c r="H9"/>
  <c r="H7"/>
  <c r="H24" i="165"/>
  <c r="H23"/>
  <c r="H22"/>
  <c r="S16"/>
  <c r="H15"/>
  <c r="H14"/>
  <c r="H13"/>
  <c r="H9"/>
  <c r="H7"/>
  <c r="H24" i="164"/>
  <c r="H23"/>
  <c r="H22"/>
  <c r="S16"/>
  <c r="H15"/>
  <c r="H14"/>
  <c r="H13"/>
  <c r="H9"/>
  <c r="H7"/>
  <c r="I23" i="163"/>
  <c r="I22"/>
  <c r="I23" i="162"/>
  <c r="I22"/>
  <c r="I9" i="159"/>
  <c r="I23" s="1"/>
  <c r="O24" i="163"/>
  <c r="J24"/>
  <c r="L24" s="1"/>
  <c r="H24"/>
  <c r="O23"/>
  <c r="M23"/>
  <c r="J23"/>
  <c r="H23"/>
  <c r="P26"/>
  <c r="O22"/>
  <c r="M22"/>
  <c r="M26" s="1"/>
  <c r="J22"/>
  <c r="H22"/>
  <c r="S16"/>
  <c r="H15"/>
  <c r="P14"/>
  <c r="O14"/>
  <c r="M14"/>
  <c r="H14"/>
  <c r="J14" s="1"/>
  <c r="P13"/>
  <c r="O13"/>
  <c r="M13"/>
  <c r="H13"/>
  <c r="J13" s="1"/>
  <c r="O9"/>
  <c r="H9"/>
  <c r="J9" s="1"/>
  <c r="O7"/>
  <c r="R16" s="1"/>
  <c r="M7"/>
  <c r="J7"/>
  <c r="H7"/>
  <c r="O24" i="162"/>
  <c r="J24"/>
  <c r="L24" s="1"/>
  <c r="H24"/>
  <c r="O23"/>
  <c r="M23"/>
  <c r="H23"/>
  <c r="J23" s="1"/>
  <c r="P26"/>
  <c r="O22"/>
  <c r="M22"/>
  <c r="M26" s="1"/>
  <c r="H22"/>
  <c r="J22" s="1"/>
  <c r="S16"/>
  <c r="H15"/>
  <c r="P14"/>
  <c r="O14"/>
  <c r="M14"/>
  <c r="H14"/>
  <c r="J14" s="1"/>
  <c r="P13"/>
  <c r="O13"/>
  <c r="M13"/>
  <c r="H13"/>
  <c r="J13" s="1"/>
  <c r="O9"/>
  <c r="H9"/>
  <c r="J9" s="1"/>
  <c r="O7"/>
  <c r="M7"/>
  <c r="H7"/>
  <c r="J7" s="1"/>
  <c r="H24" i="159"/>
  <c r="H23"/>
  <c r="H22"/>
  <c r="S16"/>
  <c r="D10" i="173" s="1"/>
  <c r="H15" i="159"/>
  <c r="H14"/>
  <c r="H13"/>
  <c r="O9"/>
  <c r="H9"/>
  <c r="J9" s="1"/>
  <c r="H7"/>
  <c r="O24" i="158"/>
  <c r="H24"/>
  <c r="J24" s="1"/>
  <c r="L24" s="1"/>
  <c r="O23"/>
  <c r="M23"/>
  <c r="J23"/>
  <c r="H23"/>
  <c r="P26"/>
  <c r="H22"/>
  <c r="S16"/>
  <c r="H15"/>
  <c r="P14"/>
  <c r="O14"/>
  <c r="M14"/>
  <c r="H14"/>
  <c r="J14" s="1"/>
  <c r="P13"/>
  <c r="O13"/>
  <c r="M13"/>
  <c r="H13"/>
  <c r="J13" s="1"/>
  <c r="O9"/>
  <c r="H9"/>
  <c r="J9" s="1"/>
  <c r="O7"/>
  <c r="R16" s="1"/>
  <c r="M7"/>
  <c r="H7"/>
  <c r="J7" s="1"/>
  <c r="O24" i="157"/>
  <c r="H24"/>
  <c r="J24" s="1"/>
  <c r="L24" s="1"/>
  <c r="P23"/>
  <c r="O23"/>
  <c r="M23"/>
  <c r="J23"/>
  <c r="H23"/>
  <c r="P22"/>
  <c r="P26" s="1"/>
  <c r="O22"/>
  <c r="M22"/>
  <c r="M26" s="1"/>
  <c r="H22"/>
  <c r="J22" s="1"/>
  <c r="S16"/>
  <c r="P15"/>
  <c r="O15"/>
  <c r="M15"/>
  <c r="H15"/>
  <c r="J15" s="1"/>
  <c r="P14"/>
  <c r="O14"/>
  <c r="M14"/>
  <c r="H14"/>
  <c r="J14" s="1"/>
  <c r="P13"/>
  <c r="P16" s="1"/>
  <c r="P27" s="1"/>
  <c r="O13"/>
  <c r="M13"/>
  <c r="H13"/>
  <c r="J13" s="1"/>
  <c r="O9"/>
  <c r="H9"/>
  <c r="J9" s="1"/>
  <c r="O7"/>
  <c r="R16" s="1"/>
  <c r="M7"/>
  <c r="J7"/>
  <c r="H7"/>
  <c r="H24" i="156"/>
  <c r="O23"/>
  <c r="M23"/>
  <c r="H23"/>
  <c r="J23" s="1"/>
  <c r="P26"/>
  <c r="H22"/>
  <c r="S16"/>
  <c r="D6" i="173" s="1"/>
  <c r="H15" i="156"/>
  <c r="H14"/>
  <c r="H13"/>
  <c r="O9"/>
  <c r="H9"/>
  <c r="J9" s="1"/>
  <c r="L9" s="1"/>
  <c r="H7"/>
  <c r="I28" i="127"/>
  <c r="I12"/>
  <c r="I12" i="126"/>
  <c r="I28" i="92"/>
  <c r="I12"/>
  <c r="I12" i="91"/>
  <c r="I28" i="89"/>
  <c r="I12"/>
  <c r="I12" i="88"/>
  <c r="P31" i="89"/>
  <c r="P16"/>
  <c r="P31" i="88"/>
  <c r="P18"/>
  <c r="P17"/>
  <c r="P16"/>
  <c r="P32" s="1"/>
  <c r="P31" i="51"/>
  <c r="O29"/>
  <c r="O31" s="1"/>
  <c r="R31" s="1"/>
  <c r="O38" i="172"/>
  <c r="H38"/>
  <c r="J38" s="1"/>
  <c r="O38" i="171"/>
  <c r="H38"/>
  <c r="J38" s="1"/>
  <c r="H61" i="172"/>
  <c r="H61" i="171"/>
  <c r="I61" i="170"/>
  <c r="O61" s="1"/>
  <c r="H61"/>
  <c r="J61" s="1"/>
  <c r="P46" i="172"/>
  <c r="P46" i="171"/>
  <c r="P62" i="141"/>
  <c r="P62" i="140"/>
  <c r="O38" i="170"/>
  <c r="H38"/>
  <c r="J38" s="1"/>
  <c r="I18" i="141"/>
  <c r="I12"/>
  <c r="I12" i="140"/>
  <c r="I65" i="110"/>
  <c r="O41"/>
  <c r="I15"/>
  <c r="I14"/>
  <c r="I13"/>
  <c r="I12"/>
  <c r="I36" i="109"/>
  <c r="I35"/>
  <c r="I21" i="107"/>
  <c r="I22"/>
  <c r="I15"/>
  <c r="I12"/>
  <c r="P69"/>
  <c r="P50"/>
  <c r="P7"/>
  <c r="P69" i="106"/>
  <c r="P53"/>
  <c r="P52"/>
  <c r="P51"/>
  <c r="P50"/>
  <c r="P7"/>
  <c r="P69" i="105"/>
  <c r="P53"/>
  <c r="P52"/>
  <c r="P51"/>
  <c r="I40" i="107"/>
  <c r="I39"/>
  <c r="I37"/>
  <c r="I36"/>
  <c r="I28"/>
  <c r="I27"/>
  <c r="I15" i="106"/>
  <c r="P69" i="103"/>
  <c r="O63" i="108"/>
  <c r="H63"/>
  <c r="J63" s="1"/>
  <c r="O62"/>
  <c r="H62"/>
  <c r="J62" s="1"/>
  <c r="O63" i="109"/>
  <c r="H63"/>
  <c r="J63" s="1"/>
  <c r="O62"/>
  <c r="H62"/>
  <c r="J62" s="1"/>
  <c r="O46" i="172"/>
  <c r="M46"/>
  <c r="H46"/>
  <c r="J46" s="1"/>
  <c r="O46" i="171"/>
  <c r="M46"/>
  <c r="H46"/>
  <c r="J46" s="1"/>
  <c r="P46" i="170"/>
  <c r="O46"/>
  <c r="M46"/>
  <c r="H46"/>
  <c r="J46" s="1"/>
  <c r="H29" i="127"/>
  <c r="H29" i="126"/>
  <c r="O29" i="123"/>
  <c r="H29"/>
  <c r="J29" s="1"/>
  <c r="H29" i="92"/>
  <c r="H29" i="91"/>
  <c r="O29" i="90"/>
  <c r="H29"/>
  <c r="J29" s="1"/>
  <c r="H29" i="89"/>
  <c r="H29" i="88"/>
  <c r="H29" i="51"/>
  <c r="H62" i="172"/>
  <c r="H62" i="171"/>
  <c r="H62" i="170"/>
  <c r="H60" i="141"/>
  <c r="H60" i="140"/>
  <c r="H60" i="114"/>
  <c r="H60" i="139"/>
  <c r="H60" i="138"/>
  <c r="H60" i="111"/>
  <c r="H66" i="110"/>
  <c r="H66" i="109"/>
  <c r="O66" i="108"/>
  <c r="H66"/>
  <c r="J66" s="1"/>
  <c r="H67" i="107"/>
  <c r="H67" i="106"/>
  <c r="O67" i="105"/>
  <c r="H67"/>
  <c r="J67" s="1"/>
  <c r="H67" i="103"/>
  <c r="H17" i="172"/>
  <c r="J17" s="1"/>
  <c r="H17" i="171"/>
  <c r="J17" s="1"/>
  <c r="H17" i="170"/>
  <c r="J17" s="1"/>
  <c r="H17" i="141"/>
  <c r="J17" s="1"/>
  <c r="H17" i="140"/>
  <c r="J17" s="1"/>
  <c r="H17" i="114"/>
  <c r="J17" s="1"/>
  <c r="H17" i="139"/>
  <c r="J17" s="1"/>
  <c r="H17" i="138"/>
  <c r="J17" s="1"/>
  <c r="H17" i="111"/>
  <c r="J17" s="1"/>
  <c r="H20" i="110"/>
  <c r="J20" s="1"/>
  <c r="H20" i="109"/>
  <c r="H20" i="108"/>
  <c r="J20" s="1"/>
  <c r="H20" i="107"/>
  <c r="J20" s="1"/>
  <c r="H20" i="106"/>
  <c r="J20" s="1"/>
  <c r="H20" i="105"/>
  <c r="J20" s="1"/>
  <c r="H20" i="104"/>
  <c r="H20" i="103"/>
  <c r="H20" i="10"/>
  <c r="J20" s="1"/>
  <c r="I41" i="109"/>
  <c r="I20" i="103"/>
  <c r="J20" s="1"/>
  <c r="H50" i="110"/>
  <c r="P50" i="108"/>
  <c r="O50"/>
  <c r="M50"/>
  <c r="H50"/>
  <c r="J50" s="1"/>
  <c r="H50" i="109"/>
  <c r="H41" i="110"/>
  <c r="O41" i="108"/>
  <c r="H41"/>
  <c r="J41" s="1"/>
  <c r="O41" i="109"/>
  <c r="H41"/>
  <c r="I40"/>
  <c r="I40" i="110" s="1"/>
  <c r="I15" i="104"/>
  <c r="I14"/>
  <c r="I13"/>
  <c r="I46"/>
  <c r="I45"/>
  <c r="I46" i="103"/>
  <c r="I45"/>
  <c r="I40" i="104"/>
  <c r="I39"/>
  <c r="I40" i="103"/>
  <c r="I39"/>
  <c r="I37" i="104"/>
  <c r="I36"/>
  <c r="I37" i="103"/>
  <c r="I36"/>
  <c r="I28" i="104"/>
  <c r="I27"/>
  <c r="O30" i="103"/>
  <c r="O67" i="10"/>
  <c r="H67"/>
  <c r="J67" s="1"/>
  <c r="I28" i="103"/>
  <c r="I27"/>
  <c r="I15"/>
  <c r="I19" i="104" s="1"/>
  <c r="I14" i="103"/>
  <c r="I13"/>
  <c r="H67" i="104"/>
  <c r="P48" i="108"/>
  <c r="H48"/>
  <c r="J48" s="1"/>
  <c r="H48" i="109"/>
  <c r="J48" s="1"/>
  <c r="I19" i="110"/>
  <c r="I18"/>
  <c r="I17"/>
  <c r="I16"/>
  <c r="E41" i="49"/>
  <c r="I15" i="109"/>
  <c r="J18" i="49"/>
  <c r="D82"/>
  <c r="I19" i="140"/>
  <c r="I25" i="114"/>
  <c r="O25" s="1"/>
  <c r="O34"/>
  <c r="O37"/>
  <c r="I40"/>
  <c r="O40" s="1"/>
  <c r="I9" i="140"/>
  <c r="I54" s="1"/>
  <c r="I13"/>
  <c r="I16"/>
  <c r="I18"/>
  <c r="O18" s="1"/>
  <c r="I34"/>
  <c r="O34" s="1"/>
  <c r="I37"/>
  <c r="O37" s="1"/>
  <c r="I40"/>
  <c r="O28" i="103"/>
  <c r="O37"/>
  <c r="O40"/>
  <c r="O46"/>
  <c r="I28" i="106"/>
  <c r="O28" s="1"/>
  <c r="I37"/>
  <c r="O37" s="1"/>
  <c r="I40"/>
  <c r="O40" s="1"/>
  <c r="I46"/>
  <c r="O46" s="1"/>
  <c r="I27" i="109"/>
  <c r="O27" s="1"/>
  <c r="O36"/>
  <c r="I39"/>
  <c r="O39" s="1"/>
  <c r="I32" i="171"/>
  <c r="I32" i="170"/>
  <c r="I35"/>
  <c r="I36" i="171" s="1"/>
  <c r="O36" s="1"/>
  <c r="I9" i="141"/>
  <c r="O18"/>
  <c r="I34"/>
  <c r="O34" s="1"/>
  <c r="I37"/>
  <c r="O37" s="1"/>
  <c r="I35" i="172"/>
  <c r="I35" i="171"/>
  <c r="I32" i="172"/>
  <c r="I33" s="1"/>
  <c r="O33" s="1"/>
  <c r="O28" i="104"/>
  <c r="O37"/>
  <c r="O40"/>
  <c r="O46"/>
  <c r="O28" i="107"/>
  <c r="O37"/>
  <c r="O40"/>
  <c r="I46"/>
  <c r="O46" s="1"/>
  <c r="I27" i="110"/>
  <c r="O27" s="1"/>
  <c r="O36"/>
  <c r="I39"/>
  <c r="O39" s="1"/>
  <c r="I61" i="104"/>
  <c r="I62"/>
  <c r="I63"/>
  <c r="I64"/>
  <c r="I65"/>
  <c r="I66"/>
  <c r="I12" i="106"/>
  <c r="I21"/>
  <c r="O21" s="1"/>
  <c r="I27"/>
  <c r="I36"/>
  <c r="I39"/>
  <c r="I45"/>
  <c r="O31" i="107"/>
  <c r="I16"/>
  <c r="I19"/>
  <c r="I45"/>
  <c r="I61"/>
  <c r="I62"/>
  <c r="I63"/>
  <c r="I64"/>
  <c r="I65"/>
  <c r="I66"/>
  <c r="I26" i="109"/>
  <c r="I38"/>
  <c r="I26" i="110"/>
  <c r="I38"/>
  <c r="I58"/>
  <c r="I59"/>
  <c r="I60"/>
  <c r="I61"/>
  <c r="I64"/>
  <c r="O12" i="91"/>
  <c r="O12" i="127"/>
  <c r="I24" i="114"/>
  <c r="I39"/>
  <c r="I24" i="140"/>
  <c r="I33"/>
  <c r="I36"/>
  <c r="I39"/>
  <c r="I24" i="141"/>
  <c r="I33"/>
  <c r="I36"/>
  <c r="I23" i="170"/>
  <c r="I33"/>
  <c r="I36"/>
  <c r="H7" i="10"/>
  <c r="H10"/>
  <c r="J10"/>
  <c r="H11"/>
  <c r="J11"/>
  <c r="H12"/>
  <c r="J12"/>
  <c r="H13"/>
  <c r="J13"/>
  <c r="H14"/>
  <c r="J14"/>
  <c r="H15"/>
  <c r="J15"/>
  <c r="H16"/>
  <c r="J16"/>
  <c r="H17"/>
  <c r="J17"/>
  <c r="H18"/>
  <c r="J18"/>
  <c r="H19"/>
  <c r="J19"/>
  <c r="H21"/>
  <c r="J21"/>
  <c r="H22"/>
  <c r="J22"/>
  <c r="H25"/>
  <c r="J25"/>
  <c r="H27"/>
  <c r="J27"/>
  <c r="H28"/>
  <c r="J28"/>
  <c r="H30"/>
  <c r="J30"/>
  <c r="H31"/>
  <c r="J31"/>
  <c r="H33"/>
  <c r="J33"/>
  <c r="H34"/>
  <c r="J34"/>
  <c r="H36"/>
  <c r="J36"/>
  <c r="H37"/>
  <c r="J37"/>
  <c r="H39"/>
  <c r="J39"/>
  <c r="H40"/>
  <c r="J40"/>
  <c r="H45"/>
  <c r="J45"/>
  <c r="H46"/>
  <c r="J46"/>
  <c r="H50"/>
  <c r="H51"/>
  <c r="J51" s="1"/>
  <c r="H52"/>
  <c r="J52" s="1"/>
  <c r="H53"/>
  <c r="J53" s="1"/>
  <c r="K10"/>
  <c r="K11"/>
  <c r="K12"/>
  <c r="K13"/>
  <c r="K14"/>
  <c r="K15"/>
  <c r="K16"/>
  <c r="K17"/>
  <c r="K18"/>
  <c r="K19"/>
  <c r="K21"/>
  <c r="K22"/>
  <c r="K25"/>
  <c r="K27"/>
  <c r="K28"/>
  <c r="K30"/>
  <c r="K31"/>
  <c r="K33"/>
  <c r="K34"/>
  <c r="K36"/>
  <c r="K37"/>
  <c r="K39"/>
  <c r="K40"/>
  <c r="K45"/>
  <c r="K46"/>
  <c r="L10"/>
  <c r="L11"/>
  <c r="L12"/>
  <c r="L13"/>
  <c r="L14"/>
  <c r="L15"/>
  <c r="L16"/>
  <c r="L17"/>
  <c r="L18"/>
  <c r="L19"/>
  <c r="L21"/>
  <c r="L22"/>
  <c r="L25"/>
  <c r="L27"/>
  <c r="L28"/>
  <c r="L30"/>
  <c r="L31"/>
  <c r="L33"/>
  <c r="L34"/>
  <c r="L36"/>
  <c r="L37"/>
  <c r="L39"/>
  <c r="L40"/>
  <c r="L45"/>
  <c r="L46"/>
  <c r="H7" i="105"/>
  <c r="H10"/>
  <c r="J10"/>
  <c r="H11"/>
  <c r="J11"/>
  <c r="H12"/>
  <c r="J12"/>
  <c r="H13"/>
  <c r="J13"/>
  <c r="H14"/>
  <c r="J14"/>
  <c r="H15"/>
  <c r="J15"/>
  <c r="H16"/>
  <c r="J16"/>
  <c r="H17"/>
  <c r="J17"/>
  <c r="H18"/>
  <c r="J18"/>
  <c r="H19"/>
  <c r="J19"/>
  <c r="H21"/>
  <c r="J21"/>
  <c r="H22"/>
  <c r="J22"/>
  <c r="H25"/>
  <c r="J25"/>
  <c r="H27"/>
  <c r="J27"/>
  <c r="H28"/>
  <c r="J28"/>
  <c r="H30"/>
  <c r="J30"/>
  <c r="H31"/>
  <c r="J31"/>
  <c r="H36"/>
  <c r="J36"/>
  <c r="H37"/>
  <c r="J37"/>
  <c r="H39"/>
  <c r="J39"/>
  <c r="H40"/>
  <c r="J40"/>
  <c r="H45"/>
  <c r="J45"/>
  <c r="H46"/>
  <c r="J46"/>
  <c r="H50"/>
  <c r="H51"/>
  <c r="J51" s="1"/>
  <c r="H52"/>
  <c r="J52" s="1"/>
  <c r="H53"/>
  <c r="J53" s="1"/>
  <c r="K10"/>
  <c r="K11"/>
  <c r="K12"/>
  <c r="K13"/>
  <c r="K14"/>
  <c r="K15"/>
  <c r="K16"/>
  <c r="K17"/>
  <c r="K18"/>
  <c r="K19"/>
  <c r="K21"/>
  <c r="K22"/>
  <c r="K25"/>
  <c r="K27"/>
  <c r="K28"/>
  <c r="K30"/>
  <c r="K31"/>
  <c r="K36"/>
  <c r="K37"/>
  <c r="K39"/>
  <c r="K40"/>
  <c r="K45"/>
  <c r="K46"/>
  <c r="L10"/>
  <c r="L11"/>
  <c r="L12"/>
  <c r="L13"/>
  <c r="L14"/>
  <c r="L15"/>
  <c r="L16"/>
  <c r="L17"/>
  <c r="L18"/>
  <c r="L19"/>
  <c r="L21"/>
  <c r="L22"/>
  <c r="L25"/>
  <c r="L27"/>
  <c r="L28"/>
  <c r="L30"/>
  <c r="L31"/>
  <c r="L36"/>
  <c r="L37"/>
  <c r="L39"/>
  <c r="L40"/>
  <c r="L45"/>
  <c r="L46"/>
  <c r="H7" i="114"/>
  <c r="H9"/>
  <c r="J9" s="1"/>
  <c r="H10"/>
  <c r="J10"/>
  <c r="H11"/>
  <c r="J11"/>
  <c r="H12"/>
  <c r="J12" s="1"/>
  <c r="H13"/>
  <c r="J13"/>
  <c r="H14"/>
  <c r="J14"/>
  <c r="H15"/>
  <c r="J15"/>
  <c r="H16"/>
  <c r="J16"/>
  <c r="H18"/>
  <c r="J18" s="1"/>
  <c r="H19"/>
  <c r="J19" s="1"/>
  <c r="H22"/>
  <c r="H24"/>
  <c r="J24" s="1"/>
  <c r="H25"/>
  <c r="J25" s="1"/>
  <c r="H27"/>
  <c r="J27" s="1"/>
  <c r="H28"/>
  <c r="J28" s="1"/>
  <c r="H33"/>
  <c r="H34"/>
  <c r="J34" s="1"/>
  <c r="H36"/>
  <c r="J36" s="1"/>
  <c r="H37"/>
  <c r="J37" s="1"/>
  <c r="H39"/>
  <c r="H40"/>
  <c r="J40" s="1"/>
  <c r="H44"/>
  <c r="H45"/>
  <c r="H46"/>
  <c r="K10"/>
  <c r="K11"/>
  <c r="K13"/>
  <c r="K14"/>
  <c r="K15"/>
  <c r="K16"/>
  <c r="L10"/>
  <c r="L11"/>
  <c r="L13"/>
  <c r="L14"/>
  <c r="L15"/>
  <c r="L16"/>
  <c r="H7" i="170"/>
  <c r="H9"/>
  <c r="J9"/>
  <c r="H10"/>
  <c r="J10"/>
  <c r="H11"/>
  <c r="J11"/>
  <c r="H12"/>
  <c r="J12"/>
  <c r="H13"/>
  <c r="J13"/>
  <c r="H14"/>
  <c r="J14"/>
  <c r="H15"/>
  <c r="J15"/>
  <c r="H16"/>
  <c r="J16"/>
  <c r="H18"/>
  <c r="J18"/>
  <c r="H19"/>
  <c r="J19"/>
  <c r="H21"/>
  <c r="J21"/>
  <c r="H23"/>
  <c r="H24"/>
  <c r="J24" s="1"/>
  <c r="H26"/>
  <c r="J26" s="1"/>
  <c r="H27"/>
  <c r="J27" s="1"/>
  <c r="H32"/>
  <c r="J32" s="1"/>
  <c r="H33"/>
  <c r="J33" s="1"/>
  <c r="H35"/>
  <c r="J35" s="1"/>
  <c r="H36"/>
  <c r="H37"/>
  <c r="J37" s="1"/>
  <c r="H42"/>
  <c r="H43"/>
  <c r="H44"/>
  <c r="H45"/>
  <c r="J45" s="1"/>
  <c r="K9"/>
  <c r="K10"/>
  <c r="K11"/>
  <c r="K12"/>
  <c r="K13"/>
  <c r="K14"/>
  <c r="K15"/>
  <c r="K16"/>
  <c r="K18"/>
  <c r="K19"/>
  <c r="K21"/>
  <c r="L9"/>
  <c r="L10"/>
  <c r="L11"/>
  <c r="L12"/>
  <c r="L13"/>
  <c r="L14"/>
  <c r="L15"/>
  <c r="L16"/>
  <c r="L18"/>
  <c r="L19"/>
  <c r="L21"/>
  <c r="H7" i="108"/>
  <c r="H10"/>
  <c r="J10"/>
  <c r="H11"/>
  <c r="J11"/>
  <c r="H12"/>
  <c r="J12"/>
  <c r="H13"/>
  <c r="J13"/>
  <c r="H14"/>
  <c r="J14"/>
  <c r="H15"/>
  <c r="J15"/>
  <c r="H16"/>
  <c r="J16"/>
  <c r="H17"/>
  <c r="J17"/>
  <c r="H18"/>
  <c r="J18"/>
  <c r="H19"/>
  <c r="J19"/>
  <c r="H21"/>
  <c r="J21"/>
  <c r="H22"/>
  <c r="J22"/>
  <c r="H24"/>
  <c r="J24"/>
  <c r="H26"/>
  <c r="J26"/>
  <c r="H27"/>
  <c r="J27"/>
  <c r="H29"/>
  <c r="J29"/>
  <c r="H30"/>
  <c r="J30"/>
  <c r="H35"/>
  <c r="J35"/>
  <c r="H36"/>
  <c r="J36"/>
  <c r="H38"/>
  <c r="J38"/>
  <c r="H39"/>
  <c r="J39"/>
  <c r="H40"/>
  <c r="J40"/>
  <c r="H45"/>
  <c r="H46"/>
  <c r="J46" s="1"/>
  <c r="H47"/>
  <c r="J47" s="1"/>
  <c r="H49"/>
  <c r="J49" s="1"/>
  <c r="K10"/>
  <c r="K11"/>
  <c r="K12"/>
  <c r="K13"/>
  <c r="K14"/>
  <c r="K15"/>
  <c r="K16"/>
  <c r="K17"/>
  <c r="K18"/>
  <c r="K19"/>
  <c r="K21"/>
  <c r="K22"/>
  <c r="K24"/>
  <c r="K26"/>
  <c r="K27"/>
  <c r="K29"/>
  <c r="K30"/>
  <c r="K35"/>
  <c r="K36"/>
  <c r="K38"/>
  <c r="K39"/>
  <c r="K40"/>
  <c r="L10"/>
  <c r="L11"/>
  <c r="L12"/>
  <c r="L13"/>
  <c r="L14"/>
  <c r="L15"/>
  <c r="L16"/>
  <c r="L17"/>
  <c r="L18"/>
  <c r="L19"/>
  <c r="L21"/>
  <c r="L22"/>
  <c r="L24"/>
  <c r="L26"/>
  <c r="L27"/>
  <c r="L29"/>
  <c r="L30"/>
  <c r="L35"/>
  <c r="L36"/>
  <c r="L38"/>
  <c r="L39"/>
  <c r="L40"/>
  <c r="H7" i="111"/>
  <c r="H9"/>
  <c r="J9"/>
  <c r="H10"/>
  <c r="J10"/>
  <c r="H11"/>
  <c r="J11"/>
  <c r="H12"/>
  <c r="J12"/>
  <c r="H13"/>
  <c r="J13"/>
  <c r="H14"/>
  <c r="J14"/>
  <c r="H15"/>
  <c r="J15"/>
  <c r="H16"/>
  <c r="J16"/>
  <c r="H18"/>
  <c r="J18"/>
  <c r="H19"/>
  <c r="J19"/>
  <c r="H22"/>
  <c r="H24"/>
  <c r="J24"/>
  <c r="H25"/>
  <c r="J25"/>
  <c r="H27"/>
  <c r="J27"/>
  <c r="H28"/>
  <c r="J28"/>
  <c r="H33"/>
  <c r="J33"/>
  <c r="H34"/>
  <c r="J34"/>
  <c r="H36"/>
  <c r="J36"/>
  <c r="H37"/>
  <c r="J37"/>
  <c r="H39"/>
  <c r="J39"/>
  <c r="H40"/>
  <c r="J40"/>
  <c r="H44"/>
  <c r="H45"/>
  <c r="H46"/>
  <c r="K9"/>
  <c r="K10"/>
  <c r="K11"/>
  <c r="K12"/>
  <c r="K13"/>
  <c r="K14"/>
  <c r="K15"/>
  <c r="K16"/>
  <c r="K18"/>
  <c r="K19"/>
  <c r="K24"/>
  <c r="K25"/>
  <c r="K27"/>
  <c r="K28"/>
  <c r="K33"/>
  <c r="K34"/>
  <c r="K36"/>
  <c r="K37"/>
  <c r="K39"/>
  <c r="K40"/>
  <c r="L9"/>
  <c r="L10"/>
  <c r="L11"/>
  <c r="L12"/>
  <c r="L13"/>
  <c r="L14"/>
  <c r="L15"/>
  <c r="L16"/>
  <c r="L18"/>
  <c r="L19"/>
  <c r="L24"/>
  <c r="L25"/>
  <c r="L27"/>
  <c r="L28"/>
  <c r="L33"/>
  <c r="L34"/>
  <c r="L36"/>
  <c r="L37"/>
  <c r="L39"/>
  <c r="L40"/>
  <c r="H7" i="51"/>
  <c r="H10"/>
  <c r="J10"/>
  <c r="H11"/>
  <c r="J11"/>
  <c r="H12"/>
  <c r="J12"/>
  <c r="H16"/>
  <c r="H17"/>
  <c r="J17"/>
  <c r="H18"/>
  <c r="J18"/>
  <c r="K10"/>
  <c r="K11"/>
  <c r="K12"/>
  <c r="K17"/>
  <c r="K18"/>
  <c r="L10"/>
  <c r="L11"/>
  <c r="L12"/>
  <c r="L17"/>
  <c r="L18"/>
  <c r="H7" i="90"/>
  <c r="H10"/>
  <c r="J10"/>
  <c r="H11"/>
  <c r="J11"/>
  <c r="H12"/>
  <c r="J12"/>
  <c r="H16"/>
  <c r="H17"/>
  <c r="J17"/>
  <c r="H18"/>
  <c r="J18"/>
  <c r="K10"/>
  <c r="K11"/>
  <c r="K12"/>
  <c r="K17"/>
  <c r="K18"/>
  <c r="L10"/>
  <c r="L11"/>
  <c r="L12"/>
  <c r="L17"/>
  <c r="L18"/>
  <c r="H7" i="123"/>
  <c r="H10"/>
  <c r="J10"/>
  <c r="H11"/>
  <c r="J11"/>
  <c r="H12"/>
  <c r="J12"/>
  <c r="H16"/>
  <c r="H17"/>
  <c r="J17"/>
  <c r="H18"/>
  <c r="J18"/>
  <c r="K10"/>
  <c r="K11"/>
  <c r="K12"/>
  <c r="K17"/>
  <c r="K18"/>
  <c r="L10"/>
  <c r="L11"/>
  <c r="L12"/>
  <c r="L17"/>
  <c r="L18"/>
  <c r="H7" i="103"/>
  <c r="J7" s="1"/>
  <c r="H10"/>
  <c r="H11"/>
  <c r="H12"/>
  <c r="H13"/>
  <c r="J13"/>
  <c r="L13" s="1"/>
  <c r="H14"/>
  <c r="H15"/>
  <c r="J15" s="1"/>
  <c r="H16"/>
  <c r="J16" s="1"/>
  <c r="H17"/>
  <c r="J17" s="1"/>
  <c r="H18"/>
  <c r="J18" s="1"/>
  <c r="H19"/>
  <c r="J19" s="1"/>
  <c r="H21"/>
  <c r="J21" s="1"/>
  <c r="H22"/>
  <c r="J22" s="1"/>
  <c r="H25"/>
  <c r="H27"/>
  <c r="H28"/>
  <c r="J28" s="1"/>
  <c r="H30"/>
  <c r="J30"/>
  <c r="L30" s="1"/>
  <c r="H31"/>
  <c r="H36"/>
  <c r="J36" s="1"/>
  <c r="H37"/>
  <c r="J37" s="1"/>
  <c r="H39"/>
  <c r="H40"/>
  <c r="J40" s="1"/>
  <c r="H45"/>
  <c r="J45" s="1"/>
  <c r="H46"/>
  <c r="J46" s="1"/>
  <c r="H50"/>
  <c r="J50" s="1"/>
  <c r="H51"/>
  <c r="J51" s="1"/>
  <c r="H52"/>
  <c r="J52" s="1"/>
  <c r="H53"/>
  <c r="J53" s="1"/>
  <c r="H7" i="106"/>
  <c r="J7" s="1"/>
  <c r="H10"/>
  <c r="H11"/>
  <c r="H12"/>
  <c r="J12" s="1"/>
  <c r="H13"/>
  <c r="J13" s="1"/>
  <c r="H14"/>
  <c r="J14" s="1"/>
  <c r="H15"/>
  <c r="J15" s="1"/>
  <c r="H16"/>
  <c r="J16" s="1"/>
  <c r="H17"/>
  <c r="J17" s="1"/>
  <c r="H18"/>
  <c r="J18" s="1"/>
  <c r="H19"/>
  <c r="J19" s="1"/>
  <c r="H21"/>
  <c r="H22"/>
  <c r="J22" s="1"/>
  <c r="H25"/>
  <c r="H27"/>
  <c r="J27" s="1"/>
  <c r="H28"/>
  <c r="J28" s="1"/>
  <c r="H30"/>
  <c r="H31"/>
  <c r="J31" s="1"/>
  <c r="H36"/>
  <c r="J36" s="1"/>
  <c r="H37"/>
  <c r="J37" s="1"/>
  <c r="H39"/>
  <c r="J39" s="1"/>
  <c r="H40"/>
  <c r="J40" s="1"/>
  <c r="H45"/>
  <c r="J45" s="1"/>
  <c r="H46"/>
  <c r="J46" s="1"/>
  <c r="H50"/>
  <c r="J50"/>
  <c r="H51"/>
  <c r="J51"/>
  <c r="H52"/>
  <c r="J52"/>
  <c r="H53"/>
  <c r="J53"/>
  <c r="K50"/>
  <c r="K51"/>
  <c r="K52"/>
  <c r="K53"/>
  <c r="L50"/>
  <c r="L51"/>
  <c r="L52"/>
  <c r="L53"/>
  <c r="H7" i="109"/>
  <c r="J7" s="1"/>
  <c r="H10"/>
  <c r="H11"/>
  <c r="H12"/>
  <c r="I12"/>
  <c r="H13"/>
  <c r="I13"/>
  <c r="J13" s="1"/>
  <c r="L13" s="1"/>
  <c r="H14"/>
  <c r="I14"/>
  <c r="H15"/>
  <c r="J15" s="1"/>
  <c r="H16"/>
  <c r="J16" s="1"/>
  <c r="H17"/>
  <c r="J17" s="1"/>
  <c r="H18"/>
  <c r="J18" s="1"/>
  <c r="H19"/>
  <c r="J19" s="1"/>
  <c r="H21"/>
  <c r="J21" s="1"/>
  <c r="H22"/>
  <c r="J22" s="1"/>
  <c r="H24"/>
  <c r="H26"/>
  <c r="J26" s="1"/>
  <c r="H27"/>
  <c r="J27" s="1"/>
  <c r="H29"/>
  <c r="J29" s="1"/>
  <c r="K29" s="1"/>
  <c r="H30"/>
  <c r="J30" s="1"/>
  <c r="H35"/>
  <c r="J35" s="1"/>
  <c r="H36"/>
  <c r="J36" s="1"/>
  <c r="H38"/>
  <c r="J38" s="1"/>
  <c r="H39"/>
  <c r="J39" s="1"/>
  <c r="H40"/>
  <c r="J40" s="1"/>
  <c r="H45"/>
  <c r="J45" s="1"/>
  <c r="H46"/>
  <c r="J46" s="1"/>
  <c r="H47"/>
  <c r="J47" s="1"/>
  <c r="H7" i="138"/>
  <c r="H9"/>
  <c r="J9"/>
  <c r="H10"/>
  <c r="J10"/>
  <c r="H11"/>
  <c r="J11"/>
  <c r="H12"/>
  <c r="J12"/>
  <c r="H13"/>
  <c r="J13"/>
  <c r="H14"/>
  <c r="J14"/>
  <c r="H15"/>
  <c r="J15"/>
  <c r="H16"/>
  <c r="J16"/>
  <c r="H18"/>
  <c r="J18"/>
  <c r="H19"/>
  <c r="J19"/>
  <c r="H22"/>
  <c r="H24"/>
  <c r="J24"/>
  <c r="H25"/>
  <c r="J25"/>
  <c r="H27"/>
  <c r="J27"/>
  <c r="H28"/>
  <c r="J28"/>
  <c r="H33"/>
  <c r="J33"/>
  <c r="H34"/>
  <c r="J34"/>
  <c r="H36"/>
  <c r="J36"/>
  <c r="H37"/>
  <c r="J37"/>
  <c r="H39"/>
  <c r="J39"/>
  <c r="H40"/>
  <c r="J40"/>
  <c r="H44"/>
  <c r="H45"/>
  <c r="H46"/>
  <c r="K9"/>
  <c r="K10"/>
  <c r="K11"/>
  <c r="K12"/>
  <c r="K13"/>
  <c r="K14"/>
  <c r="K15"/>
  <c r="K16"/>
  <c r="K18"/>
  <c r="K19"/>
  <c r="K24"/>
  <c r="K25"/>
  <c r="K27"/>
  <c r="K28"/>
  <c r="K33"/>
  <c r="K34"/>
  <c r="K36"/>
  <c r="K37"/>
  <c r="K39"/>
  <c r="K40"/>
  <c r="L9"/>
  <c r="L10"/>
  <c r="L11"/>
  <c r="L12"/>
  <c r="L13"/>
  <c r="L14"/>
  <c r="L15"/>
  <c r="L16"/>
  <c r="L18"/>
  <c r="L19"/>
  <c r="L24"/>
  <c r="L25"/>
  <c r="L27"/>
  <c r="L28"/>
  <c r="L33"/>
  <c r="L34"/>
  <c r="L36"/>
  <c r="L37"/>
  <c r="L39"/>
  <c r="L40"/>
  <c r="H13" i="140"/>
  <c r="I14"/>
  <c r="H14"/>
  <c r="J14" s="1"/>
  <c r="I15"/>
  <c r="H15"/>
  <c r="J15" s="1"/>
  <c r="H16"/>
  <c r="J16" s="1"/>
  <c r="H25"/>
  <c r="I28"/>
  <c r="H28"/>
  <c r="H33"/>
  <c r="H34"/>
  <c r="J34" s="1"/>
  <c r="H36"/>
  <c r="J36" s="1"/>
  <c r="H37"/>
  <c r="J37" s="1"/>
  <c r="H39"/>
  <c r="H40"/>
  <c r="J40" s="1"/>
  <c r="H46"/>
  <c r="H7"/>
  <c r="H9"/>
  <c r="J9" s="1"/>
  <c r="H10"/>
  <c r="J10" s="1"/>
  <c r="H11"/>
  <c r="J11" s="1"/>
  <c r="H12"/>
  <c r="H18"/>
  <c r="J18" s="1"/>
  <c r="H19"/>
  <c r="J19" s="1"/>
  <c r="H22"/>
  <c r="H24"/>
  <c r="J24" s="1"/>
  <c r="H27"/>
  <c r="J27" s="1"/>
  <c r="H44"/>
  <c r="H45"/>
  <c r="I13" i="171"/>
  <c r="H13"/>
  <c r="J13"/>
  <c r="I14"/>
  <c r="H14"/>
  <c r="J14" s="1"/>
  <c r="I15"/>
  <c r="H15"/>
  <c r="J15" s="1"/>
  <c r="I16"/>
  <c r="H16"/>
  <c r="H33"/>
  <c r="H35"/>
  <c r="J35" s="1"/>
  <c r="H36"/>
  <c r="H37"/>
  <c r="J37"/>
  <c r="K37" s="1"/>
  <c r="H44"/>
  <c r="P45"/>
  <c r="H45"/>
  <c r="J45"/>
  <c r="L45" s="1"/>
  <c r="H7"/>
  <c r="H9"/>
  <c r="J9"/>
  <c r="H10"/>
  <c r="J10"/>
  <c r="L10" s="1"/>
  <c r="H11"/>
  <c r="J11"/>
  <c r="H12"/>
  <c r="J12" s="1"/>
  <c r="H18"/>
  <c r="J18" s="1"/>
  <c r="H19"/>
  <c r="J19" s="1"/>
  <c r="H21"/>
  <c r="J21" s="1"/>
  <c r="H23"/>
  <c r="J23" s="1"/>
  <c r="H24"/>
  <c r="J24" s="1"/>
  <c r="H26"/>
  <c r="J26" s="1"/>
  <c r="H27"/>
  <c r="J27" s="1"/>
  <c r="H32"/>
  <c r="J32" s="1"/>
  <c r="H42"/>
  <c r="H43"/>
  <c r="K13"/>
  <c r="K10"/>
  <c r="L13"/>
  <c r="L37"/>
  <c r="H7" i="88"/>
  <c r="J7"/>
  <c r="H10"/>
  <c r="H11"/>
  <c r="H12"/>
  <c r="J12" s="1"/>
  <c r="H16"/>
  <c r="J16"/>
  <c r="H17"/>
  <c r="J17"/>
  <c r="H18"/>
  <c r="J18"/>
  <c r="K7"/>
  <c r="K16"/>
  <c r="K17"/>
  <c r="K18"/>
  <c r="L7"/>
  <c r="L16"/>
  <c r="L17"/>
  <c r="L18"/>
  <c r="H7" i="91"/>
  <c r="J7"/>
  <c r="H10"/>
  <c r="H11"/>
  <c r="H12"/>
  <c r="H16"/>
  <c r="J16"/>
  <c r="H17"/>
  <c r="J17"/>
  <c r="H18"/>
  <c r="J18"/>
  <c r="K7"/>
  <c r="K16"/>
  <c r="K17"/>
  <c r="K18"/>
  <c r="L7"/>
  <c r="L16"/>
  <c r="L17"/>
  <c r="L18"/>
  <c r="H7" i="126"/>
  <c r="J7"/>
  <c r="H10"/>
  <c r="H11"/>
  <c r="H12"/>
  <c r="J12" s="1"/>
  <c r="H16"/>
  <c r="J16"/>
  <c r="H17"/>
  <c r="J17"/>
  <c r="H18"/>
  <c r="J18"/>
  <c r="K7"/>
  <c r="K16"/>
  <c r="K17"/>
  <c r="K18"/>
  <c r="L7"/>
  <c r="L16"/>
  <c r="L17"/>
  <c r="L18"/>
  <c r="H7" i="104"/>
  <c r="J7" s="1"/>
  <c r="H10"/>
  <c r="H11"/>
  <c r="H12"/>
  <c r="H13"/>
  <c r="J13" s="1"/>
  <c r="H14"/>
  <c r="H15"/>
  <c r="J15" s="1"/>
  <c r="H16"/>
  <c r="H17"/>
  <c r="I17"/>
  <c r="H18"/>
  <c r="H19"/>
  <c r="H21"/>
  <c r="J21" s="1"/>
  <c r="H22"/>
  <c r="J22" s="1"/>
  <c r="H25"/>
  <c r="H27"/>
  <c r="H28"/>
  <c r="J28" s="1"/>
  <c r="H30"/>
  <c r="J30"/>
  <c r="L30" s="1"/>
  <c r="H31"/>
  <c r="J31"/>
  <c r="K31" s="1"/>
  <c r="H36"/>
  <c r="J36" s="1"/>
  <c r="H37"/>
  <c r="J37" s="1"/>
  <c r="H39"/>
  <c r="H40"/>
  <c r="J40" s="1"/>
  <c r="H45"/>
  <c r="J45" s="1"/>
  <c r="H46"/>
  <c r="J46" s="1"/>
  <c r="H50"/>
  <c r="J50"/>
  <c r="H51"/>
  <c r="H52"/>
  <c r="H53"/>
  <c r="K30"/>
  <c r="K50"/>
  <c r="L31"/>
  <c r="L50"/>
  <c r="H16" i="107"/>
  <c r="J16" s="1"/>
  <c r="I17"/>
  <c r="H17"/>
  <c r="J17" s="1"/>
  <c r="I18"/>
  <c r="H18"/>
  <c r="J18" s="1"/>
  <c r="H19"/>
  <c r="H7"/>
  <c r="J7"/>
  <c r="H10"/>
  <c r="H11"/>
  <c r="H12"/>
  <c r="H13"/>
  <c r="J13" s="1"/>
  <c r="H14"/>
  <c r="J14" s="1"/>
  <c r="H15"/>
  <c r="J15" s="1"/>
  <c r="H21"/>
  <c r="J21" s="1"/>
  <c r="H22"/>
  <c r="J22"/>
  <c r="K22" s="1"/>
  <c r="H25"/>
  <c r="H27"/>
  <c r="J27" s="1"/>
  <c r="H28"/>
  <c r="H30"/>
  <c r="J30" s="1"/>
  <c r="H31"/>
  <c r="H36"/>
  <c r="J36" s="1"/>
  <c r="H37"/>
  <c r="H39"/>
  <c r="J39" s="1"/>
  <c r="H40"/>
  <c r="H45"/>
  <c r="J45" s="1"/>
  <c r="H46"/>
  <c r="H50"/>
  <c r="J50" s="1"/>
  <c r="H51"/>
  <c r="H52"/>
  <c r="H53"/>
  <c r="K7"/>
  <c r="L7"/>
  <c r="L22"/>
  <c r="H7" i="110"/>
  <c r="J7" s="1"/>
  <c r="H10"/>
  <c r="H11"/>
  <c r="H12"/>
  <c r="H13"/>
  <c r="J13" s="1"/>
  <c r="H14"/>
  <c r="H15"/>
  <c r="J15" s="1"/>
  <c r="H16"/>
  <c r="J16"/>
  <c r="H17"/>
  <c r="J17" s="1"/>
  <c r="H18"/>
  <c r="J18" s="1"/>
  <c r="H19"/>
  <c r="J19" s="1"/>
  <c r="H21"/>
  <c r="J21" s="1"/>
  <c r="H22"/>
  <c r="J22" s="1"/>
  <c r="H24"/>
  <c r="H26"/>
  <c r="J26" s="1"/>
  <c r="H27"/>
  <c r="J27" s="1"/>
  <c r="H29"/>
  <c r="J29" s="1"/>
  <c r="H30"/>
  <c r="J30" s="1"/>
  <c r="H35"/>
  <c r="H36"/>
  <c r="J36" s="1"/>
  <c r="H38"/>
  <c r="J38" s="1"/>
  <c r="H39"/>
  <c r="J39" s="1"/>
  <c r="H40"/>
  <c r="H45"/>
  <c r="J45" s="1"/>
  <c r="H46"/>
  <c r="H47"/>
  <c r="H48"/>
  <c r="H49"/>
  <c r="K16"/>
  <c r="L16"/>
  <c r="H7" i="139"/>
  <c r="H9"/>
  <c r="J9"/>
  <c r="H10"/>
  <c r="J10"/>
  <c r="H11"/>
  <c r="J11"/>
  <c r="H12"/>
  <c r="J12"/>
  <c r="H13"/>
  <c r="J13"/>
  <c r="H14"/>
  <c r="J14"/>
  <c r="H15"/>
  <c r="J15"/>
  <c r="H16"/>
  <c r="J16"/>
  <c r="H18"/>
  <c r="J18"/>
  <c r="H19"/>
  <c r="J19"/>
  <c r="H22"/>
  <c r="H24"/>
  <c r="J24"/>
  <c r="H25"/>
  <c r="J25"/>
  <c r="H27"/>
  <c r="J27"/>
  <c r="H28"/>
  <c r="J28"/>
  <c r="H33"/>
  <c r="J33"/>
  <c r="H34"/>
  <c r="J34"/>
  <c r="H36"/>
  <c r="J36"/>
  <c r="H37"/>
  <c r="J37"/>
  <c r="H39"/>
  <c r="J39"/>
  <c r="H40"/>
  <c r="J40"/>
  <c r="H44"/>
  <c r="H45"/>
  <c r="H46"/>
  <c r="K9"/>
  <c r="K10"/>
  <c r="K11"/>
  <c r="K12"/>
  <c r="K13"/>
  <c r="K14"/>
  <c r="K15"/>
  <c r="K16"/>
  <c r="K18"/>
  <c r="K19"/>
  <c r="K24"/>
  <c r="K25"/>
  <c r="K27"/>
  <c r="K28"/>
  <c r="K33"/>
  <c r="K34"/>
  <c r="K36"/>
  <c r="K37"/>
  <c r="K39"/>
  <c r="K40"/>
  <c r="L9"/>
  <c r="L10"/>
  <c r="L11"/>
  <c r="L12"/>
  <c r="L13"/>
  <c r="L14"/>
  <c r="L15"/>
  <c r="L16"/>
  <c r="L18"/>
  <c r="L19"/>
  <c r="L24"/>
  <c r="L25"/>
  <c r="L27"/>
  <c r="L28"/>
  <c r="L33"/>
  <c r="L34"/>
  <c r="L36"/>
  <c r="L37"/>
  <c r="L39"/>
  <c r="L40"/>
  <c r="H13" i="141"/>
  <c r="I14"/>
  <c r="H14"/>
  <c r="I15"/>
  <c r="H15"/>
  <c r="H16"/>
  <c r="H25"/>
  <c r="I28"/>
  <c r="H28"/>
  <c r="J28" s="1"/>
  <c r="H33"/>
  <c r="J33" s="1"/>
  <c r="H34"/>
  <c r="H36"/>
  <c r="J36" s="1"/>
  <c r="H37"/>
  <c r="H39"/>
  <c r="J39" s="1"/>
  <c r="H40"/>
  <c r="H46"/>
  <c r="H7"/>
  <c r="H9"/>
  <c r="J9" s="1"/>
  <c r="H10"/>
  <c r="J10"/>
  <c r="H11"/>
  <c r="J11"/>
  <c r="K11" s="1"/>
  <c r="H12"/>
  <c r="H18"/>
  <c r="J18" s="1"/>
  <c r="H19"/>
  <c r="H22"/>
  <c r="H24"/>
  <c r="H27"/>
  <c r="J27" s="1"/>
  <c r="H44"/>
  <c r="H45"/>
  <c r="K10"/>
  <c r="L10"/>
  <c r="L11"/>
  <c r="H7" i="89"/>
  <c r="J7"/>
  <c r="H10"/>
  <c r="H11"/>
  <c r="H12"/>
  <c r="J12" s="1"/>
  <c r="H16"/>
  <c r="J16"/>
  <c r="H17"/>
  <c r="H18"/>
  <c r="K7"/>
  <c r="K16"/>
  <c r="L7"/>
  <c r="L16"/>
  <c r="H7" i="172"/>
  <c r="H9"/>
  <c r="J9"/>
  <c r="H10"/>
  <c r="J10"/>
  <c r="H11"/>
  <c r="J11"/>
  <c r="H12"/>
  <c r="J12"/>
  <c r="H13"/>
  <c r="I13"/>
  <c r="J13" s="1"/>
  <c r="H14"/>
  <c r="I14"/>
  <c r="J14" s="1"/>
  <c r="H15"/>
  <c r="I15"/>
  <c r="J15" s="1"/>
  <c r="H16"/>
  <c r="I16"/>
  <c r="H18"/>
  <c r="J18"/>
  <c r="H19"/>
  <c r="J19"/>
  <c r="H21"/>
  <c r="J21"/>
  <c r="L21" s="1"/>
  <c r="H23"/>
  <c r="J23"/>
  <c r="H24"/>
  <c r="J24"/>
  <c r="H26"/>
  <c r="J26"/>
  <c r="H27"/>
  <c r="J27"/>
  <c r="H32"/>
  <c r="J32" s="1"/>
  <c r="H33"/>
  <c r="H35"/>
  <c r="J35" s="1"/>
  <c r="H36"/>
  <c r="H37"/>
  <c r="J37"/>
  <c r="H42"/>
  <c r="H43"/>
  <c r="H44"/>
  <c r="H45"/>
  <c r="P45"/>
  <c r="K18"/>
  <c r="K19"/>
  <c r="K21"/>
  <c r="K23"/>
  <c r="K24"/>
  <c r="K26"/>
  <c r="K27"/>
  <c r="L18"/>
  <c r="L19"/>
  <c r="L23"/>
  <c r="L24"/>
  <c r="L26"/>
  <c r="L27"/>
  <c r="H7" i="92"/>
  <c r="J7"/>
  <c r="H10"/>
  <c r="H11"/>
  <c r="H12"/>
  <c r="J12" s="1"/>
  <c r="H16"/>
  <c r="J16"/>
  <c r="H17"/>
  <c r="H18"/>
  <c r="K7"/>
  <c r="K16"/>
  <c r="L7"/>
  <c r="L16"/>
  <c r="H7" i="127"/>
  <c r="J7"/>
  <c r="H10"/>
  <c r="H11"/>
  <c r="H12"/>
  <c r="J12" s="1"/>
  <c r="H16"/>
  <c r="J16"/>
  <c r="H17"/>
  <c r="H18"/>
  <c r="K7"/>
  <c r="K16"/>
  <c r="L7"/>
  <c r="L16"/>
  <c r="H61" i="10"/>
  <c r="J61" s="1"/>
  <c r="H62"/>
  <c r="J62" s="1"/>
  <c r="H63"/>
  <c r="J63" s="1"/>
  <c r="H64"/>
  <c r="J64" s="1"/>
  <c r="H65"/>
  <c r="J65" s="1"/>
  <c r="H66"/>
  <c r="J66" s="1"/>
  <c r="H61" i="105"/>
  <c r="J61" s="1"/>
  <c r="H62"/>
  <c r="J62" s="1"/>
  <c r="H63"/>
  <c r="J63" s="1"/>
  <c r="H64"/>
  <c r="J64" s="1"/>
  <c r="H65"/>
  <c r="J65" s="1"/>
  <c r="H66"/>
  <c r="J66" s="1"/>
  <c r="H54" i="114"/>
  <c r="H55"/>
  <c r="H56"/>
  <c r="H57"/>
  <c r="H58"/>
  <c r="H59"/>
  <c r="H54" i="170"/>
  <c r="J54" s="1"/>
  <c r="H55"/>
  <c r="J55" s="1"/>
  <c r="H56"/>
  <c r="J56" s="1"/>
  <c r="H57"/>
  <c r="J57" s="1"/>
  <c r="H58"/>
  <c r="H59"/>
  <c r="J59" s="1"/>
  <c r="H60"/>
  <c r="J60" s="1"/>
  <c r="H58" i="108"/>
  <c r="J58" s="1"/>
  <c r="H59"/>
  <c r="J59" s="1"/>
  <c r="H60"/>
  <c r="J60" s="1"/>
  <c r="H61"/>
  <c r="J61" s="1"/>
  <c r="H64"/>
  <c r="J64" s="1"/>
  <c r="H65"/>
  <c r="J65" s="1"/>
  <c r="H54" i="111"/>
  <c r="J54"/>
  <c r="H55"/>
  <c r="J55"/>
  <c r="H56"/>
  <c r="J56"/>
  <c r="H57"/>
  <c r="J57"/>
  <c r="H58"/>
  <c r="J58"/>
  <c r="H59"/>
  <c r="J59"/>
  <c r="K54"/>
  <c r="K55"/>
  <c r="K56"/>
  <c r="K57"/>
  <c r="K58"/>
  <c r="K59"/>
  <c r="L54"/>
  <c r="L55"/>
  <c r="L56"/>
  <c r="L57"/>
  <c r="L58"/>
  <c r="L59"/>
  <c r="H26" i="51"/>
  <c r="J26"/>
  <c r="H27"/>
  <c r="J27"/>
  <c r="H28"/>
  <c r="J28"/>
  <c r="K26"/>
  <c r="K27"/>
  <c r="K28"/>
  <c r="L26"/>
  <c r="L27"/>
  <c r="L28"/>
  <c r="H26" i="90"/>
  <c r="J26"/>
  <c r="H27"/>
  <c r="J27"/>
  <c r="H28"/>
  <c r="J28"/>
  <c r="K26"/>
  <c r="K27"/>
  <c r="K28"/>
  <c r="L26"/>
  <c r="L27"/>
  <c r="L28"/>
  <c r="H26" i="123"/>
  <c r="J26"/>
  <c r="H27"/>
  <c r="J27"/>
  <c r="H28"/>
  <c r="J28"/>
  <c r="K26"/>
  <c r="K27"/>
  <c r="K28"/>
  <c r="L26"/>
  <c r="L27"/>
  <c r="L28"/>
  <c r="H61" i="103"/>
  <c r="J61" s="1"/>
  <c r="H62"/>
  <c r="J62" s="1"/>
  <c r="H63"/>
  <c r="J63" s="1"/>
  <c r="H64"/>
  <c r="J64" s="1"/>
  <c r="H65"/>
  <c r="J65" s="1"/>
  <c r="H66"/>
  <c r="J66" s="1"/>
  <c r="H61" i="106"/>
  <c r="J61" s="1"/>
  <c r="H62"/>
  <c r="J62" s="1"/>
  <c r="H63"/>
  <c r="J63" s="1"/>
  <c r="H64"/>
  <c r="J64" s="1"/>
  <c r="H65"/>
  <c r="J65" s="1"/>
  <c r="H66"/>
  <c r="J66" s="1"/>
  <c r="H58" i="109"/>
  <c r="J58" s="1"/>
  <c r="H59"/>
  <c r="J59" s="1"/>
  <c r="H60"/>
  <c r="J60" s="1"/>
  <c r="H61"/>
  <c r="J61" s="1"/>
  <c r="H64"/>
  <c r="J64" s="1"/>
  <c r="H65"/>
  <c r="J65" s="1"/>
  <c r="H54" i="138"/>
  <c r="J54"/>
  <c r="H55"/>
  <c r="J55"/>
  <c r="H56"/>
  <c r="J56"/>
  <c r="H57"/>
  <c r="J57"/>
  <c r="H58"/>
  <c r="J58"/>
  <c r="H59"/>
  <c r="J59"/>
  <c r="K54"/>
  <c r="K55"/>
  <c r="K56"/>
  <c r="K57"/>
  <c r="K58"/>
  <c r="K59"/>
  <c r="L54"/>
  <c r="L55"/>
  <c r="L56"/>
  <c r="L57"/>
  <c r="L58"/>
  <c r="L59"/>
  <c r="H54" i="140"/>
  <c r="H55"/>
  <c r="H56"/>
  <c r="H57"/>
  <c r="H58"/>
  <c r="H59"/>
  <c r="H54" i="171"/>
  <c r="H55"/>
  <c r="H56"/>
  <c r="H57"/>
  <c r="H58"/>
  <c r="H59"/>
  <c r="H60"/>
  <c r="H26" i="88"/>
  <c r="J26"/>
  <c r="H27"/>
  <c r="J27"/>
  <c r="H28"/>
  <c r="J28"/>
  <c r="K26"/>
  <c r="K27"/>
  <c r="K28"/>
  <c r="L26"/>
  <c r="L27"/>
  <c r="L28"/>
  <c r="H26" i="91"/>
  <c r="J26"/>
  <c r="H27"/>
  <c r="J27"/>
  <c r="H28"/>
  <c r="J28"/>
  <c r="K26"/>
  <c r="K27"/>
  <c r="K28"/>
  <c r="L26"/>
  <c r="L27"/>
  <c r="L28"/>
  <c r="H26" i="126"/>
  <c r="J26"/>
  <c r="H27"/>
  <c r="J27"/>
  <c r="H28"/>
  <c r="J28"/>
  <c r="K26"/>
  <c r="K27"/>
  <c r="K28"/>
  <c r="L26"/>
  <c r="L27"/>
  <c r="L28"/>
  <c r="H61" i="104"/>
  <c r="J61" s="1"/>
  <c r="H62"/>
  <c r="J62" s="1"/>
  <c r="H63"/>
  <c r="J63" s="1"/>
  <c r="H64"/>
  <c r="J64" s="1"/>
  <c r="H65"/>
  <c r="J65" s="1"/>
  <c r="H66"/>
  <c r="J66" s="1"/>
  <c r="H61" i="107"/>
  <c r="J61" s="1"/>
  <c r="H62"/>
  <c r="J62" s="1"/>
  <c r="H63"/>
  <c r="J63" s="1"/>
  <c r="H64"/>
  <c r="J64" s="1"/>
  <c r="H65"/>
  <c r="J65" s="1"/>
  <c r="H66"/>
  <c r="J66" s="1"/>
  <c r="H58" i="110"/>
  <c r="J58" s="1"/>
  <c r="H59"/>
  <c r="J59" s="1"/>
  <c r="H60"/>
  <c r="J60" s="1"/>
  <c r="H61"/>
  <c r="J61" s="1"/>
  <c r="H62"/>
  <c r="H63"/>
  <c r="H64"/>
  <c r="H65"/>
  <c r="J65" s="1"/>
  <c r="H54" i="139"/>
  <c r="J54"/>
  <c r="H55"/>
  <c r="J55"/>
  <c r="H56"/>
  <c r="J56"/>
  <c r="H57"/>
  <c r="J57"/>
  <c r="H58"/>
  <c r="J58"/>
  <c r="H59"/>
  <c r="J59"/>
  <c r="K54"/>
  <c r="K55"/>
  <c r="K56"/>
  <c r="K57"/>
  <c r="K58"/>
  <c r="K59"/>
  <c r="L54"/>
  <c r="L55"/>
  <c r="L56"/>
  <c r="L57"/>
  <c r="L58"/>
  <c r="L59"/>
  <c r="H54" i="141"/>
  <c r="H55"/>
  <c r="H56"/>
  <c r="H57"/>
  <c r="H58"/>
  <c r="H59"/>
  <c r="H26" i="89"/>
  <c r="H27"/>
  <c r="J27"/>
  <c r="H28"/>
  <c r="J28"/>
  <c r="K28" s="1"/>
  <c r="K27"/>
  <c r="L27"/>
  <c r="H54" i="172"/>
  <c r="H55"/>
  <c r="H56"/>
  <c r="H57"/>
  <c r="H58"/>
  <c r="H59"/>
  <c r="H60"/>
  <c r="H26" i="92"/>
  <c r="H27"/>
  <c r="J27"/>
  <c r="H28"/>
  <c r="J28" s="1"/>
  <c r="K27"/>
  <c r="L27"/>
  <c r="H26" i="127"/>
  <c r="H27"/>
  <c r="J27"/>
  <c r="H28"/>
  <c r="K27"/>
  <c r="L27"/>
  <c r="P51" i="10"/>
  <c r="P52"/>
  <c r="P53"/>
  <c r="P45" i="170"/>
  <c r="P46" i="108"/>
  <c r="P47"/>
  <c r="P49"/>
  <c r="P17" i="51"/>
  <c r="P18"/>
  <c r="P17" i="90"/>
  <c r="P18"/>
  <c r="P17" i="123"/>
  <c r="P18"/>
  <c r="P50" i="103"/>
  <c r="P51"/>
  <c r="P52"/>
  <c r="P53"/>
  <c r="P18" i="138"/>
  <c r="P19"/>
  <c r="P27"/>
  <c r="P28"/>
  <c r="P33"/>
  <c r="P34"/>
  <c r="P39"/>
  <c r="P40"/>
  <c r="P16" i="91"/>
  <c r="P17"/>
  <c r="P18"/>
  <c r="P16" i="126"/>
  <c r="P17"/>
  <c r="P18"/>
  <c r="P50" i="104"/>
  <c r="P45" i="110"/>
  <c r="P16" i="92"/>
  <c r="P16" i="127"/>
  <c r="E12" i="10"/>
  <c r="O12" s="1"/>
  <c r="E13"/>
  <c r="O13" s="1"/>
  <c r="E14"/>
  <c r="O14" s="1"/>
  <c r="E15"/>
  <c r="O15" s="1"/>
  <c r="E16"/>
  <c r="O16" s="1"/>
  <c r="E17"/>
  <c r="O17" s="1"/>
  <c r="E18"/>
  <c r="O18" s="1"/>
  <c r="E19"/>
  <c r="O19" s="1"/>
  <c r="O10"/>
  <c r="O11"/>
  <c r="O21"/>
  <c r="O22"/>
  <c r="O28"/>
  <c r="O31"/>
  <c r="O34"/>
  <c r="O37"/>
  <c r="O40"/>
  <c r="O46"/>
  <c r="E12" i="103"/>
  <c r="E13"/>
  <c r="O13" s="1"/>
  <c r="E14"/>
  <c r="O14" s="1"/>
  <c r="E15"/>
  <c r="O15" s="1"/>
  <c r="E16"/>
  <c r="O16" s="1"/>
  <c r="E17"/>
  <c r="O17" s="1"/>
  <c r="E18"/>
  <c r="O18" s="1"/>
  <c r="E19"/>
  <c r="O19" s="1"/>
  <c r="O7"/>
  <c r="O21"/>
  <c r="O22"/>
  <c r="E12" i="104"/>
  <c r="E13"/>
  <c r="O13" s="1"/>
  <c r="E14"/>
  <c r="E15"/>
  <c r="O15" s="1"/>
  <c r="E16"/>
  <c r="E17"/>
  <c r="E18"/>
  <c r="E19"/>
  <c r="O21"/>
  <c r="O22"/>
  <c r="O31"/>
  <c r="O7"/>
  <c r="E9" i="111"/>
  <c r="O9" s="1"/>
  <c r="E10"/>
  <c r="O10" s="1"/>
  <c r="E11"/>
  <c r="O11" s="1"/>
  <c r="E12"/>
  <c r="O12" s="1"/>
  <c r="E13"/>
  <c r="O13" s="1"/>
  <c r="E14"/>
  <c r="O14" s="1"/>
  <c r="E15"/>
  <c r="O15" s="1"/>
  <c r="E16"/>
  <c r="O16" s="1"/>
  <c r="O18"/>
  <c r="O19"/>
  <c r="O25"/>
  <c r="O28"/>
  <c r="O34"/>
  <c r="O37"/>
  <c r="O40"/>
  <c r="E9" i="138"/>
  <c r="O9" s="1"/>
  <c r="E10"/>
  <c r="O10" s="1"/>
  <c r="E11"/>
  <c r="O11" s="1"/>
  <c r="E12"/>
  <c r="O12" s="1"/>
  <c r="E13"/>
  <c r="O13" s="1"/>
  <c r="E14"/>
  <c r="O14" s="1"/>
  <c r="E15"/>
  <c r="O15" s="1"/>
  <c r="E16"/>
  <c r="O16" s="1"/>
  <c r="O18"/>
  <c r="O19"/>
  <c r="O25"/>
  <c r="O28"/>
  <c r="O34"/>
  <c r="O37"/>
  <c r="O40"/>
  <c r="E9" i="139"/>
  <c r="O9" s="1"/>
  <c r="E10"/>
  <c r="O10" s="1"/>
  <c r="E11"/>
  <c r="O11" s="1"/>
  <c r="E12"/>
  <c r="O12" s="1"/>
  <c r="E13"/>
  <c r="O13" s="1"/>
  <c r="E14"/>
  <c r="O14" s="1"/>
  <c r="E15"/>
  <c r="O15" s="1"/>
  <c r="E16"/>
  <c r="O16" s="1"/>
  <c r="O18"/>
  <c r="O19"/>
  <c r="O25"/>
  <c r="O28"/>
  <c r="O34"/>
  <c r="O37"/>
  <c r="O40"/>
  <c r="O10" i="51"/>
  <c r="O11"/>
  <c r="O12"/>
  <c r="O12" i="88"/>
  <c r="O7"/>
  <c r="O12" i="89"/>
  <c r="O7"/>
  <c r="E12" i="105"/>
  <c r="O12" s="1"/>
  <c r="E13"/>
  <c r="E14"/>
  <c r="O14" s="1"/>
  <c r="E15"/>
  <c r="O15" s="1"/>
  <c r="E16"/>
  <c r="O16" s="1"/>
  <c r="E17"/>
  <c r="O17" s="1"/>
  <c r="E18"/>
  <c r="O18" s="1"/>
  <c r="E19"/>
  <c r="O19" s="1"/>
  <c r="O10"/>
  <c r="O11"/>
  <c r="O21"/>
  <c r="O22"/>
  <c r="O28"/>
  <c r="O31"/>
  <c r="O37"/>
  <c r="O40"/>
  <c r="O46"/>
  <c r="E12" i="106"/>
  <c r="O12" s="1"/>
  <c r="E13"/>
  <c r="E14"/>
  <c r="O14" s="1"/>
  <c r="E15"/>
  <c r="O15" s="1"/>
  <c r="E16"/>
  <c r="O16" s="1"/>
  <c r="E17"/>
  <c r="O17" s="1"/>
  <c r="E18"/>
  <c r="O18" s="1"/>
  <c r="E19"/>
  <c r="O19" s="1"/>
  <c r="O31"/>
  <c r="O7"/>
  <c r="O22"/>
  <c r="E12" i="107"/>
  <c r="E13"/>
  <c r="O13" s="1"/>
  <c r="E14"/>
  <c r="O14" s="1"/>
  <c r="E15"/>
  <c r="O15" s="1"/>
  <c r="E16"/>
  <c r="E17"/>
  <c r="O17" s="1"/>
  <c r="E18"/>
  <c r="O18" s="1"/>
  <c r="E19"/>
  <c r="O21"/>
  <c r="O7"/>
  <c r="O22"/>
  <c r="E9" i="114"/>
  <c r="E10"/>
  <c r="O10" s="1"/>
  <c r="E11"/>
  <c r="O11"/>
  <c r="E12"/>
  <c r="O12" s="1"/>
  <c r="E13"/>
  <c r="O13" s="1"/>
  <c r="E14"/>
  <c r="O14"/>
  <c r="E15"/>
  <c r="O15"/>
  <c r="E16"/>
  <c r="O16"/>
  <c r="O19"/>
  <c r="O28"/>
  <c r="E9" i="140"/>
  <c r="O9" s="1"/>
  <c r="E10"/>
  <c r="O10" s="1"/>
  <c r="E11"/>
  <c r="O11" s="1"/>
  <c r="E12"/>
  <c r="E13"/>
  <c r="E14"/>
  <c r="O14" s="1"/>
  <c r="E15"/>
  <c r="O15" s="1"/>
  <c r="E16"/>
  <c r="O16" s="1"/>
  <c r="O28"/>
  <c r="O19"/>
  <c r="E9" i="141"/>
  <c r="O9" s="1"/>
  <c r="E10"/>
  <c r="O10" s="1"/>
  <c r="E11"/>
  <c r="O11" s="1"/>
  <c r="E12"/>
  <c r="E13"/>
  <c r="E14"/>
  <c r="O14" s="1"/>
  <c r="E15"/>
  <c r="O15" s="1"/>
  <c r="E16"/>
  <c r="O28"/>
  <c r="O10" i="90"/>
  <c r="O11"/>
  <c r="O12"/>
  <c r="O7" i="91"/>
  <c r="O12" i="92"/>
  <c r="O7"/>
  <c r="E12" i="108"/>
  <c r="O12" s="1"/>
  <c r="E13"/>
  <c r="O13" s="1"/>
  <c r="E14"/>
  <c r="O14" s="1"/>
  <c r="E15"/>
  <c r="O15" s="1"/>
  <c r="E16"/>
  <c r="O16" s="1"/>
  <c r="E17"/>
  <c r="O17" s="1"/>
  <c r="E18"/>
  <c r="O18" s="1"/>
  <c r="E19"/>
  <c r="O19" s="1"/>
  <c r="O10"/>
  <c r="O11"/>
  <c r="O21"/>
  <c r="O22"/>
  <c r="O27"/>
  <c r="O30"/>
  <c r="O36"/>
  <c r="O39"/>
  <c r="O40"/>
  <c r="E12" i="109"/>
  <c r="E13"/>
  <c r="O13"/>
  <c r="E14"/>
  <c r="E15"/>
  <c r="O15" s="1"/>
  <c r="E16"/>
  <c r="O16" s="1"/>
  <c r="E17"/>
  <c r="O17" s="1"/>
  <c r="E18"/>
  <c r="O18" s="1"/>
  <c r="E19"/>
  <c r="O19" s="1"/>
  <c r="O40"/>
  <c r="O7"/>
  <c r="O21"/>
  <c r="O22"/>
  <c r="O30"/>
  <c r="E12" i="110"/>
  <c r="E13"/>
  <c r="O13"/>
  <c r="E14"/>
  <c r="E15"/>
  <c r="O15" s="1"/>
  <c r="E16"/>
  <c r="O16" s="1"/>
  <c r="E17"/>
  <c r="O17" s="1"/>
  <c r="E18"/>
  <c r="O18" s="1"/>
  <c r="E19"/>
  <c r="O19" s="1"/>
  <c r="O7"/>
  <c r="O21"/>
  <c r="O22"/>
  <c r="O30"/>
  <c r="E9" i="170"/>
  <c r="O9" s="1"/>
  <c r="E10"/>
  <c r="O10" s="1"/>
  <c r="E11"/>
  <c r="O11" s="1"/>
  <c r="E12"/>
  <c r="O12" s="1"/>
  <c r="E13"/>
  <c r="O13" s="1"/>
  <c r="E14"/>
  <c r="O14" s="1"/>
  <c r="E15"/>
  <c r="O15" s="1"/>
  <c r="E16"/>
  <c r="O16" s="1"/>
  <c r="O33"/>
  <c r="O36"/>
  <c r="O18"/>
  <c r="O19"/>
  <c r="O24"/>
  <c r="O27"/>
  <c r="E9" i="171"/>
  <c r="O9" s="1"/>
  <c r="E10"/>
  <c r="O10" s="1"/>
  <c r="E11"/>
  <c r="O11" s="1"/>
  <c r="E12"/>
  <c r="O12" s="1"/>
  <c r="E13"/>
  <c r="O13" s="1"/>
  <c r="E14"/>
  <c r="O14" s="1"/>
  <c r="E15"/>
  <c r="O15" s="1"/>
  <c r="E16"/>
  <c r="O16" s="1"/>
  <c r="O18"/>
  <c r="O19"/>
  <c r="O24"/>
  <c r="O27"/>
  <c r="E9" i="172"/>
  <c r="O9" s="1"/>
  <c r="E10"/>
  <c r="O10" s="1"/>
  <c r="E11"/>
  <c r="O11" s="1"/>
  <c r="E12"/>
  <c r="O12" s="1"/>
  <c r="E13"/>
  <c r="O13" s="1"/>
  <c r="E14"/>
  <c r="O14" s="1"/>
  <c r="E15"/>
  <c r="O15" s="1"/>
  <c r="E16"/>
  <c r="O16" s="1"/>
  <c r="O18"/>
  <c r="O19"/>
  <c r="O24"/>
  <c r="O27"/>
  <c r="O10" i="123"/>
  <c r="O11"/>
  <c r="O12"/>
  <c r="O12" i="126"/>
  <c r="O7"/>
  <c r="O7" i="127"/>
  <c r="O27" i="103"/>
  <c r="O36"/>
  <c r="F39"/>
  <c r="O39" s="1"/>
  <c r="O45"/>
  <c r="O27" i="104"/>
  <c r="O36"/>
  <c r="F39"/>
  <c r="O39" s="1"/>
  <c r="O45"/>
  <c r="O36" i="10"/>
  <c r="F39"/>
  <c r="O39"/>
  <c r="O45"/>
  <c r="O27"/>
  <c r="O30"/>
  <c r="O33"/>
  <c r="S55" s="1"/>
  <c r="O24" i="111"/>
  <c r="O27"/>
  <c r="O33"/>
  <c r="F36"/>
  <c r="O36"/>
  <c r="O39"/>
  <c r="S48"/>
  <c r="O24" i="138"/>
  <c r="O27"/>
  <c r="O33"/>
  <c r="F36"/>
  <c r="O36"/>
  <c r="O39"/>
  <c r="O24" i="139"/>
  <c r="O27"/>
  <c r="O33"/>
  <c r="F36"/>
  <c r="O36"/>
  <c r="O39"/>
  <c r="S48"/>
  <c r="S20" i="51"/>
  <c r="S20" i="88"/>
  <c r="D5" i="173"/>
  <c r="O27" i="106"/>
  <c r="O30"/>
  <c r="O36"/>
  <c r="F39"/>
  <c r="O39" s="1"/>
  <c r="O45"/>
  <c r="O27" i="107"/>
  <c r="O30"/>
  <c r="O36"/>
  <c r="F39"/>
  <c r="O39" s="1"/>
  <c r="O45"/>
  <c r="O27" i="105"/>
  <c r="O30"/>
  <c r="O36"/>
  <c r="F39"/>
  <c r="O39"/>
  <c r="O45"/>
  <c r="S55"/>
  <c r="O24" i="114"/>
  <c r="O33"/>
  <c r="F36"/>
  <c r="O36" s="1"/>
  <c r="O39"/>
  <c r="O27"/>
  <c r="O24" i="140"/>
  <c r="O33"/>
  <c r="F36"/>
  <c r="O36" s="1"/>
  <c r="O39"/>
  <c r="O27"/>
  <c r="O24" i="141"/>
  <c r="O33"/>
  <c r="F36"/>
  <c r="O36" s="1"/>
  <c r="O39"/>
  <c r="O27"/>
  <c r="S20" i="90"/>
  <c r="S20" i="91"/>
  <c r="S20" i="92"/>
  <c r="D9" i="173"/>
  <c r="O26" i="109"/>
  <c r="O35"/>
  <c r="F38"/>
  <c r="O38" s="1"/>
  <c r="O29"/>
  <c r="O26" i="108"/>
  <c r="O29"/>
  <c r="O35"/>
  <c r="F38"/>
  <c r="O38" s="1"/>
  <c r="S52" s="1"/>
  <c r="O23" i="170"/>
  <c r="O32"/>
  <c r="F35"/>
  <c r="O35" s="1"/>
  <c r="O26"/>
  <c r="O32" i="171"/>
  <c r="F35"/>
  <c r="O35"/>
  <c r="O23"/>
  <c r="O26"/>
  <c r="O32" i="172"/>
  <c r="F35"/>
  <c r="O35"/>
  <c r="O23"/>
  <c r="O26"/>
  <c r="S20" i="123"/>
  <c r="S20" i="126"/>
  <c r="S20" i="127"/>
  <c r="D13" i="173"/>
  <c r="S21" i="89"/>
  <c r="O37" i="170"/>
  <c r="I19" i="169"/>
  <c r="J19" s="1"/>
  <c r="L19" s="1"/>
  <c r="I5"/>
  <c r="J5" s="1"/>
  <c r="J14"/>
  <c r="H21" i="168"/>
  <c r="I21" s="1"/>
  <c r="J21" s="1"/>
  <c r="I21" i="167"/>
  <c r="J21" s="1"/>
  <c r="I23"/>
  <c r="J23" s="1"/>
  <c r="I19"/>
  <c r="J19" s="1"/>
  <c r="I5"/>
  <c r="J5"/>
  <c r="J14"/>
  <c r="O18" i="51"/>
  <c r="N18"/>
  <c r="M18"/>
  <c r="O18" i="88"/>
  <c r="N18"/>
  <c r="M18"/>
  <c r="O37" i="172"/>
  <c r="O37" i="171"/>
  <c r="N11" i="10"/>
  <c r="N10"/>
  <c r="L14" i="169"/>
  <c r="K14"/>
  <c r="K5" i="167"/>
  <c r="N13" i="171"/>
  <c r="N9" i="170"/>
  <c r="N10"/>
  <c r="N11"/>
  <c r="N12"/>
  <c r="N13"/>
  <c r="N14"/>
  <c r="N15"/>
  <c r="N16"/>
  <c r="N18"/>
  <c r="N19"/>
  <c r="N21"/>
  <c r="N7" i="107"/>
  <c r="N26" i="172"/>
  <c r="N18"/>
  <c r="N19"/>
  <c r="N23"/>
  <c r="N24"/>
  <c r="N27"/>
  <c r="N12" i="10"/>
  <c r="N13"/>
  <c r="N14"/>
  <c r="N15"/>
  <c r="N16"/>
  <c r="N17"/>
  <c r="N18"/>
  <c r="N19"/>
  <c r="N21"/>
  <c r="N22"/>
  <c r="N25"/>
  <c r="N27"/>
  <c r="N28"/>
  <c r="N30"/>
  <c r="N31"/>
  <c r="N33"/>
  <c r="N34"/>
  <c r="N36"/>
  <c r="N37"/>
  <c r="N39"/>
  <c r="N40"/>
  <c r="N45"/>
  <c r="N46"/>
  <c r="N31" i="104"/>
  <c r="N50"/>
  <c r="N10" i="105"/>
  <c r="N11"/>
  <c r="N12"/>
  <c r="N13"/>
  <c r="N14"/>
  <c r="N15"/>
  <c r="N16"/>
  <c r="N17"/>
  <c r="N18"/>
  <c r="N19"/>
  <c r="N21"/>
  <c r="N22"/>
  <c r="N25"/>
  <c r="N27"/>
  <c r="N28"/>
  <c r="N30"/>
  <c r="N31"/>
  <c r="N36"/>
  <c r="N37"/>
  <c r="N39"/>
  <c r="N40"/>
  <c r="N45"/>
  <c r="N46"/>
  <c r="N50" i="106"/>
  <c r="N51"/>
  <c r="N52"/>
  <c r="N53"/>
  <c r="N10" i="108"/>
  <c r="N11"/>
  <c r="N12"/>
  <c r="N13"/>
  <c r="N14"/>
  <c r="N15"/>
  <c r="N16"/>
  <c r="N17"/>
  <c r="N18"/>
  <c r="N19"/>
  <c r="N21"/>
  <c r="N22"/>
  <c r="N24"/>
  <c r="N26"/>
  <c r="N27"/>
  <c r="N29"/>
  <c r="N30"/>
  <c r="N35"/>
  <c r="N36"/>
  <c r="N38"/>
  <c r="N39"/>
  <c r="N40"/>
  <c r="N16" i="110"/>
  <c r="N9" i="111"/>
  <c r="N10"/>
  <c r="N11"/>
  <c r="N12"/>
  <c r="N13"/>
  <c r="N14"/>
  <c r="N15"/>
  <c r="N16"/>
  <c r="N18"/>
  <c r="N19"/>
  <c r="N24"/>
  <c r="N25"/>
  <c r="N27"/>
  <c r="N28"/>
  <c r="N33"/>
  <c r="N34"/>
  <c r="N36"/>
  <c r="N37"/>
  <c r="N39"/>
  <c r="N40"/>
  <c r="N54"/>
  <c r="N55"/>
  <c r="N56"/>
  <c r="N57"/>
  <c r="N58"/>
  <c r="N59"/>
  <c r="N9" i="138"/>
  <c r="N10"/>
  <c r="N11"/>
  <c r="N12"/>
  <c r="N13"/>
  <c r="N14"/>
  <c r="N15"/>
  <c r="N16"/>
  <c r="N18"/>
  <c r="N19"/>
  <c r="N24"/>
  <c r="N25"/>
  <c r="N27"/>
  <c r="N28"/>
  <c r="N33"/>
  <c r="N34"/>
  <c r="N36"/>
  <c r="N37"/>
  <c r="N39"/>
  <c r="N40"/>
  <c r="N54"/>
  <c r="N55"/>
  <c r="N56"/>
  <c r="N57"/>
  <c r="N58"/>
  <c r="N59"/>
  <c r="N9" i="139"/>
  <c r="N10"/>
  <c r="N11"/>
  <c r="N12"/>
  <c r="N13"/>
  <c r="N14"/>
  <c r="N15"/>
  <c r="N16"/>
  <c r="N18"/>
  <c r="N19"/>
  <c r="N24"/>
  <c r="N25"/>
  <c r="N27"/>
  <c r="N28"/>
  <c r="N33"/>
  <c r="N34"/>
  <c r="N36"/>
  <c r="N37"/>
  <c r="N39"/>
  <c r="N40"/>
  <c r="N54"/>
  <c r="N55"/>
  <c r="N56"/>
  <c r="N57"/>
  <c r="N58"/>
  <c r="N59"/>
  <c r="N10" i="114"/>
  <c r="N11"/>
  <c r="N13"/>
  <c r="N14"/>
  <c r="N15"/>
  <c r="N16"/>
  <c r="N10" i="141"/>
  <c r="N10" i="51"/>
  <c r="N11"/>
  <c r="N12"/>
  <c r="N17"/>
  <c r="N26"/>
  <c r="N27"/>
  <c r="N28"/>
  <c r="N7" i="88"/>
  <c r="N16"/>
  <c r="N17"/>
  <c r="N26"/>
  <c r="N27"/>
  <c r="N28"/>
  <c r="N7" i="89"/>
  <c r="N16"/>
  <c r="N27"/>
  <c r="N10" i="90"/>
  <c r="N11"/>
  <c r="N12"/>
  <c r="N17"/>
  <c r="N18"/>
  <c r="N26"/>
  <c r="N27"/>
  <c r="N28"/>
  <c r="N7" i="91"/>
  <c r="N16"/>
  <c r="N17"/>
  <c r="N18"/>
  <c r="N26"/>
  <c r="N27"/>
  <c r="N28"/>
  <c r="N7" i="92"/>
  <c r="N16"/>
  <c r="N27"/>
  <c r="N10" i="123"/>
  <c r="N11"/>
  <c r="N12"/>
  <c r="N17"/>
  <c r="N18"/>
  <c r="N26"/>
  <c r="N27"/>
  <c r="N28"/>
  <c r="N7" i="126"/>
  <c r="N16"/>
  <c r="N17"/>
  <c r="N18"/>
  <c r="N26"/>
  <c r="N27"/>
  <c r="N28"/>
  <c r="N7" i="127"/>
  <c r="N16"/>
  <c r="N27"/>
  <c r="L5" i="167"/>
  <c r="M5"/>
  <c r="K14"/>
  <c r="L14"/>
  <c r="M14" s="1"/>
  <c r="I5" i="168"/>
  <c r="J5" s="1"/>
  <c r="J14"/>
  <c r="K14"/>
  <c r="L14"/>
  <c r="M14"/>
  <c r="I19"/>
  <c r="J19" s="1"/>
  <c r="K19" s="1"/>
  <c r="M14" i="169"/>
  <c r="M7" i="127"/>
  <c r="M16"/>
  <c r="O16"/>
  <c r="O17" i="51"/>
  <c r="M10"/>
  <c r="M11"/>
  <c r="M17"/>
  <c r="O16" i="88"/>
  <c r="O17"/>
  <c r="M7"/>
  <c r="M16"/>
  <c r="M17"/>
  <c r="O16" i="89"/>
  <c r="M7"/>
  <c r="M16"/>
  <c r="O17" i="90"/>
  <c r="O18"/>
  <c r="M10"/>
  <c r="M11"/>
  <c r="M17"/>
  <c r="M18"/>
  <c r="O16" i="91"/>
  <c r="O17"/>
  <c r="O18"/>
  <c r="M7"/>
  <c r="M16"/>
  <c r="M17"/>
  <c r="M18"/>
  <c r="M7" i="92"/>
  <c r="M16"/>
  <c r="O16"/>
  <c r="O17" i="123"/>
  <c r="O18"/>
  <c r="M10"/>
  <c r="M11"/>
  <c r="M17"/>
  <c r="M18"/>
  <c r="O16" i="126"/>
  <c r="O17"/>
  <c r="O18"/>
  <c r="M7"/>
  <c r="M16"/>
  <c r="M17"/>
  <c r="M18"/>
  <c r="P28" i="123"/>
  <c r="P7" i="126"/>
  <c r="P28"/>
  <c r="P7" i="104"/>
  <c r="O27" i="127"/>
  <c r="O28"/>
  <c r="O26" i="126"/>
  <c r="O27"/>
  <c r="O28"/>
  <c r="O26" i="123"/>
  <c r="O27"/>
  <c r="O28"/>
  <c r="O31"/>
  <c r="R31"/>
  <c r="O27" i="92"/>
  <c r="O28"/>
  <c r="O26" i="91"/>
  <c r="O27"/>
  <c r="O28"/>
  <c r="O26" i="90"/>
  <c r="O27"/>
  <c r="O28"/>
  <c r="O31"/>
  <c r="R31"/>
  <c r="O27" i="89"/>
  <c r="O28"/>
  <c r="O26" i="88"/>
  <c r="O27"/>
  <c r="O28"/>
  <c r="O26" i="51"/>
  <c r="O27"/>
  <c r="O28"/>
  <c r="R62" i="141"/>
  <c r="R62" i="140"/>
  <c r="R62" i="114"/>
  <c r="R62" i="139"/>
  <c r="R62" i="138"/>
  <c r="R62" i="111"/>
  <c r="R69" i="107"/>
  <c r="R69" i="106"/>
  <c r="R69" i="105"/>
  <c r="R69" i="104"/>
  <c r="R69" i="103"/>
  <c r="O61" i="10"/>
  <c r="O62"/>
  <c r="O63"/>
  <c r="O64"/>
  <c r="O65"/>
  <c r="O66"/>
  <c r="R69"/>
  <c r="F38" i="110"/>
  <c r="O38"/>
  <c r="O35"/>
  <c r="O29"/>
  <c r="O65"/>
  <c r="O65" i="109"/>
  <c r="M65"/>
  <c r="O65" i="108"/>
  <c r="M65"/>
  <c r="P18" i="139"/>
  <c r="P19"/>
  <c r="P27"/>
  <c r="P28"/>
  <c r="P33"/>
  <c r="P34"/>
  <c r="P39"/>
  <c r="P40"/>
  <c r="P26" i="126"/>
  <c r="P27"/>
  <c r="P31"/>
  <c r="P27" i="123"/>
  <c r="P26"/>
  <c r="P31"/>
  <c r="P31" i="91"/>
  <c r="P31" i="90"/>
  <c r="O21" i="171"/>
  <c r="M45"/>
  <c r="O45"/>
  <c r="O21" i="170"/>
  <c r="M45"/>
  <c r="O45"/>
  <c r="O54"/>
  <c r="M55"/>
  <c r="O55"/>
  <c r="O56"/>
  <c r="O57"/>
  <c r="M59"/>
  <c r="O59"/>
  <c r="O60"/>
  <c r="O54" i="139"/>
  <c r="M55"/>
  <c r="O55"/>
  <c r="O56"/>
  <c r="O57"/>
  <c r="M58"/>
  <c r="O58"/>
  <c r="O59"/>
  <c r="M62"/>
  <c r="P62"/>
  <c r="O54" i="138"/>
  <c r="M55"/>
  <c r="O55"/>
  <c r="O56"/>
  <c r="O57"/>
  <c r="M58"/>
  <c r="O58"/>
  <c r="O59"/>
  <c r="M62"/>
  <c r="O54" i="111"/>
  <c r="O55"/>
  <c r="O56"/>
  <c r="O57"/>
  <c r="O58"/>
  <c r="O59"/>
  <c r="M55"/>
  <c r="M58"/>
  <c r="M62"/>
  <c r="C29" i="136"/>
  <c r="B24"/>
  <c r="C22" s="1"/>
  <c r="O26" i="110"/>
  <c r="O45"/>
  <c r="O58"/>
  <c r="O59"/>
  <c r="O60"/>
  <c r="O61"/>
  <c r="O64"/>
  <c r="M7"/>
  <c r="M45"/>
  <c r="M59"/>
  <c r="O45" i="109"/>
  <c r="O46"/>
  <c r="O47"/>
  <c r="O58"/>
  <c r="O59"/>
  <c r="O60"/>
  <c r="O61"/>
  <c r="O64"/>
  <c r="M7"/>
  <c r="M45"/>
  <c r="M46"/>
  <c r="M47"/>
  <c r="M59"/>
  <c r="O24" i="108"/>
  <c r="O46"/>
  <c r="O47"/>
  <c r="O49"/>
  <c r="O58"/>
  <c r="O59"/>
  <c r="O60"/>
  <c r="O61"/>
  <c r="O64"/>
  <c r="M10"/>
  <c r="M11"/>
  <c r="M46"/>
  <c r="M47"/>
  <c r="M49"/>
  <c r="M59"/>
  <c r="O50" i="107"/>
  <c r="O61"/>
  <c r="O62"/>
  <c r="O63"/>
  <c r="O64"/>
  <c r="O65"/>
  <c r="O66"/>
  <c r="M7"/>
  <c r="M50"/>
  <c r="M62"/>
  <c r="M65"/>
  <c r="O50" i="106"/>
  <c r="O51"/>
  <c r="O52"/>
  <c r="O53"/>
  <c r="O61"/>
  <c r="O62"/>
  <c r="O63"/>
  <c r="O64"/>
  <c r="O65"/>
  <c r="O66"/>
  <c r="M7"/>
  <c r="M50"/>
  <c r="M51"/>
  <c r="M52"/>
  <c r="M53"/>
  <c r="M62"/>
  <c r="M65"/>
  <c r="M69" s="1"/>
  <c r="O25" i="105"/>
  <c r="O51"/>
  <c r="O52"/>
  <c r="O53"/>
  <c r="O61"/>
  <c r="O62"/>
  <c r="O63"/>
  <c r="O64"/>
  <c r="O65"/>
  <c r="O66"/>
  <c r="O69"/>
  <c r="M10"/>
  <c r="M11"/>
  <c r="M51"/>
  <c r="M52"/>
  <c r="M53"/>
  <c r="M62"/>
  <c r="M65"/>
  <c r="M69"/>
  <c r="P69" i="104"/>
  <c r="M11" i="10"/>
  <c r="M10"/>
  <c r="M50" i="104"/>
  <c r="O50"/>
  <c r="M28" i="127"/>
  <c r="M27"/>
  <c r="M28" i="126"/>
  <c r="M26"/>
  <c r="M27"/>
  <c r="M31"/>
  <c r="M28" i="123"/>
  <c r="M26"/>
  <c r="M27"/>
  <c r="M31"/>
  <c r="O21" i="172"/>
  <c r="M45"/>
  <c r="O45"/>
  <c r="M7" i="104"/>
  <c r="O61"/>
  <c r="M62"/>
  <c r="O62"/>
  <c r="O63"/>
  <c r="O64"/>
  <c r="M65"/>
  <c r="O65"/>
  <c r="O66"/>
  <c r="M7" i="103"/>
  <c r="M50"/>
  <c r="O50"/>
  <c r="M51"/>
  <c r="O51"/>
  <c r="M52"/>
  <c r="O52"/>
  <c r="M53"/>
  <c r="O53"/>
  <c r="O61"/>
  <c r="M62"/>
  <c r="O62"/>
  <c r="O63"/>
  <c r="O64"/>
  <c r="M65"/>
  <c r="O65"/>
  <c r="O66"/>
  <c r="M69"/>
  <c r="M28" i="90"/>
  <c r="M26"/>
  <c r="M27"/>
  <c r="M31"/>
  <c r="M28" i="91"/>
  <c r="M26"/>
  <c r="M27"/>
  <c r="M31"/>
  <c r="M27" i="92"/>
  <c r="M28"/>
  <c r="M27" i="89"/>
  <c r="M28"/>
  <c r="M28" i="88"/>
  <c r="M26"/>
  <c r="M27"/>
  <c r="M31"/>
  <c r="M28" i="51"/>
  <c r="M26"/>
  <c r="M27"/>
  <c r="M31"/>
  <c r="O25" i="10"/>
  <c r="O51"/>
  <c r="O52"/>
  <c r="O53"/>
  <c r="M51"/>
  <c r="M52"/>
  <c r="M53"/>
  <c r="M62"/>
  <c r="M65"/>
  <c r="M69" s="1"/>
  <c r="F5" i="3"/>
  <c r="E6"/>
  <c r="F6"/>
  <c r="E7"/>
  <c r="F7"/>
  <c r="E8"/>
  <c r="J5"/>
  <c r="J6"/>
  <c r="J7"/>
  <c r="J8"/>
  <c r="J9"/>
  <c r="I8"/>
  <c r="I9" s="1"/>
  <c r="I6"/>
  <c r="I7"/>
  <c r="K5"/>
  <c r="K8" s="1"/>
  <c r="K9" s="1"/>
  <c r="H7"/>
  <c r="H6"/>
  <c r="F8"/>
  <c r="K6"/>
  <c r="K7"/>
  <c r="P32" i="126"/>
  <c r="P32" i="91"/>
  <c r="H14" i="168" l="1"/>
  <c r="H12"/>
  <c r="H10"/>
  <c r="H17"/>
  <c r="H11"/>
  <c r="H17" i="169"/>
  <c r="H11"/>
  <c r="H12"/>
  <c r="H14"/>
  <c r="H10"/>
  <c r="O9" i="165"/>
  <c r="I23"/>
  <c r="C23" i="136"/>
  <c r="N31" i="139"/>
  <c r="N30"/>
  <c r="N30" i="111"/>
  <c r="N31"/>
  <c r="S48" i="138"/>
  <c r="S55" i="107"/>
  <c r="S55" i="106"/>
  <c r="I54" i="141"/>
  <c r="I55" i="140"/>
  <c r="I55" i="141" s="1"/>
  <c r="I56" i="140"/>
  <c r="I56" i="141" s="1"/>
  <c r="I57" i="140"/>
  <c r="I57" i="141" s="1"/>
  <c r="I58" i="140"/>
  <c r="I58" i="141" s="1"/>
  <c r="I59" i="140"/>
  <c r="I59" i="141" s="1"/>
  <c r="I24" i="110"/>
  <c r="S55" i="103"/>
  <c r="N21" i="172"/>
  <c r="N10" i="171"/>
  <c r="N31" i="138"/>
  <c r="N34" i="105"/>
  <c r="H82" i="49"/>
  <c r="H71" s="1"/>
  <c r="H18"/>
  <c r="H16"/>
  <c r="I11" i="88" s="1"/>
  <c r="N11" i="141"/>
  <c r="C5" i="175"/>
  <c r="H42" i="49"/>
  <c r="H41"/>
  <c r="I46" s="1"/>
  <c r="J24"/>
  <c r="J25" s="1"/>
  <c r="S48" i="141"/>
  <c r="S48" i="114"/>
  <c r="N22" i="107"/>
  <c r="I25" i="140"/>
  <c r="N30" i="170"/>
  <c r="K45" i="110"/>
  <c r="L45"/>
  <c r="N45" s="1"/>
  <c r="K21"/>
  <c r="L21"/>
  <c r="K19"/>
  <c r="L19"/>
  <c r="K17"/>
  <c r="L17"/>
  <c r="K13"/>
  <c r="L13"/>
  <c r="L22"/>
  <c r="K22"/>
  <c r="N22" s="1"/>
  <c r="L18"/>
  <c r="K18"/>
  <c r="D14" i="173"/>
  <c r="J9" i="166"/>
  <c r="J9" i="165"/>
  <c r="M16" i="157"/>
  <c r="M27" s="1"/>
  <c r="O31" i="141"/>
  <c r="K13" i="103"/>
  <c r="N13" s="1"/>
  <c r="J20" i="104"/>
  <c r="S45" i="172"/>
  <c r="N37" i="171"/>
  <c r="K45"/>
  <c r="K18" i="106"/>
  <c r="L18"/>
  <c r="N18"/>
  <c r="K16"/>
  <c r="L16"/>
  <c r="N16" s="1"/>
  <c r="K13"/>
  <c r="L13"/>
  <c r="N13"/>
  <c r="L19"/>
  <c r="K19"/>
  <c r="N19" s="1"/>
  <c r="L17"/>
  <c r="K17"/>
  <c r="N17" s="1"/>
  <c r="L14"/>
  <c r="K14"/>
  <c r="N14" s="1"/>
  <c r="P55"/>
  <c r="P70" s="1"/>
  <c r="K18" i="107"/>
  <c r="L18"/>
  <c r="K14"/>
  <c r="L14"/>
  <c r="K17"/>
  <c r="L17"/>
  <c r="K50"/>
  <c r="L50"/>
  <c r="L13"/>
  <c r="K13"/>
  <c r="N13" s="1"/>
  <c r="L53" i="103"/>
  <c r="K53"/>
  <c r="K51"/>
  <c r="L51"/>
  <c r="N51" s="1"/>
  <c r="K52"/>
  <c r="L52"/>
  <c r="K50"/>
  <c r="L50"/>
  <c r="O12"/>
  <c r="P55"/>
  <c r="P70" s="1"/>
  <c r="S45" i="170"/>
  <c r="J15" i="141"/>
  <c r="K15" s="1"/>
  <c r="J28" i="140"/>
  <c r="E20" i="107"/>
  <c r="O20" s="1"/>
  <c r="E17" i="139"/>
  <c r="E17" i="138"/>
  <c r="E17" i="111"/>
  <c r="J36" i="171"/>
  <c r="N33" i="103"/>
  <c r="N33" i="104"/>
  <c r="N32" i="110"/>
  <c r="L32" i="109"/>
  <c r="N33" i="110"/>
  <c r="K12" i="172"/>
  <c r="L12"/>
  <c r="N12" s="1"/>
  <c r="L10"/>
  <c r="K10"/>
  <c r="N10" s="1"/>
  <c r="N30"/>
  <c r="K15" i="171"/>
  <c r="L15"/>
  <c r="K9"/>
  <c r="L9"/>
  <c r="M55"/>
  <c r="O55"/>
  <c r="O57" i="172"/>
  <c r="O57" i="171"/>
  <c r="L59" i="170"/>
  <c r="K59"/>
  <c r="O54" i="172"/>
  <c r="O54" i="171"/>
  <c r="J56"/>
  <c r="K56" s="1"/>
  <c r="O56"/>
  <c r="O56" i="172"/>
  <c r="M59" i="171"/>
  <c r="O59"/>
  <c r="J54"/>
  <c r="O60"/>
  <c r="O60" i="172"/>
  <c r="J60"/>
  <c r="K60" s="1"/>
  <c r="J55" i="171"/>
  <c r="K28" i="141"/>
  <c r="L28"/>
  <c r="E17"/>
  <c r="K31"/>
  <c r="K10" i="140"/>
  <c r="L10"/>
  <c r="N10" s="1"/>
  <c r="L11"/>
  <c r="K11"/>
  <c r="N11"/>
  <c r="L15"/>
  <c r="K15"/>
  <c r="L31"/>
  <c r="K30" i="141"/>
  <c r="N30" s="1"/>
  <c r="E17" i="140"/>
  <c r="J14" i="141"/>
  <c r="K28" i="114"/>
  <c r="L28"/>
  <c r="N28" s="1"/>
  <c r="L27"/>
  <c r="K27"/>
  <c r="N27" s="1"/>
  <c r="O40" i="140"/>
  <c r="I40" i="141"/>
  <c r="O40" s="1"/>
  <c r="E17" i="114"/>
  <c r="L30" i="110"/>
  <c r="K30"/>
  <c r="N30" s="1"/>
  <c r="K15"/>
  <c r="L15"/>
  <c r="K29"/>
  <c r="L29"/>
  <c r="K7"/>
  <c r="L7"/>
  <c r="E20"/>
  <c r="O20" s="1"/>
  <c r="S52"/>
  <c r="K32" i="109"/>
  <c r="K65" i="106"/>
  <c r="L65"/>
  <c r="N65" s="1"/>
  <c r="K63"/>
  <c r="L63"/>
  <c r="N63" s="1"/>
  <c r="K61"/>
  <c r="L61"/>
  <c r="K7"/>
  <c r="L7"/>
  <c r="N7"/>
  <c r="K66"/>
  <c r="L66"/>
  <c r="N66" s="1"/>
  <c r="K64"/>
  <c r="L64"/>
  <c r="N64" s="1"/>
  <c r="K62"/>
  <c r="L62"/>
  <c r="K22"/>
  <c r="L22"/>
  <c r="N22"/>
  <c r="E20"/>
  <c r="O20" s="1"/>
  <c r="O13"/>
  <c r="K66" i="105"/>
  <c r="L66"/>
  <c r="N66" s="1"/>
  <c r="K64"/>
  <c r="L64"/>
  <c r="N64" s="1"/>
  <c r="K62"/>
  <c r="L62"/>
  <c r="K53"/>
  <c r="L53"/>
  <c r="N53"/>
  <c r="K51"/>
  <c r="L51"/>
  <c r="N51" s="1"/>
  <c r="K65"/>
  <c r="L65"/>
  <c r="N65" s="1"/>
  <c r="K63"/>
  <c r="L63"/>
  <c r="K61"/>
  <c r="L61"/>
  <c r="N61"/>
  <c r="K52"/>
  <c r="L52"/>
  <c r="N52" s="1"/>
  <c r="E20"/>
  <c r="O20" s="1"/>
  <c r="O13"/>
  <c r="L22" i="104"/>
  <c r="K22"/>
  <c r="K21"/>
  <c r="L21"/>
  <c r="L15"/>
  <c r="K15"/>
  <c r="L13"/>
  <c r="K13"/>
  <c r="L7"/>
  <c r="K7"/>
  <c r="N7" s="1"/>
  <c r="E20"/>
  <c r="O20" s="1"/>
  <c r="K63" i="103"/>
  <c r="L63"/>
  <c r="N63"/>
  <c r="K16"/>
  <c r="L16"/>
  <c r="K65"/>
  <c r="L65"/>
  <c r="N65" s="1"/>
  <c r="K61"/>
  <c r="L61"/>
  <c r="K22"/>
  <c r="L22"/>
  <c r="K18"/>
  <c r="L18"/>
  <c r="K15"/>
  <c r="L15"/>
  <c r="K66"/>
  <c r="L66"/>
  <c r="K64"/>
  <c r="L64"/>
  <c r="K62"/>
  <c r="L62"/>
  <c r="K21"/>
  <c r="L21"/>
  <c r="K19"/>
  <c r="L19"/>
  <c r="N19"/>
  <c r="K17"/>
  <c r="L17"/>
  <c r="N17" s="1"/>
  <c r="K7"/>
  <c r="L7"/>
  <c r="N7" s="1"/>
  <c r="E20"/>
  <c r="N31" i="141"/>
  <c r="N31" i="140"/>
  <c r="N30"/>
  <c r="N30" i="114"/>
  <c r="N31"/>
  <c r="N33" i="109"/>
  <c r="N34" i="107"/>
  <c r="N33"/>
  <c r="N34" i="106"/>
  <c r="N34" i="104"/>
  <c r="N34" i="103"/>
  <c r="D4" i="173"/>
  <c r="K66" i="10"/>
  <c r="L66"/>
  <c r="N66" s="1"/>
  <c r="K64"/>
  <c r="L64"/>
  <c r="N64"/>
  <c r="K62"/>
  <c r="L62"/>
  <c r="N62" s="1"/>
  <c r="K52"/>
  <c r="L52"/>
  <c r="N52"/>
  <c r="K65"/>
  <c r="L65"/>
  <c r="K63"/>
  <c r="L63"/>
  <c r="N63" s="1"/>
  <c r="K61"/>
  <c r="L61"/>
  <c r="K53"/>
  <c r="L53"/>
  <c r="N53"/>
  <c r="K51"/>
  <c r="L51"/>
  <c r="N51" s="1"/>
  <c r="E20"/>
  <c r="O20" s="1"/>
  <c r="S48" i="140"/>
  <c r="M65" i="110"/>
  <c r="J64"/>
  <c r="J41"/>
  <c r="O18" i="114"/>
  <c r="J26" i="49"/>
  <c r="L5" i="169"/>
  <c r="K5"/>
  <c r="M5" s="1"/>
  <c r="L5" i="168"/>
  <c r="K5"/>
  <c r="M5" s="1"/>
  <c r="K20" i="103"/>
  <c r="L20"/>
  <c r="P50" i="110"/>
  <c r="O50"/>
  <c r="M50"/>
  <c r="S45" i="171"/>
  <c r="O59" i="114"/>
  <c r="O57"/>
  <c r="O56"/>
  <c r="J55"/>
  <c r="M24" i="167"/>
  <c r="O23" i="159"/>
  <c r="M23"/>
  <c r="J58" i="114"/>
  <c r="J56"/>
  <c r="J54"/>
  <c r="I19" i="141"/>
  <c r="O19" s="1"/>
  <c r="D15" i="150"/>
  <c r="D11" s="1"/>
  <c r="J50" i="110"/>
  <c r="O20" i="103"/>
  <c r="I10" i="110"/>
  <c r="J10" s="1"/>
  <c r="J23" i="159"/>
  <c r="K23" s="1"/>
  <c r="I22"/>
  <c r="J22" s="1"/>
  <c r="L19" i="126"/>
  <c r="K19"/>
  <c r="N19" s="1"/>
  <c r="L19" i="123"/>
  <c r="K19"/>
  <c r="N19" s="1"/>
  <c r="L19" i="91"/>
  <c r="K19"/>
  <c r="N19" s="1"/>
  <c r="L19" i="90"/>
  <c r="K19"/>
  <c r="N19" s="1"/>
  <c r="L19" i="88"/>
  <c r="K19"/>
  <c r="N19" s="1"/>
  <c r="L19" i="51"/>
  <c r="K19"/>
  <c r="N19" s="1"/>
  <c r="O17" i="139"/>
  <c r="J9" i="164"/>
  <c r="L9" s="1"/>
  <c r="J23"/>
  <c r="L23" s="1"/>
  <c r="L9" i="166"/>
  <c r="K9"/>
  <c r="L9" i="165"/>
  <c r="K9"/>
  <c r="O23" i="164"/>
  <c r="M23"/>
  <c r="O9"/>
  <c r="R16" i="162"/>
  <c r="K9" i="163"/>
  <c r="N9" s="1"/>
  <c r="L9"/>
  <c r="K13"/>
  <c r="N13" s="1"/>
  <c r="L13"/>
  <c r="K14"/>
  <c r="N14"/>
  <c r="L14"/>
  <c r="K7"/>
  <c r="K22"/>
  <c r="K23"/>
  <c r="K24"/>
  <c r="N24"/>
  <c r="J26"/>
  <c r="L7"/>
  <c r="L22"/>
  <c r="L23"/>
  <c r="O26"/>
  <c r="R26" s="1"/>
  <c r="L7" i="162"/>
  <c r="K7"/>
  <c r="L22"/>
  <c r="J26"/>
  <c r="K22"/>
  <c r="L23"/>
  <c r="K23"/>
  <c r="K9"/>
  <c r="L9"/>
  <c r="K13"/>
  <c r="N13"/>
  <c r="L13"/>
  <c r="K14"/>
  <c r="N14" s="1"/>
  <c r="L14"/>
  <c r="K24"/>
  <c r="N24"/>
  <c r="O26"/>
  <c r="R26" s="1"/>
  <c r="L23" i="159"/>
  <c r="K9"/>
  <c r="L9"/>
  <c r="L7" i="158"/>
  <c r="K7"/>
  <c r="K9"/>
  <c r="L9"/>
  <c r="K13"/>
  <c r="N13" s="1"/>
  <c r="L13"/>
  <c r="K14"/>
  <c r="L14"/>
  <c r="K23"/>
  <c r="K24"/>
  <c r="N24"/>
  <c r="L23"/>
  <c r="J16" i="157"/>
  <c r="K9"/>
  <c r="N9" s="1"/>
  <c r="L9"/>
  <c r="K13"/>
  <c r="N13" s="1"/>
  <c r="L13"/>
  <c r="K14"/>
  <c r="N14" s="1"/>
  <c r="L14"/>
  <c r="K15"/>
  <c r="L15"/>
  <c r="K7"/>
  <c r="O16"/>
  <c r="K22"/>
  <c r="K23"/>
  <c r="K24"/>
  <c r="N24"/>
  <c r="J26"/>
  <c r="L7"/>
  <c r="L16" s="1"/>
  <c r="L22"/>
  <c r="L23"/>
  <c r="O26"/>
  <c r="R26" s="1"/>
  <c r="L23" i="156"/>
  <c r="K23"/>
  <c r="N23" s="1"/>
  <c r="K9"/>
  <c r="N9" s="1"/>
  <c r="L28" i="89"/>
  <c r="N28" s="1"/>
  <c r="J29" i="51"/>
  <c r="K30" i="109"/>
  <c r="L30"/>
  <c r="N30"/>
  <c r="L7"/>
  <c r="K7"/>
  <c r="S52"/>
  <c r="K65"/>
  <c r="L65"/>
  <c r="K61"/>
  <c r="L61"/>
  <c r="K59"/>
  <c r="L59"/>
  <c r="K47"/>
  <c r="L47"/>
  <c r="N47" s="1"/>
  <c r="K45"/>
  <c r="L45"/>
  <c r="K21"/>
  <c r="L21"/>
  <c r="N21" s="1"/>
  <c r="K19"/>
  <c r="L19"/>
  <c r="K17"/>
  <c r="L17"/>
  <c r="L15"/>
  <c r="K15"/>
  <c r="K64"/>
  <c r="L64"/>
  <c r="N64"/>
  <c r="K60"/>
  <c r="L60"/>
  <c r="N60" s="1"/>
  <c r="K58"/>
  <c r="L58"/>
  <c r="N58" s="1"/>
  <c r="K46"/>
  <c r="L46"/>
  <c r="K22"/>
  <c r="L22"/>
  <c r="K18"/>
  <c r="L18"/>
  <c r="K16"/>
  <c r="L16"/>
  <c r="L29"/>
  <c r="N29" s="1"/>
  <c r="J41"/>
  <c r="K41" s="1"/>
  <c r="J20"/>
  <c r="K64" i="108"/>
  <c r="L64"/>
  <c r="N64" s="1"/>
  <c r="K60"/>
  <c r="L60"/>
  <c r="N60" s="1"/>
  <c r="K58"/>
  <c r="L58"/>
  <c r="L49"/>
  <c r="K49"/>
  <c r="N49"/>
  <c r="L46"/>
  <c r="K46"/>
  <c r="N46" s="1"/>
  <c r="K65"/>
  <c r="L65"/>
  <c r="N65" s="1"/>
  <c r="K61"/>
  <c r="L61"/>
  <c r="K59"/>
  <c r="L59"/>
  <c r="N59"/>
  <c r="K47"/>
  <c r="L47"/>
  <c r="N47" s="1"/>
  <c r="K38" i="172"/>
  <c r="L38"/>
  <c r="L38" i="171"/>
  <c r="K38"/>
  <c r="N38" s="1"/>
  <c r="L56"/>
  <c r="N56" s="1"/>
  <c r="J61"/>
  <c r="O61"/>
  <c r="M61"/>
  <c r="P61"/>
  <c r="K61" i="170"/>
  <c r="L61"/>
  <c r="J59" i="171"/>
  <c r="K59" s="1"/>
  <c r="P61" i="170"/>
  <c r="J16" i="171"/>
  <c r="K16" s="1"/>
  <c r="M61" i="170"/>
  <c r="J57" i="171"/>
  <c r="L57" s="1"/>
  <c r="N45"/>
  <c r="K57"/>
  <c r="L27"/>
  <c r="K27"/>
  <c r="N27" s="1"/>
  <c r="L24"/>
  <c r="K24"/>
  <c r="L21"/>
  <c r="K21"/>
  <c r="N21"/>
  <c r="L18"/>
  <c r="K18"/>
  <c r="N18" s="1"/>
  <c r="L12"/>
  <c r="K12"/>
  <c r="N12" s="1"/>
  <c r="L16"/>
  <c r="L59"/>
  <c r="K26"/>
  <c r="L26"/>
  <c r="K23"/>
  <c r="L23"/>
  <c r="K19"/>
  <c r="L19"/>
  <c r="N19" s="1"/>
  <c r="K11"/>
  <c r="L11"/>
  <c r="N11" s="1"/>
  <c r="K14"/>
  <c r="L14"/>
  <c r="L19" i="168"/>
  <c r="M19" s="1"/>
  <c r="I33" i="171"/>
  <c r="O33" s="1"/>
  <c r="O17"/>
  <c r="R45" s="1"/>
  <c r="K15" i="172"/>
  <c r="L15"/>
  <c r="K9"/>
  <c r="L9"/>
  <c r="K11"/>
  <c r="L11"/>
  <c r="K19" i="169"/>
  <c r="M19" s="1"/>
  <c r="O17" i="172"/>
  <c r="R45" s="1"/>
  <c r="J16"/>
  <c r="K16" s="1"/>
  <c r="I36"/>
  <c r="O36" s="1"/>
  <c r="L57" i="170"/>
  <c r="K57"/>
  <c r="L27"/>
  <c r="K27"/>
  <c r="N27" s="1"/>
  <c r="L24"/>
  <c r="K24"/>
  <c r="N24" s="1"/>
  <c r="K19" i="167"/>
  <c r="L19"/>
  <c r="K56" i="170"/>
  <c r="L56"/>
  <c r="K37" i="172"/>
  <c r="L37"/>
  <c r="K14"/>
  <c r="L14"/>
  <c r="K13"/>
  <c r="L13"/>
  <c r="K45" i="170"/>
  <c r="L45"/>
  <c r="K37"/>
  <c r="L37"/>
  <c r="K26"/>
  <c r="L26"/>
  <c r="L38"/>
  <c r="K38"/>
  <c r="O17"/>
  <c r="J45" i="172"/>
  <c r="K27" i="141"/>
  <c r="L27"/>
  <c r="K14"/>
  <c r="L14"/>
  <c r="K23" i="168"/>
  <c r="L23"/>
  <c r="L27" i="140"/>
  <c r="K27"/>
  <c r="N27"/>
  <c r="L28"/>
  <c r="K28"/>
  <c r="L14"/>
  <c r="K14"/>
  <c r="L21" i="168"/>
  <c r="K21"/>
  <c r="K19" i="140"/>
  <c r="L19"/>
  <c r="I13" i="141"/>
  <c r="J13" s="1"/>
  <c r="K21" i="167"/>
  <c r="L21"/>
  <c r="L23"/>
  <c r="K23"/>
  <c r="K19" i="114"/>
  <c r="L19"/>
  <c r="N19" s="1"/>
  <c r="O17"/>
  <c r="O68" i="108"/>
  <c r="L62"/>
  <c r="K62"/>
  <c r="N62" s="1"/>
  <c r="L63"/>
  <c r="K63"/>
  <c r="N63" s="1"/>
  <c r="M62"/>
  <c r="M63"/>
  <c r="E20"/>
  <c r="O20" s="1"/>
  <c r="L62" i="109"/>
  <c r="K62"/>
  <c r="N62" s="1"/>
  <c r="L63"/>
  <c r="K63"/>
  <c r="N63" s="1"/>
  <c r="E20"/>
  <c r="O20" s="1"/>
  <c r="M62"/>
  <c r="M63"/>
  <c r="L46" i="172"/>
  <c r="K46"/>
  <c r="L46" i="171"/>
  <c r="K46"/>
  <c r="L46" i="170"/>
  <c r="K46"/>
  <c r="L41" i="109"/>
  <c r="L29" i="123"/>
  <c r="L31" s="1"/>
  <c r="K29"/>
  <c r="K31" s="1"/>
  <c r="J31"/>
  <c r="L29" i="90"/>
  <c r="L31" s="1"/>
  <c r="K29"/>
  <c r="K31" s="1"/>
  <c r="J31"/>
  <c r="L29" i="51"/>
  <c r="L31" s="1"/>
  <c r="K29"/>
  <c r="K31" s="1"/>
  <c r="J31"/>
  <c r="L66" i="108"/>
  <c r="L68" s="1"/>
  <c r="K66"/>
  <c r="J68"/>
  <c r="L67" i="105"/>
  <c r="L69" s="1"/>
  <c r="K67"/>
  <c r="K69" s="1"/>
  <c r="J69"/>
  <c r="L17" i="172"/>
  <c r="K17"/>
  <c r="L17" i="171"/>
  <c r="K17"/>
  <c r="L17" i="170"/>
  <c r="K17"/>
  <c r="L17" i="141"/>
  <c r="K17"/>
  <c r="O17"/>
  <c r="L17" i="140"/>
  <c r="K17"/>
  <c r="O17"/>
  <c r="L17" i="114"/>
  <c r="K17"/>
  <c r="L17" i="139"/>
  <c r="K17"/>
  <c r="L17" i="138"/>
  <c r="K17"/>
  <c r="N17" s="1"/>
  <c r="O17"/>
  <c r="O17" i="111"/>
  <c r="L17"/>
  <c r="K17"/>
  <c r="N17" s="1"/>
  <c r="L20" i="110"/>
  <c r="K20"/>
  <c r="L20" i="109"/>
  <c r="K20"/>
  <c r="L20" i="108"/>
  <c r="K20"/>
  <c r="L20" i="107"/>
  <c r="K20"/>
  <c r="O19"/>
  <c r="O16"/>
  <c r="O12"/>
  <c r="L20" i="106"/>
  <c r="K20"/>
  <c r="L20" i="105"/>
  <c r="K20"/>
  <c r="K20" i="104"/>
  <c r="L20"/>
  <c r="K20" i="10"/>
  <c r="L20"/>
  <c r="N20"/>
  <c r="O69"/>
  <c r="L50" i="110"/>
  <c r="K50"/>
  <c r="L50" i="108"/>
  <c r="K50"/>
  <c r="N50" s="1"/>
  <c r="L41" i="110"/>
  <c r="K41"/>
  <c r="L41" i="108"/>
  <c r="K41"/>
  <c r="N41" s="1"/>
  <c r="D13" i="150"/>
  <c r="I11" i="110"/>
  <c r="J11" s="1"/>
  <c r="M69" i="107"/>
  <c r="I16" i="141"/>
  <c r="O16" s="1"/>
  <c r="L67" i="10"/>
  <c r="L69" s="1"/>
  <c r="K67"/>
  <c r="K69" s="1"/>
  <c r="J69"/>
  <c r="M69" i="104"/>
  <c r="N13" i="110"/>
  <c r="O40"/>
  <c r="L48" i="108"/>
  <c r="K48"/>
  <c r="M48"/>
  <c r="O48"/>
  <c r="L48" i="109"/>
  <c r="K48"/>
  <c r="M48"/>
  <c r="O48"/>
  <c r="J14" i="110"/>
  <c r="O14"/>
  <c r="J19" i="104"/>
  <c r="L19" s="1"/>
  <c r="O19"/>
  <c r="J17"/>
  <c r="O17"/>
  <c r="J12"/>
  <c r="O12"/>
  <c r="J12" i="109"/>
  <c r="O12"/>
  <c r="J14" i="103"/>
  <c r="I18" i="104"/>
  <c r="I11" i="167"/>
  <c r="J11" s="1"/>
  <c r="H8" i="3"/>
  <c r="H9" s="1"/>
  <c r="N15" i="110"/>
  <c r="N30" i="104"/>
  <c r="N13"/>
  <c r="O30"/>
  <c r="S55" s="1"/>
  <c r="J54" i="172"/>
  <c r="L54" s="1"/>
  <c r="K13" i="109"/>
  <c r="N13" s="1"/>
  <c r="J12" i="110"/>
  <c r="O12"/>
  <c r="J14" i="104"/>
  <c r="O14"/>
  <c r="J14" i="109"/>
  <c r="O14"/>
  <c r="J31" i="103"/>
  <c r="O31"/>
  <c r="K30"/>
  <c r="N30" s="1"/>
  <c r="J12"/>
  <c r="I16" i="104"/>
  <c r="D7" i="173"/>
  <c r="O13" i="141"/>
  <c r="O12"/>
  <c r="O13" i="140"/>
  <c r="O12"/>
  <c r="O9" i="114"/>
  <c r="J28" i="127"/>
  <c r="K28" s="1"/>
  <c r="J55" i="172"/>
  <c r="L55" s="1"/>
  <c r="J60" i="171"/>
  <c r="K60" s="1"/>
  <c r="J12" i="141"/>
  <c r="K12" s="1"/>
  <c r="J40" i="110"/>
  <c r="L40" s="1"/>
  <c r="J31" i="107"/>
  <c r="K31" s="1"/>
  <c r="J12"/>
  <c r="L12" s="1"/>
  <c r="J19"/>
  <c r="L19" s="1"/>
  <c r="J12" i="91"/>
  <c r="K12" s="1"/>
  <c r="J12" i="140"/>
  <c r="L12" s="1"/>
  <c r="J13"/>
  <c r="L13" s="1"/>
  <c r="J30" i="106"/>
  <c r="K30" s="1"/>
  <c r="J21"/>
  <c r="L21" s="1"/>
  <c r="D12" i="173"/>
  <c r="D11"/>
  <c r="J33" i="172"/>
  <c r="K33" s="1"/>
  <c r="J24" i="141"/>
  <c r="K24" s="1"/>
  <c r="J40"/>
  <c r="K40" s="1"/>
  <c r="J37"/>
  <c r="L37" s="1"/>
  <c r="J34"/>
  <c r="L34" s="1"/>
  <c r="J35" i="110"/>
  <c r="L35" s="1"/>
  <c r="J46" i="107"/>
  <c r="J40"/>
  <c r="J37"/>
  <c r="J28"/>
  <c r="J39" i="104"/>
  <c r="J27"/>
  <c r="J39" i="140"/>
  <c r="K39" s="1"/>
  <c r="J33"/>
  <c r="K33" s="1"/>
  <c r="J25"/>
  <c r="K25" s="1"/>
  <c r="J39" i="103"/>
  <c r="L39" s="1"/>
  <c r="J27"/>
  <c r="J36" i="170"/>
  <c r="K36" s="1"/>
  <c r="J23"/>
  <c r="J39" i="114"/>
  <c r="K39" s="1"/>
  <c r="J33"/>
  <c r="J33" i="171"/>
  <c r="K33" s="1"/>
  <c r="L60" i="172"/>
  <c r="K55" i="171"/>
  <c r="L55"/>
  <c r="K54"/>
  <c r="L54"/>
  <c r="K60" i="170"/>
  <c r="L60"/>
  <c r="K55"/>
  <c r="L55"/>
  <c r="K54"/>
  <c r="L54"/>
  <c r="K58" i="114"/>
  <c r="L58"/>
  <c r="K56"/>
  <c r="L56"/>
  <c r="K54"/>
  <c r="L54"/>
  <c r="K35" i="172"/>
  <c r="L35"/>
  <c r="K32"/>
  <c r="L32"/>
  <c r="L24" i="141"/>
  <c r="K18"/>
  <c r="L18"/>
  <c r="L12"/>
  <c r="K9"/>
  <c r="L9"/>
  <c r="L40"/>
  <c r="K39"/>
  <c r="L39"/>
  <c r="K36"/>
  <c r="L36"/>
  <c r="K34"/>
  <c r="K33"/>
  <c r="L33"/>
  <c r="K32" i="171"/>
  <c r="L32"/>
  <c r="K36"/>
  <c r="L36"/>
  <c r="K35"/>
  <c r="L35"/>
  <c r="K24" i="140"/>
  <c r="L24"/>
  <c r="K18"/>
  <c r="L18"/>
  <c r="K9"/>
  <c r="L9"/>
  <c r="K40"/>
  <c r="L40"/>
  <c r="L39"/>
  <c r="K37"/>
  <c r="L37"/>
  <c r="K36"/>
  <c r="L36"/>
  <c r="K34"/>
  <c r="L34"/>
  <c r="L25"/>
  <c r="K16"/>
  <c r="L16"/>
  <c r="L36" i="170"/>
  <c r="K35"/>
  <c r="L35"/>
  <c r="K33"/>
  <c r="L33"/>
  <c r="K32"/>
  <c r="L32"/>
  <c r="K23"/>
  <c r="L23"/>
  <c r="K40" i="114"/>
  <c r="L40"/>
  <c r="L39"/>
  <c r="K37"/>
  <c r="L37"/>
  <c r="K36"/>
  <c r="L36"/>
  <c r="K34"/>
  <c r="L34"/>
  <c r="K33"/>
  <c r="L33"/>
  <c r="K25"/>
  <c r="L25"/>
  <c r="K24"/>
  <c r="L24"/>
  <c r="L28" i="127"/>
  <c r="K28" i="92"/>
  <c r="L28"/>
  <c r="K65" i="110"/>
  <c r="L65"/>
  <c r="K64"/>
  <c r="L64"/>
  <c r="K61"/>
  <c r="L61"/>
  <c r="K60"/>
  <c r="L60"/>
  <c r="K59"/>
  <c r="L59"/>
  <c r="K58"/>
  <c r="L58"/>
  <c r="K66" i="107"/>
  <c r="L66"/>
  <c r="K65"/>
  <c r="L65"/>
  <c r="K64"/>
  <c r="L64"/>
  <c r="K63"/>
  <c r="L63"/>
  <c r="K62"/>
  <c r="L62"/>
  <c r="K61"/>
  <c r="L61"/>
  <c r="K66" i="104"/>
  <c r="L66"/>
  <c r="K65"/>
  <c r="L65"/>
  <c r="K64"/>
  <c r="L64"/>
  <c r="K63"/>
  <c r="L63"/>
  <c r="K62"/>
  <c r="L62"/>
  <c r="K61"/>
  <c r="L61"/>
  <c r="K12" i="127"/>
  <c r="L12"/>
  <c r="K12" i="92"/>
  <c r="L12"/>
  <c r="K12" i="89"/>
  <c r="L12"/>
  <c r="K39" i="110"/>
  <c r="L39"/>
  <c r="K38"/>
  <c r="L38"/>
  <c r="K36"/>
  <c r="L36"/>
  <c r="K35"/>
  <c r="K27"/>
  <c r="L27"/>
  <c r="K26"/>
  <c r="L26"/>
  <c r="K46" i="107"/>
  <c r="L46"/>
  <c r="K45"/>
  <c r="L45"/>
  <c r="K40"/>
  <c r="L40"/>
  <c r="K39"/>
  <c r="L39"/>
  <c r="K37"/>
  <c r="L37"/>
  <c r="K36"/>
  <c r="L36"/>
  <c r="L31"/>
  <c r="K30"/>
  <c r="L30"/>
  <c r="K28"/>
  <c r="L28"/>
  <c r="K27"/>
  <c r="L27"/>
  <c r="K21"/>
  <c r="L21"/>
  <c r="K15"/>
  <c r="L15"/>
  <c r="K19"/>
  <c r="K16"/>
  <c r="L16"/>
  <c r="K46" i="104"/>
  <c r="L46"/>
  <c r="K45"/>
  <c r="L45"/>
  <c r="K40"/>
  <c r="L40"/>
  <c r="K39"/>
  <c r="L39"/>
  <c r="K37"/>
  <c r="L37"/>
  <c r="K36"/>
  <c r="L36"/>
  <c r="K28"/>
  <c r="L28"/>
  <c r="K27"/>
  <c r="L27"/>
  <c r="K12" i="126"/>
  <c r="L12"/>
  <c r="K12" i="88"/>
  <c r="L12"/>
  <c r="K40" i="109"/>
  <c r="L40"/>
  <c r="K39"/>
  <c r="L39"/>
  <c r="K38"/>
  <c r="L38"/>
  <c r="K36"/>
  <c r="L36"/>
  <c r="K35"/>
  <c r="L35"/>
  <c r="K27"/>
  <c r="L27"/>
  <c r="K26"/>
  <c r="L26"/>
  <c r="K46" i="106"/>
  <c r="L46"/>
  <c r="K45"/>
  <c r="L45"/>
  <c r="K40"/>
  <c r="L40"/>
  <c r="K39"/>
  <c r="L39"/>
  <c r="K37"/>
  <c r="L37"/>
  <c r="K36"/>
  <c r="L36"/>
  <c r="K31"/>
  <c r="L31"/>
  <c r="L30"/>
  <c r="K28"/>
  <c r="L28"/>
  <c r="K27"/>
  <c r="L27"/>
  <c r="K21"/>
  <c r="K15"/>
  <c r="L15"/>
  <c r="K12"/>
  <c r="L12"/>
  <c r="K46" i="103"/>
  <c r="L46"/>
  <c r="K45"/>
  <c r="L45"/>
  <c r="K40"/>
  <c r="L40"/>
  <c r="K39"/>
  <c r="K37"/>
  <c r="L37"/>
  <c r="K36"/>
  <c r="L36"/>
  <c r="K28"/>
  <c r="L28"/>
  <c r="K27"/>
  <c r="L27"/>
  <c r="I10" i="107"/>
  <c r="J10" s="1"/>
  <c r="K18" i="114"/>
  <c r="L18"/>
  <c r="K12"/>
  <c r="L12"/>
  <c r="K9"/>
  <c r="L9"/>
  <c r="H65" i="49" l="1"/>
  <c r="H64"/>
  <c r="H63"/>
  <c r="H81"/>
  <c r="H80"/>
  <c r="H79"/>
  <c r="H78"/>
  <c r="H77"/>
  <c r="H76"/>
  <c r="H75"/>
  <c r="B8" i="150" s="1"/>
  <c r="H74" i="49"/>
  <c r="H73"/>
  <c r="H72"/>
  <c r="I73" s="1"/>
  <c r="J73" s="1"/>
  <c r="H69"/>
  <c r="H68"/>
  <c r="H67"/>
  <c r="H66"/>
  <c r="H70"/>
  <c r="N36" i="110"/>
  <c r="N28" i="140"/>
  <c r="N37" i="107"/>
  <c r="N46"/>
  <c r="N23" i="158"/>
  <c r="I11" i="103"/>
  <c r="N11" i="172"/>
  <c r="N9"/>
  <c r="N38"/>
  <c r="N26" i="171"/>
  <c r="N9"/>
  <c r="N37" i="170"/>
  <c r="N61"/>
  <c r="N59"/>
  <c r="N27" i="141"/>
  <c r="N50" i="107"/>
  <c r="J57" i="49"/>
  <c r="B9" i="150"/>
  <c r="H62" i="49"/>
  <c r="I82"/>
  <c r="N21" i="110"/>
  <c r="I7" i="141"/>
  <c r="I22" i="114"/>
  <c r="O22" s="1"/>
  <c r="I7"/>
  <c r="N64" i="103"/>
  <c r="N50"/>
  <c r="N52"/>
  <c r="N61" i="10"/>
  <c r="N65"/>
  <c r="N19" i="110"/>
  <c r="O25" i="140"/>
  <c r="I25" i="141"/>
  <c r="N39" i="110"/>
  <c r="K13" i="140"/>
  <c r="L33"/>
  <c r="N15" i="104"/>
  <c r="N22"/>
  <c r="N15" i="171"/>
  <c r="N18" i="107"/>
  <c r="N18" i="110"/>
  <c r="N17"/>
  <c r="N57" i="170"/>
  <c r="N26"/>
  <c r="N14" i="171"/>
  <c r="N35" i="110"/>
  <c r="N7"/>
  <c r="N29"/>
  <c r="L26" i="157"/>
  <c r="N15"/>
  <c r="N23"/>
  <c r="N15" i="140"/>
  <c r="L15" i="141"/>
  <c r="N15" s="1"/>
  <c r="N63" i="105"/>
  <c r="N62"/>
  <c r="N17" i="107"/>
  <c r="N39" i="106"/>
  <c r="K55" i="172"/>
  <c r="K54"/>
  <c r="L60" i="171"/>
  <c r="N62" i="106"/>
  <c r="N61"/>
  <c r="N14" i="107"/>
  <c r="N36"/>
  <c r="N21" i="103"/>
  <c r="N62"/>
  <c r="N66"/>
  <c r="N18"/>
  <c r="N22"/>
  <c r="N61"/>
  <c r="N16"/>
  <c r="N53"/>
  <c r="N28"/>
  <c r="N40"/>
  <c r="N46"/>
  <c r="N36" i="106"/>
  <c r="N37"/>
  <c r="N28" i="107"/>
  <c r="N40"/>
  <c r="N45"/>
  <c r="N38" i="110"/>
  <c r="N33" i="170"/>
  <c r="N24" i="140"/>
  <c r="N39" i="103"/>
  <c r="N28" i="141"/>
  <c r="N15" i="103"/>
  <c r="N21" i="104"/>
  <c r="N32" i="109"/>
  <c r="N46" i="172"/>
  <c r="L33"/>
  <c r="N17" i="171"/>
  <c r="N23"/>
  <c r="N24"/>
  <c r="O59" i="172"/>
  <c r="J59"/>
  <c r="M59"/>
  <c r="O55"/>
  <c r="M55"/>
  <c r="N36" i="170"/>
  <c r="J57" i="172"/>
  <c r="J56"/>
  <c r="L33" i="171"/>
  <c r="N54" i="170"/>
  <c r="N55"/>
  <c r="N17"/>
  <c r="N45"/>
  <c r="K37" i="141"/>
  <c r="L13"/>
  <c r="K13"/>
  <c r="N39" i="140"/>
  <c r="N24" i="114"/>
  <c r="N33"/>
  <c r="N34"/>
  <c r="N36"/>
  <c r="N39"/>
  <c r="N40"/>
  <c r="N33" i="140"/>
  <c r="N36"/>
  <c r="N37"/>
  <c r="N14" i="141"/>
  <c r="N27" i="110"/>
  <c r="N27" i="109"/>
  <c r="N36"/>
  <c r="N39"/>
  <c r="N18"/>
  <c r="N22"/>
  <c r="N17"/>
  <c r="N19"/>
  <c r="N61"/>
  <c r="N20" i="108"/>
  <c r="K68"/>
  <c r="N61"/>
  <c r="N58"/>
  <c r="N20" i="105"/>
  <c r="N27" i="104"/>
  <c r="N28"/>
  <c r="N36"/>
  <c r="N37"/>
  <c r="N39"/>
  <c r="N40"/>
  <c r="N45"/>
  <c r="N46"/>
  <c r="N27" i="103"/>
  <c r="N37"/>
  <c r="N36"/>
  <c r="N45"/>
  <c r="N27" i="106"/>
  <c r="N28"/>
  <c r="N46"/>
  <c r="N26" i="109"/>
  <c r="N27" i="107"/>
  <c r="N39"/>
  <c r="N26" i="110"/>
  <c r="N35" i="171"/>
  <c r="N32"/>
  <c r="N34" i="141"/>
  <c r="N40"/>
  <c r="N35" i="172"/>
  <c r="N40" i="106"/>
  <c r="I47" i="110"/>
  <c r="K40"/>
  <c r="I11" i="109"/>
  <c r="N20" i="103"/>
  <c r="N31" i="106"/>
  <c r="J16" i="141"/>
  <c r="K23" i="164"/>
  <c r="N9" i="165"/>
  <c r="L22" i="159"/>
  <c r="K22"/>
  <c r="K12" i="107"/>
  <c r="N63"/>
  <c r="K12" i="140"/>
  <c r="N12" s="1"/>
  <c r="N9" i="141"/>
  <c r="K9" i="164"/>
  <c r="N41" i="109"/>
  <c r="N18" i="114"/>
  <c r="N30" i="107"/>
  <c r="N63" i="104"/>
  <c r="N61" i="107"/>
  <c r="N62"/>
  <c r="K19" i="104"/>
  <c r="N19" s="1"/>
  <c r="N9" i="166"/>
  <c r="L55" i="114"/>
  <c r="K55"/>
  <c r="N23" i="162"/>
  <c r="J22" i="114"/>
  <c r="J57"/>
  <c r="J59"/>
  <c r="N12"/>
  <c r="N15" i="106"/>
  <c r="N30"/>
  <c r="N40" i="109"/>
  <c r="N12" i="126"/>
  <c r="N19" i="107"/>
  <c r="N58" i="110"/>
  <c r="N60"/>
  <c r="N61"/>
  <c r="N13" i="140"/>
  <c r="N9"/>
  <c r="N18"/>
  <c r="N18" i="141"/>
  <c r="N56" i="114"/>
  <c r="N13" i="141"/>
  <c r="N20" i="104"/>
  <c r="N20" i="106"/>
  <c r="N21" i="107"/>
  <c r="N61" i="104"/>
  <c r="N62"/>
  <c r="N65" i="107"/>
  <c r="N66"/>
  <c r="N28" i="92"/>
  <c r="N28" i="127"/>
  <c r="N12" i="92"/>
  <c r="I25" i="106"/>
  <c r="O25" s="1"/>
  <c r="I66" i="109"/>
  <c r="O66" s="1"/>
  <c r="O68" s="1"/>
  <c r="D7" i="150"/>
  <c r="I11" i="107"/>
  <c r="J11" s="1"/>
  <c r="I24" i="109"/>
  <c r="I49" i="110"/>
  <c r="I63" s="1"/>
  <c r="D8" i="150"/>
  <c r="N12" i="127"/>
  <c r="I10" i="104"/>
  <c r="J10" s="1"/>
  <c r="I25" i="107"/>
  <c r="J25" s="1"/>
  <c r="I46" i="110"/>
  <c r="P46" s="1"/>
  <c r="O25" i="107"/>
  <c r="I10" i="109"/>
  <c r="J10" s="1"/>
  <c r="I10" i="106"/>
  <c r="J10" s="1"/>
  <c r="I11"/>
  <c r="J11" s="1"/>
  <c r="I40" i="49"/>
  <c r="I48" i="110"/>
  <c r="I67" i="106"/>
  <c r="O67" s="1"/>
  <c r="O69" s="1"/>
  <c r="J66" i="109"/>
  <c r="N12" i="88"/>
  <c r="B6" i="150"/>
  <c r="B11" i="174" s="1"/>
  <c r="I7" i="140"/>
  <c r="B5" i="150"/>
  <c r="B12" i="173"/>
  <c r="N12" i="106"/>
  <c r="N16" i="107"/>
  <c r="N15"/>
  <c r="N64"/>
  <c r="N59" i="110"/>
  <c r="N64"/>
  <c r="N65"/>
  <c r="N41"/>
  <c r="N50"/>
  <c r="N20" i="107"/>
  <c r="N20" i="110"/>
  <c r="N17" i="141"/>
  <c r="N14" i="140"/>
  <c r="N9" i="159"/>
  <c r="N23"/>
  <c r="N23" i="164"/>
  <c r="I66" i="110"/>
  <c r="O66" s="1"/>
  <c r="N65" i="104"/>
  <c r="N66"/>
  <c r="I67" i="107"/>
  <c r="I7" i="105"/>
  <c r="I50"/>
  <c r="I51" i="107"/>
  <c r="I53"/>
  <c r="I52"/>
  <c r="D5" i="150"/>
  <c r="I7" i="108"/>
  <c r="I45"/>
  <c r="D6" i="150"/>
  <c r="N64" i="104"/>
  <c r="D3" i="150"/>
  <c r="B9" i="173"/>
  <c r="B8" i="174"/>
  <c r="D3" i="173"/>
  <c r="I25" i="49"/>
  <c r="D9" i="150"/>
  <c r="D14"/>
  <c r="D10" s="1"/>
  <c r="I29" i="89"/>
  <c r="I29" i="88"/>
  <c r="I16" i="51"/>
  <c r="I7"/>
  <c r="I11" i="89"/>
  <c r="I10"/>
  <c r="I10" i="88"/>
  <c r="D16" i="150"/>
  <c r="D12" s="1"/>
  <c r="I19" i="127"/>
  <c r="I18"/>
  <c r="I26" s="1"/>
  <c r="I17"/>
  <c r="I29"/>
  <c r="I11" i="126"/>
  <c r="J11" s="1"/>
  <c r="K11" s="1"/>
  <c r="I10"/>
  <c r="J10" s="1"/>
  <c r="I29"/>
  <c r="I11" i="127"/>
  <c r="J11" s="1"/>
  <c r="I10"/>
  <c r="J10" s="1"/>
  <c r="L10" s="1"/>
  <c r="I7" i="123"/>
  <c r="I16"/>
  <c r="O22" i="159"/>
  <c r="P26"/>
  <c r="M22"/>
  <c r="M26" s="1"/>
  <c r="M48" i="110"/>
  <c r="P47"/>
  <c r="O47"/>
  <c r="M47"/>
  <c r="O46"/>
  <c r="M50" i="109"/>
  <c r="O50"/>
  <c r="I17" i="167"/>
  <c r="J17" s="1"/>
  <c r="I12"/>
  <c r="J12" s="1"/>
  <c r="H13"/>
  <c r="I13" s="1"/>
  <c r="J13" s="1"/>
  <c r="O54" i="114"/>
  <c r="O55"/>
  <c r="M55"/>
  <c r="O58"/>
  <c r="M58"/>
  <c r="L26" i="163"/>
  <c r="I67" i="104"/>
  <c r="J50" i="109"/>
  <c r="J25" i="106"/>
  <c r="J46" i="110"/>
  <c r="J47"/>
  <c r="J48"/>
  <c r="J19" i="141"/>
  <c r="I10" i="169"/>
  <c r="J10" s="1"/>
  <c r="I12"/>
  <c r="J12" s="1"/>
  <c r="K12" s="1"/>
  <c r="I11"/>
  <c r="J11" s="1"/>
  <c r="I16" i="90"/>
  <c r="I7"/>
  <c r="I11" i="91"/>
  <c r="J11" s="1"/>
  <c r="K11" s="1"/>
  <c r="I11" i="92"/>
  <c r="J11" s="1"/>
  <c r="I10" i="91"/>
  <c r="J10" s="1"/>
  <c r="J20" s="1"/>
  <c r="I10" i="92"/>
  <c r="J10" s="1"/>
  <c r="I29" i="91"/>
  <c r="I29" i="92"/>
  <c r="I67" i="103"/>
  <c r="M19" i="167"/>
  <c r="M23" i="168"/>
  <c r="N9" i="164"/>
  <c r="P26"/>
  <c r="N23" i="163"/>
  <c r="K26" i="162"/>
  <c r="N9"/>
  <c r="N7" i="163"/>
  <c r="K26"/>
  <c r="N22"/>
  <c r="N22" i="162"/>
  <c r="L26"/>
  <c r="N7"/>
  <c r="N14" i="158"/>
  <c r="N9"/>
  <c r="N7"/>
  <c r="N7" i="157"/>
  <c r="N16" s="1"/>
  <c r="K26"/>
  <c r="K16"/>
  <c r="N22"/>
  <c r="N26" s="1"/>
  <c r="J27"/>
  <c r="L27"/>
  <c r="O27"/>
  <c r="L12" i="91"/>
  <c r="N12" s="1"/>
  <c r="N16" i="109"/>
  <c r="N46"/>
  <c r="N15"/>
  <c r="N45"/>
  <c r="N59"/>
  <c r="N65"/>
  <c r="N35"/>
  <c r="N48"/>
  <c r="N7"/>
  <c r="N38"/>
  <c r="N20"/>
  <c r="N48" i="108"/>
  <c r="N57" i="171"/>
  <c r="O61" i="172"/>
  <c r="M61"/>
  <c r="P61"/>
  <c r="N32"/>
  <c r="J61"/>
  <c r="K61" i="171"/>
  <c r="L61"/>
  <c r="N60" i="172"/>
  <c r="N13"/>
  <c r="N16" i="171"/>
  <c r="N23" i="170"/>
  <c r="N32"/>
  <c r="M21" i="167"/>
  <c r="L16" i="172"/>
  <c r="N56" i="170"/>
  <c r="M21" i="168"/>
  <c r="N59" i="171"/>
  <c r="N33"/>
  <c r="N33" i="172"/>
  <c r="N55" i="171"/>
  <c r="N60"/>
  <c r="N46"/>
  <c r="N14" i="172"/>
  <c r="N37"/>
  <c r="N15"/>
  <c r="N54"/>
  <c r="N55"/>
  <c r="N17"/>
  <c r="J36"/>
  <c r="N16"/>
  <c r="K45"/>
  <c r="L45"/>
  <c r="N35" i="170"/>
  <c r="N36" i="171"/>
  <c r="N60" i="170"/>
  <c r="N46"/>
  <c r="M23" i="167"/>
  <c r="N38" i="170"/>
  <c r="I17" i="169"/>
  <c r="J17" s="1"/>
  <c r="K17" s="1"/>
  <c r="N19" i="140"/>
  <c r="N33" i="141"/>
  <c r="N12"/>
  <c r="N24"/>
  <c r="N36"/>
  <c r="N37"/>
  <c r="N39"/>
  <c r="N17" i="140"/>
  <c r="N9" i="114"/>
  <c r="N25"/>
  <c r="N37"/>
  <c r="N25" i="140"/>
  <c r="N34"/>
  <c r="N40"/>
  <c r="N58" i="114"/>
  <c r="N17"/>
  <c r="N16" i="140"/>
  <c r="M68" i="108"/>
  <c r="M68" i="109"/>
  <c r="N29" i="123"/>
  <c r="N31" s="1"/>
  <c r="N29" i="90"/>
  <c r="N31" s="1"/>
  <c r="N29" i="51"/>
  <c r="N31" s="1"/>
  <c r="N66" i="108"/>
  <c r="N68" s="1"/>
  <c r="N67" i="105"/>
  <c r="N69" s="1"/>
  <c r="N17" i="139"/>
  <c r="N45" i="106"/>
  <c r="I20" i="49"/>
  <c r="J19" s="1"/>
  <c r="D4" i="150"/>
  <c r="B2" i="174" s="1"/>
  <c r="I53" i="104"/>
  <c r="I52"/>
  <c r="I51"/>
  <c r="I50" i="10"/>
  <c r="I7"/>
  <c r="I10" i="103"/>
  <c r="M10" s="1"/>
  <c r="J11"/>
  <c r="K11" s="1"/>
  <c r="I25"/>
  <c r="I25" i="104"/>
  <c r="J11"/>
  <c r="L11" s="1"/>
  <c r="N21" i="106"/>
  <c r="N12" i="107"/>
  <c r="D8" i="173"/>
  <c r="N67" i="10"/>
  <c r="N69" s="1"/>
  <c r="N40" i="110"/>
  <c r="K12" i="103"/>
  <c r="L12"/>
  <c r="L31"/>
  <c r="K31"/>
  <c r="K14" i="109"/>
  <c r="L14"/>
  <c r="K14" i="104"/>
  <c r="L14"/>
  <c r="K12" i="110"/>
  <c r="L12"/>
  <c r="I10" i="167"/>
  <c r="J10" s="1"/>
  <c r="L11"/>
  <c r="K11"/>
  <c r="O18" i="104"/>
  <c r="J18"/>
  <c r="M24" i="169"/>
  <c r="K12" i="104"/>
  <c r="L12"/>
  <c r="K17"/>
  <c r="L17"/>
  <c r="K14" i="110"/>
  <c r="L14"/>
  <c r="O16" i="104"/>
  <c r="J16"/>
  <c r="L17" i="167"/>
  <c r="K17"/>
  <c r="K14" i="103"/>
  <c r="L14"/>
  <c r="K12" i="109"/>
  <c r="L12"/>
  <c r="N31" i="107"/>
  <c r="N12" i="89"/>
  <c r="N54" i="114"/>
  <c r="N54" i="171"/>
  <c r="K10" i="106"/>
  <c r="L10"/>
  <c r="K11"/>
  <c r="L11"/>
  <c r="K10" i="109"/>
  <c r="L10"/>
  <c r="L10" i="91"/>
  <c r="K10" i="126"/>
  <c r="L10"/>
  <c r="L11"/>
  <c r="K10" i="104"/>
  <c r="L10"/>
  <c r="K10" i="107"/>
  <c r="L10"/>
  <c r="K11"/>
  <c r="L11"/>
  <c r="K10" i="110"/>
  <c r="L10"/>
  <c r="K11"/>
  <c r="L11"/>
  <c r="K10" i="92"/>
  <c r="L10"/>
  <c r="K11"/>
  <c r="L11"/>
  <c r="K10" i="127"/>
  <c r="K11"/>
  <c r="L11"/>
  <c r="O10"/>
  <c r="O10" i="126"/>
  <c r="M10"/>
  <c r="O10" i="92"/>
  <c r="M10"/>
  <c r="O10" i="91"/>
  <c r="O10" i="110"/>
  <c r="M10"/>
  <c r="O10" i="109"/>
  <c r="M10"/>
  <c r="O10" i="107"/>
  <c r="M10"/>
  <c r="O10" i="106"/>
  <c r="M10"/>
  <c r="O10" i="104"/>
  <c r="M10"/>
  <c r="O11" i="127"/>
  <c r="M11"/>
  <c r="O11" i="126"/>
  <c r="O11" i="92"/>
  <c r="M11"/>
  <c r="O11" i="91"/>
  <c r="O11" i="110"/>
  <c r="M11"/>
  <c r="O11" i="109"/>
  <c r="M11"/>
  <c r="O11" i="107"/>
  <c r="M11"/>
  <c r="O11" i="106"/>
  <c r="M11"/>
  <c r="B10" i="150" l="1"/>
  <c r="I7" i="156"/>
  <c r="B12" i="150"/>
  <c r="I7" i="166"/>
  <c r="I7" i="165"/>
  <c r="I7" i="164"/>
  <c r="B11" i="150"/>
  <c r="I15" i="163"/>
  <c r="I15" i="162"/>
  <c r="I15" i="159"/>
  <c r="I14"/>
  <c r="I13"/>
  <c r="I7"/>
  <c r="I22" i="140"/>
  <c r="I22" i="141"/>
  <c r="I22" i="138"/>
  <c r="I7"/>
  <c r="I22" i="139"/>
  <c r="I7"/>
  <c r="I22" i="111"/>
  <c r="I7"/>
  <c r="I65" i="49"/>
  <c r="I7" i="171"/>
  <c r="I7" i="172"/>
  <c r="I7" i="170"/>
  <c r="J55" i="106"/>
  <c r="O26" i="127"/>
  <c r="M26"/>
  <c r="M31" s="1"/>
  <c r="J26"/>
  <c r="P48" i="110"/>
  <c r="I62"/>
  <c r="O63"/>
  <c r="M63"/>
  <c r="J63"/>
  <c r="R52" i="109"/>
  <c r="R55" i="106"/>
  <c r="R55" i="107"/>
  <c r="B6" i="173"/>
  <c r="B5" i="174"/>
  <c r="B4" i="150"/>
  <c r="B3"/>
  <c r="O11" i="103"/>
  <c r="N22" i="159"/>
  <c r="O25" i="141"/>
  <c r="J25"/>
  <c r="L12" i="169"/>
  <c r="J11" i="109"/>
  <c r="I11" i="168"/>
  <c r="J11" s="1"/>
  <c r="L11" i="103"/>
  <c r="M52" i="109"/>
  <c r="M46" i="110"/>
  <c r="L57" i="172"/>
  <c r="K57"/>
  <c r="L59"/>
  <c r="K59"/>
  <c r="N61" i="171"/>
  <c r="K56" i="172"/>
  <c r="L56"/>
  <c r="K16" i="141"/>
  <c r="L16"/>
  <c r="M11" i="104"/>
  <c r="K11"/>
  <c r="N11" s="1"/>
  <c r="L11" i="91"/>
  <c r="N12" i="110"/>
  <c r="N55" i="114"/>
  <c r="M11" i="103"/>
  <c r="M11" i="91"/>
  <c r="M11" i="126"/>
  <c r="M10" i="91"/>
  <c r="M10" i="127"/>
  <c r="K10" i="91"/>
  <c r="N26" i="162"/>
  <c r="N26" i="163"/>
  <c r="J67" i="106"/>
  <c r="K57" i="114"/>
  <c r="L57"/>
  <c r="K59"/>
  <c r="L59"/>
  <c r="K22"/>
  <c r="L22"/>
  <c r="N14" i="109"/>
  <c r="O24"/>
  <c r="O52" s="1"/>
  <c r="O69" s="1"/>
  <c r="J24"/>
  <c r="J52" s="1"/>
  <c r="O24" i="110"/>
  <c r="J24"/>
  <c r="P49"/>
  <c r="P52" s="1"/>
  <c r="M49"/>
  <c r="O49"/>
  <c r="J49"/>
  <c r="K66" i="109"/>
  <c r="L66"/>
  <c r="L68" s="1"/>
  <c r="J68"/>
  <c r="H21" i="169"/>
  <c r="I21" s="1"/>
  <c r="J21" s="1"/>
  <c r="O48" i="110"/>
  <c r="O11" i="104"/>
  <c r="R55" s="1"/>
  <c r="N11" i="126"/>
  <c r="J66" i="110"/>
  <c r="L25" i="107"/>
  <c r="K25"/>
  <c r="B8" i="173"/>
  <c r="B7" i="174"/>
  <c r="M7" i="140"/>
  <c r="J7"/>
  <c r="O7"/>
  <c r="R48" s="1"/>
  <c r="I45"/>
  <c r="I60"/>
  <c r="I44"/>
  <c r="M7" i="172"/>
  <c r="J7"/>
  <c r="O7"/>
  <c r="I42"/>
  <c r="I43"/>
  <c r="N11" i="107"/>
  <c r="N10" i="104"/>
  <c r="N12" i="109"/>
  <c r="N14" i="110"/>
  <c r="N12" i="104"/>
  <c r="N14"/>
  <c r="M7" i="141"/>
  <c r="O7"/>
  <c r="R48" s="1"/>
  <c r="I45"/>
  <c r="J7"/>
  <c r="I60"/>
  <c r="I44"/>
  <c r="M7" i="114"/>
  <c r="O7"/>
  <c r="R48" s="1"/>
  <c r="I46"/>
  <c r="I44"/>
  <c r="I60"/>
  <c r="I45"/>
  <c r="J7"/>
  <c r="O7" i="170"/>
  <c r="R45" s="1"/>
  <c r="C12" i="173" s="1"/>
  <c r="E12" s="1"/>
  <c r="M7" i="170"/>
  <c r="J7"/>
  <c r="I62"/>
  <c r="I42"/>
  <c r="I43"/>
  <c r="N11" i="106"/>
  <c r="N11" i="110"/>
  <c r="N10"/>
  <c r="N10" i="126"/>
  <c r="N11" i="91"/>
  <c r="N14" i="103"/>
  <c r="N12"/>
  <c r="O45" i="108"/>
  <c r="M45"/>
  <c r="P45"/>
  <c r="P52" s="1"/>
  <c r="P69" s="1"/>
  <c r="J45"/>
  <c r="B7" i="173"/>
  <c r="B6" i="174"/>
  <c r="P53" i="107"/>
  <c r="O53"/>
  <c r="M53"/>
  <c r="J53"/>
  <c r="P50" i="105"/>
  <c r="P55" s="1"/>
  <c r="O50"/>
  <c r="M50"/>
  <c r="J50"/>
  <c r="O67" i="107"/>
  <c r="O69" s="1"/>
  <c r="J67"/>
  <c r="R52" i="110"/>
  <c r="N11" i="127"/>
  <c r="N10"/>
  <c r="N11" i="92"/>
  <c r="N10" i="107"/>
  <c r="N10" i="106"/>
  <c r="N17" i="104"/>
  <c r="N31" i="103"/>
  <c r="J20" i="126"/>
  <c r="B11" i="173"/>
  <c r="B10" i="174"/>
  <c r="O7" i="108"/>
  <c r="M7"/>
  <c r="J7"/>
  <c r="P52" i="107"/>
  <c r="M52"/>
  <c r="O52"/>
  <c r="J52"/>
  <c r="P51"/>
  <c r="P55" s="1"/>
  <c r="P70" s="1"/>
  <c r="O51"/>
  <c r="M51"/>
  <c r="J51"/>
  <c r="O7" i="105"/>
  <c r="M7"/>
  <c r="P7"/>
  <c r="J7"/>
  <c r="K66" i="110"/>
  <c r="L66"/>
  <c r="L17" i="169"/>
  <c r="N10" i="91"/>
  <c r="L20"/>
  <c r="J67" i="103"/>
  <c r="J69" s="1"/>
  <c r="O67"/>
  <c r="O69" s="1"/>
  <c r="O59" i="140"/>
  <c r="J59"/>
  <c r="M58"/>
  <c r="O58"/>
  <c r="J58"/>
  <c r="O57"/>
  <c r="J57"/>
  <c r="O56"/>
  <c r="J56"/>
  <c r="M55"/>
  <c r="M62" s="1"/>
  <c r="O55"/>
  <c r="J55"/>
  <c r="H13" i="168"/>
  <c r="I13" s="1"/>
  <c r="J13" s="1"/>
  <c r="O54" i="140"/>
  <c r="J54"/>
  <c r="O29" i="92"/>
  <c r="J29"/>
  <c r="O29" i="91"/>
  <c r="O31" s="1"/>
  <c r="R31" s="1"/>
  <c r="J29"/>
  <c r="I18" i="92"/>
  <c r="I26" s="1"/>
  <c r="I19"/>
  <c r="O7" i="90"/>
  <c r="M7"/>
  <c r="J7"/>
  <c r="I17" i="92"/>
  <c r="P16" i="90"/>
  <c r="O16"/>
  <c r="M16"/>
  <c r="J16"/>
  <c r="K10" i="169"/>
  <c r="L10"/>
  <c r="L19" i="141"/>
  <c r="K19"/>
  <c r="K48" i="110"/>
  <c r="L48"/>
  <c r="K47"/>
  <c r="L47"/>
  <c r="K46"/>
  <c r="L46"/>
  <c r="K25" i="106"/>
  <c r="L25"/>
  <c r="K50" i="109"/>
  <c r="L50"/>
  <c r="L67" i="106"/>
  <c r="L69" s="1"/>
  <c r="K67"/>
  <c r="J69"/>
  <c r="J70" s="1"/>
  <c r="L13" i="167"/>
  <c r="K13"/>
  <c r="K12"/>
  <c r="L12"/>
  <c r="J23" i="165"/>
  <c r="M23"/>
  <c r="O23"/>
  <c r="P16" i="123"/>
  <c r="P20" s="1"/>
  <c r="O16"/>
  <c r="M16"/>
  <c r="J16"/>
  <c r="O7"/>
  <c r="M7"/>
  <c r="J7"/>
  <c r="O29" i="126"/>
  <c r="O31" s="1"/>
  <c r="R31" s="1"/>
  <c r="J29"/>
  <c r="O29" i="127"/>
  <c r="O31" s="1"/>
  <c r="R31" s="1"/>
  <c r="J29"/>
  <c r="P17"/>
  <c r="M17"/>
  <c r="O17"/>
  <c r="J17"/>
  <c r="P18"/>
  <c r="M18"/>
  <c r="O18"/>
  <c r="J18"/>
  <c r="P19"/>
  <c r="O19"/>
  <c r="M19"/>
  <c r="J19"/>
  <c r="B13" i="173"/>
  <c r="B12" i="174"/>
  <c r="J10" i="88"/>
  <c r="O10"/>
  <c r="M10"/>
  <c r="J11"/>
  <c r="O11"/>
  <c r="M11"/>
  <c r="J10" i="89"/>
  <c r="O10"/>
  <c r="M10"/>
  <c r="J11"/>
  <c r="O11"/>
  <c r="M11"/>
  <c r="C3" i="175"/>
  <c r="I19" i="89"/>
  <c r="I17"/>
  <c r="P17" s="1"/>
  <c r="I18"/>
  <c r="I26" s="1"/>
  <c r="O29" i="88"/>
  <c r="O31" s="1"/>
  <c r="R31" s="1"/>
  <c r="J29"/>
  <c r="O29" i="89"/>
  <c r="J29"/>
  <c r="M20" i="91"/>
  <c r="O20"/>
  <c r="M20" i="126"/>
  <c r="O20"/>
  <c r="N20"/>
  <c r="L20"/>
  <c r="K20"/>
  <c r="K20" i="91"/>
  <c r="H23" i="169"/>
  <c r="I23" s="1"/>
  <c r="J23" s="1"/>
  <c r="D19" i="150"/>
  <c r="M62" i="114"/>
  <c r="D15" i="173"/>
  <c r="K27" i="157"/>
  <c r="N27"/>
  <c r="N10" i="92"/>
  <c r="N10" i="109"/>
  <c r="K61" i="172"/>
  <c r="L61"/>
  <c r="M12" i="169"/>
  <c r="N45" i="172"/>
  <c r="K36"/>
  <c r="L36"/>
  <c r="M11" i="167"/>
  <c r="M17" i="169"/>
  <c r="M17" i="167"/>
  <c r="O10" i="103"/>
  <c r="R55" s="1"/>
  <c r="N11"/>
  <c r="O25" i="104"/>
  <c r="J25"/>
  <c r="O25" i="103"/>
  <c r="J25"/>
  <c r="J67" i="104"/>
  <c r="O67"/>
  <c r="O69" s="1"/>
  <c r="J10" i="103"/>
  <c r="O7" i="10"/>
  <c r="M7"/>
  <c r="J7"/>
  <c r="O50"/>
  <c r="M50"/>
  <c r="J50"/>
  <c r="P50"/>
  <c r="P55" s="1"/>
  <c r="P51" i="104"/>
  <c r="M51"/>
  <c r="O51"/>
  <c r="J51"/>
  <c r="P52"/>
  <c r="M52"/>
  <c r="O52"/>
  <c r="J52"/>
  <c r="P53"/>
  <c r="M53"/>
  <c r="O53"/>
  <c r="J53"/>
  <c r="B5" i="173"/>
  <c r="B4" i="174"/>
  <c r="O18" i="89"/>
  <c r="M18"/>
  <c r="J18"/>
  <c r="O17"/>
  <c r="M17"/>
  <c r="J17"/>
  <c r="P16" i="51"/>
  <c r="P20" s="1"/>
  <c r="O16"/>
  <c r="M16"/>
  <c r="J16"/>
  <c r="O7"/>
  <c r="M7"/>
  <c r="J7"/>
  <c r="B3" i="173"/>
  <c r="L16" i="104"/>
  <c r="K16"/>
  <c r="L11" i="169"/>
  <c r="K11"/>
  <c r="L10" i="167"/>
  <c r="K10"/>
  <c r="L18" i="104"/>
  <c r="K18"/>
  <c r="I10" i="168"/>
  <c r="J10" s="1"/>
  <c r="M24"/>
  <c r="K11"/>
  <c r="L11"/>
  <c r="I12"/>
  <c r="J12" s="1"/>
  <c r="I17"/>
  <c r="J17" s="1"/>
  <c r="O55" i="106"/>
  <c r="O70" s="1"/>
  <c r="O55" i="107"/>
  <c r="O70" s="1"/>
  <c r="R20" i="91"/>
  <c r="O32"/>
  <c r="R20" i="92"/>
  <c r="R20" i="126"/>
  <c r="O32"/>
  <c r="R20" i="127"/>
  <c r="M55" i="103"/>
  <c r="M70" s="1"/>
  <c r="M55" i="106"/>
  <c r="M70" s="1"/>
  <c r="M55" i="107"/>
  <c r="M70" s="1"/>
  <c r="M69" i="109"/>
  <c r="M52" i="110"/>
  <c r="M32" i="91"/>
  <c r="M32" i="126"/>
  <c r="L55" i="106"/>
  <c r="L70" s="1"/>
  <c r="K55"/>
  <c r="I44" i="170" l="1"/>
  <c r="I58"/>
  <c r="I62" i="172"/>
  <c r="I62" i="171"/>
  <c r="I44"/>
  <c r="I43"/>
  <c r="I42"/>
  <c r="J7"/>
  <c r="O7"/>
  <c r="M7"/>
  <c r="I60" i="111"/>
  <c r="I45"/>
  <c r="I46"/>
  <c r="I44"/>
  <c r="J7"/>
  <c r="O7"/>
  <c r="M7"/>
  <c r="J22"/>
  <c r="O22"/>
  <c r="I60" i="139"/>
  <c r="I44"/>
  <c r="I45"/>
  <c r="J7"/>
  <c r="O7"/>
  <c r="M7"/>
  <c r="J22"/>
  <c r="O22"/>
  <c r="I60" i="138"/>
  <c r="I44"/>
  <c r="I45"/>
  <c r="J7"/>
  <c r="O7"/>
  <c r="M7"/>
  <c r="J22"/>
  <c r="O22"/>
  <c r="O22" i="141"/>
  <c r="J22"/>
  <c r="O22" i="140"/>
  <c r="J22"/>
  <c r="J7" i="159"/>
  <c r="I24"/>
  <c r="O7"/>
  <c r="M7"/>
  <c r="P13"/>
  <c r="J13"/>
  <c r="O13"/>
  <c r="M13"/>
  <c r="J14"/>
  <c r="P14"/>
  <c r="O14"/>
  <c r="M14"/>
  <c r="J15"/>
  <c r="P15"/>
  <c r="O15"/>
  <c r="M15"/>
  <c r="J15" i="162"/>
  <c r="P15"/>
  <c r="P16" s="1"/>
  <c r="P27" s="1"/>
  <c r="O15"/>
  <c r="O16" s="1"/>
  <c r="O27" s="1"/>
  <c r="M15"/>
  <c r="M16" s="1"/>
  <c r="M27" s="1"/>
  <c r="J15" i="163"/>
  <c r="O15"/>
  <c r="O16" s="1"/>
  <c r="O27" s="1"/>
  <c r="P15"/>
  <c r="P16" s="1"/>
  <c r="P27" s="1"/>
  <c r="M15"/>
  <c r="M16" s="1"/>
  <c r="M27" s="1"/>
  <c r="B10" i="173"/>
  <c r="B9" i="174"/>
  <c r="O7" i="164"/>
  <c r="R16" s="1"/>
  <c r="I24"/>
  <c r="M7"/>
  <c r="I15"/>
  <c r="J7"/>
  <c r="I14"/>
  <c r="I13"/>
  <c r="J7" i="165"/>
  <c r="I24"/>
  <c r="I15"/>
  <c r="I14"/>
  <c r="I13"/>
  <c r="O7"/>
  <c r="R16" s="1"/>
  <c r="M7"/>
  <c r="I13" i="166"/>
  <c r="I24"/>
  <c r="I14"/>
  <c r="J7"/>
  <c r="O7"/>
  <c r="M7"/>
  <c r="B14" i="173"/>
  <c r="B13" i="174"/>
  <c r="I24" i="156"/>
  <c r="I13"/>
  <c r="I15"/>
  <c r="I14"/>
  <c r="O7"/>
  <c r="J7"/>
  <c r="M7"/>
  <c r="J26" i="89"/>
  <c r="O26"/>
  <c r="M26"/>
  <c r="M31" s="1"/>
  <c r="P20" i="90"/>
  <c r="P32" s="1"/>
  <c r="O26" i="92"/>
  <c r="M26"/>
  <c r="M31" s="1"/>
  <c r="J26"/>
  <c r="K63" i="110"/>
  <c r="L63"/>
  <c r="N63"/>
  <c r="O62"/>
  <c r="O68" s="1"/>
  <c r="M62"/>
  <c r="M68" s="1"/>
  <c r="M69" s="1"/>
  <c r="J62"/>
  <c r="K26" i="127"/>
  <c r="L26"/>
  <c r="N26"/>
  <c r="O31" i="89"/>
  <c r="R31" s="1"/>
  <c r="P20" i="127"/>
  <c r="P32" s="1"/>
  <c r="O31" i="92"/>
  <c r="R31" s="1"/>
  <c r="B4" i="173"/>
  <c r="B3" i="174"/>
  <c r="N20" i="91"/>
  <c r="K25" i="141"/>
  <c r="L25"/>
  <c r="N25" s="1"/>
  <c r="L11" i="109"/>
  <c r="K11"/>
  <c r="N11" s="1"/>
  <c r="O52" i="110"/>
  <c r="O69" s="1"/>
  <c r="C10" i="174"/>
  <c r="D10" s="1"/>
  <c r="P69" i="110"/>
  <c r="J52"/>
  <c r="N56" i="172"/>
  <c r="N59"/>
  <c r="N57"/>
  <c r="C8" i="173"/>
  <c r="E8" s="1"/>
  <c r="N16" i="141"/>
  <c r="M55" i="104"/>
  <c r="M70" s="1"/>
  <c r="N57" i="114"/>
  <c r="N22"/>
  <c r="N59"/>
  <c r="N16" i="104"/>
  <c r="N25" i="107"/>
  <c r="M55" i="105"/>
  <c r="M70" s="1"/>
  <c r="L49" i="110"/>
  <c r="K49"/>
  <c r="K24"/>
  <c r="L24"/>
  <c r="L52" s="1"/>
  <c r="L24" i="109"/>
  <c r="K24"/>
  <c r="J69"/>
  <c r="O55" i="104"/>
  <c r="O70" s="1"/>
  <c r="K68" i="109"/>
  <c r="N66"/>
  <c r="N68" s="1"/>
  <c r="L21" i="169"/>
  <c r="K21"/>
  <c r="M42" i="170"/>
  <c r="O42"/>
  <c r="J42"/>
  <c r="P42"/>
  <c r="K7"/>
  <c r="L7"/>
  <c r="J45" i="114"/>
  <c r="H18" i="167"/>
  <c r="I18" s="1"/>
  <c r="J18" s="1"/>
  <c r="O45" i="114"/>
  <c r="P45"/>
  <c r="M45"/>
  <c r="J44"/>
  <c r="O44"/>
  <c r="P44"/>
  <c r="M44"/>
  <c r="J44" i="141"/>
  <c r="H16" i="169"/>
  <c r="M44" i="141"/>
  <c r="P44"/>
  <c r="O44"/>
  <c r="L7"/>
  <c r="K7"/>
  <c r="J43" i="172"/>
  <c r="P43"/>
  <c r="O43"/>
  <c r="M43"/>
  <c r="O60" i="140"/>
  <c r="J60"/>
  <c r="O62"/>
  <c r="J43" i="170"/>
  <c r="M43"/>
  <c r="P43"/>
  <c r="O43"/>
  <c r="O62"/>
  <c r="J62"/>
  <c r="L7" i="114"/>
  <c r="K7"/>
  <c r="O60"/>
  <c r="O62" s="1"/>
  <c r="J60"/>
  <c r="J46"/>
  <c r="H20" i="167"/>
  <c r="I20" s="1"/>
  <c r="J20" s="1"/>
  <c r="O46" i="114"/>
  <c r="P46"/>
  <c r="M46"/>
  <c r="I46" i="140"/>
  <c r="O60" i="141"/>
  <c r="J60"/>
  <c r="J45"/>
  <c r="P45"/>
  <c r="O45"/>
  <c r="M45"/>
  <c r="O62" i="172"/>
  <c r="J62"/>
  <c r="J42"/>
  <c r="M42"/>
  <c r="P42"/>
  <c r="O42"/>
  <c r="K7"/>
  <c r="L7"/>
  <c r="J44" i="140"/>
  <c r="H16" i="168"/>
  <c r="I16" s="1"/>
  <c r="J16" s="1"/>
  <c r="M44" i="140"/>
  <c r="P44"/>
  <c r="O44"/>
  <c r="J45"/>
  <c r="H18" i="168"/>
  <c r="M45" i="140"/>
  <c r="P45"/>
  <c r="O45"/>
  <c r="K7"/>
  <c r="L7"/>
  <c r="J20" i="51"/>
  <c r="O20"/>
  <c r="J55" i="103"/>
  <c r="J70" s="1"/>
  <c r="M13" i="167"/>
  <c r="M52" i="108"/>
  <c r="M69" s="1"/>
  <c r="N47" i="110"/>
  <c r="B15" i="173"/>
  <c r="M20" i="51"/>
  <c r="M20" i="127"/>
  <c r="M32" s="1"/>
  <c r="N25" i="106"/>
  <c r="N55" s="1"/>
  <c r="N46" i="110"/>
  <c r="N66"/>
  <c r="O55" i="105"/>
  <c r="O70" s="1"/>
  <c r="R55"/>
  <c r="P70"/>
  <c r="C6" i="174"/>
  <c r="D6" s="1"/>
  <c r="O20" i="127"/>
  <c r="O32" s="1"/>
  <c r="N48" i="110"/>
  <c r="M10" i="169"/>
  <c r="K7" i="105"/>
  <c r="L7"/>
  <c r="J55"/>
  <c r="J70" s="1"/>
  <c r="L51" i="107"/>
  <c r="K51"/>
  <c r="J55"/>
  <c r="L52"/>
  <c r="K52"/>
  <c r="K7" i="108"/>
  <c r="L7"/>
  <c r="J52"/>
  <c r="J69" s="1"/>
  <c r="O52"/>
  <c r="O69" s="1"/>
  <c r="R52"/>
  <c r="L67" i="107"/>
  <c r="L69" s="1"/>
  <c r="J69"/>
  <c r="K67"/>
  <c r="L50" i="105"/>
  <c r="K50"/>
  <c r="K53" i="107"/>
  <c r="L53"/>
  <c r="K45" i="108"/>
  <c r="L45"/>
  <c r="N18" i="104"/>
  <c r="O55" i="103"/>
  <c r="O70" s="1"/>
  <c r="L29" i="89"/>
  <c r="K29"/>
  <c r="J31"/>
  <c r="L29" i="88"/>
  <c r="L31" s="1"/>
  <c r="K29"/>
  <c r="K31" s="1"/>
  <c r="J31"/>
  <c r="P18" i="89"/>
  <c r="P19"/>
  <c r="O19"/>
  <c r="O20" s="1"/>
  <c r="O32" s="1"/>
  <c r="M19"/>
  <c r="M20" s="1"/>
  <c r="J19"/>
  <c r="K11"/>
  <c r="L11"/>
  <c r="K10"/>
  <c r="L10"/>
  <c r="K11" i="88"/>
  <c r="L11"/>
  <c r="O20"/>
  <c r="O32" s="1"/>
  <c r="R20"/>
  <c r="L10"/>
  <c r="J20"/>
  <c r="K10"/>
  <c r="K20" s="1"/>
  <c r="K32" s="1"/>
  <c r="J20" i="127"/>
  <c r="L19"/>
  <c r="K19"/>
  <c r="K18"/>
  <c r="L18"/>
  <c r="K17"/>
  <c r="L17"/>
  <c r="L29"/>
  <c r="L31" s="1"/>
  <c r="K29"/>
  <c r="K31" s="1"/>
  <c r="J31"/>
  <c r="L29" i="126"/>
  <c r="L31" s="1"/>
  <c r="L32" s="1"/>
  <c r="K29"/>
  <c r="K31" s="1"/>
  <c r="K32" s="1"/>
  <c r="J31"/>
  <c r="J32" s="1"/>
  <c r="K7" i="123"/>
  <c r="J20"/>
  <c r="J32" s="1"/>
  <c r="L7"/>
  <c r="M20"/>
  <c r="M32" s="1"/>
  <c r="O20"/>
  <c r="O32" s="1"/>
  <c r="R20"/>
  <c r="K16"/>
  <c r="L16"/>
  <c r="P32"/>
  <c r="C12" i="174"/>
  <c r="D12" s="1"/>
  <c r="L23" i="165"/>
  <c r="K23"/>
  <c r="J23" i="166"/>
  <c r="M23"/>
  <c r="O23"/>
  <c r="K69" i="106"/>
  <c r="K70" s="1"/>
  <c r="N67"/>
  <c r="N69" s="1"/>
  <c r="N19" i="141"/>
  <c r="K16" i="90"/>
  <c r="L16"/>
  <c r="P17" i="92"/>
  <c r="M17"/>
  <c r="O17"/>
  <c r="J17"/>
  <c r="J20" i="90"/>
  <c r="J32" s="1"/>
  <c r="K7"/>
  <c r="L7"/>
  <c r="O20"/>
  <c r="O32" s="1"/>
  <c r="R20"/>
  <c r="P19" i="92"/>
  <c r="O19"/>
  <c r="M19"/>
  <c r="J19"/>
  <c r="P18"/>
  <c r="M18"/>
  <c r="O18"/>
  <c r="J18"/>
  <c r="L29" i="91"/>
  <c r="L31" s="1"/>
  <c r="L32" s="1"/>
  <c r="K29"/>
  <c r="K31" s="1"/>
  <c r="K32" s="1"/>
  <c r="J31"/>
  <c r="J32" s="1"/>
  <c r="L29" i="92"/>
  <c r="K29"/>
  <c r="J31"/>
  <c r="K54" i="140"/>
  <c r="L54"/>
  <c r="J62"/>
  <c r="O54" i="141"/>
  <c r="H13" i="169"/>
  <c r="I13" s="1"/>
  <c r="J13" s="1"/>
  <c r="J54" i="141"/>
  <c r="K13" i="168"/>
  <c r="L13"/>
  <c r="K55" i="140"/>
  <c r="L55"/>
  <c r="M55" i="141"/>
  <c r="O55"/>
  <c r="J55"/>
  <c r="K56" i="140"/>
  <c r="L56"/>
  <c r="O56" i="141"/>
  <c r="J56"/>
  <c r="K57" i="140"/>
  <c r="L57"/>
  <c r="O57" i="141"/>
  <c r="J57"/>
  <c r="K58" i="140"/>
  <c r="L58"/>
  <c r="M58" i="141"/>
  <c r="O58"/>
  <c r="J58"/>
  <c r="K59" i="140"/>
  <c r="L59"/>
  <c r="O59" i="141"/>
  <c r="J59"/>
  <c r="K67" i="103"/>
  <c r="K69" s="1"/>
  <c r="L67"/>
  <c r="L69" s="1"/>
  <c r="R20" i="89"/>
  <c r="M20" i="88"/>
  <c r="M32" s="1"/>
  <c r="P26" i="165"/>
  <c r="M12" i="167"/>
  <c r="N50" i="109"/>
  <c r="M20" i="90"/>
  <c r="M32" s="1"/>
  <c r="H18" i="169"/>
  <c r="H6" s="1"/>
  <c r="M32" i="89"/>
  <c r="M32" i="51"/>
  <c r="N61" i="172"/>
  <c r="N36"/>
  <c r="M11" i="168"/>
  <c r="M11" i="169"/>
  <c r="M10" i="167"/>
  <c r="K7" i="51"/>
  <c r="L7"/>
  <c r="O32"/>
  <c r="R20"/>
  <c r="K16"/>
  <c r="L16"/>
  <c r="P32"/>
  <c r="K17" i="89"/>
  <c r="L17"/>
  <c r="K18"/>
  <c r="L18"/>
  <c r="K53" i="104"/>
  <c r="L53"/>
  <c r="K52"/>
  <c r="L52"/>
  <c r="L23" i="169"/>
  <c r="K23"/>
  <c r="K51" i="104"/>
  <c r="L51"/>
  <c r="P70" i="10"/>
  <c r="K50"/>
  <c r="L50"/>
  <c r="L7"/>
  <c r="K7"/>
  <c r="J55"/>
  <c r="R55"/>
  <c r="O55"/>
  <c r="O70" s="1"/>
  <c r="K10" i="103"/>
  <c r="L10"/>
  <c r="K67" i="104"/>
  <c r="K69" s="1"/>
  <c r="L67"/>
  <c r="L69" s="1"/>
  <c r="J69"/>
  <c r="K25" i="103"/>
  <c r="L25"/>
  <c r="K25" i="104"/>
  <c r="L25"/>
  <c r="J55"/>
  <c r="P55"/>
  <c r="M55" i="10"/>
  <c r="M70" s="1"/>
  <c r="C11" i="173"/>
  <c r="E11" s="1"/>
  <c r="K17" i="168"/>
  <c r="L17"/>
  <c r="K12"/>
  <c r="L12"/>
  <c r="K10"/>
  <c r="L10"/>
  <c r="C13" i="173"/>
  <c r="E13" s="1"/>
  <c r="C9"/>
  <c r="E9" s="1"/>
  <c r="C7"/>
  <c r="E7" s="1"/>
  <c r="K7" i="156" l="1"/>
  <c r="L7"/>
  <c r="N7"/>
  <c r="R16"/>
  <c r="C6" i="173" s="1"/>
  <c r="E6" s="1"/>
  <c r="P14" i="156"/>
  <c r="O14"/>
  <c r="M14"/>
  <c r="J14"/>
  <c r="I15" i="158"/>
  <c r="P15" i="156"/>
  <c r="I22"/>
  <c r="O15"/>
  <c r="M15"/>
  <c r="J15"/>
  <c r="O13"/>
  <c r="O16" s="1"/>
  <c r="J13"/>
  <c r="P13"/>
  <c r="P16" s="1"/>
  <c r="M13"/>
  <c r="O24"/>
  <c r="J24"/>
  <c r="R16" i="166"/>
  <c r="K7"/>
  <c r="L7"/>
  <c r="P14"/>
  <c r="M14"/>
  <c r="O14"/>
  <c r="J14"/>
  <c r="O24"/>
  <c r="J24"/>
  <c r="P13"/>
  <c r="M13"/>
  <c r="O13"/>
  <c r="J13"/>
  <c r="J13" i="165"/>
  <c r="O13"/>
  <c r="P13"/>
  <c r="M13"/>
  <c r="J14"/>
  <c r="O14"/>
  <c r="P14"/>
  <c r="M14"/>
  <c r="I22"/>
  <c r="H22" i="168"/>
  <c r="I22" s="1"/>
  <c r="J22" s="1"/>
  <c r="J15" i="165"/>
  <c r="P15"/>
  <c r="P16" s="1"/>
  <c r="M15"/>
  <c r="O15"/>
  <c r="O16" s="1"/>
  <c r="J24"/>
  <c r="O24"/>
  <c r="K7"/>
  <c r="L7"/>
  <c r="N7"/>
  <c r="P13" i="164"/>
  <c r="J13"/>
  <c r="M13"/>
  <c r="O13"/>
  <c r="O14"/>
  <c r="J14"/>
  <c r="P14"/>
  <c r="M14"/>
  <c r="K7"/>
  <c r="L7"/>
  <c r="N7"/>
  <c r="M15"/>
  <c r="P15"/>
  <c r="H22" i="167"/>
  <c r="I22" s="1"/>
  <c r="J22" s="1"/>
  <c r="J15" i="164"/>
  <c r="O15"/>
  <c r="I22"/>
  <c r="I15" i="166"/>
  <c r="O24" i="164"/>
  <c r="J24"/>
  <c r="J16" i="163"/>
  <c r="J27" s="1"/>
  <c r="L15"/>
  <c r="L16" s="1"/>
  <c r="L27" s="1"/>
  <c r="K15"/>
  <c r="K16" s="1"/>
  <c r="K27" s="1"/>
  <c r="N15"/>
  <c r="N16" s="1"/>
  <c r="N27" s="1"/>
  <c r="J16" i="162"/>
  <c r="J27" s="1"/>
  <c r="L15"/>
  <c r="L16" s="1"/>
  <c r="L27" s="1"/>
  <c r="K15"/>
  <c r="K16" s="1"/>
  <c r="K27" s="1"/>
  <c r="N15"/>
  <c r="N16" s="1"/>
  <c r="N27" s="1"/>
  <c r="L15" i="159"/>
  <c r="K15"/>
  <c r="N15"/>
  <c r="K14"/>
  <c r="L14"/>
  <c r="N14"/>
  <c r="L13"/>
  <c r="K13"/>
  <c r="N13" s="1"/>
  <c r="R16"/>
  <c r="C10" i="173" s="1"/>
  <c r="E10" s="1"/>
  <c r="O16" i="159"/>
  <c r="O24"/>
  <c r="O26" s="1"/>
  <c r="R26" s="1"/>
  <c r="J24"/>
  <c r="K7"/>
  <c r="K16" s="1"/>
  <c r="L7"/>
  <c r="L16" s="1"/>
  <c r="N7"/>
  <c r="N16" s="1"/>
  <c r="J16"/>
  <c r="K22" i="140"/>
  <c r="L22"/>
  <c r="L22" i="141"/>
  <c r="K22"/>
  <c r="N22" s="1"/>
  <c r="K22" i="138"/>
  <c r="L22"/>
  <c r="N22"/>
  <c r="R48"/>
  <c r="K7"/>
  <c r="L7"/>
  <c r="N7"/>
  <c r="J45"/>
  <c r="P45"/>
  <c r="M45"/>
  <c r="O45"/>
  <c r="J44"/>
  <c r="P44"/>
  <c r="M44"/>
  <c r="O44"/>
  <c r="O60"/>
  <c r="O62" s="1"/>
  <c r="J60"/>
  <c r="K22" i="139"/>
  <c r="L22"/>
  <c r="N22"/>
  <c r="R48"/>
  <c r="K7"/>
  <c r="L7"/>
  <c r="N7"/>
  <c r="J45"/>
  <c r="P45"/>
  <c r="M45"/>
  <c r="O45"/>
  <c r="J44"/>
  <c r="P44"/>
  <c r="M44"/>
  <c r="O44"/>
  <c r="O60"/>
  <c r="O62" s="1"/>
  <c r="J60"/>
  <c r="K22" i="111"/>
  <c r="L22"/>
  <c r="N22"/>
  <c r="R48"/>
  <c r="C4" i="173" s="1"/>
  <c r="E4" s="1"/>
  <c r="K7" i="111"/>
  <c r="L7"/>
  <c r="N7"/>
  <c r="J44"/>
  <c r="P44"/>
  <c r="O44"/>
  <c r="M44"/>
  <c r="H6" i="167"/>
  <c r="I46" i="138"/>
  <c r="J46" i="111"/>
  <c r="P46"/>
  <c r="O46"/>
  <c r="M46"/>
  <c r="J45"/>
  <c r="P45"/>
  <c r="O45"/>
  <c r="M45"/>
  <c r="O60"/>
  <c r="O62" s="1"/>
  <c r="J60"/>
  <c r="K7" i="171"/>
  <c r="L7"/>
  <c r="N7"/>
  <c r="P42"/>
  <c r="M42"/>
  <c r="O42"/>
  <c r="J42"/>
  <c r="P43"/>
  <c r="M43"/>
  <c r="O43"/>
  <c r="J43"/>
  <c r="I58"/>
  <c r="P44"/>
  <c r="P48" s="1"/>
  <c r="P65" s="1"/>
  <c r="J44"/>
  <c r="O44"/>
  <c r="O48" s="1"/>
  <c r="M44"/>
  <c r="M48" s="1"/>
  <c r="O62"/>
  <c r="J62"/>
  <c r="O58" i="170"/>
  <c r="M58"/>
  <c r="M64" s="1"/>
  <c r="J58"/>
  <c r="P44"/>
  <c r="O44"/>
  <c r="M44"/>
  <c r="J44"/>
  <c r="P27" i="165"/>
  <c r="E5" i="175"/>
  <c r="O64" i="170"/>
  <c r="O48"/>
  <c r="P48"/>
  <c r="M48"/>
  <c r="M65" s="1"/>
  <c r="M16" i="156"/>
  <c r="M16" i="165"/>
  <c r="C14" i="173"/>
  <c r="E14" s="1"/>
  <c r="P16" i="159"/>
  <c r="M16"/>
  <c r="M27" s="1"/>
  <c r="M48" i="111"/>
  <c r="M63" s="1"/>
  <c r="I44" i="172"/>
  <c r="P20" i="89"/>
  <c r="K62" i="110"/>
  <c r="K68" s="1"/>
  <c r="L62"/>
  <c r="L68" s="1"/>
  <c r="J68"/>
  <c r="J69" s="1"/>
  <c r="K26" i="92"/>
  <c r="L26"/>
  <c r="N26" s="1"/>
  <c r="K26" i="89"/>
  <c r="L26"/>
  <c r="L31" i="92"/>
  <c r="P20"/>
  <c r="L31" i="89"/>
  <c r="K52" i="109"/>
  <c r="K69" s="1"/>
  <c r="C3" i="173"/>
  <c r="K52" i="110"/>
  <c r="K69" s="1"/>
  <c r="L52" i="109"/>
  <c r="L69" s="1"/>
  <c r="E4" i="175"/>
  <c r="N70" i="106"/>
  <c r="N49" i="110"/>
  <c r="I18" i="169"/>
  <c r="J18" s="1"/>
  <c r="L18" s="1"/>
  <c r="N23" i="165"/>
  <c r="N7" i="172"/>
  <c r="N59" i="140"/>
  <c r="M62" i="141"/>
  <c r="N7" i="140"/>
  <c r="J48" i="114"/>
  <c r="J48" i="170"/>
  <c r="N7"/>
  <c r="M21" i="169"/>
  <c r="N24" i="109"/>
  <c r="N57" i="140"/>
  <c r="N56"/>
  <c r="N7" i="114"/>
  <c r="N58" i="140"/>
  <c r="N55"/>
  <c r="M13" i="168"/>
  <c r="N24" i="110"/>
  <c r="L69"/>
  <c r="K55" i="104"/>
  <c r="K70" s="1"/>
  <c r="N7" i="10"/>
  <c r="I18" i="168"/>
  <c r="J18" s="1"/>
  <c r="H6"/>
  <c r="I6" s="1"/>
  <c r="J6" s="1"/>
  <c r="L44" i="140"/>
  <c r="K44"/>
  <c r="K62" i="172"/>
  <c r="L62"/>
  <c r="K60" i="141"/>
  <c r="L60"/>
  <c r="H20" i="168"/>
  <c r="I20" s="1"/>
  <c r="J20" s="1"/>
  <c r="I46" i="141"/>
  <c r="O46" i="140"/>
  <c r="O48" s="1"/>
  <c r="O63" s="1"/>
  <c r="P46"/>
  <c r="M46"/>
  <c r="M48" s="1"/>
  <c r="M63" s="1"/>
  <c r="J46"/>
  <c r="C4" i="175"/>
  <c r="C6" s="1"/>
  <c r="L20" i="167"/>
  <c r="K20"/>
  <c r="K60" i="114"/>
  <c r="K62" s="1"/>
  <c r="J62"/>
  <c r="L60"/>
  <c r="L62" s="1"/>
  <c r="K62" i="170"/>
  <c r="J64"/>
  <c r="L62"/>
  <c r="L43" i="172"/>
  <c r="K43"/>
  <c r="K45" i="114"/>
  <c r="L45"/>
  <c r="K42" i="170"/>
  <c r="L42"/>
  <c r="J70" i="104"/>
  <c r="L55" i="10"/>
  <c r="L70" s="1"/>
  <c r="O65" i="170"/>
  <c r="N7" i="141"/>
  <c r="M48" i="114"/>
  <c r="M63" s="1"/>
  <c r="O48"/>
  <c r="O63" s="1"/>
  <c r="L45" i="140"/>
  <c r="K45"/>
  <c r="K16" i="168"/>
  <c r="L16"/>
  <c r="L42" i="172"/>
  <c r="K42"/>
  <c r="L45" i="141"/>
  <c r="K45"/>
  <c r="K46" i="114"/>
  <c r="L46"/>
  <c r="K43" i="170"/>
  <c r="L43"/>
  <c r="K60" i="140"/>
  <c r="L60"/>
  <c r="L44" i="141"/>
  <c r="K44"/>
  <c r="K44" i="114"/>
  <c r="K48" s="1"/>
  <c r="K63" s="1"/>
  <c r="L44"/>
  <c r="L18" i="167"/>
  <c r="K18"/>
  <c r="P48" i="140"/>
  <c r="P48" i="114"/>
  <c r="P63" s="1"/>
  <c r="L20" i="90"/>
  <c r="L32" s="1"/>
  <c r="N16" i="123"/>
  <c r="N17" i="127"/>
  <c r="N18"/>
  <c r="N19"/>
  <c r="N53" i="104"/>
  <c r="K20" i="127"/>
  <c r="N10" i="88"/>
  <c r="N11"/>
  <c r="N10" i="89"/>
  <c r="N45" i="108"/>
  <c r="N53" i="107"/>
  <c r="N52"/>
  <c r="J70"/>
  <c r="K52" i="108"/>
  <c r="K69" s="1"/>
  <c r="N7" i="105"/>
  <c r="N25" i="103"/>
  <c r="N51" i="104"/>
  <c r="N52"/>
  <c r="N7" i="123"/>
  <c r="N67" i="104"/>
  <c r="N69" s="1"/>
  <c r="K55" i="10"/>
  <c r="K70" s="1"/>
  <c r="N50"/>
  <c r="N17" i="89"/>
  <c r="N16" i="51"/>
  <c r="N67" i="103"/>
  <c r="N69" s="1"/>
  <c r="N29" i="91"/>
  <c r="N31" s="1"/>
  <c r="N32" s="1"/>
  <c r="N7" i="90"/>
  <c r="N16"/>
  <c r="N29" i="126"/>
  <c r="N31" s="1"/>
  <c r="N32" s="1"/>
  <c r="N29" i="127"/>
  <c r="N31" s="1"/>
  <c r="L20" i="88"/>
  <c r="L32" s="1"/>
  <c r="N11" i="89"/>
  <c r="N29" i="88"/>
  <c r="N31" s="1"/>
  <c r="N50" i="105"/>
  <c r="N7" i="108"/>
  <c r="N52" s="1"/>
  <c r="N69" s="1"/>
  <c r="K55" i="107"/>
  <c r="L55" i="105"/>
  <c r="L70" s="1"/>
  <c r="N67" i="107"/>
  <c r="N69" s="1"/>
  <c r="K69"/>
  <c r="N51"/>
  <c r="L55"/>
  <c r="L70" s="1"/>
  <c r="L52" i="108"/>
  <c r="L69" s="1"/>
  <c r="K55" i="105"/>
  <c r="K70" s="1"/>
  <c r="P70" i="104"/>
  <c r="N7" i="51"/>
  <c r="L20"/>
  <c r="L32" s="1"/>
  <c r="K59" i="141"/>
  <c r="L59"/>
  <c r="L58"/>
  <c r="K58"/>
  <c r="K57"/>
  <c r="L57"/>
  <c r="K56"/>
  <c r="L56"/>
  <c r="K55"/>
  <c r="L55"/>
  <c r="L54"/>
  <c r="K54"/>
  <c r="J62"/>
  <c r="L13" i="169"/>
  <c r="K13"/>
  <c r="N54" i="140"/>
  <c r="N29" i="92"/>
  <c r="K31"/>
  <c r="L18"/>
  <c r="K18"/>
  <c r="J20"/>
  <c r="J32" s="1"/>
  <c r="L19"/>
  <c r="K19"/>
  <c r="K20" i="90"/>
  <c r="K32" s="1"/>
  <c r="K17" i="92"/>
  <c r="L17"/>
  <c r="K23" i="166"/>
  <c r="L23"/>
  <c r="J20" i="89"/>
  <c r="L19"/>
  <c r="L20" s="1"/>
  <c r="L32" s="1"/>
  <c r="K19"/>
  <c r="N29"/>
  <c r="K31"/>
  <c r="K20" i="51"/>
  <c r="K32" s="1"/>
  <c r="O62" i="141"/>
  <c r="K62" i="140"/>
  <c r="M20" i="92"/>
  <c r="M32" s="1"/>
  <c r="O20"/>
  <c r="O32" s="1"/>
  <c r="P26" i="166"/>
  <c r="L20" i="123"/>
  <c r="L32" s="1"/>
  <c r="K20"/>
  <c r="K32" s="1"/>
  <c r="K32" i="127"/>
  <c r="L20"/>
  <c r="L32" s="1"/>
  <c r="J32"/>
  <c r="K20" i="89"/>
  <c r="K32" s="1"/>
  <c r="J32" i="88"/>
  <c r="J32" i="89"/>
  <c r="C5" i="173"/>
  <c r="E5" s="1"/>
  <c r="E3" i="175"/>
  <c r="J32" i="51"/>
  <c r="N18" i="89"/>
  <c r="M23" i="169"/>
  <c r="M12" i="168"/>
  <c r="M17"/>
  <c r="N25" i="104"/>
  <c r="N55" s="1"/>
  <c r="N70" s="1"/>
  <c r="L55"/>
  <c r="N10" i="103"/>
  <c r="N55" s="1"/>
  <c r="K55"/>
  <c r="J70" i="10"/>
  <c r="K18" i="169"/>
  <c r="I16"/>
  <c r="J16" s="1"/>
  <c r="I6"/>
  <c r="J6" s="1"/>
  <c r="L55" i="103"/>
  <c r="L70" s="1"/>
  <c r="C2" i="174"/>
  <c r="M10" i="168"/>
  <c r="E3" i="173"/>
  <c r="O48" i="111" l="1"/>
  <c r="O63" s="1"/>
  <c r="I58" i="172"/>
  <c r="O44"/>
  <c r="O48" s="1"/>
  <c r="P44"/>
  <c r="P48" s="1"/>
  <c r="P65" s="1"/>
  <c r="M44"/>
  <c r="M48" s="1"/>
  <c r="J44"/>
  <c r="C9" i="174"/>
  <c r="D9" s="1"/>
  <c r="P27" i="159"/>
  <c r="P65" i="170"/>
  <c r="C11" i="174"/>
  <c r="D11" s="1"/>
  <c r="L44" i="170"/>
  <c r="K44"/>
  <c r="N44" s="1"/>
  <c r="K58"/>
  <c r="L58"/>
  <c r="N58"/>
  <c r="L62" i="171"/>
  <c r="K62"/>
  <c r="N62"/>
  <c r="J48"/>
  <c r="K44"/>
  <c r="L44"/>
  <c r="N44"/>
  <c r="O58"/>
  <c r="O64" s="1"/>
  <c r="J58"/>
  <c r="M58"/>
  <c r="M64" s="1"/>
  <c r="K43"/>
  <c r="L43"/>
  <c r="N43"/>
  <c r="K42"/>
  <c r="L42"/>
  <c r="N42"/>
  <c r="L60" i="111"/>
  <c r="L62" s="1"/>
  <c r="K60"/>
  <c r="K62" s="1"/>
  <c r="J62"/>
  <c r="N60"/>
  <c r="N62" s="1"/>
  <c r="K45"/>
  <c r="L45"/>
  <c r="N45"/>
  <c r="K46"/>
  <c r="L46"/>
  <c r="N46"/>
  <c r="I46" i="139"/>
  <c r="J46" i="138"/>
  <c r="P46"/>
  <c r="P48" s="1"/>
  <c r="P63" s="1"/>
  <c r="M46"/>
  <c r="M48" s="1"/>
  <c r="M63" s="1"/>
  <c r="O46"/>
  <c r="O48" s="1"/>
  <c r="O63" s="1"/>
  <c r="H16" i="167"/>
  <c r="I16" s="1"/>
  <c r="J16" s="1"/>
  <c r="I6"/>
  <c r="J6" s="1"/>
  <c r="K44" i="111"/>
  <c r="L44"/>
  <c r="N44"/>
  <c r="L60" i="139"/>
  <c r="L62" s="1"/>
  <c r="K60"/>
  <c r="K62" s="1"/>
  <c r="J62"/>
  <c r="N60"/>
  <c r="N62" s="1"/>
  <c r="K44"/>
  <c r="L44"/>
  <c r="N44"/>
  <c r="K45"/>
  <c r="L45"/>
  <c r="N45"/>
  <c r="J62" i="138"/>
  <c r="L60"/>
  <c r="L62" s="1"/>
  <c r="K60"/>
  <c r="K62" s="1"/>
  <c r="N60"/>
  <c r="N62" s="1"/>
  <c r="K44"/>
  <c r="L44"/>
  <c r="N44"/>
  <c r="K45"/>
  <c r="L45"/>
  <c r="N45"/>
  <c r="L24" i="159"/>
  <c r="L26" s="1"/>
  <c r="L27" s="1"/>
  <c r="J26"/>
  <c r="J27" s="1"/>
  <c r="K24"/>
  <c r="L24" i="164"/>
  <c r="K24"/>
  <c r="N24"/>
  <c r="I22" i="166"/>
  <c r="O15"/>
  <c r="O16" s="1"/>
  <c r="J15"/>
  <c r="P15"/>
  <c r="P16" s="1"/>
  <c r="M15"/>
  <c r="M16" s="1"/>
  <c r="H22" i="169"/>
  <c r="I22" s="1"/>
  <c r="J22" s="1"/>
  <c r="J22" i="164"/>
  <c r="O22"/>
  <c r="M22"/>
  <c r="M26" s="1"/>
  <c r="K15"/>
  <c r="L15"/>
  <c r="N15"/>
  <c r="L22" i="167"/>
  <c r="K22"/>
  <c r="M22"/>
  <c r="K14" i="164"/>
  <c r="L14"/>
  <c r="L13"/>
  <c r="L16" s="1"/>
  <c r="K13"/>
  <c r="N13" s="1"/>
  <c r="L24" i="165"/>
  <c r="K24"/>
  <c r="N24"/>
  <c r="K15"/>
  <c r="L15"/>
  <c r="K22" i="168"/>
  <c r="L22"/>
  <c r="M22"/>
  <c r="J22" i="165"/>
  <c r="O22"/>
  <c r="O26" s="1"/>
  <c r="M22"/>
  <c r="M26" s="1"/>
  <c r="M27" s="1"/>
  <c r="L14"/>
  <c r="K14"/>
  <c r="N14" s="1"/>
  <c r="L13"/>
  <c r="K13"/>
  <c r="N13"/>
  <c r="J16"/>
  <c r="L13" i="166"/>
  <c r="K13"/>
  <c r="N13"/>
  <c r="L24"/>
  <c r="K24"/>
  <c r="N24"/>
  <c r="L14"/>
  <c r="K14"/>
  <c r="N14"/>
  <c r="N7"/>
  <c r="L24" i="156"/>
  <c r="K24"/>
  <c r="N24" s="1"/>
  <c r="P27"/>
  <c r="K13"/>
  <c r="L13"/>
  <c r="N13"/>
  <c r="K15"/>
  <c r="L15"/>
  <c r="N15"/>
  <c r="O22"/>
  <c r="O26" s="1"/>
  <c r="R26" s="1"/>
  <c r="M22"/>
  <c r="M26" s="1"/>
  <c r="J22"/>
  <c r="I22" i="158"/>
  <c r="P15"/>
  <c r="P16" s="1"/>
  <c r="P27" s="1"/>
  <c r="O15"/>
  <c r="O16" s="1"/>
  <c r="M15"/>
  <c r="M16" s="1"/>
  <c r="J15"/>
  <c r="K14" i="156"/>
  <c r="L14"/>
  <c r="N14"/>
  <c r="P27" i="166"/>
  <c r="L64" i="170"/>
  <c r="M27" i="156"/>
  <c r="M65" i="171"/>
  <c r="O65"/>
  <c r="P48" i="111"/>
  <c r="P63" s="1"/>
  <c r="J48"/>
  <c r="J63" s="1"/>
  <c r="N48"/>
  <c r="N63" s="1"/>
  <c r="L48"/>
  <c r="L63" s="1"/>
  <c r="K48"/>
  <c r="K63" s="1"/>
  <c r="J48" i="138"/>
  <c r="J63" s="1"/>
  <c r="N22" i="140"/>
  <c r="O27" i="159"/>
  <c r="J16" i="164"/>
  <c r="K16"/>
  <c r="P16"/>
  <c r="O16"/>
  <c r="M16"/>
  <c r="M27" s="1"/>
  <c r="J16" i="166"/>
  <c r="L16" i="156"/>
  <c r="K16"/>
  <c r="J16"/>
  <c r="N31" i="92"/>
  <c r="N26" i="89"/>
  <c r="N31" s="1"/>
  <c r="N62" i="110"/>
  <c r="N68" s="1"/>
  <c r="D16" i="175"/>
  <c r="D15"/>
  <c r="N52" i="110"/>
  <c r="N52" i="109"/>
  <c r="N69" s="1"/>
  <c r="L48" i="170"/>
  <c r="N70" i="103"/>
  <c r="J65" i="170"/>
  <c r="E16" i="175"/>
  <c r="N55" i="10"/>
  <c r="N70" s="1"/>
  <c r="J63" i="114"/>
  <c r="E15" i="175"/>
  <c r="N45" i="114"/>
  <c r="N55" i="141"/>
  <c r="M16" i="168"/>
  <c r="M20" i="167"/>
  <c r="N44" i="140"/>
  <c r="N45" i="141"/>
  <c r="K62"/>
  <c r="N58"/>
  <c r="N59"/>
  <c r="N55" i="107"/>
  <c r="N70" s="1"/>
  <c r="N55" i="105"/>
  <c r="N70" s="1"/>
  <c r="N20" i="127"/>
  <c r="N32" s="1"/>
  <c r="N20" i="123"/>
  <c r="N32" s="1"/>
  <c r="N44" i="141"/>
  <c r="N60" i="140"/>
  <c r="N46" i="114"/>
  <c r="B12" i="175"/>
  <c r="C12" s="1"/>
  <c r="E12" s="1"/>
  <c r="L62" i="140"/>
  <c r="N57" i="141"/>
  <c r="N20" i="51"/>
  <c r="N32" s="1"/>
  <c r="L48" i="114"/>
  <c r="L63" s="1"/>
  <c r="M18" i="167"/>
  <c r="N44" i="114"/>
  <c r="N43" i="170"/>
  <c r="N45" i="140"/>
  <c r="N62" i="172"/>
  <c r="E15" i="173"/>
  <c r="N19" i="92"/>
  <c r="C15" i="173"/>
  <c r="N48" i="114"/>
  <c r="P63" i="140"/>
  <c r="D4" i="175"/>
  <c r="N62" i="170"/>
  <c r="N64" s="1"/>
  <c r="K64"/>
  <c r="L20" i="168"/>
  <c r="K20"/>
  <c r="L6"/>
  <c r="J25"/>
  <c r="K6"/>
  <c r="K48" i="170"/>
  <c r="L65"/>
  <c r="N60" i="141"/>
  <c r="K46" i="140"/>
  <c r="K48" s="1"/>
  <c r="K63" s="1"/>
  <c r="L46"/>
  <c r="L48" s="1"/>
  <c r="L63" s="1"/>
  <c r="J48"/>
  <c r="J63" s="1"/>
  <c r="H20" i="169"/>
  <c r="I20" s="1"/>
  <c r="J20" s="1"/>
  <c r="J25" s="1"/>
  <c r="P46" i="141"/>
  <c r="P48" s="1"/>
  <c r="O46"/>
  <c r="O48" s="1"/>
  <c r="O63" s="1"/>
  <c r="J46"/>
  <c r="M46"/>
  <c r="M48" s="1"/>
  <c r="M63" s="1"/>
  <c r="L18" i="168"/>
  <c r="K18"/>
  <c r="N19" i="89"/>
  <c r="N20" s="1"/>
  <c r="N23" i="166"/>
  <c r="N18" i="92"/>
  <c r="N62" i="140"/>
  <c r="N54" i="141"/>
  <c r="L62"/>
  <c r="N56"/>
  <c r="D3" i="175"/>
  <c r="N42" i="172"/>
  <c r="N42" i="170"/>
  <c r="N48" s="1"/>
  <c r="N65" s="1"/>
  <c r="N43" i="172"/>
  <c r="N60" i="114"/>
  <c r="N62" s="1"/>
  <c r="K20" i="92"/>
  <c r="K32" s="1"/>
  <c r="K70" i="107"/>
  <c r="N20" i="88"/>
  <c r="N32" s="1"/>
  <c r="P32" i="89"/>
  <c r="C4" i="174"/>
  <c r="N20" i="90"/>
  <c r="N32" s="1"/>
  <c r="N17" i="92"/>
  <c r="D2" i="174"/>
  <c r="M13" i="169"/>
  <c r="P32" i="92"/>
  <c r="C8" i="174"/>
  <c r="D8" s="1"/>
  <c r="L20" i="92"/>
  <c r="L32" s="1"/>
  <c r="B3" i="175"/>
  <c r="E6"/>
  <c r="M18" i="169"/>
  <c r="L6"/>
  <c r="K6"/>
  <c r="L16"/>
  <c r="K16"/>
  <c r="K70" i="103"/>
  <c r="L70" i="104"/>
  <c r="C13" i="174" l="1"/>
  <c r="D13" s="1"/>
  <c r="P27" i="164"/>
  <c r="J16" i="158"/>
  <c r="K15"/>
  <c r="K16" s="1"/>
  <c r="L15"/>
  <c r="O22"/>
  <c r="O26" s="1"/>
  <c r="R26" s="1"/>
  <c r="M22"/>
  <c r="M26" s="1"/>
  <c r="J22"/>
  <c r="L22" i="156"/>
  <c r="L26" s="1"/>
  <c r="J26"/>
  <c r="K22"/>
  <c r="R26" i="165"/>
  <c r="O27"/>
  <c r="K22"/>
  <c r="K26" s="1"/>
  <c r="L22"/>
  <c r="L26" s="1"/>
  <c r="J26"/>
  <c r="N22"/>
  <c r="N26" s="1"/>
  <c r="K16"/>
  <c r="K27" s="1"/>
  <c r="N15"/>
  <c r="N16" s="1"/>
  <c r="N27" s="1"/>
  <c r="O26" i="164"/>
  <c r="R26"/>
  <c r="L22"/>
  <c r="L26" s="1"/>
  <c r="J26"/>
  <c r="J27" s="1"/>
  <c r="K22"/>
  <c r="K22" i="169"/>
  <c r="L22"/>
  <c r="M22"/>
  <c r="K15" i="166"/>
  <c r="K16" s="1"/>
  <c r="L15"/>
  <c r="L16" s="1"/>
  <c r="N15"/>
  <c r="N16" s="1"/>
  <c r="O22"/>
  <c r="J22"/>
  <c r="M22"/>
  <c r="M26" s="1"/>
  <c r="M27" s="1"/>
  <c r="K26" i="159"/>
  <c r="K27" s="1"/>
  <c r="N24"/>
  <c r="N26" s="1"/>
  <c r="N27" s="1"/>
  <c r="J25" i="167"/>
  <c r="L6"/>
  <c r="K6"/>
  <c r="K16"/>
  <c r="L16"/>
  <c r="K46" i="138"/>
  <c r="K48" s="1"/>
  <c r="K63" s="1"/>
  <c r="L46"/>
  <c r="L48" s="1"/>
  <c r="L63" s="1"/>
  <c r="N46"/>
  <c r="N48" s="1"/>
  <c r="N63" s="1"/>
  <c r="P46" i="139"/>
  <c r="P48" s="1"/>
  <c r="J46"/>
  <c r="M46"/>
  <c r="M48" s="1"/>
  <c r="M63" s="1"/>
  <c r="O46"/>
  <c r="O48" s="1"/>
  <c r="O63" s="1"/>
  <c r="K58" i="171"/>
  <c r="K64" s="1"/>
  <c r="L58"/>
  <c r="L64" s="1"/>
  <c r="J64"/>
  <c r="J65" s="1"/>
  <c r="N58"/>
  <c r="N64" s="1"/>
  <c r="K44" i="172"/>
  <c r="K48" s="1"/>
  <c r="L44"/>
  <c r="L48" s="1"/>
  <c r="N44"/>
  <c r="J48"/>
  <c r="J58"/>
  <c r="O58"/>
  <c r="O64" s="1"/>
  <c r="M58"/>
  <c r="M64" s="1"/>
  <c r="F4" i="175"/>
  <c r="J27" i="156"/>
  <c r="B5" i="3" s="1"/>
  <c r="L27" i="156"/>
  <c r="O27" i="164"/>
  <c r="M27" i="158"/>
  <c r="O27"/>
  <c r="N16" i="156"/>
  <c r="C5" i="174"/>
  <c r="D5" s="1"/>
  <c r="J27" i="165"/>
  <c r="L16"/>
  <c r="L27" i="164"/>
  <c r="N14"/>
  <c r="N16" s="1"/>
  <c r="N48" i="171"/>
  <c r="N65" s="1"/>
  <c r="L48"/>
  <c r="L65" s="1"/>
  <c r="K48"/>
  <c r="M65" i="172"/>
  <c r="O65"/>
  <c r="O27" i="156"/>
  <c r="N32" i="89"/>
  <c r="N69" i="110"/>
  <c r="D4" i="174"/>
  <c r="N62" i="141"/>
  <c r="B4" i="175"/>
  <c r="N20" i="92"/>
  <c r="N32" s="1"/>
  <c r="M20" i="168"/>
  <c r="M18"/>
  <c r="K65" i="170"/>
  <c r="J48" i="141"/>
  <c r="K46"/>
  <c r="L46"/>
  <c r="L48" s="1"/>
  <c r="L63" s="1"/>
  <c r="P63"/>
  <c r="C7" i="174"/>
  <c r="L26" i="168"/>
  <c r="K25"/>
  <c r="M6"/>
  <c r="N46" i="140"/>
  <c r="N48" s="1"/>
  <c r="N63" s="1"/>
  <c r="L25" i="168"/>
  <c r="N63" i="114"/>
  <c r="K20" i="169"/>
  <c r="K25" s="1"/>
  <c r="L20"/>
  <c r="L25" s="1"/>
  <c r="N48" i="172"/>
  <c r="M16" i="169"/>
  <c r="M6"/>
  <c r="D12" i="175"/>
  <c r="L58" i="172" l="1"/>
  <c r="L64" s="1"/>
  <c r="K58"/>
  <c r="K64" s="1"/>
  <c r="N58"/>
  <c r="N64" s="1"/>
  <c r="J64"/>
  <c r="K46" i="139"/>
  <c r="K48" s="1"/>
  <c r="K63" s="1"/>
  <c r="L46"/>
  <c r="L48" s="1"/>
  <c r="L63" s="1"/>
  <c r="N46"/>
  <c r="N48" s="1"/>
  <c r="N63" s="1"/>
  <c r="J48"/>
  <c r="J63" s="1"/>
  <c r="P63"/>
  <c r="C3" i="174" s="1"/>
  <c r="D3" s="1"/>
  <c r="D5" i="175"/>
  <c r="D6" s="1"/>
  <c r="E7" s="1"/>
  <c r="M6" i="167"/>
  <c r="K25"/>
  <c r="L26"/>
  <c r="K22" i="166"/>
  <c r="K26" s="1"/>
  <c r="K27" s="1"/>
  <c r="L22"/>
  <c r="L26" s="1"/>
  <c r="L27" s="1"/>
  <c r="J26"/>
  <c r="J27" s="1"/>
  <c r="N22"/>
  <c r="N26" s="1"/>
  <c r="N27" s="1"/>
  <c r="O26"/>
  <c r="O27" s="1"/>
  <c r="R26"/>
  <c r="N22" i="164"/>
  <c r="N26" s="1"/>
  <c r="K26"/>
  <c r="K27" s="1"/>
  <c r="N22" i="156"/>
  <c r="N26" s="1"/>
  <c r="K26"/>
  <c r="K22" i="158"/>
  <c r="K26" s="1"/>
  <c r="J26"/>
  <c r="L22"/>
  <c r="L26" s="1"/>
  <c r="N22"/>
  <c r="N26" s="1"/>
  <c r="N15"/>
  <c r="N16" s="1"/>
  <c r="N27" s="1"/>
  <c r="L16"/>
  <c r="N65" i="172"/>
  <c r="N27" i="164"/>
  <c r="N27" i="156"/>
  <c r="D5" i="3"/>
  <c r="J65" i="172"/>
  <c r="L65"/>
  <c r="K65"/>
  <c r="B6" i="3"/>
  <c r="K65" i="171"/>
  <c r="C6" i="3" s="1"/>
  <c r="M16" i="167"/>
  <c r="L25"/>
  <c r="L27" i="165"/>
  <c r="D6" i="3" s="1"/>
  <c r="K27" i="158"/>
  <c r="J27"/>
  <c r="D7" i="174"/>
  <c r="M25" i="168"/>
  <c r="L26" i="169"/>
  <c r="B20" i="175" s="1"/>
  <c r="C20" s="1"/>
  <c r="M20" i="169"/>
  <c r="M25" s="1"/>
  <c r="J63" i="141"/>
  <c r="B7" i="3" s="1"/>
  <c r="B8" s="1"/>
  <c r="K48" i="141"/>
  <c r="K63" s="1"/>
  <c r="C7" i="3" s="1"/>
  <c r="N46" i="141"/>
  <c r="N48" s="1"/>
  <c r="N63" s="1"/>
  <c r="B13" i="175" s="1"/>
  <c r="C13" s="1"/>
  <c r="E13" s="1"/>
  <c r="L27" i="158" l="1"/>
  <c r="D7" i="3" s="1"/>
  <c r="F3" i="175"/>
  <c r="K27" i="156"/>
  <c r="C5" i="3" s="1"/>
  <c r="G5" s="1"/>
  <c r="G8" s="1"/>
  <c r="G9" s="1"/>
  <c r="C8"/>
  <c r="D8"/>
  <c r="G6"/>
  <c r="M25" i="167"/>
  <c r="B21" i="175" s="1"/>
  <c r="C21" s="1"/>
  <c r="F5"/>
  <c r="F6" s="1"/>
  <c r="B5"/>
  <c r="G7" i="3"/>
  <c r="B14" i="175"/>
  <c r="C14"/>
  <c r="D14" s="1"/>
  <c r="D13"/>
  <c r="B11" l="1"/>
  <c r="E14"/>
  <c r="B6"/>
  <c r="C11"/>
  <c r="E8" l="1"/>
  <c r="D9"/>
  <c r="D11"/>
  <c r="E11"/>
</calcChain>
</file>

<file path=xl/sharedStrings.xml><?xml version="1.0" encoding="utf-8"?>
<sst xmlns="http://schemas.openxmlformats.org/spreadsheetml/2006/main" count="4779" uniqueCount="673">
  <si>
    <t>Table 6.C.  Annual Respondent Burden and Cost of Recordkeeping and Reporting Requirements for the National Emission Standards</t>
  </si>
  <si>
    <t xml:space="preserve">                for Hazardous Air Pollutants (NESHAP) for Industrial, Commercial, and Institutional Boilers  - Year 3, New Large Gas Fuel Units</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</si>
  <si>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t>
  </si>
  <si>
    <t>g Existing large solid units are expected to determine compliance through stack testing and not fuel analysis</t>
  </si>
  <si>
    <t>(B) Certified Energy Audit Cost per Occurrence</t>
  </si>
  <si>
    <t>(D) Other Non-Labor Costs Per Occurrence</t>
  </si>
  <si>
    <t>(C) Stack Testing and Fuel Analysis Cost Per Occurrence</t>
  </si>
  <si>
    <t>Reporting Subtotal</t>
  </si>
  <si>
    <t>(K)  Total Labor Costs Per Year</t>
  </si>
  <si>
    <t>(L) Total Non-Labor Capital Costs Per Year [(B+C+D)xExG]</t>
  </si>
  <si>
    <t xml:space="preserve">           2. Biennial Tune-Up</t>
  </si>
  <si>
    <t>3) Biennial Compliance Report</t>
  </si>
  <si>
    <t>c, f</t>
  </si>
  <si>
    <t>c, g</t>
  </si>
  <si>
    <t>Review annual compliance report</t>
  </si>
  <si>
    <t>Review biennial compliance report</t>
  </si>
  <si>
    <t>j</t>
  </si>
  <si>
    <t>L</t>
  </si>
  <si>
    <t>m</t>
  </si>
  <si>
    <t>m Total cost is based on the number of trips taken by EPA to observe performance tests in year 1 (4.A. &amp; 4.B.) multiplied by $1104 per trip.  The source for hotel and meals/incidental costs is based on FY' 10 per diem rates, averaged across all locations in the United States.  Airfares are estimated based on experience from other rulemakings. See: http://www.gsa.gov/Portal/gsa/ep/contentView.do?contentId=17943&amp;contentType=GSA_BASIC</t>
  </si>
  <si>
    <t>L Energy audits only occur at existing facilities.</t>
  </si>
  <si>
    <t>k These rates are from the Office of Personnel Management (OPM), 2010 General Schedule, which excludes locality rates of pay.  The rates have been increased by 60 percent to account for the benefit packages available to government employees. These rates can be obtained from the OPM web site, http//www.opm.gov/oca/payrates/index/htm.</t>
  </si>
  <si>
    <t>(H) Costs, $ k</t>
  </si>
  <si>
    <t>No new process gas units</t>
  </si>
  <si>
    <r>
      <t xml:space="preserve">(H) Costs, $ </t>
    </r>
    <r>
      <rPr>
        <vertAlign val="superscript"/>
        <sz val="10"/>
        <rFont val="Arial"/>
        <family val="2"/>
      </rPr>
      <t>k</t>
    </r>
  </si>
  <si>
    <t>REPORTING</t>
  </si>
  <si>
    <t>Recordkeeping Subtotal</t>
  </si>
  <si>
    <t>Existing Boilers -- number of boilers with monitor</t>
  </si>
  <si>
    <t>New Boilers -- number of boilers with monitor</t>
  </si>
  <si>
    <t>Total HOURS</t>
  </si>
  <si>
    <t>3- year period</t>
  </si>
  <si>
    <t>Average per year</t>
  </si>
  <si>
    <t>Total LABOR COSTS</t>
  </si>
  <si>
    <t>TOTAL COSTS (non-labor)</t>
  </si>
  <si>
    <t>TOTAL LABOR AND NON-Labor COSTS</t>
  </si>
  <si>
    <t>Agency Labor Rates</t>
  </si>
  <si>
    <t>Per Diem Info</t>
  </si>
  <si>
    <t>Hotel</t>
  </si>
  <si>
    <t>Meals</t>
  </si>
  <si>
    <t>Airfare</t>
  </si>
  <si>
    <t>Trip Length</t>
  </si>
  <si>
    <t>Other Data</t>
  </si>
  <si>
    <t>Percent of Stack Tests Observed</t>
  </si>
  <si>
    <t>Estimated Percent Retesting</t>
  </si>
  <si>
    <t>Estimated Percent Emission Exceedences</t>
  </si>
  <si>
    <t>Table 13.A.  Annual Federal Government Burden and Cost of Recordkeeping and Reporting</t>
  </si>
  <si>
    <t>EPA hours per occurrence (A)</t>
  </si>
  <si>
    <t>Number of occurrences per year (B)</t>
  </si>
  <si>
    <t>EPA hours per occurrence per year (C=AxB)</t>
  </si>
  <si>
    <t>Technical hours per year (D=C)</t>
  </si>
  <si>
    <t>Mangmt hours per year (E=Dx0.05)</t>
  </si>
  <si>
    <t>Clerical hours per year (F=Dx0.1)</t>
  </si>
  <si>
    <t>1.</t>
  </si>
  <si>
    <t>Read and understand rule requirements</t>
  </si>
  <si>
    <t>2.</t>
  </si>
  <si>
    <t>Enter and update information into agency recordkeeping system</t>
  </si>
  <si>
    <t>3.</t>
  </si>
  <si>
    <t>Required activities</t>
  </si>
  <si>
    <t>A.</t>
  </si>
  <si>
    <t>Observe initial stack/performance test</t>
  </si>
  <si>
    <t>B.</t>
  </si>
  <si>
    <t>Observe repeat performance test</t>
  </si>
  <si>
    <t>C.</t>
  </si>
  <si>
    <t>Review operating parameters</t>
  </si>
  <si>
    <t>D.</t>
  </si>
  <si>
    <t>Review continuous parameter monitoring</t>
  </si>
  <si>
    <t>4</t>
  </si>
  <si>
    <t>Excess Emissions Enforcement Activities and Inspections</t>
  </si>
  <si>
    <t>g</t>
  </si>
  <si>
    <t>5</t>
  </si>
  <si>
    <t>Notification requirements</t>
  </si>
  <si>
    <t xml:space="preserve">Review initial notification that sources are subject to the standard </t>
  </si>
  <si>
    <t>Review notification of initial performance tests and review test plan</t>
  </si>
  <si>
    <t>Review notification of compliance status</t>
  </si>
  <si>
    <t>6.</t>
  </si>
  <si>
    <t>Reporting requirements</t>
  </si>
  <si>
    <t>Review semiannual compliance report</t>
  </si>
  <si>
    <t>h</t>
  </si>
  <si>
    <t xml:space="preserve">B. </t>
  </si>
  <si>
    <t>Review initial report on results of energy audit</t>
  </si>
  <si>
    <t>7.</t>
  </si>
  <si>
    <t>Travel Expenses for Tests Attended</t>
  </si>
  <si>
    <t>3 days * ($110 hotel + $58 meals/incidentals) + ($600 round trip) = $1104 per trip</t>
  </si>
  <si>
    <t>i</t>
  </si>
  <si>
    <t>TOTAL BURDEN AND COST (SALARY)</t>
  </si>
  <si>
    <t>TOTAL ANNUAL HOURS</t>
  </si>
  <si>
    <t>a Number of occurences is the number of states where affected sources will exist and each EPA Region (50 states + 10 EPA regions = 60 respondents).</t>
  </si>
  <si>
    <t>Table 13.B.  Annual Federal Government Burden and Cost of Recordkeeping and Reporting</t>
  </si>
  <si>
    <t>Table 13.C.  Annual Federal Government Burden and Cost of Recordkeeping and Reporting</t>
  </si>
  <si>
    <t>c,g</t>
  </si>
  <si>
    <t>c,h</t>
  </si>
  <si>
    <t>c,f</t>
  </si>
  <si>
    <t xml:space="preserve">                for Hazardous Air Pollutants (NESHAP) for Industrial, Commercial, and Institutional Boilers  - Year 3, Existing Large Solid Fuel Units</t>
  </si>
  <si>
    <t>(C) Annual Tune-Up Cost per Occurrence</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</si>
  <si>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
  </si>
  <si>
    <t>(L) Total Non-Labor Capital Costs Per Year ((B+C+D)xExG)</t>
  </si>
  <si>
    <t xml:space="preserve">                for Hazardous Air Pollutants (NESHAP) for Industrial, Commercial, and Institutional Boilers  - Year 2, Existing Large Solid Fuel Units</t>
  </si>
  <si>
    <t xml:space="preserve">                for Hazardous Air Pollutants (NESHAP) for Industrial, Commercial, and Institutional Boilers  - Year 3, Existing Large Liquid Fuel Units</t>
  </si>
  <si>
    <t xml:space="preserve">                for Hazardous Air Pollutants (NESHAP) for Industrial, Commercial, and Institutional Boilers  - Year 1, Existing Large Gas Fuel Units</t>
  </si>
  <si>
    <t xml:space="preserve">                for Hazardous Air Pollutants (NESHAP) for Industrial, Commercial, and Institutional Boilers  - Year 2, Existing Large Gas Fuel Units</t>
  </si>
  <si>
    <t xml:space="preserve">                for Hazardous Air Pollutants (NESHAP) for Industrial, Commercial, and Institutional Boilers  - Year 3, Existing Large Gas Fuel Units</t>
  </si>
  <si>
    <t xml:space="preserve">                for Hazardous Air Pollutants (NESHAP) for Industrial, Commercial, and Institutional Boilers  - Year 1, New Large Solid Fuel Units</t>
  </si>
  <si>
    <t xml:space="preserve">                for Hazardous Air Pollutants (NESHAP) for Industrial, Commercial, and Institutional Boilers  - Year 1, New Large Gas Fuel Units</t>
  </si>
  <si>
    <t>PM</t>
  </si>
  <si>
    <t>Hg</t>
  </si>
  <si>
    <t>HCl</t>
  </si>
  <si>
    <t>D/F</t>
  </si>
  <si>
    <t>Large Liquid</t>
  </si>
  <si>
    <t>5_AffectedSector</t>
  </si>
  <si>
    <t>Not-for-Profit</t>
  </si>
  <si>
    <t>Private Enterprise</t>
  </si>
  <si>
    <t>Public Sector</t>
  </si>
  <si>
    <t>8_Small Entity</t>
  </si>
  <si>
    <t>False</t>
  </si>
  <si>
    <t>True</t>
  </si>
  <si>
    <t>Unknown</t>
  </si>
  <si>
    <t>% of Total</t>
  </si>
  <si>
    <t>Private Sector</t>
  </si>
  <si>
    <t>% Small Entity</t>
  </si>
  <si>
    <t>Table 12.A.  Annual Respondent Burden and Cost of Recordkeeping and Reporting Requirements for the National Emission Standards</t>
  </si>
  <si>
    <t>Table 12.B.  Annual Respondent Burden and Cost of Recordkeeping and Reporting Requirements for the National Emission Standards</t>
  </si>
  <si>
    <t>Table 12.C.  Annual Respondent Burden and Cost of Recordkeeping and Reporting Requirements for the National Emission Standards</t>
  </si>
  <si>
    <t>b Assumes facility must already maintain records on boiler insurance and/or maintenance schedule.  No new record system would be required.</t>
  </si>
  <si>
    <t>b</t>
  </si>
  <si>
    <t xml:space="preserve">           2.  Initial Stack Test and Report (for Hg)</t>
  </si>
  <si>
    <t xml:space="preserve">           3.  Initial Stack Test and Report (for HCl)</t>
  </si>
  <si>
    <t xml:space="preserve">           4.  Initial Stack Test and Report (for CO)</t>
  </si>
  <si>
    <t>Criteria for Monitor Counts:</t>
  </si>
  <si>
    <t>1) Solid or Liquid fuel</t>
  </si>
  <si>
    <t>2) Design Capacity &gt;10</t>
  </si>
  <si>
    <t>3a) Bag Leak Detection -TCI &gt;0, HCL Control Selected not "DIFF", FF-TCI &gt;0; or</t>
  </si>
  <si>
    <t>3) Opacity -TCI &gt;0</t>
  </si>
  <si>
    <t>4) HCL Control Selected not "Scrubber"</t>
  </si>
  <si>
    <t>3) HCL Control Selected = "Scrubber"</t>
  </si>
  <si>
    <t>4) WS Monitoring -TCI &gt;0</t>
  </si>
  <si>
    <t>3) FF-TCI = "ACI"</t>
  </si>
  <si>
    <t>4) ACI Carbon Rate (TCI) &gt;0</t>
  </si>
  <si>
    <t xml:space="preserve">           6.  Annual Stack Test and Report (for PM)</t>
  </si>
  <si>
    <t xml:space="preserve">           7.  Annual Stack Test and Report (for Hg)</t>
  </si>
  <si>
    <t xml:space="preserve">           8.  Annual Stack Test and Report (for HCl)</t>
  </si>
  <si>
    <t xml:space="preserve">           9.  Annual Stack Test and Report (for CO)</t>
  </si>
  <si>
    <t>If greater than 100</t>
  </si>
  <si>
    <t>same</t>
  </si>
  <si>
    <t>Test Type</t>
  </si>
  <si>
    <t>Cost</t>
  </si>
  <si>
    <t>Large Solid</t>
  </si>
  <si>
    <t>assume fuel analysis for Hg</t>
  </si>
  <si>
    <t>Annualized Energy Audit Cost at 7%</t>
  </si>
  <si>
    <t>Commercial</t>
  </si>
  <si>
    <t>Industrial</t>
  </si>
  <si>
    <t>Number of Facilities</t>
  </si>
  <si>
    <t>% of Total Facilities</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</si>
  <si>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87.4% of facilities are in the  industrial sector while the remaining 12.6% of facilities are in the commercial sector.</t>
  </si>
  <si>
    <t>Opacity vs. Bag Leak Detection vs. Wet Scrubber vs. ACI</t>
  </si>
  <si>
    <t>BLD</t>
  </si>
  <si>
    <t>Opacity</t>
  </si>
  <si>
    <t>Wet Scrubber</t>
  </si>
  <si>
    <t>Small Solid</t>
  </si>
  <si>
    <t>Small Liquid</t>
  </si>
  <si>
    <t>Small Gas</t>
  </si>
  <si>
    <t xml:space="preserve">                  Scrubber System Monitoring and Operation
                  (for units with wet scrubbers)</t>
  </si>
  <si>
    <t xml:space="preserve">                  Carbon Injection Monitoring System 
                  (all sources that use ACI to control Hg)</t>
  </si>
  <si>
    <t>(M) Total Number of Responses per Year (E X G)</t>
  </si>
  <si>
    <t>(E) Number of Occurrences Per Respondent Per Year</t>
  </si>
  <si>
    <t xml:space="preserve">                  Scrubber System Monitoring and Operation 
                  (for units with wet scrubbers)</t>
  </si>
  <si>
    <t>Table 1.A.  Annual Respondent Burden and Cost of Recordkeeping and Reporting Requirements for the National Emission Standards</t>
  </si>
  <si>
    <t>Table 1.C.  Annual Respondent Burden and Cost of Recordkeeping and Reporting Requirements for the National Emission Standards</t>
  </si>
  <si>
    <t>Table 2.A.  Annual Respondent Burden and Cost of Recordkeeping and Reporting Requirements for the National Emission Standards</t>
  </si>
  <si>
    <t>Table 2.B.  Annual Respondent Burden and Cost of Recordkeeping and Reporting Requirements for the National Emission Standards</t>
  </si>
  <si>
    <t>c,k</t>
  </si>
  <si>
    <t>Table 2.C.  Annual Respondent Burden and Cost of Recordkeeping and Reporting Requirements for the National Emission Standards</t>
  </si>
  <si>
    <t>Table 3.A.  Annual Respondent Burden and Cost of Recordkeeping and Reporting Requirements for the National Emission Standards</t>
  </si>
  <si>
    <t>Table 3.B.  Annual Respondent Burden and Cost of Recordkeeping and Reporting Requirements for the National Emission Standards</t>
  </si>
  <si>
    <t>Table 3.C.  Annual Respondent Burden and Cost of Recordkeeping and Reporting Requirements for the National Emission Standards</t>
  </si>
  <si>
    <t>Energy Audit - Existing Facilities</t>
  </si>
  <si>
    <t>Energy Audit - New Facilities</t>
  </si>
  <si>
    <t>Table 4.A.  Annual Respondent Burden and Cost of Recordkeeping and Reporting Requirements for the National Emission Standards</t>
  </si>
  <si>
    <t xml:space="preserve">                for Hazardous Air Pollutants (NESHAP) for Industrial, Commercial, and Institutional Boilers  - Year 2, New Large Solid Fuel Units</t>
  </si>
  <si>
    <t xml:space="preserve">                for Hazardous Air Pollutants (NESHAP) for Industrial, Commercial, and Institutional Boilers  - Year 3, New Large Solid Fuel Units</t>
  </si>
  <si>
    <t>Table 4.B.  Annual Respondent Burden and Cost of Recordkeeping and Reporting Requirements for the National Emission Standards</t>
  </si>
  <si>
    <t>Table 4.C.  Annual Respondent Burden and Cost of Recordkeeping and Reporting Requirements for the National Emission Standards</t>
  </si>
  <si>
    <t>Table 5.A.  Annual Respondent Burden and Cost of Recordkeeping and Reporting Requirements for the National Emission Standards</t>
  </si>
  <si>
    <t xml:space="preserve">                for Hazardous Air Pollutants (NESHAP) for Industrial, Commercial, and Institutional Boilers  - Year 1, New Large Liquid Fuel Units</t>
  </si>
  <si>
    <t>CO</t>
  </si>
  <si>
    <t>no test cost, assume CO monitor</t>
  </si>
  <si>
    <t xml:space="preserve">           5.  Initial Stack Test and Report (for CO)</t>
  </si>
  <si>
    <t>Tune-ups required for all units &lt;10 and all gas 1 units, regardless of size</t>
  </si>
  <si>
    <t>Unit Subcategory </t>
  </si>
  <si>
    <t>Number of Respondents (Facilities)</t>
  </si>
  <si>
    <t>Small units designed to burn Gaseous Fuels (all gases)</t>
  </si>
  <si>
    <t xml:space="preserve">                for Hazardous Air Pollutants (NESHAP) for Industrial, Commercial, and Institutional Boilers  - Year 2, New Large Liquid Fuel Units</t>
  </si>
  <si>
    <t>Table 5.B.  Annual Respondent Burden and Cost of Recordkeeping and Reporting Requirements for the National Emission Standards</t>
  </si>
  <si>
    <t xml:space="preserve">                for Hazardous Air Pollutants (NESHAP) for Industrial, Commercial, and Institutional Boilers  - Year 3, New Large Liquid Fuel Units</t>
  </si>
  <si>
    <t>Table 5.C.  Annual Respondent Burden and Cost of Recordkeeping and Reporting Requirements for the National Emission Standards</t>
  </si>
  <si>
    <t>RECORDKEEPING</t>
  </si>
  <si>
    <t>INDUSTRY</t>
  </si>
  <si>
    <t>(A)</t>
  </si>
  <si>
    <t>Number of New Respondents (Average for Years 1,2, and 3)</t>
  </si>
  <si>
    <t>(B)</t>
  </si>
  <si>
    <t>Number of Reports for New Respondents*</t>
  </si>
  <si>
    <t>(C)</t>
  </si>
  <si>
    <t>Number of Existing Respondents</t>
  </si>
  <si>
    <t>(D)*</t>
  </si>
  <si>
    <t>Number of Reports for Existing Respondents</t>
  </si>
  <si>
    <t>(F)</t>
  </si>
  <si>
    <t>Number of Existing Respondents That Keep Records but Do Not Submit Reports</t>
  </si>
  <si>
    <t>(E)</t>
  </si>
  <si>
    <t>Total Annual Responses</t>
  </si>
  <si>
    <t>Large units designed to burn Coal</t>
  </si>
  <si>
    <t>Large units designed to burn Biomass</t>
  </si>
  <si>
    <t>Large units designed to burn Liquid</t>
  </si>
  <si>
    <t>Small units designed to burn Coal</t>
  </si>
  <si>
    <t>Small units designed to burn Biomass</t>
  </si>
  <si>
    <t>Small units designed to burn Liquid</t>
  </si>
  <si>
    <t>Large units designed to burn Natural Gas</t>
  </si>
  <si>
    <t>Large units designed to burn Refinery Gas</t>
  </si>
  <si>
    <t>Large units designed to burn Other Process Gases</t>
  </si>
  <si>
    <t>Table 7.A.  Annual Respondent Burden and Cost of Recordkeeping and Reporting Requirements for the National Emission Standards</t>
  </si>
  <si>
    <t>Table 7.B.  Annual Respondent Burden and Cost of Recordkeeping and Reporting Requirements for the National Emission Standards</t>
  </si>
  <si>
    <t>Table 7.C.  Annual Respondent Burden and Cost of Recordkeeping and Reporting Requirements for the National Emission Standards</t>
  </si>
  <si>
    <t>Table 8.A.  Annual Respondent Burden and Cost of Recordkeeping and Reporting Requirements for the National Emission Standards</t>
  </si>
  <si>
    <t>Table 8.B.  Annual Respondent Burden and Cost of Recordkeeping and Reporting Requirements for the National Emission Standards</t>
  </si>
  <si>
    <t>Table 8.C.  Annual Respondent Burden and Cost of Recordkeeping and Reporting Requirements for the National Emission Standards</t>
  </si>
  <si>
    <t>g Existing large gas 2 units are expected to determine compliance through stack testing not fuel analysis</t>
  </si>
  <si>
    <t xml:space="preserve">  </t>
  </si>
  <si>
    <t>5) Semi-annual Compliance Report</t>
  </si>
  <si>
    <t>4) Annual Compliance Report</t>
  </si>
  <si>
    <t xml:space="preserve">           5) Records of All Annual Compliance Reports Submitted</t>
  </si>
  <si>
    <t>k The recordkeeping and reporting requirements for natural gas fired units is to conduct an annual tune-up and document that the tune-up was completed. The documentation does not need to be submitted as a report unless requested by the Administrator.</t>
  </si>
  <si>
    <t>g Existing large gas 2 units are expected to determine compliance through stack testing.</t>
  </si>
  <si>
    <t>L Only facilities with process gas (gas 2 units) subject to numerical emission limits are expected to be required to submit semi-annual compliance reports. Natural gas and refinery gas units are required to submit reports annually.</t>
  </si>
  <si>
    <t xml:space="preserve">           7) Records of Monthly Fuel Use</t>
  </si>
  <si>
    <t xml:space="preserve">          7) Records of Monthly Fuel Use</t>
  </si>
  <si>
    <t>3)  Biennial Compliance Report</t>
  </si>
  <si>
    <t xml:space="preserve">           2. Biennual Tune-Up</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</si>
  <si>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 Annualized cost of $2228 for a tune-up is calculated considering a biennual schedule.</t>
  </si>
  <si>
    <t>3) Biennial Tune-Up Records</t>
  </si>
  <si>
    <t>Table 9.A.  Annual Respondent Burden and Cost of Recordkeeping and Reporting Requirements for the National Emission Standards</t>
  </si>
  <si>
    <t>Table 9.B.  Annual Respondent Burden and Cost of Recordkeeping and Reporting Requirements for the National Emission Standards</t>
  </si>
  <si>
    <t>Table 9.C.  Annual Respondent Burden and Cost of Recordkeeping and Reporting Requirements for the National Emission Standards</t>
  </si>
  <si>
    <t>c, L</t>
  </si>
  <si>
    <t>c,j,k</t>
  </si>
  <si>
    <t>a,g</t>
  </si>
  <si>
    <t xml:space="preserve">           12.  Initial Fuel Analysis for Mercury and HCL Content</t>
  </si>
  <si>
    <t xml:space="preserve">           13.  Monthly Fuel Analysis for Mercury and HCL Content</t>
  </si>
  <si>
    <t xml:space="preserve">           14.  Continuous Parameter Monitoring</t>
  </si>
  <si>
    <t>d Assumes facility must already maintain records on boiler insurance and/or maintenance schedule as part of their operations.  No new record system would be required.</t>
  </si>
  <si>
    <t>d</t>
  </si>
  <si>
    <t>f</t>
  </si>
  <si>
    <t xml:space="preserve">                        a) Commerical</t>
  </si>
  <si>
    <t xml:space="preserve"> for the Industrial, Commercial, and Institutional Boiler and Process Heater Major Source NESHAP Subpart DDDDD- Year 1 - First Year After Promulgation</t>
  </si>
  <si>
    <t xml:space="preserve">                        b) Industrial</t>
  </si>
  <si>
    <t xml:space="preserve">           15. Annual Tune-up</t>
  </si>
  <si>
    <t>Large Gas (Gas 1 - NG only)</t>
  </si>
  <si>
    <t>Large Gas (Gas 1 - Other)</t>
  </si>
  <si>
    <t>Large Gas (Gas 2)</t>
  </si>
  <si>
    <t>Annualized Capital/Start-up and O&amp;M</t>
  </si>
  <si>
    <t>Number of Responses</t>
  </si>
  <si>
    <t>Annual Burden Hours</t>
  </si>
  <si>
    <t>Overall Average Annual Estimates</t>
  </si>
  <si>
    <t>Cost per Response</t>
  </si>
  <si>
    <t>Burden Hours per Response</t>
  </si>
  <si>
    <t>Table 6.A.  Annual Respondent Burden and Cost of Recordkeeping and Reporting Requirements for the National Emission Standards</t>
  </si>
  <si>
    <t>Table 6.B.  Annual Respondent Burden and Cost of Recordkeeping and Reporting Requirements for the National Emission Standards</t>
  </si>
  <si>
    <t>Table 11.A.  Annual Respondent Burden and Cost of Recordkeeping and Reporting Requirements for the National Emission Standards</t>
  </si>
  <si>
    <t>Table 11.B.  Annual Respondent Burden and Cost of Recordkeeping and Reporting Requirements for the National Emission Standards</t>
  </si>
  <si>
    <t>Table 11.C.  Annual Respondent Burden and Cost of Recordkeeping and Reporting Requirements for the National Emission Standards</t>
  </si>
  <si>
    <t>Table 10.A.  Annual Respondent Burden and Cost of Recordkeeping and Reporting Requirements for the National Emission Standards</t>
  </si>
  <si>
    <t>Table 10.B.  Annual Respondent Burden and Cost of Recordkeeping and Reporting Requirements for the National Emission Standards</t>
  </si>
  <si>
    <t>Table 10.C.  Annual Respondent Burden and Cost of Recordkeeping and Reporting Requirements for the National Emission Standards</t>
  </si>
  <si>
    <t xml:space="preserve">                for Hazardous Air Pollutants (NESHAP) for Industrial, Commercial, and Institutional Boilers  - Year 2, New Large Gas Fuel Units</t>
  </si>
  <si>
    <t xml:space="preserve">                for Hazardous Air Pollutants (NESHAP) for Industrial, Commercial, and Institutional Boilers  - Year 1, New Small Liquid Fuel Units</t>
  </si>
  <si>
    <t xml:space="preserve">                for Hazardous Air Pollutants (NESHAP) for Industrial, Commercial, and Institutional Boilers  - Year 3, New Small Liquid Fuel Units</t>
  </si>
  <si>
    <t xml:space="preserve">                for Hazardous Air Pollutants (NESHAP) for Industrial, Commercial, and Institutional Boilers  - Year 2, New Small Liquid Fuel Units</t>
  </si>
  <si>
    <t xml:space="preserve">                for Hazardous Air Pollutants (NESHAP) for Industrial, Commercial, and Institutional Boilers  - Year 1, New Small Gas Fuel Units</t>
  </si>
  <si>
    <t>Annualized Capital/start-up O&amp;M</t>
  </si>
  <si>
    <t>Total Capital (Monitor Purchase)</t>
  </si>
  <si>
    <t>Existing Large Solid Units</t>
  </si>
  <si>
    <t>New Large Solid Units</t>
  </si>
  <si>
    <t>Existing Small Solid Units</t>
  </si>
  <si>
    <t>New Small Solid Units</t>
  </si>
  <si>
    <t>Existing Large Liquid Units</t>
  </si>
  <si>
    <t>New Large Liquid Units</t>
  </si>
  <si>
    <t>Existing Small Liquid Units</t>
  </si>
  <si>
    <t>New Small Liquid Units</t>
  </si>
  <si>
    <t>Existing Large Gaseous Units</t>
  </si>
  <si>
    <t>New Large Gaseous Units</t>
  </si>
  <si>
    <t>Existing Small Gaseous Units</t>
  </si>
  <si>
    <t>New Small Gaseous Units</t>
  </si>
  <si>
    <t xml:space="preserve">                for Hazardous Air Pollutants (NESHAP) for Industrial, Commercial, and Institutional Boilers  - Year 3, New Small Gas Fuel Units</t>
  </si>
  <si>
    <t xml:space="preserve">                for Hazardous Air Pollutants (NESHAP) for Industrial, Commercial, and Institutional Boilers  - Year 2, New Small Gas Fuel Units</t>
  </si>
  <si>
    <t>Sum of Unit Count</t>
  </si>
  <si>
    <t>Mact Floor Fuel Category</t>
  </si>
  <si>
    <t>&lt;10</t>
  </si>
  <si>
    <t>&gt;=10 to 100</t>
  </si>
  <si>
    <t>100 to 250</t>
  </si>
  <si>
    <t>&gt;250</t>
  </si>
  <si>
    <t>Notes:</t>
  </si>
  <si>
    <t>Gas 1 (NG Only)</t>
  </si>
  <si>
    <t>PM CEMS required for all units &gt;250 that are firing liquid or solid fuels</t>
  </si>
  <si>
    <t>Gas 1 (Other Gases)</t>
  </si>
  <si>
    <t>Gas 2</t>
  </si>
  <si>
    <t>ACI</t>
  </si>
  <si>
    <t>Units per Existing Facility</t>
  </si>
  <si>
    <t>Units per New Facility</t>
  </si>
  <si>
    <t>Sum of 2013- Estimated number of new boilers</t>
  </si>
  <si>
    <t>Standard Fuel Category</t>
  </si>
  <si>
    <t>SizeCategory</t>
  </si>
  <si>
    <t>&gt;100 to 250</t>
  </si>
  <si>
    <t>Gas 1</t>
  </si>
  <si>
    <t xml:space="preserve">                 PM (only sources greater than 250 mmBtu/hr)</t>
  </si>
  <si>
    <t xml:space="preserve">           2.  Initial Stack Test and Report (for PM)</t>
  </si>
  <si>
    <t xml:space="preserve">           3.  Initial Stack Test and Report (for Hg)</t>
  </si>
  <si>
    <t xml:space="preserve">           4.  Initial Stack Test and Report (for HCl)</t>
  </si>
  <si>
    <t>AGENCY</t>
  </si>
  <si>
    <t>Hours</t>
  </si>
  <si>
    <t>Costs (labor + travel)</t>
  </si>
  <si>
    <t>f Number of occurences begins in year 3 for existing units and in year 1 for new units and is based on the number of units maintaining records of control device parameters.</t>
  </si>
  <si>
    <t>ICRAS SUMMARY</t>
  </si>
  <si>
    <t>c,i</t>
  </si>
  <si>
    <t>Sum of Facility Count</t>
  </si>
  <si>
    <t>Sum of 2013- Estimated number of Facilities</t>
  </si>
  <si>
    <t>j No annual test and reporting burden is shown in year 1 as this is the same year as the initial test and report.</t>
  </si>
  <si>
    <t>c,j</t>
  </si>
  <si>
    <t>j Subsequent annual testing in year 2 are based on the number of sources that had an initial test in year 1 of this ICR.   Subsequent semi-annual compliance reporting and recordkeeping requirements are based on the number of new sources in years 1 and 2 of this ICR.</t>
  </si>
  <si>
    <t>c Since existing units have three years after the publication date of the final rule to submit initial notification of compliance status, conduct compliance activities, or meet recordkeeping or reporting requirements, no burden is assumed in year 1.</t>
  </si>
  <si>
    <t>1)  Records of All Notifications and Compliance Reports Submitted</t>
  </si>
  <si>
    <t>2)  Records of Startup, Shutdown, Malfunction</t>
  </si>
  <si>
    <t>2) Notification of Compliance Status</t>
  </si>
  <si>
    <t>3) Initial Report on results of Energy Audit</t>
  </si>
  <si>
    <t>Total Non-Labor O&amp;M Costs</t>
  </si>
  <si>
    <t>Energy Audit Profession Hours</t>
  </si>
  <si>
    <t>for Industrial, Commercial, and Institutional Boilers  - Years 1 through 3 for All Subcategories and Average</t>
  </si>
  <si>
    <t>Total Industry Labor Hours</t>
  </si>
  <si>
    <t>b A one-time requirement.</t>
  </si>
  <si>
    <t>Emission Test Contractor Hours</t>
  </si>
  <si>
    <t>Total Labor Costs</t>
  </si>
  <si>
    <t>Total Non-Labor Capital Costs</t>
  </si>
  <si>
    <t>a</t>
  </si>
  <si>
    <t>c</t>
  </si>
  <si>
    <t>e</t>
  </si>
  <si>
    <t>a  The burden on existing sources to read and understand rule requirements, and submit an initial notification were assumed to all occur in year 1.</t>
  </si>
  <si>
    <t>(J) Emission Testing Contractor Hours per Year @ $80 (BxDxF)</t>
  </si>
  <si>
    <t>Burden Item</t>
  </si>
  <si>
    <t>(A) Respondent Hours per Occurrence (Technical hours)</t>
  </si>
  <si>
    <t>Footnotes</t>
  </si>
  <si>
    <t>Table 1.B.  Annual Respondent Burden and Cost of Recordkeeping and Reporting Requirements for the National Emission Standards</t>
  </si>
  <si>
    <t>Year</t>
  </si>
  <si>
    <t>Year 1</t>
  </si>
  <si>
    <t>Year 2</t>
  </si>
  <si>
    <t>Year 3</t>
  </si>
  <si>
    <t>Totals</t>
  </si>
  <si>
    <t>Technical Hours</t>
  </si>
  <si>
    <t>Management Hours</t>
  </si>
  <si>
    <t>Clerical Hours</t>
  </si>
  <si>
    <t>Total Costs</t>
  </si>
  <si>
    <t>1. Applications</t>
  </si>
  <si>
    <t>2. Surveys and Studies</t>
  </si>
  <si>
    <t>3. Reporting Requirements</t>
  </si>
  <si>
    <t xml:space="preserve">    A.  Read and Understand Rule Requirements</t>
  </si>
  <si>
    <t xml:space="preserve">    B.  Required Activities</t>
  </si>
  <si>
    <t xml:space="preserve">                 Opacity</t>
  </si>
  <si>
    <t xml:space="preserve">                        a) initial</t>
  </si>
  <si>
    <t>Small Entity Respondents per year</t>
  </si>
  <si>
    <t>Total Respondents per year</t>
  </si>
  <si>
    <t xml:space="preserve">                        b) annual</t>
  </si>
  <si>
    <t xml:space="preserve">    C.  Create Information </t>
  </si>
  <si>
    <t xml:space="preserve">    D.  Gather Information</t>
  </si>
  <si>
    <t xml:space="preserve">    E.  Report Preparation</t>
  </si>
  <si>
    <t xml:space="preserve">     A.  Read Instructions</t>
  </si>
  <si>
    <t xml:space="preserve">     B.  Implement Activities</t>
  </si>
  <si>
    <t xml:space="preserve">     C.  Develop Record System</t>
  </si>
  <si>
    <t xml:space="preserve">     D.  Record Information</t>
  </si>
  <si>
    <t>Included in 3a</t>
  </si>
  <si>
    <t xml:space="preserve">           1.  Conduct Energy Audit</t>
  </si>
  <si>
    <t xml:space="preserve">                for Hazardous Air Pollutants (NESHAP) for Industrial, Commercial, and Institutional Boilers  - Year 1, Existing Large Solid Fuel Units</t>
  </si>
  <si>
    <t xml:space="preserve">           2)  Records of Startup, Shutdown, Malfunction</t>
  </si>
  <si>
    <t xml:space="preserve">           3)  Records of Stack Tests</t>
  </si>
  <si>
    <t xml:space="preserve">     E.  Personnel Training</t>
  </si>
  <si>
    <t xml:space="preserve">     F.  Time for Audits</t>
  </si>
  <si>
    <t xml:space="preserve">           1)  Records of Operating Parameter Values</t>
  </si>
  <si>
    <t>(B)           Emission Test Contractor Hours Per Occurrence</t>
  </si>
  <si>
    <t>4.  Recordkeeping Requirements</t>
  </si>
  <si>
    <t xml:space="preserve">                 Establish Site-specific monitoring plan (all)</t>
  </si>
  <si>
    <t>na</t>
  </si>
  <si>
    <t>Average Burden per year</t>
  </si>
  <si>
    <t>1) Initial Notification that Source is Subject</t>
  </si>
  <si>
    <t xml:space="preserve">           4)  Records of Monitoring Device Calibrations</t>
  </si>
  <si>
    <t xml:space="preserve">           5) Records of All Compliance Reports Submitted</t>
  </si>
  <si>
    <t xml:space="preserve">           6) Records of Monthly Fuel Use</t>
  </si>
  <si>
    <t>Table 9.  Summary of Respondent Burden for the National Emission Standards for Hazardous Air Pollutants (NESHAP)</t>
  </si>
  <si>
    <t>b, c, d</t>
  </si>
  <si>
    <t>e Assumes facility must already maintain records on boiler insurance and/or maintenance schedule.  No new record system would be required.</t>
  </si>
  <si>
    <t>Managerial</t>
  </si>
  <si>
    <t>Technical</t>
  </si>
  <si>
    <t>Clerical</t>
  </si>
  <si>
    <t>Labor Rates</t>
  </si>
  <si>
    <t>Rate</t>
  </si>
  <si>
    <t>Category</t>
  </si>
  <si>
    <t>Size Category</t>
  </si>
  <si>
    <t>Total</t>
  </si>
  <si>
    <t>Biomass</t>
  </si>
  <si>
    <t>Coal</t>
  </si>
  <si>
    <t>Liquid</t>
  </si>
  <si>
    <t>Grand Total</t>
  </si>
  <si>
    <t>Existing Boiler Data</t>
  </si>
  <si>
    <t>New Boiler Data</t>
  </si>
  <si>
    <t>4) Semi-annual Compliance Report</t>
  </si>
  <si>
    <t>General Contractor</t>
  </si>
  <si>
    <t>Certfied Energy Audit Contractor</t>
  </si>
  <si>
    <t>(F) Technical Hours per Respondent Per Year
 (A X E)</t>
  </si>
  <si>
    <t>(G) Number of Respondents Per Year</t>
  </si>
  <si>
    <t>(J)       Management Hours per Year @ $114.49 (H X .05)</t>
  </si>
  <si>
    <t>(H) Technical Hours per Year @ $98.20 (F X G)</t>
  </si>
  <si>
    <t>(I)         Clerical Hours per Year @ $48.53 (H X 0.1)</t>
  </si>
  <si>
    <t xml:space="preserve">                for Hazardous Air Pollutants (NESHAP) for Industrial, Commercial, and Institutional Boilers  - Year 1, Existing Large Liquid Fuel Units</t>
  </si>
  <si>
    <t xml:space="preserve">                for Hazardous Air Pollutants (NESHAP) for Industrial, Commercial, and Institutional Boilers  - Year 2, Existing Large Liquid Fuel Units</t>
  </si>
  <si>
    <t>a  There are no new small solid units expected to be constructed/reconstructed over the next 3 years.</t>
  </si>
  <si>
    <t>Limited Use</t>
  </si>
  <si>
    <t>total large gas facilities</t>
  </si>
  <si>
    <t>large gas 1 (for tune-ups)</t>
  </si>
  <si>
    <t>total large gas 2 units</t>
  </si>
  <si>
    <t>6) Notification of Alternative Fuel Use</t>
  </si>
  <si>
    <t>(G)
Number of Respondents Per Year</t>
  </si>
  <si>
    <t>(A)
Respondent Hours per Occurrence (Technical hours)</t>
  </si>
  <si>
    <t xml:space="preserve">                  Bag Leak Detection System Operation 
                  (sources that have fabric filters)</t>
  </si>
  <si>
    <t>Mercury Fuel Spec Analysis (for other Gas 1 units)</t>
  </si>
  <si>
    <t>Number estimated to test</t>
  </si>
  <si>
    <t>Number which will repeat stack test due to switching fuels</t>
  </si>
  <si>
    <t>Notification of Alternative fuel use (17.8% reported the use of liquid, large gas 1 units)</t>
  </si>
  <si>
    <t xml:space="preserve">           11.  Repeat Stack Test and Report if Switch Fuels
                  (for Hg and HCl)</t>
  </si>
  <si>
    <t xml:space="preserve">           1.  Initial Stack Test and Report (for PM)</t>
  </si>
  <si>
    <t xml:space="preserve">           6) Records of All Semi-Annual Compliance Reports
                Submitted</t>
  </si>
  <si>
    <t xml:space="preserve">           8) Records of Annual Tune-up</t>
  </si>
  <si>
    <t>(applicable to solid units)</t>
  </si>
  <si>
    <t>3) Semi-annual Compliance Report</t>
  </si>
  <si>
    <t>3) Annual Compliance Report</t>
  </si>
  <si>
    <t>5) Notification of Alternative Fuel Use</t>
  </si>
  <si>
    <t xml:space="preserve">a  Number of respondents based on number of existing small and limited use solid fuel boilers which includes biomass and coal units less than 10 mmBtu/hr or operating less than 876 hours.  </t>
  </si>
  <si>
    <t>a  The burden on existing sources to read and understand rule requirements, and submit an initial notification were assumed to all occur in year 1.  Energy audit burdens for this unit will be accounted for in year 2.</t>
  </si>
  <si>
    <t xml:space="preserve">a  Number of respondents based on number of existing small and limited use liquid fuel boilers which includes units less than 10 mmBtu/hr or operating less than 876 hours.  </t>
  </si>
  <si>
    <t xml:space="preserve">a  Number of respondents based on number of existing small and limited use gas fuel boilers which includes units less than 10 mmBtu/hr or operating less than 876 hours.  </t>
  </si>
  <si>
    <t xml:space="preserve">           1. Biennial Tune-Up</t>
  </si>
  <si>
    <t>2) Biennial Tune-Up Records</t>
  </si>
  <si>
    <t>4) Initial Report on results of Energy Audit</t>
  </si>
  <si>
    <t>b Number of occurences is based on the total number of affected facilities that are required to submit initial notifications stated they are subject to the standard (all new boilers in the large and small solid, liquid, and gaseous subcategories, plus all existing large and small solid, liquid, and gaseous subcategories).  For initial notifications of compliance status, the number of occurences is based on all new boilers in the large and small solid, liquid, and gaseous subcategories, existing large and small solid, liquid, and gaseous units have until year 3 to submit this notification.</t>
  </si>
  <si>
    <t>c Number of occurences is based on the assumption that EPA personnel will observe 20% of the initial performance tests that occur.</t>
  </si>
  <si>
    <t>e Number of occurences is based on the number of units that will test and set/submit operating limits.</t>
  </si>
  <si>
    <t>g Number of occurences is based on the assumption that of the units that test, 10% of them will have exceedances and  need enforcement.</t>
  </si>
  <si>
    <t>h Number of occurences is the number of units that will submit these semi-annual compliance reports, 2 reports per year per respondent.</t>
  </si>
  <si>
    <t>i. Number of occurences is the number of units that will submit these annual compliance reports.</t>
  </si>
  <si>
    <t>j. Number of occurences is the number units that will submit these biennial compliance reports.</t>
  </si>
  <si>
    <t>this table is incomplete in the proposal files, so will assume not needed and won't take time to fix.</t>
  </si>
  <si>
    <t>limited use coal</t>
  </si>
  <si>
    <t>limited use biomass</t>
  </si>
  <si>
    <t>limited use liquid</t>
  </si>
  <si>
    <t>limitied use gas</t>
  </si>
  <si>
    <t>Count of Limited Use Units</t>
  </si>
  <si>
    <t>O2</t>
  </si>
  <si>
    <t>no control costs for small units</t>
  </si>
  <si>
    <t>no control costs for gas 1 units</t>
  </si>
  <si>
    <t xml:space="preserve">                 O2</t>
  </si>
  <si>
    <t>O2 monitor costs</t>
  </si>
  <si>
    <t>Initial</t>
  </si>
  <si>
    <t>Annual</t>
  </si>
  <si>
    <t>i No annual test and reporting burden is shown in year 1 as this is the same year as the initial test and report.</t>
  </si>
  <si>
    <t xml:space="preserve">                for Hazardous Air Pollutants (NESHAP) for Industrial, Commercial, and Institutional Boilers  - Year 1, Existing Small and Limited Use Solid Fuel Units</t>
  </si>
  <si>
    <t xml:space="preserve">                for Hazardous Air Pollutants (NESHAP) for Industrial, Commercial, and Institutional Boilers  - Year 2, Existing Small and Limited Use Solid Fuel Units</t>
  </si>
  <si>
    <t xml:space="preserve">                for Hazardous Air Pollutants (NESHAP) for Industrial, Commercial, and Institutional Boilers  - Year 3, Existing Small and Limited Use Solid Fuel Units</t>
  </si>
  <si>
    <t xml:space="preserve">                for Hazardous Air Pollutants (NESHAP) for Industrial, Commercial, and Institutional Boilers  - Year 1, Existing Small and Limited Use Liquid Fuel Units</t>
  </si>
  <si>
    <t xml:space="preserve">                for Hazardous Air Pollutants (NESHAP) for Industrial, Commercial, and Institutional Boilers  - Year 2, Existing Small and Limited Use Liquid Fuel Units</t>
  </si>
  <si>
    <t xml:space="preserve">                for Hazardous Air Pollutants (NESHAP) for Industrial, Commercial, and Institutional Boilers  - Year 3, Existing Small and Limited Use Liquid Fuel Units</t>
  </si>
  <si>
    <t xml:space="preserve">                for Hazardous Air Pollutants (NESHAP) for Industrial, Commercial, and Institutional Boilers  - Year 1, Existing Small and Limited Use Gas Fuel Units</t>
  </si>
  <si>
    <t xml:space="preserve">                for Hazardous Air Pollutants (NESHAP) for Industrial, Commercial, and Institutional Boilers  - Year 2, Existing Small and Limited Use Gas Fuel Units</t>
  </si>
  <si>
    <t xml:space="preserve">                for Hazardous Air Pollutants (NESHAP) for Industrial, Commercial, and Institutional Boilers  - Year 3, Existing Small and Limited Use Gas Fuel Units</t>
  </si>
  <si>
    <t xml:space="preserve">g Existing large liquid units are expected to determine compliance for Hg and HCl through fuel analysis not stack testing.  </t>
  </si>
  <si>
    <t>c, i</t>
  </si>
  <si>
    <t>c,h,j</t>
  </si>
  <si>
    <t>a, e</t>
  </si>
  <si>
    <t>f Process gas units are expected to demonstrate compliance with a stack test instead of a fuel analysis.</t>
  </si>
  <si>
    <t>b,c, d</t>
  </si>
  <si>
    <t>d Number of occurences is based on the assumption that of the units that test, 10% will have to retest and EPA personnel will observe all these retests. In addition solid fuel units are expected to re-test to obtain worst-case conditions for both Hg and HCl emissions.</t>
  </si>
  <si>
    <t>c Energy Audits are a requirement for existing units only.</t>
  </si>
  <si>
    <t>c,h,i</t>
  </si>
  <si>
    <t>i Subsequent annual testing in year 2 are based on the number of sources that had an initial test in year 1 of this ICR.   Subsequent semi-annual compliance reporting and recordkeeping requirements are based on the number of new sources in years 1 and 2 of this ICR.</t>
  </si>
  <si>
    <t>j Only applies to large solid fuel boilers, because solid fuel boilers may fire a mix of non-homogeneous fuels.  Assumed all solid fuel units would perform a repeat stack test.</t>
  </si>
  <si>
    <t>f Only applies to large solid fuel boilers, because solid fuel boilers may fire a mix of non-homogeneous fuels.  Assumed zero respondents for liquid and gas units.</t>
  </si>
  <si>
    <t>f For on-going training activities to keep personnel updated in order to implement compliance activities.</t>
  </si>
  <si>
    <t>j For on-going training activities to keep personnel updated in order to implement compliance activities.</t>
  </si>
  <si>
    <t>k For on-going training activities to keep personnel updated in order to implement compliance activities.</t>
  </si>
  <si>
    <t>k</t>
  </si>
  <si>
    <t>i Number based on units which reported firing fuels other than natural or refinery gas.</t>
  </si>
  <si>
    <t>c,L</t>
  </si>
  <si>
    <t>c,m</t>
  </si>
  <si>
    <t>m Number based on 17.8% of the large gas 1 units using liquid instead of gas at some point.</t>
  </si>
  <si>
    <t>n For on-going training activities to keep personnel updated in order to implement compliance activities.</t>
  </si>
  <si>
    <t>n</t>
  </si>
  <si>
    <t>a,f</t>
  </si>
  <si>
    <t>e Only facilities with process gas (gas 2 units) subject to numerical emission limits are expected to be required to submit semi-annual compliance reports and conduct testing and monitoring (There will not be any new process gas units). Natural gas and refinery gas units are required to submit reports annually and conduct a tune-up.</t>
  </si>
  <si>
    <t>a,e</t>
  </si>
  <si>
    <t>g For on-going training activities to keep personnel updated in order to implement compliance activities.</t>
  </si>
  <si>
    <t>h For on-going training activities to keep personnel updated in order to implement compliance activities.</t>
  </si>
  <si>
    <t>g Small units are not required to maintain records on startup, shutdown and malfunction.</t>
  </si>
  <si>
    <t>f Since a tune-up is required biennially, every two years, the compliance reports for small units are also due every two years. Records of the tune-ups will be submitted to the Administrator upon request.</t>
  </si>
  <si>
    <t>c For on-going training activities to keep personnel updated in order to implement compliance activities.</t>
  </si>
  <si>
    <t>h Assume all units will fire natural gas, so fuel spec analysis not necessary.</t>
  </si>
  <si>
    <t>i Assumed no units would fire an alternative fuel.</t>
  </si>
  <si>
    <t>5) Affirmative Defense</t>
  </si>
  <si>
    <t>o</t>
  </si>
  <si>
    <t>7) Affirmative Defense</t>
  </si>
  <si>
    <t>4) Affirmative Defense</t>
  </si>
  <si>
    <t>6) Affirmative Defense</t>
  </si>
  <si>
    <t>j Assumed no affirmative defense claims would be filed in the first three years after promulgation.  If a source were to meet the notification, reporting, and recordkeeping requirements of affirmative defense, it would be approximately 30 hours or $3,100 in labor burden.</t>
  </si>
  <si>
    <t>k Assumed no affirmative defense claims would be filed in the first three years after promulgation.  If a source were to meet the notification, reporting, and recordkeeping requirements of affirmative defense, it would be approximately 30 hours or $3,100 in labor burden.</t>
  </si>
  <si>
    <t>L Assumed no affirmative defense claims would be filed in the first three years after promulgation.  If a source were to meet the notification, reporting, and recordkeeping requirements of affirmative defense, it would be approximately 30 hours or $3,100 in labor burden.</t>
  </si>
  <si>
    <t>o Assumed no affirmative defense claims would be filed in the first three years after promulgation.  If a source were to meet the notification, reporting, and recordkeeping requirements of affirmative defense, it would be approximately 30 hours or $3,100 in labor burden.</t>
  </si>
  <si>
    <t>DIFF</t>
  </si>
  <si>
    <t>PM CEMS</t>
  </si>
  <si>
    <t>Also, not limited use</t>
  </si>
  <si>
    <t>11,000 Total for liquid</t>
  </si>
  <si>
    <t>x</t>
  </si>
  <si>
    <t xml:space="preserve">average # of boilers per facility </t>
  </si>
  <si>
    <t>no new liquid units</t>
  </si>
  <si>
    <t xml:space="preserve">                  DIFF Monitor</t>
  </si>
  <si>
    <t xml:space="preserve">           10.  Repeat Stack Test and Report if Switch Fuels
                  (for Hg and HCl)</t>
  </si>
  <si>
    <t xml:space="preserve">           11.  Initial Fuel Analysis for Mercury and HCL Content</t>
  </si>
  <si>
    <t xml:space="preserve">           12.  Monthly Fuel Analysis for Mercury and HCL Content</t>
  </si>
  <si>
    <t xml:space="preserve">           13.  Continuous Parameter Monitoring</t>
  </si>
  <si>
    <t xml:space="preserve">           13. Annual Tune-up</t>
  </si>
  <si>
    <t>D/F testing not required for Reconsideration rule</t>
  </si>
  <si>
    <t>28,000 Total</t>
  </si>
  <si>
    <t>Annual Tune-Up Cost - Now applies to small, limited use, Gas, and all other boilers as work practice for D/F (since no stack testing)</t>
  </si>
  <si>
    <t>now required for D/F work practice, tune-up cost</t>
  </si>
  <si>
    <t xml:space="preserve">           14. Annual Tune-up</t>
  </si>
  <si>
    <t xml:space="preserve">           15. Mercury Fuel Spec Analysis</t>
  </si>
  <si>
    <t xml:space="preserve">           5.  Annual Stack Test and Report (for PM)</t>
  </si>
  <si>
    <t xml:space="preserve">           6.  Annual Stack Test and Report (for Hg)</t>
  </si>
  <si>
    <t xml:space="preserve">           7.  Annual Stack Test and Report (for HCl)</t>
  </si>
  <si>
    <t xml:space="preserve">           8.  Annual Stack Test and Report (for CO)</t>
  </si>
  <si>
    <t xml:space="preserve">           9.  Repeat Stack Test and Report if Switch Fuels
                  (for Hg and HCl)</t>
  </si>
  <si>
    <t xml:space="preserve">           10.  Initial Fuel Analysis for Mercury and HCL Content</t>
  </si>
  <si>
    <t xml:space="preserve">           11.  Monthly Fuel Analysis for Mercury and HCL Content</t>
  </si>
  <si>
    <t xml:space="preserve">           12. Annual Tune-up</t>
  </si>
  <si>
    <t xml:space="preserve">           16. Mercury Fuel Spec Analysis</t>
  </si>
  <si>
    <t>c All large boilers require annual tune-ups.</t>
  </si>
  <si>
    <t>From promulgation</t>
  </si>
  <si>
    <t>L Tune-ups are required as work practice standards in lieu of dioxin/furan testing.</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</si>
  <si>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88% of facilities are in the  industrial sector while the remaining 12% of facilities are in the commercial sector.</t>
  </si>
  <si>
    <t>a  Number of respondents based on number of existing large liquid fuel boilers which includes units greater than 10 mmBtu/hr.</t>
  </si>
  <si>
    <t>a  Number of respondents based on number of existing large solid fuel boilers which includes biomass and coal units greater than 10 mmBtu/hr.</t>
  </si>
  <si>
    <t>a  Number of respondents based on number of existing large gas fuel boilers which includes natural, petroleum, and other gas fuel units greater than 10 mmBtu/hr.</t>
  </si>
  <si>
    <t xml:space="preserve">j The units firing other process gases other than natural gas, refinery gases or other on-spec gas 1 fuels have limits for PM, HCl, Hg, and CO and are subject to testing and monitoring requirements for each pollutant. </t>
  </si>
  <si>
    <t>a  There are no new large liquid units expected to be constructed/reconstructed over the next 5 years</t>
  </si>
  <si>
    <t>b  Assumed reporting activities would start the first year a boiler is applicable to rule.</t>
  </si>
  <si>
    <t>c Assumes facility must already maintain records on boiler insurance and/or maintenance schedule.  No new record system would be required.</t>
  </si>
  <si>
    <t>d Only applies to large solid fuel boilers, because solid fuel boilers may fire a mix of non-homogeneous fuels.  Assumed all solid fuel units would perform a repeat stack test.</t>
  </si>
  <si>
    <t>a,d</t>
  </si>
  <si>
    <t>e Existing large solid units are expected to determine compliance through stack testing and not fuel analysis</t>
  </si>
  <si>
    <t>m Tune-ups are required as work practice standards in lieu of dioxin/furan testing.</t>
  </si>
  <si>
    <t>g Tune-ups are required as work practice standards in lieu of dioxin/furan testing.</t>
  </si>
  <si>
    <t>h Assumed no affirmative defense claims would be filed in the first three years after promulgation.  If a source were to meet the notification, reporting, and recordkeeping requirements of affirmative defense, it would be approximately 30 hours or $3,100 in labor burden.</t>
  </si>
  <si>
    <t xml:space="preserve">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 of facilities are in the commercial sector while the remaining 88% of facilities are in the industrial sector. </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</si>
  <si>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It is assumed that all will be industrial facilities since industrial is the vast majority of projected units. </t>
  </si>
  <si>
    <t>d Since a tune-up is required biennially, every two years, the compliance reports for small units are also due every two years. Records of the tune-ups will be submitted to the Administrator upon request.</t>
  </si>
  <si>
    <t>d,e</t>
  </si>
  <si>
    <t>Reviewer</t>
  </si>
  <si>
    <t>Tab</t>
  </si>
  <si>
    <t>Comment</t>
  </si>
  <si>
    <t>AS</t>
  </si>
  <si>
    <t>Base Data</t>
  </si>
  <si>
    <t>Facility count is 1704. Edited H46 and H43 to make this equal.</t>
  </si>
  <si>
    <t>Monitors</t>
  </si>
  <si>
    <t>ALL</t>
  </si>
  <si>
    <t>4) EXCLUDE units &gt;=250 that install PM CEMS</t>
  </si>
  <si>
    <t>5) EXCLUDE units &gt;=250 that install PM CEMS</t>
  </si>
  <si>
    <t>3a) DIFF Monitoring -TCI &gt;0, HCL Control Selected = "DIFF", DIFF TCI &gt;0</t>
  </si>
  <si>
    <t>You will want to exclude units &gt;250 from BLDS, opacity, FF in your counts. See my edits in red. Please revise the counts.</t>
  </si>
  <si>
    <t>ARS - agree, new solid units are biomass and therefore will not have PM CEMS.</t>
  </si>
  <si>
    <t>Fac-ExistLrgSolid-Yr2</t>
  </si>
  <si>
    <t>Fac-ExistLrgSolid-Yr3</t>
  </si>
  <si>
    <t>PM CPMS # units should increase</t>
  </si>
  <si>
    <t>I get 323 sources with a PM CPMS according to the costing summary table. 17 seems very low. See my logic in the monitoring tab.</t>
  </si>
  <si>
    <t>Fac-ExistLrgLiquid-Yr2</t>
  </si>
  <si>
    <t>Fac-ExistLrgLiquid-Yr3</t>
  </si>
  <si>
    <t>Fac-ExistLrgGas-Yr3</t>
  </si>
  <si>
    <t>Fac-ExistLrgGas-Yr1</t>
  </si>
  <si>
    <t>Edited costs of Hg fuel spec</t>
  </si>
  <si>
    <t>Edited costs of Hg fuel spec and number of respondents supposed to conduct fuel spec.</t>
  </si>
  <si>
    <t>Agree with number of people conducting Hg fuel spec.</t>
  </si>
  <si>
    <t>Testing Costs</t>
  </si>
  <si>
    <t>Removed some language since we no longer have CO monitoring required. O2 monitoring + CO stack test required for everyone &gt;=10 that is subject to an emission limit.</t>
  </si>
  <si>
    <t>rows 89 to 106- facility count is wrong. See revised percentages in my ICR check file.</t>
  </si>
  <si>
    <t>Can you revise new unit counts to match our revised projections that we now have and revisit the new source tabs and monitoring tabs to make similar changes as noted above?</t>
  </si>
  <si>
    <t xml:space="preserve">Testing Costs </t>
  </si>
  <si>
    <t>Facility count I get is 1704 adjusted number of commercial facilities based on review of data. Commercial count is 204 of the 1704. Edited cell based on query check.</t>
  </si>
  <si>
    <t>No audit costs for new sources</t>
  </si>
  <si>
    <t>Agency Tabs</t>
  </si>
  <si>
    <t>We need a new burden item for the following:</t>
  </si>
  <si>
    <t>1) Review and approve Monitoring Plan - number of plans = number of facilities with 1 or more units subject to emission limits (requiremend is in 63.7505(d)(2)</t>
  </si>
  <si>
    <t>2) Review and approve Fuel Monitoring Plan - number of plans = number of facilities with 1 or more units subject to emission limits + number of facilities with at least one unit required to conduct a Hg fuel spec. Some of the facilities might overlap so we only want unique facilities in this count.</t>
  </si>
  <si>
    <t>For both of these items split the number of plans in half and assign to years 2 and 3.</t>
  </si>
  <si>
    <t>Please do a find a replace of PM CEMS with PM CPMS as the rule has been edited. You also want to add a note that it is units with an average annual heat input rate from solid fossil or residual oil &gt;=250 mmBtu/hr since it is only a subset of new sources.</t>
  </si>
  <si>
    <t>Did not use these unknowns:</t>
  </si>
  <si>
    <t>Private %</t>
  </si>
  <si>
    <t>Public %</t>
  </si>
  <si>
    <t>BL</t>
  </si>
  <si>
    <t>updated</t>
  </si>
  <si>
    <t>h Units not equipped with PM CPMS wil perform stack testing for PM.</t>
  </si>
  <si>
    <t>h Gas units are exempt from PM CPMS and opacity monitoring.</t>
  </si>
  <si>
    <t>ok, agree</t>
  </si>
  <si>
    <t>I agree, I must have been smoking crack before to get 17</t>
  </si>
  <si>
    <t>ok</t>
  </si>
  <si>
    <t>ok, numbers were not being used but good to remove so no confusion</t>
  </si>
  <si>
    <r>
      <t xml:space="preserve">ok.  </t>
    </r>
    <r>
      <rPr>
        <u/>
        <sz val="10"/>
        <rFont val="Arial"/>
        <family val="2"/>
      </rPr>
      <t>I also changed hrs per occurrence from 10 to 5 hrs</t>
    </r>
    <r>
      <rPr>
        <sz val="10"/>
        <rFont val="Arial"/>
        <family val="2"/>
      </rPr>
      <t xml:space="preserve"> - This is because H2S analysis portion is removed and since doing monthly 120 hrs per year seemed pretty high and led to high costs.  I also made this change on New Source tab.</t>
    </r>
  </si>
  <si>
    <t>c,n</t>
  </si>
  <si>
    <t>m PM CPMS is required for coal boilers, biomass boilers which are not 100% biomass,  and residual oil boilers which are &gt;= 250 mmBtu/hr</t>
  </si>
  <si>
    <t>n PM CPMS is required for coal boilers, biomass boilers which are not 100% biomass,  and residual oil boilers which are &gt;= 250 mmBtu/hr</t>
  </si>
  <si>
    <t>a,i</t>
  </si>
  <si>
    <t>i PM CPMS is required for coal boilers, biomass boilers which are not 100% biomass,  and residual oil boilers which are &gt;= 250 mmBtu/hr.  It was assumed all new solid fuel boilers are firing 100% biomass.</t>
  </si>
  <si>
    <t>PM CEMS replaced with PM CPMS; note added on new and existing solid tabs and existing liquid tabs</t>
  </si>
  <si>
    <t xml:space="preserve">a In order to calculate a per year estimate of the number of boilers and facilities required to meet these rule requirements, the number of projected boilers and facilities is each divided by 3. </t>
  </si>
  <si>
    <t>Review and approve monitoring plan</t>
  </si>
  <si>
    <t>n Number of occurences is based number of affected facilities which submit monitoring plan, all new and existing large units are required to submit this.</t>
  </si>
  <si>
    <t>added, highlighted blue in agency tabs, selected 10 hrs per occurrence for EPA</t>
  </si>
  <si>
    <t>Fuel Monitoring Plan</t>
  </si>
  <si>
    <t>For facilities which have emission limits or for Gas facilities which perform the Hg gas spec</t>
  </si>
  <si>
    <t xml:space="preserve">Query in BL's boiler count database </t>
  </si>
  <si>
    <t>Review and approve fuel monitoring plan</t>
  </si>
  <si>
    <t>added, highlighted blue in agency tabs, selected 5 hrs per occurrence for EPA</t>
  </si>
  <si>
    <t>o Number of occurences is based off facilities which have emission limits plus gas units which must perform Hg spec analysis</t>
  </si>
  <si>
    <t>E.</t>
  </si>
  <si>
    <t>F.</t>
  </si>
  <si>
    <t>for new units we have some complying in year 1 so I left it how they are currently submitting reports; for existing they are split between years 2 and 3</t>
  </si>
  <si>
    <t>this logic is accounted for in Existing Cost Summary file, updated counts in red text</t>
  </si>
  <si>
    <t>counts updated in red text</t>
  </si>
  <si>
    <t>changed to 20 similar LOE as test plan.</t>
  </si>
  <si>
    <t>OK</t>
  </si>
  <si>
    <t>Count</t>
  </si>
  <si>
    <t>Capital/Startup vs. Operation and Maintenance (O&amp;M) Costs</t>
  </si>
  <si>
    <t>(A)
Boiler Type</t>
  </si>
  <si>
    <t>(B)
Number of Respondents (facilities)</t>
  </si>
  <si>
    <t>(C)
Total Annualized Capital and O&amp;M over 3 years</t>
  </si>
  <si>
    <t>(D)
Total Capital/Startup Cost over 3 years</t>
  </si>
  <si>
    <t>(E)
Average Annual O&amp;M and Annualized Capital Costs per year</t>
  </si>
  <si>
    <t>Existing Small and Limited Use Solid Units</t>
  </si>
  <si>
    <t>Existing Small and Limited Use Liquid Units</t>
  </si>
  <si>
    <t>Existing Small and Limited Use Gaseous Units</t>
  </si>
  <si>
    <t>(C)
Total Number Responses for 3-year Period</t>
  </si>
  <si>
    <t>(D)
Average Annual Number of Responses</t>
  </si>
  <si>
    <t>% public New + Existing</t>
  </si>
  <si>
    <t>k Assumed no affirmative defense claims would be filed in the first three years after promulgation.  If a source were to meet the notification, reporting, and recordkeeping requirements of affirmative defense, it would be approximately 30 hours or $3,300 in labor burden.</t>
  </si>
  <si>
    <t>p</t>
  </si>
  <si>
    <t xml:space="preserve">d Since a tune-up is required biennially, every two years, the compliance reports for small units are also due every two years. Records of the tune-ups will be submitted to the Administrator upon request.  </t>
  </si>
  <si>
    <t>a For new small solid units, all boilers are assumed to come online in year 1.</t>
  </si>
  <si>
    <t>for Hazardous Air Pollutants (NESHAP) for Industrial, Commercial, and Institutional Boilers  - Year 3, New Small Solid Fuel Units</t>
  </si>
  <si>
    <t>for Hazardous Air Pollutants (NESHAP) for Industrial, Commercial, and Institutional Boilers  - Year 2, New Small Solid Fuel Units</t>
  </si>
  <si>
    <t>for Hazardous Air Pollutants (NESHAP) for Industrial, Commercial, and Institutional Boilers  - Year 1, New Small Solid Fuel Units</t>
  </si>
  <si>
    <t>e Some boilers qualify for tune-ups every five years, however they would still incur an initial tune-up when they come online.</t>
  </si>
  <si>
    <t>a,e,f</t>
  </si>
  <si>
    <t>e Assumes for boilers which performed a tune-up in year 1, the biennial tune-up would also occur in year 3.</t>
  </si>
  <si>
    <t>c,f,i</t>
  </si>
  <si>
    <t>b,c,d</t>
  </si>
  <si>
    <t>c, f, i</t>
  </si>
  <si>
    <t>n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</si>
  <si>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o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</si>
  <si>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p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</si>
  <si>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j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</si>
  <si>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k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</si>
  <si>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 xml:space="preserve">e  Since all boilers performed a tune-up in year 1, it is assumed the biennial tune-up would also occur in year 3.  </t>
  </si>
  <si>
    <t>e Very small gas boilers (&lt; 5 mmBtu/hr) qualify for tune-ups every five years, however they would still incur an initial tune-up during the year they come online.</t>
  </si>
  <si>
    <t>f Very small boilers qualify for tune-ups every five years, however they would still incur an initial tune-up when they come online.  For those boilers in year 1 which were performing their initial five-year tune-up, a tune-up in year 3 is not necessary.  Four boilers would qualify for 5-year tune-ups and are thus not applicable to tune-ups in year 3.</t>
  </si>
  <si>
    <t>i Some very small boilers firing light liquid fuels qualify for tune-ups every five years, however they would still incur an initial tune-up.  For the time period of this ICR, there will not be a difference in burden associated with biennial vs 5-year tune-ups for existing units.</t>
  </si>
  <si>
    <t>i Some very small boilers qualify for tune-ups every five years, however they would still incur an initial tune-up.  For the time period of this ICR, there will not be a difference in burden associated with biennial vs 5-year tune-ups for existing units.</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</si>
</sst>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 numFmtId="169" formatCode="0.0"/>
  </numFmts>
  <fonts count="39">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7"/>
      <name val="Arial"/>
      <family val="2"/>
    </font>
    <font>
      <b/>
      <sz val="7"/>
      <name val="Arial"/>
      <family val="2"/>
    </font>
    <font>
      <sz val="6.5"/>
      <name val="Arial"/>
      <family val="2"/>
    </font>
    <font>
      <sz val="8"/>
      <name val="Arial"/>
      <family val="2"/>
    </font>
    <font>
      <sz val="10"/>
      <name val="Arial"/>
      <family val="2"/>
    </font>
    <font>
      <b/>
      <sz val="10"/>
      <name val="Arial"/>
      <family val="2"/>
    </font>
    <font>
      <b/>
      <u/>
      <sz val="10"/>
      <name val="Arial"/>
      <family val="2"/>
    </font>
    <font>
      <b/>
      <sz val="7"/>
      <color indexed="10"/>
      <name val="Arial"/>
      <family val="2"/>
    </font>
    <font>
      <i/>
      <sz val="7"/>
      <name val="Arial"/>
      <family val="2"/>
    </font>
    <font>
      <sz val="8"/>
      <name val="Times New Roman"/>
      <family val="1"/>
    </font>
    <font>
      <sz val="10"/>
      <color indexed="8"/>
      <name val="Arial"/>
      <family val="2"/>
    </font>
    <font>
      <sz val="8"/>
      <color indexed="8"/>
      <name val="Arial"/>
      <family val="2"/>
    </font>
    <font>
      <vertAlign val="superscript"/>
      <sz val="10"/>
      <name val="Arial"/>
      <family val="2"/>
    </font>
    <font>
      <b/>
      <sz val="10"/>
      <name val="Arial"/>
      <family val="2"/>
    </font>
    <font>
      <b/>
      <sz val="8"/>
      <color indexed="10"/>
      <name val="Arial"/>
      <family val="2"/>
    </font>
    <font>
      <sz val="10"/>
      <color indexed="8"/>
      <name val="Times New Roman"/>
      <family val="1"/>
    </font>
    <font>
      <sz val="10"/>
      <name val="Times New Roman"/>
      <family val="1"/>
    </font>
    <font>
      <i/>
      <sz val="8"/>
      <name val="Arial"/>
      <family val="2"/>
    </font>
    <font>
      <sz val="7"/>
      <color rgb="FFFF0000"/>
      <name val="Arial"/>
      <family val="2"/>
    </font>
    <font>
      <sz val="9"/>
      <color rgb="FFFF0000"/>
      <name val="Arial"/>
      <family val="2"/>
    </font>
    <font>
      <sz val="10"/>
      <name val="Arial"/>
      <family val="2"/>
    </font>
    <font>
      <sz val="8"/>
      <color theme="0" tint="-0.249977111117893"/>
      <name val="Arial"/>
      <family val="2"/>
    </font>
    <font>
      <sz val="10"/>
      <color theme="0" tint="-0.249977111117893"/>
      <name val="Arial"/>
      <family val="2"/>
    </font>
    <font>
      <sz val="10"/>
      <color rgb="FFFF0000"/>
      <name val="Arial"/>
      <family val="2"/>
    </font>
    <font>
      <b/>
      <sz val="10"/>
      <color rgb="FFFF0000"/>
      <name val="Arial"/>
      <family val="2"/>
    </font>
    <font>
      <b/>
      <strike/>
      <sz val="10"/>
      <color rgb="FFFF0000"/>
      <name val="Arial"/>
      <family val="2"/>
    </font>
    <font>
      <strike/>
      <sz val="10"/>
      <color rgb="FFFF0000"/>
      <name val="Arial"/>
      <family val="2"/>
    </font>
    <font>
      <sz val="8"/>
      <color rgb="FFFF0000"/>
      <name val="Arial"/>
      <family val="2"/>
    </font>
    <font>
      <strike/>
      <sz val="8"/>
      <color rgb="FFFF0000"/>
      <name val="Arial"/>
      <family val="2"/>
    </font>
    <font>
      <sz val="11"/>
      <color indexed="8"/>
      <name val="Calibri"/>
      <family val="2"/>
    </font>
    <font>
      <sz val="11"/>
      <color rgb="FFFF0000"/>
      <name val="Calibri"/>
      <family val="2"/>
    </font>
    <font>
      <u/>
      <sz val="10"/>
      <name val="Arial"/>
      <family val="2"/>
    </font>
    <font>
      <b/>
      <sz val="12"/>
      <name val="Times New Roman"/>
      <family val="1"/>
    </font>
  </fonts>
  <fills count="2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0"/>
      </patternFill>
    </fill>
    <fill>
      <patternFill patternType="solid">
        <fgColor indexed="8"/>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1"/>
        <bgColor indexed="64"/>
      </patternFill>
    </fill>
    <fill>
      <patternFill patternType="solid">
        <fgColor rgb="FF00B0F0"/>
        <bgColor indexed="64"/>
      </patternFill>
    </fill>
    <fill>
      <patternFill patternType="solid">
        <fgColor theme="9"/>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59999389629810485"/>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16" fillId="0" borderId="0"/>
    <xf numFmtId="9" fontId="3" fillId="0" borderId="0" applyFont="0" applyFill="0" applyBorder="0" applyAlignment="0" applyProtection="0"/>
    <xf numFmtId="0" fontId="2" fillId="0" borderId="0"/>
    <xf numFmtId="0" fontId="26"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0" fontId="3" fillId="0" borderId="0"/>
    <xf numFmtId="0" fontId="16" fillId="0" borderId="0"/>
  </cellStyleXfs>
  <cellXfs count="507">
    <xf numFmtId="0" fontId="0" fillId="0" borderId="0" xfId="0"/>
    <xf numFmtId="0" fontId="4" fillId="0" borderId="0" xfId="0" applyFont="1"/>
    <xf numFmtId="0" fontId="5" fillId="0" borderId="0" xfId="0" applyFont="1"/>
    <xf numFmtId="0" fontId="6" fillId="0" borderId="0" xfId="0" applyFont="1" applyAlignment="1">
      <alignment wrapText="1"/>
    </xf>
    <xf numFmtId="0" fontId="4" fillId="0" borderId="1" xfId="0" applyFont="1" applyBorder="1" applyAlignment="1">
      <alignment horizontal="center"/>
    </xf>
    <xf numFmtId="0" fontId="5" fillId="0" borderId="1" xfId="0" applyFont="1" applyBorder="1" applyAlignment="1">
      <alignment horizontal="center" wrapText="1"/>
    </xf>
    <xf numFmtId="0" fontId="6" fillId="0" borderId="0" xfId="0" applyFont="1"/>
    <xf numFmtId="0" fontId="4" fillId="0" borderId="0" xfId="0" applyFont="1" applyAlignment="1">
      <alignment horizontal="center"/>
    </xf>
    <xf numFmtId="3" fontId="4" fillId="0" borderId="0" xfId="0" applyNumberFormat="1" applyFont="1" applyAlignment="1">
      <alignment horizontal="center"/>
    </xf>
    <xf numFmtId="3" fontId="4" fillId="0" borderId="1" xfId="0" applyNumberFormat="1" applyFont="1" applyBorder="1" applyAlignment="1">
      <alignment horizontal="center"/>
    </xf>
    <xf numFmtId="3" fontId="5" fillId="0" borderId="1" xfId="0" applyNumberFormat="1" applyFont="1" applyBorder="1" applyAlignment="1">
      <alignment horizontal="center"/>
    </xf>
    <xf numFmtId="1" fontId="4" fillId="0" borderId="0" xfId="0" applyNumberFormat="1" applyFont="1" applyAlignment="1">
      <alignment horizontal="center"/>
    </xf>
    <xf numFmtId="0" fontId="6" fillId="0" borderId="1" xfId="0" applyFont="1" applyBorder="1" applyAlignment="1">
      <alignment horizontal="center" wrapText="1"/>
    </xf>
    <xf numFmtId="0" fontId="8" fillId="0" borderId="0" xfId="0" applyFont="1"/>
    <xf numFmtId="0" fontId="8" fillId="0" borderId="0" xfId="0" applyFont="1" applyAlignment="1">
      <alignment horizontal="center"/>
    </xf>
    <xf numFmtId="1" fontId="8" fillId="0" borderId="0" xfId="0" applyNumberFormat="1" applyFont="1" applyAlignment="1">
      <alignment horizontal="center"/>
    </xf>
    <xf numFmtId="3" fontId="8" fillId="0" borderId="0" xfId="0" applyNumberFormat="1" applyFont="1" applyAlignment="1">
      <alignment horizontal="center"/>
    </xf>
    <xf numFmtId="0" fontId="6" fillId="0" borderId="2" xfId="0" applyFont="1" applyBorder="1" applyAlignment="1">
      <alignment horizontal="center"/>
    </xf>
    <xf numFmtId="3" fontId="6" fillId="0" borderId="2" xfId="0" applyNumberFormat="1" applyFont="1" applyBorder="1" applyAlignment="1">
      <alignment horizontal="center"/>
    </xf>
    <xf numFmtId="0" fontId="7" fillId="0" borderId="6" xfId="0" applyFont="1" applyBorder="1" applyAlignment="1">
      <alignment horizontal="center"/>
    </xf>
    <xf numFmtId="0" fontId="5" fillId="0" borderId="7" xfId="0" applyFont="1" applyBorder="1" applyAlignment="1">
      <alignment horizontal="center"/>
    </xf>
    <xf numFmtId="1" fontId="5" fillId="0" borderId="7" xfId="0" applyNumberFormat="1" applyFont="1" applyBorder="1" applyAlignment="1">
      <alignment horizontal="center"/>
    </xf>
    <xf numFmtId="3" fontId="7" fillId="0" borderId="7" xfId="0" applyNumberFormat="1" applyFont="1" applyBorder="1" applyAlignment="1">
      <alignment horizontal="center"/>
    </xf>
    <xf numFmtId="0" fontId="6" fillId="0" borderId="8" xfId="0" applyFont="1" applyBorder="1" applyAlignment="1">
      <alignment horizontal="center"/>
    </xf>
    <xf numFmtId="165" fontId="6" fillId="0" borderId="0" xfId="0" applyNumberFormat="1" applyFont="1"/>
    <xf numFmtId="0" fontId="10" fillId="0" borderId="1" xfId="0" applyFont="1" applyBorder="1"/>
    <xf numFmtId="165" fontId="10" fillId="0" borderId="1" xfId="0" applyNumberFormat="1" applyFont="1" applyBorder="1"/>
    <xf numFmtId="0" fontId="11" fillId="2" borderId="1" xfId="0" applyFont="1" applyFill="1" applyBorder="1"/>
    <xf numFmtId="0" fontId="12" fillId="0" borderId="0" xfId="0" applyFont="1"/>
    <xf numFmtId="0" fontId="0" fillId="0" borderId="1" xfId="0" applyBorder="1"/>
    <xf numFmtId="0" fontId="0" fillId="0" borderId="1" xfId="0" applyBorder="1" applyAlignment="1">
      <alignment horizontal="center"/>
    </xf>
    <xf numFmtId="0" fontId="6" fillId="0" borderId="0" xfId="0" applyFont="1" applyAlignment="1">
      <alignment horizontal="right"/>
    </xf>
    <xf numFmtId="166" fontId="6" fillId="0" borderId="2" xfId="0" applyNumberFormat="1" applyFont="1" applyBorder="1" applyAlignment="1">
      <alignment horizontal="center"/>
    </xf>
    <xf numFmtId="166" fontId="7" fillId="0" borderId="7" xfId="0" applyNumberFormat="1" applyFont="1" applyBorder="1" applyAlignment="1">
      <alignment horizontal="center"/>
    </xf>
    <xf numFmtId="165" fontId="0" fillId="0" borderId="1" xfId="0" applyNumberFormat="1" applyBorder="1"/>
    <xf numFmtId="0" fontId="0" fillId="0" borderId="0" xfId="0" applyFill="1" applyBorder="1"/>
    <xf numFmtId="0" fontId="11" fillId="0" borderId="0" xfId="0" applyFont="1" applyFill="1" applyBorder="1"/>
    <xf numFmtId="0" fontId="6" fillId="0" borderId="2" xfId="0" applyFont="1" applyFill="1" applyBorder="1" applyAlignment="1">
      <alignment horizontal="center"/>
    </xf>
    <xf numFmtId="0" fontId="6" fillId="0" borderId="1" xfId="0" applyFont="1" applyFill="1" applyBorder="1" applyAlignment="1">
      <alignment horizontal="center" wrapText="1"/>
    </xf>
    <xf numFmtId="0" fontId="5" fillId="0" borderId="9" xfId="0" applyFont="1" applyBorder="1" applyAlignment="1">
      <alignment horizontal="center"/>
    </xf>
    <xf numFmtId="0" fontId="0" fillId="0" borderId="1" xfId="0" applyBorder="1" applyAlignment="1">
      <alignment vertical="center" wrapText="1"/>
    </xf>
    <xf numFmtId="165" fontId="0" fillId="0" borderId="1" xfId="0" applyNumberFormat="1" applyBorder="1" applyAlignment="1">
      <alignment vertical="center"/>
    </xf>
    <xf numFmtId="166" fontId="5" fillId="0" borderId="7" xfId="0" applyNumberFormat="1" applyFont="1" applyBorder="1" applyAlignment="1">
      <alignment horizontal="center"/>
    </xf>
    <xf numFmtId="3" fontId="6" fillId="0" borderId="2" xfId="1" applyNumberFormat="1" applyFont="1" applyBorder="1" applyAlignment="1">
      <alignment horizontal="center"/>
    </xf>
    <xf numFmtId="166" fontId="6" fillId="0" borderId="2" xfId="0" applyNumberFormat="1" applyFont="1" applyFill="1" applyBorder="1" applyAlignment="1">
      <alignment horizontal="center"/>
    </xf>
    <xf numFmtId="0" fontId="8" fillId="0" borderId="0" xfId="0" applyFont="1" applyFill="1"/>
    <xf numFmtId="0" fontId="4" fillId="0" borderId="0" xfId="0" applyFont="1" applyFill="1" applyAlignment="1">
      <alignment horizontal="center"/>
    </xf>
    <xf numFmtId="1" fontId="4" fillId="0" borderId="0" xfId="0" applyNumberFormat="1" applyFont="1" applyFill="1" applyAlignment="1">
      <alignment horizontal="center"/>
    </xf>
    <xf numFmtId="0" fontId="8" fillId="0" borderId="0" xfId="0" applyFont="1" applyFill="1" applyAlignment="1">
      <alignment horizontal="center"/>
    </xf>
    <xf numFmtId="1" fontId="8" fillId="0" borderId="0" xfId="0" applyNumberFormat="1" applyFont="1" applyFill="1" applyAlignment="1">
      <alignment horizontal="center"/>
    </xf>
    <xf numFmtId="0" fontId="11" fillId="0" borderId="1" xfId="0" applyFont="1" applyBorder="1"/>
    <xf numFmtId="1" fontId="6" fillId="0" borderId="1" xfId="0" applyNumberFormat="1" applyFont="1" applyFill="1" applyBorder="1" applyAlignment="1">
      <alignment horizontal="center" wrapText="1"/>
    </xf>
    <xf numFmtId="0" fontId="8" fillId="0" borderId="0" xfId="0" applyFont="1" applyAlignment="1">
      <alignment horizontal="left" wrapText="1"/>
    </xf>
    <xf numFmtId="1"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0" fillId="0" borderId="0" xfId="0" applyFont="1" applyFill="1" applyBorder="1"/>
    <xf numFmtId="0" fontId="0" fillId="0" borderId="1" xfId="0" applyFill="1" applyBorder="1"/>
    <xf numFmtId="0" fontId="0" fillId="0" borderId="1" xfId="0" applyFill="1" applyBorder="1" applyAlignment="1">
      <alignment horizontal="center"/>
    </xf>
    <xf numFmtId="0" fontId="10" fillId="0" borderId="1" xfId="0" applyFont="1" applyFill="1" applyBorder="1" applyAlignment="1">
      <alignment horizontal="center"/>
    </xf>
    <xf numFmtId="0" fontId="10" fillId="0" borderId="1" xfId="0" applyFont="1" applyFill="1" applyBorder="1"/>
    <xf numFmtId="0" fontId="0" fillId="0" borderId="1" xfId="0" applyFill="1" applyBorder="1" applyAlignment="1"/>
    <xf numFmtId="0" fontId="11" fillId="2" borderId="1" xfId="0" applyFont="1" applyFill="1" applyBorder="1" applyAlignment="1">
      <alignment vertical="center" wrapText="1"/>
    </xf>
    <xf numFmtId="1" fontId="0" fillId="0" borderId="1" xfId="0" applyNumberFormat="1" applyFill="1" applyBorder="1"/>
    <xf numFmtId="0" fontId="8" fillId="0" borderId="0" xfId="0" applyFont="1" applyAlignment="1">
      <alignment horizontal="left"/>
    </xf>
    <xf numFmtId="0" fontId="11" fillId="0" borderId="0" xfId="0" applyFont="1"/>
    <xf numFmtId="0" fontId="10" fillId="0" borderId="0" xfId="0" applyFont="1"/>
    <xf numFmtId="0" fontId="9" fillId="0" borderId="0" xfId="0" applyFont="1"/>
    <xf numFmtId="0" fontId="9" fillId="0" borderId="0" xfId="0" applyFont="1" applyAlignment="1">
      <alignment wrapText="1"/>
    </xf>
    <xf numFmtId="0" fontId="0" fillId="0" borderId="0" xfId="0" applyAlignment="1">
      <alignment wrapText="1"/>
    </xf>
    <xf numFmtId="0" fontId="0" fillId="0" borderId="0" xfId="0" applyFill="1"/>
    <xf numFmtId="3" fontId="6" fillId="0" borderId="2" xfId="1" applyNumberFormat="1" applyFont="1" applyFill="1" applyBorder="1" applyAlignment="1">
      <alignment horizontal="center"/>
    </xf>
    <xf numFmtId="3" fontId="6" fillId="0" borderId="2" xfId="0"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8" xfId="0" applyFont="1" applyFill="1" applyBorder="1" applyAlignment="1">
      <alignment horizontal="center"/>
    </xf>
    <xf numFmtId="166" fontId="13" fillId="0" borderId="2" xfId="0" applyNumberFormat="1" applyFont="1" applyFill="1" applyBorder="1" applyAlignment="1">
      <alignment horizontal="center"/>
    </xf>
    <xf numFmtId="3" fontId="13" fillId="0" borderId="2" xfId="1" applyNumberFormat="1" applyFont="1" applyFill="1" applyBorder="1" applyAlignment="1">
      <alignment horizontal="center"/>
    </xf>
    <xf numFmtId="0" fontId="8" fillId="0" borderId="0" xfId="0" applyNumberFormat="1" applyFont="1" applyFill="1"/>
    <xf numFmtId="3" fontId="6" fillId="0" borderId="1" xfId="0" applyNumberFormat="1" applyFont="1" applyFill="1" applyBorder="1" applyAlignment="1">
      <alignment horizontal="center" wrapText="1"/>
    </xf>
    <xf numFmtId="164" fontId="9" fillId="0" borderId="0" xfId="1" applyNumberFormat="1" applyFont="1" applyBorder="1"/>
    <xf numFmtId="164" fontId="9" fillId="0" borderId="12" xfId="1" applyNumberFormat="1" applyFont="1" applyBorder="1"/>
    <xf numFmtId="0" fontId="15" fillId="0" borderId="13" xfId="0" applyFont="1" applyBorder="1" applyAlignment="1">
      <alignment wrapText="1"/>
    </xf>
    <xf numFmtId="1" fontId="9" fillId="0" borderId="0" xfId="0" applyNumberFormat="1" applyFont="1"/>
    <xf numFmtId="0" fontId="17" fillId="0" borderId="0" xfId="3" applyFont="1" applyFill="1" applyBorder="1" applyAlignment="1">
      <alignment horizontal="left"/>
    </xf>
    <xf numFmtId="0" fontId="8" fillId="0" borderId="0" xfId="0" applyFont="1" applyFill="1" applyBorder="1" applyAlignment="1">
      <alignment horizontal="center"/>
    </xf>
    <xf numFmtId="166" fontId="0" fillId="0" borderId="1" xfId="0" applyNumberFormat="1" applyBorder="1"/>
    <xf numFmtId="9" fontId="0" fillId="0" borderId="1" xfId="0" applyNumberFormat="1" applyBorder="1"/>
    <xf numFmtId="0" fontId="4" fillId="0" borderId="0" xfId="0" applyFont="1" applyFill="1"/>
    <xf numFmtId="0" fontId="4" fillId="0" borderId="0" xfId="0" applyFont="1" applyFill="1" applyAlignment="1">
      <alignment horizontal="center" wrapText="1"/>
    </xf>
    <xf numFmtId="3" fontId="4" fillId="0" borderId="0" xfId="0" applyNumberFormat="1" applyFont="1" applyFill="1" applyAlignment="1">
      <alignment horizontal="center" wrapText="1"/>
    </xf>
    <xf numFmtId="3" fontId="0" fillId="0" borderId="0" xfId="0" applyNumberFormat="1" applyFill="1" applyBorder="1" applyAlignment="1">
      <alignment horizontal="center" wrapText="1"/>
    </xf>
    <xf numFmtId="0" fontId="8" fillId="0" borderId="0" xfId="0" applyFont="1" applyAlignment="1"/>
    <xf numFmtId="0" fontId="8" fillId="0" borderId="0" xfId="0" applyFont="1" applyFill="1" applyAlignment="1">
      <alignment wrapText="1"/>
    </xf>
    <xf numFmtId="0" fontId="8" fillId="0" borderId="0" xfId="0" applyFont="1" applyFill="1" applyAlignment="1"/>
    <xf numFmtId="0" fontId="9" fillId="0" borderId="13" xfId="0" applyFont="1" applyBorder="1"/>
    <xf numFmtId="0" fontId="9" fillId="0" borderId="16" xfId="0" applyFont="1" applyBorder="1"/>
    <xf numFmtId="168" fontId="9" fillId="0" borderId="17" xfId="2" applyNumberFormat="1" applyFont="1" applyBorder="1"/>
    <xf numFmtId="168" fontId="9" fillId="0" borderId="18" xfId="2" applyNumberFormat="1" applyFont="1" applyBorder="1"/>
    <xf numFmtId="0" fontId="4" fillId="0" borderId="0" xfId="0" applyFont="1" applyFill="1" applyBorder="1"/>
    <xf numFmtId="164" fontId="9" fillId="0" borderId="0" xfId="0" applyNumberFormat="1" applyFont="1" applyBorder="1"/>
    <xf numFmtId="164" fontId="9" fillId="0" borderId="19" xfId="1" applyNumberFormat="1" applyFont="1" applyBorder="1"/>
    <xf numFmtId="164" fontId="9" fillId="0" borderId="20" xfId="1" applyNumberFormat="1" applyFont="1" applyBorder="1"/>
    <xf numFmtId="164" fontId="9" fillId="0" borderId="21" xfId="1" applyNumberFormat="1" applyFont="1" applyBorder="1"/>
    <xf numFmtId="0" fontId="11" fillId="0" borderId="0" xfId="0" applyFont="1" applyFill="1"/>
    <xf numFmtId="0" fontId="9" fillId="0" borderId="0" xfId="0" applyFont="1" applyFill="1"/>
    <xf numFmtId="0" fontId="20" fillId="0" borderId="0" xfId="0" applyFont="1"/>
    <xf numFmtId="0" fontId="8" fillId="0" borderId="0" xfId="0" applyFont="1" applyFill="1" applyBorder="1"/>
    <xf numFmtId="1" fontId="8"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0" fontId="6" fillId="0" borderId="3" xfId="0" applyFont="1" applyFill="1" applyBorder="1"/>
    <xf numFmtId="0" fontId="6" fillId="0" borderId="3" xfId="0" applyFont="1" applyFill="1" applyBorder="1" applyAlignment="1">
      <alignment wrapText="1"/>
    </xf>
    <xf numFmtId="0" fontId="6" fillId="0" borderId="3" xfId="0" applyFont="1" applyFill="1" applyBorder="1" applyAlignment="1">
      <alignment horizontal="left" indent="2"/>
    </xf>
    <xf numFmtId="0" fontId="14" fillId="0" borderId="3" xfId="0" applyFont="1" applyFill="1" applyBorder="1" applyAlignment="1"/>
    <xf numFmtId="0" fontId="6" fillId="0" borderId="22" xfId="0" applyFont="1" applyFill="1" applyBorder="1"/>
    <xf numFmtId="0" fontId="6" fillId="0" borderId="0" xfId="0" applyFont="1" applyFill="1"/>
    <xf numFmtId="0" fontId="14" fillId="0" borderId="3" xfId="0" applyFont="1" applyFill="1" applyBorder="1" applyAlignment="1">
      <alignment wrapText="1"/>
    </xf>
    <xf numFmtId="166" fontId="6" fillId="0" borderId="0" xfId="0" applyNumberFormat="1" applyFont="1" applyFill="1"/>
    <xf numFmtId="166" fontId="6" fillId="0" borderId="0" xfId="0" applyNumberFormat="1" applyFont="1" applyFill="1" applyAlignment="1">
      <alignment horizontal="right"/>
    </xf>
    <xf numFmtId="0" fontId="9" fillId="0" borderId="31" xfId="0" applyFont="1" applyBorder="1"/>
    <xf numFmtId="0" fontId="9" fillId="0" borderId="32" xfId="0" applyFont="1" applyBorder="1" applyAlignment="1">
      <alignment wrapText="1"/>
    </xf>
    <xf numFmtId="0" fontId="9" fillId="0" borderId="33" xfId="0" applyFont="1" applyBorder="1"/>
    <xf numFmtId="0" fontId="9" fillId="0" borderId="16" xfId="0" applyFont="1" applyBorder="1" applyAlignment="1">
      <alignment wrapText="1"/>
    </xf>
    <xf numFmtId="0" fontId="9" fillId="0" borderId="18" xfId="0" applyFont="1" applyBorder="1"/>
    <xf numFmtId="0" fontId="8" fillId="0" borderId="0" xfId="0" applyFont="1" applyFill="1" applyAlignment="1">
      <alignment horizontal="left"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wrapText="1" indent="2"/>
    </xf>
    <xf numFmtId="0" fontId="6" fillId="0" borderId="4" xfId="0" applyFont="1" applyFill="1" applyBorder="1"/>
    <xf numFmtId="0" fontId="6" fillId="0" borderId="5" xfId="0" applyFont="1" applyFill="1" applyBorder="1" applyAlignment="1">
      <alignment horizontal="center"/>
    </xf>
    <xf numFmtId="0" fontId="14" fillId="0" borderId="10" xfId="0" applyFont="1" applyFill="1" applyBorder="1"/>
    <xf numFmtId="166" fontId="6" fillId="0" borderId="5" xfId="0" applyNumberFormat="1" applyFont="1" applyFill="1" applyBorder="1" applyAlignment="1">
      <alignment horizontal="center"/>
    </xf>
    <xf numFmtId="0" fontId="6" fillId="0" borderId="1" xfId="0" applyFont="1" applyFill="1" applyBorder="1" applyAlignment="1">
      <alignment horizontal="center" textRotation="90" wrapText="1"/>
    </xf>
    <xf numFmtId="3" fontId="6" fillId="0" borderId="5" xfId="0" applyNumberFormat="1" applyFont="1" applyFill="1" applyBorder="1" applyAlignment="1">
      <alignment horizontal="center"/>
    </xf>
    <xf numFmtId="0" fontId="6" fillId="0" borderId="0" xfId="0" applyFont="1" applyFill="1" applyAlignment="1">
      <alignment horizontal="right"/>
    </xf>
    <xf numFmtId="0" fontId="5" fillId="0" borderId="0" xfId="0" applyFont="1" applyFill="1"/>
    <xf numFmtId="0" fontId="7" fillId="0" borderId="6" xfId="0" applyFont="1" applyFill="1" applyBorder="1" applyAlignment="1">
      <alignment horizontal="center"/>
    </xf>
    <xf numFmtId="0" fontId="5" fillId="0" borderId="7" xfId="0" applyFont="1" applyFill="1" applyBorder="1" applyAlignment="1">
      <alignment horizontal="center"/>
    </xf>
    <xf numFmtId="166" fontId="5" fillId="0" borderId="7" xfId="0" applyNumberFormat="1" applyFont="1" applyFill="1" applyBorder="1" applyAlignment="1">
      <alignment horizontal="center"/>
    </xf>
    <xf numFmtId="1" fontId="5" fillId="0" borderId="7" xfId="0" applyNumberFormat="1" applyFont="1" applyFill="1" applyBorder="1" applyAlignment="1">
      <alignment horizontal="center"/>
    </xf>
    <xf numFmtId="3" fontId="7" fillId="0" borderId="7" xfId="0" applyNumberFormat="1" applyFont="1" applyFill="1" applyBorder="1" applyAlignment="1">
      <alignment horizontal="center"/>
    </xf>
    <xf numFmtId="166" fontId="7" fillId="0" borderId="7" xfId="0" applyNumberFormat="1" applyFont="1" applyFill="1" applyBorder="1" applyAlignment="1">
      <alignment horizontal="center"/>
    </xf>
    <xf numFmtId="0" fontId="5" fillId="0" borderId="9" xfId="0" applyFont="1" applyFill="1" applyBorder="1" applyAlignment="1">
      <alignment horizontal="center"/>
    </xf>
    <xf numFmtId="0" fontId="6" fillId="0" borderId="0" xfId="0" applyFont="1" applyFill="1" applyAlignment="1">
      <alignment wrapText="1"/>
    </xf>
    <xf numFmtId="0" fontId="6" fillId="0" borderId="4" xfId="0" applyFont="1" applyFill="1" applyBorder="1" applyAlignment="1">
      <alignment wrapText="1"/>
    </xf>
    <xf numFmtId="165" fontId="6" fillId="0" borderId="0" xfId="0" applyNumberFormat="1" applyFont="1" applyFill="1"/>
    <xf numFmtId="3" fontId="4" fillId="0" borderId="0" xfId="0" applyNumberFormat="1" applyFont="1" applyFill="1" applyAlignment="1">
      <alignment horizontal="center"/>
    </xf>
    <xf numFmtId="3" fontId="8" fillId="0" borderId="0" xfId="0" applyNumberFormat="1" applyFont="1" applyFill="1" applyAlignment="1">
      <alignment horizontal="center"/>
    </xf>
    <xf numFmtId="0" fontId="0" fillId="0" borderId="0" xfId="0" applyFill="1" applyAlignment="1">
      <alignment horizontal="center" wrapText="1"/>
    </xf>
    <xf numFmtId="3" fontId="0" fillId="0" borderId="0" xfId="0" applyNumberFormat="1" applyFill="1" applyAlignment="1">
      <alignment horizontal="center" wrapText="1"/>
    </xf>
    <xf numFmtId="0" fontId="0" fillId="0" borderId="0" xfId="0" applyFill="1" applyAlignment="1">
      <alignment horizontal="center"/>
    </xf>
    <xf numFmtId="0" fontId="10" fillId="0" borderId="34" xfId="0" applyFont="1" applyFill="1" applyBorder="1"/>
    <xf numFmtId="0" fontId="10" fillId="0" borderId="35" xfId="0" applyFont="1" applyFill="1" applyBorder="1"/>
    <xf numFmtId="0" fontId="10" fillId="0" borderId="36" xfId="0" applyFont="1" applyFill="1" applyBorder="1" applyAlignment="1">
      <alignment horizontal="center" wrapText="1"/>
    </xf>
    <xf numFmtId="3" fontId="10" fillId="0" borderId="36" xfId="0" applyNumberFormat="1" applyFont="1" applyFill="1" applyBorder="1" applyAlignment="1">
      <alignment horizontal="center" wrapText="1"/>
    </xf>
    <xf numFmtId="0" fontId="10" fillId="0" borderId="37" xfId="0" applyFont="1" applyFill="1" applyBorder="1" applyAlignment="1">
      <alignment horizontal="center" textRotation="90"/>
    </xf>
    <xf numFmtId="0" fontId="0" fillId="0" borderId="0" xfId="0"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wrapText="1"/>
    </xf>
    <xf numFmtId="3" fontId="0" fillId="0" borderId="0" xfId="0" quotePrefix="1" applyNumberFormat="1" applyFill="1" applyAlignment="1">
      <alignment horizontal="center" wrapText="1"/>
    </xf>
    <xf numFmtId="166" fontId="0" fillId="0" borderId="0" xfId="0" applyNumberFormat="1" applyFill="1" applyAlignment="1">
      <alignment horizontal="center" wrapText="1"/>
    </xf>
    <xf numFmtId="164" fontId="9" fillId="8" borderId="13" xfId="1" applyNumberFormat="1" applyFont="1" applyFill="1" applyBorder="1"/>
    <xf numFmtId="164" fontId="9" fillId="8" borderId="0" xfId="1" applyNumberFormat="1" applyFont="1" applyFill="1" applyBorder="1"/>
    <xf numFmtId="164" fontId="9" fillId="8" borderId="12" xfId="1" applyNumberFormat="1" applyFont="1" applyFill="1" applyBorder="1"/>
    <xf numFmtId="43" fontId="9" fillId="8" borderId="16" xfId="1" applyNumberFormat="1" applyFont="1" applyFill="1" applyBorder="1"/>
    <xf numFmtId="164" fontId="9" fillId="8" borderId="17" xfId="1" applyNumberFormat="1" applyFont="1" applyFill="1" applyBorder="1"/>
    <xf numFmtId="0" fontId="9" fillId="8" borderId="18" xfId="1" applyNumberFormat="1" applyFont="1" applyFill="1" applyBorder="1"/>
    <xf numFmtId="164" fontId="9" fillId="8" borderId="18" xfId="1" applyNumberFormat="1" applyFont="1" applyFill="1" applyBorder="1"/>
    <xf numFmtId="168" fontId="9" fillId="0" borderId="0" xfId="2" applyNumberFormat="1" applyFont="1" applyBorder="1"/>
    <xf numFmtId="168" fontId="9" fillId="0" borderId="12" xfId="2" applyNumberFormat="1" applyFont="1" applyBorder="1"/>
    <xf numFmtId="168" fontId="9" fillId="0" borderId="38" xfId="2" applyNumberFormat="1" applyFont="1" applyBorder="1"/>
    <xf numFmtId="164" fontId="9" fillId="0" borderId="39" xfId="1" applyNumberFormat="1" applyFont="1" applyBorder="1"/>
    <xf numFmtId="164" fontId="9" fillId="0" borderId="40" xfId="1" applyNumberFormat="1" applyFont="1" applyBorder="1"/>
    <xf numFmtId="164" fontId="9" fillId="0" borderId="41" xfId="1" applyNumberFormat="1" applyFont="1" applyBorder="1"/>
    <xf numFmtId="164" fontId="9" fillId="0" borderId="42" xfId="1" applyNumberFormat="1" applyFont="1" applyBorder="1"/>
    <xf numFmtId="168" fontId="9" fillId="0" borderId="43" xfId="2" applyNumberFormat="1" applyFont="1" applyBorder="1"/>
    <xf numFmtId="168" fontId="9" fillId="0" borderId="14" xfId="2" applyNumberFormat="1" applyFont="1" applyBorder="1"/>
    <xf numFmtId="168" fontId="9" fillId="0" borderId="21" xfId="2" applyNumberFormat="1" applyFont="1" applyBorder="1"/>
    <xf numFmtId="0" fontId="9" fillId="2" borderId="28" xfId="0" applyFont="1" applyFill="1" applyBorder="1" applyAlignment="1">
      <alignment horizontal="center"/>
    </xf>
    <xf numFmtId="0" fontId="9" fillId="2" borderId="30" xfId="0" applyFont="1" applyFill="1" applyBorder="1" applyAlignment="1">
      <alignment horizontal="center"/>
    </xf>
    <xf numFmtId="0" fontId="11" fillId="2" borderId="23" xfId="0" applyFont="1" applyFill="1" applyBorder="1" applyAlignment="1">
      <alignment horizontal="center"/>
    </xf>
    <xf numFmtId="0" fontId="23" fillId="0" borderId="13" xfId="0" applyFont="1" applyBorder="1"/>
    <xf numFmtId="0" fontId="23" fillId="0" borderId="16" xfId="0" applyFont="1" applyBorder="1"/>
    <xf numFmtId="0" fontId="6" fillId="0" borderId="2" xfId="0" applyFont="1" applyFill="1" applyBorder="1"/>
    <xf numFmtId="0" fontId="6" fillId="0" borderId="47" xfId="0" applyFont="1" applyFill="1" applyBorder="1" applyAlignment="1">
      <alignment horizontal="center"/>
    </xf>
    <xf numFmtId="166" fontId="6" fillId="0" borderId="47" xfId="0" applyNumberFormat="1" applyFont="1" applyFill="1" applyBorder="1" applyAlignment="1">
      <alignment horizontal="center"/>
    </xf>
    <xf numFmtId="3" fontId="6" fillId="0" borderId="47" xfId="0" applyNumberFormat="1" applyFont="1" applyFill="1" applyBorder="1" applyAlignment="1">
      <alignment horizontal="center"/>
    </xf>
    <xf numFmtId="0" fontId="6" fillId="0" borderId="48" xfId="0" applyFont="1" applyFill="1" applyBorder="1" applyAlignment="1">
      <alignment horizontal="center"/>
    </xf>
    <xf numFmtId="0" fontId="6" fillId="0" borderId="46" xfId="0" applyFont="1" applyFill="1" applyBorder="1" applyAlignment="1">
      <alignment horizontal="center"/>
    </xf>
    <xf numFmtId="0" fontId="6" fillId="0" borderId="50" xfId="0" applyFont="1" applyFill="1" applyBorder="1" applyAlignment="1">
      <alignment horizontal="center" wrapText="1"/>
    </xf>
    <xf numFmtId="0" fontId="14" fillId="0" borderId="49" xfId="0" applyFont="1" applyFill="1" applyBorder="1"/>
    <xf numFmtId="0" fontId="14" fillId="0" borderId="49" xfId="0" applyFont="1" applyFill="1" applyBorder="1" applyAlignment="1">
      <alignment wrapText="1"/>
    </xf>
    <xf numFmtId="49" fontId="10" fillId="0" borderId="51" xfId="0" applyNumberFormat="1" applyFont="1" applyFill="1" applyBorder="1"/>
    <xf numFmtId="0" fontId="10" fillId="0" borderId="5" xfId="0" applyFont="1" applyFill="1" applyBorder="1"/>
    <xf numFmtId="0" fontId="19" fillId="0" borderId="5" xfId="0" applyFont="1" applyFill="1" applyBorder="1"/>
    <xf numFmtId="0" fontId="0" fillId="0" borderId="5" xfId="0" applyFill="1" applyBorder="1" applyAlignment="1">
      <alignment horizontal="center" wrapText="1"/>
    </xf>
    <xf numFmtId="3" fontId="0" fillId="0" borderId="5" xfId="0" applyNumberFormat="1" applyFill="1" applyBorder="1" applyAlignment="1">
      <alignment horizontal="center" wrapText="1"/>
    </xf>
    <xf numFmtId="166" fontId="0" fillId="0" borderId="5" xfId="0" applyNumberFormat="1" applyFill="1" applyBorder="1" applyAlignment="1">
      <alignment horizontal="center" wrapText="1"/>
    </xf>
    <xf numFmtId="0" fontId="0" fillId="0" borderId="52" xfId="0" applyFill="1" applyBorder="1" applyAlignment="1">
      <alignment horizontal="center"/>
    </xf>
    <xf numFmtId="49" fontId="10" fillId="0" borderId="53" xfId="0" applyNumberFormat="1" applyFont="1" applyFill="1" applyBorder="1" applyAlignment="1">
      <alignment vertical="top"/>
    </xf>
    <xf numFmtId="0" fontId="0" fillId="0" borderId="2" xfId="0" applyFill="1" applyBorder="1" applyAlignment="1">
      <alignment horizontal="center" wrapText="1"/>
    </xf>
    <xf numFmtId="3" fontId="0" fillId="0" borderId="2" xfId="0" applyNumberFormat="1" applyFill="1" applyBorder="1" applyAlignment="1">
      <alignment horizontal="center" wrapText="1"/>
    </xf>
    <xf numFmtId="166" fontId="0" fillId="0" borderId="2" xfId="0" applyNumberFormat="1" applyFill="1" applyBorder="1" applyAlignment="1">
      <alignment horizontal="center" wrapText="1"/>
    </xf>
    <xf numFmtId="0" fontId="0" fillId="0" borderId="54" xfId="0" applyFill="1" applyBorder="1" applyAlignment="1">
      <alignment horizontal="center"/>
    </xf>
    <xf numFmtId="49" fontId="10" fillId="0" borderId="2" xfId="0" applyNumberFormat="1" applyFont="1" applyFill="1" applyBorder="1" applyAlignment="1">
      <alignment vertical="top"/>
    </xf>
    <xf numFmtId="49" fontId="10" fillId="0" borderId="2" xfId="0" applyNumberFormat="1" applyFont="1" applyFill="1" applyBorder="1"/>
    <xf numFmtId="3" fontId="10" fillId="0" borderId="2" xfId="0" applyNumberFormat="1" applyFont="1" applyFill="1" applyBorder="1" applyAlignment="1">
      <alignment vertical="top"/>
    </xf>
    <xf numFmtId="0" fontId="0" fillId="0" borderId="2" xfId="0" applyFill="1" applyBorder="1"/>
    <xf numFmtId="3" fontId="10" fillId="0" borderId="2" xfId="0" applyNumberFormat="1" applyFont="1" applyFill="1" applyBorder="1"/>
    <xf numFmtId="3" fontId="10" fillId="0" borderId="2" xfId="0" quotePrefix="1" applyNumberFormat="1" applyFont="1" applyFill="1" applyBorder="1" applyAlignment="1">
      <alignment vertical="top"/>
    </xf>
    <xf numFmtId="0" fontId="10" fillId="0" borderId="2" xfId="0" applyFont="1" applyFill="1" applyBorder="1"/>
    <xf numFmtId="49" fontId="10" fillId="0" borderId="55" xfId="0" applyNumberFormat="1" applyFont="1" applyFill="1" applyBorder="1" applyAlignment="1">
      <alignment vertical="top"/>
    </xf>
    <xf numFmtId="3" fontId="10" fillId="0" borderId="56" xfId="0" applyNumberFormat="1" applyFont="1" applyFill="1" applyBorder="1" applyAlignment="1">
      <alignment vertical="top"/>
    </xf>
    <xf numFmtId="49" fontId="10" fillId="0" borderId="56" xfId="0" applyNumberFormat="1" applyFont="1" applyFill="1" applyBorder="1" applyAlignment="1">
      <alignment vertical="top"/>
    </xf>
    <xf numFmtId="0" fontId="10" fillId="0" borderId="56" xfId="0" applyFont="1" applyFill="1" applyBorder="1"/>
    <xf numFmtId="0" fontId="0" fillId="0" borderId="56" xfId="0" applyFill="1" applyBorder="1" applyAlignment="1">
      <alignment horizontal="center"/>
    </xf>
    <xf numFmtId="39" fontId="0" fillId="0" borderId="56" xfId="0" applyNumberFormat="1" applyFill="1" applyBorder="1" applyAlignment="1">
      <alignment horizontal="center" wrapText="1"/>
    </xf>
    <xf numFmtId="3" fontId="0" fillId="0" borderId="56" xfId="0" applyNumberFormat="1" applyFill="1" applyBorder="1" applyAlignment="1">
      <alignment horizontal="center"/>
    </xf>
    <xf numFmtId="166" fontId="0" fillId="0" borderId="56" xfId="0" applyNumberFormat="1" applyFill="1" applyBorder="1" applyAlignment="1">
      <alignment horizontal="center" wrapText="1"/>
    </xf>
    <xf numFmtId="0" fontId="0" fillId="0" borderId="57" xfId="0" applyFill="1" applyBorder="1" applyAlignment="1">
      <alignment horizontal="center"/>
    </xf>
    <xf numFmtId="3" fontId="19" fillId="0" borderId="58" xfId="0" applyNumberFormat="1" applyFont="1" applyFill="1" applyBorder="1" applyAlignment="1">
      <alignment vertical="top"/>
    </xf>
    <xf numFmtId="49" fontId="19" fillId="0" borderId="58" xfId="0" applyNumberFormat="1" applyFont="1" applyFill="1" applyBorder="1" applyAlignment="1">
      <alignment vertical="top"/>
    </xf>
    <xf numFmtId="3" fontId="0" fillId="0" borderId="58" xfId="0" applyNumberFormat="1" applyFill="1" applyBorder="1"/>
    <xf numFmtId="0" fontId="0" fillId="0" borderId="58" xfId="0" applyFill="1" applyBorder="1"/>
    <xf numFmtId="0" fontId="0" fillId="0" borderId="58" xfId="0" applyFill="1" applyBorder="1" applyAlignment="1">
      <alignment horizontal="center" wrapText="1"/>
    </xf>
    <xf numFmtId="3" fontId="0" fillId="0" borderId="58" xfId="0" applyNumberFormat="1" applyFill="1" applyBorder="1" applyAlignment="1">
      <alignment horizontal="center" wrapText="1"/>
    </xf>
    <xf numFmtId="166" fontId="11" fillId="0" borderId="58" xfId="0" applyNumberFormat="1" applyFont="1" applyFill="1" applyBorder="1" applyAlignment="1">
      <alignment horizontal="center" wrapText="1"/>
    </xf>
    <xf numFmtId="0" fontId="0" fillId="0" borderId="59" xfId="0" applyFill="1" applyBorder="1" applyAlignment="1">
      <alignment horizontal="center"/>
    </xf>
    <xf numFmtId="0" fontId="0" fillId="0" borderId="56" xfId="0" applyFill="1" applyBorder="1"/>
    <xf numFmtId="3" fontId="0" fillId="0" borderId="56" xfId="0" applyNumberFormat="1" applyFill="1" applyBorder="1" applyAlignment="1">
      <alignment horizontal="center" wrapText="1"/>
    </xf>
    <xf numFmtId="49" fontId="19" fillId="0" borderId="60" xfId="0" applyNumberFormat="1" applyFont="1" applyFill="1" applyBorder="1" applyAlignment="1">
      <alignment vertical="center"/>
    </xf>
    <xf numFmtId="164" fontId="9" fillId="0" borderId="61" xfId="0" applyNumberFormat="1" applyFont="1" applyBorder="1"/>
    <xf numFmtId="168" fontId="9" fillId="0" borderId="13" xfId="2" applyNumberFormat="1" applyFont="1" applyBorder="1"/>
    <xf numFmtId="168" fontId="9" fillId="0" borderId="16" xfId="2" applyNumberFormat="1" applyFont="1" applyBorder="1"/>
    <xf numFmtId="0" fontId="9" fillId="0" borderId="61" xfId="0" applyFont="1" applyBorder="1"/>
    <xf numFmtId="0" fontId="9" fillId="0" borderId="38" xfId="0" applyFont="1" applyBorder="1" applyAlignment="1">
      <alignment horizontal="right"/>
    </xf>
    <xf numFmtId="164" fontId="9" fillId="0" borderId="24" xfId="1" applyNumberFormat="1" applyFont="1" applyBorder="1"/>
    <xf numFmtId="164" fontId="9" fillId="0" borderId="62" xfId="1" applyNumberFormat="1" applyFont="1" applyBorder="1"/>
    <xf numFmtId="0" fontId="9" fillId="0" borderId="42" xfId="0" applyFont="1" applyBorder="1" applyAlignment="1">
      <alignment horizontal="right"/>
    </xf>
    <xf numFmtId="164" fontId="9" fillId="0" borderId="31" xfId="1" applyNumberFormat="1" applyFont="1" applyBorder="1"/>
    <xf numFmtId="164" fontId="9" fillId="0" borderId="18" xfId="1" applyNumberFormat="1" applyFont="1" applyBorder="1"/>
    <xf numFmtId="0" fontId="4" fillId="2" borderId="28" xfId="0" applyFont="1" applyFill="1" applyBorder="1" applyAlignment="1">
      <alignment horizontal="center"/>
    </xf>
    <xf numFmtId="0" fontId="4" fillId="2" borderId="30" xfId="0" applyFont="1" applyFill="1" applyBorder="1" applyAlignment="1">
      <alignment horizontal="center"/>
    </xf>
    <xf numFmtId="0" fontId="0" fillId="9" borderId="1" xfId="0" applyFill="1" applyBorder="1"/>
    <xf numFmtId="1" fontId="0" fillId="9" borderId="1" xfId="0" applyNumberFormat="1" applyFill="1" applyBorder="1"/>
    <xf numFmtId="1" fontId="0" fillId="0" borderId="0" xfId="0" applyNumberFormat="1" applyFill="1" applyBorder="1" applyAlignment="1">
      <alignment horizontal="left"/>
    </xf>
    <xf numFmtId="0" fontId="24" fillId="0" borderId="0" xfId="0" applyFont="1"/>
    <xf numFmtId="0" fontId="10" fillId="10" borderId="1" xfId="0" applyFont="1" applyFill="1" applyBorder="1"/>
    <xf numFmtId="0" fontId="0" fillId="10" borderId="1" xfId="0" applyFill="1" applyBorder="1" applyAlignment="1">
      <alignment horizontal="center"/>
    </xf>
    <xf numFmtId="0" fontId="0" fillId="10" borderId="1" xfId="0" applyFill="1" applyBorder="1"/>
    <xf numFmtId="0" fontId="10" fillId="10" borderId="71" xfId="0" applyFont="1" applyFill="1" applyBorder="1" applyAlignment="1">
      <alignment horizontal="left"/>
    </xf>
    <xf numFmtId="0" fontId="0" fillId="10" borderId="67" xfId="0" applyFill="1" applyBorder="1" applyAlignment="1">
      <alignment horizontal="center"/>
    </xf>
    <xf numFmtId="1" fontId="0" fillId="10" borderId="72" xfId="0" applyNumberFormat="1" applyFill="1" applyBorder="1"/>
    <xf numFmtId="1" fontId="0" fillId="0" borderId="74" xfId="0" applyNumberFormat="1" applyFill="1" applyBorder="1"/>
    <xf numFmtId="0" fontId="10" fillId="10" borderId="71" xfId="0" applyFont="1" applyFill="1" applyBorder="1"/>
    <xf numFmtId="0" fontId="0" fillId="10" borderId="67" xfId="0" applyFill="1" applyBorder="1"/>
    <xf numFmtId="0" fontId="0" fillId="10" borderId="72" xfId="0" applyFill="1" applyBorder="1"/>
    <xf numFmtId="0" fontId="8" fillId="0" borderId="0" xfId="0" applyFont="1" applyAlignment="1">
      <alignment horizontal="left" wrapText="1"/>
    </xf>
    <xf numFmtId="0" fontId="24" fillId="0" borderId="70" xfId="0" applyFont="1" applyFill="1" applyBorder="1" applyAlignment="1"/>
    <xf numFmtId="0" fontId="6" fillId="0" borderId="3" xfId="0" applyFont="1" applyFill="1" applyBorder="1" applyAlignment="1">
      <alignment horizontal="left" wrapText="1"/>
    </xf>
    <xf numFmtId="0" fontId="6" fillId="0" borderId="3" xfId="0" applyFont="1" applyFill="1" applyBorder="1" applyAlignment="1">
      <alignment horizontal="left"/>
    </xf>
    <xf numFmtId="0" fontId="0" fillId="0" borderId="66" xfId="0" applyFill="1" applyBorder="1" applyAlignment="1">
      <alignment horizontal="left"/>
    </xf>
    <xf numFmtId="166" fontId="6" fillId="12" borderId="0" xfId="0" applyNumberFormat="1" applyFont="1" applyFill="1" applyAlignment="1">
      <alignment horizontal="right"/>
    </xf>
    <xf numFmtId="166" fontId="6" fillId="12" borderId="0" xfId="0" applyNumberFormat="1" applyFont="1" applyFill="1"/>
    <xf numFmtId="3" fontId="4" fillId="0" borderId="1" xfId="0" applyNumberFormat="1" applyFont="1" applyFill="1" applyBorder="1" applyAlignment="1">
      <alignment horizontal="center"/>
    </xf>
    <xf numFmtId="0" fontId="25" fillId="0" borderId="0" xfId="0" applyFont="1"/>
    <xf numFmtId="1" fontId="0" fillId="0" borderId="0" xfId="0" applyNumberFormat="1"/>
    <xf numFmtId="0" fontId="11" fillId="0" borderId="55" xfId="0" applyFont="1" applyFill="1" applyBorder="1" applyAlignment="1">
      <alignment vertical="center"/>
    </xf>
    <xf numFmtId="0" fontId="0" fillId="0" borderId="56" xfId="0" applyFill="1" applyBorder="1" applyAlignment="1">
      <alignment horizontal="center" wrapText="1"/>
    </xf>
    <xf numFmtId="3" fontId="11" fillId="0" borderId="56" xfId="0" applyNumberFormat="1" applyFont="1" applyFill="1" applyBorder="1" applyAlignment="1">
      <alignment horizontal="center" wrapText="1"/>
    </xf>
    <xf numFmtId="168" fontId="9" fillId="0" borderId="0" xfId="0" applyNumberFormat="1" applyFont="1"/>
    <xf numFmtId="4" fontId="0" fillId="0" borderId="0" xfId="0" applyNumberFormat="1"/>
    <xf numFmtId="0" fontId="3" fillId="0" borderId="1" xfId="0" applyFont="1" applyFill="1" applyBorder="1"/>
    <xf numFmtId="0" fontId="3" fillId="0" borderId="1" xfId="0" applyFont="1" applyFill="1" applyBorder="1" applyAlignment="1">
      <alignment horizontal="center"/>
    </xf>
    <xf numFmtId="0" fontId="0" fillId="13" borderId="1" xfId="0" applyFill="1" applyBorder="1"/>
    <xf numFmtId="1" fontId="9" fillId="0" borderId="0" xfId="0" applyNumberFormat="1" applyFont="1" applyFill="1"/>
    <xf numFmtId="164" fontId="9" fillId="0" borderId="25" xfId="1" applyNumberFormat="1" applyFont="1" applyFill="1" applyBorder="1"/>
    <xf numFmtId="164" fontId="9" fillId="0" borderId="26" xfId="1" applyNumberFormat="1" applyFont="1" applyFill="1" applyBorder="1"/>
    <xf numFmtId="164" fontId="9" fillId="0" borderId="27" xfId="1" applyNumberFormat="1" applyFont="1" applyFill="1" applyBorder="1"/>
    <xf numFmtId="164" fontId="9" fillId="0" borderId="14" xfId="1" applyNumberFormat="1" applyFont="1" applyFill="1" applyBorder="1"/>
    <xf numFmtId="164" fontId="9" fillId="0" borderId="1" xfId="1" applyNumberFormat="1" applyFont="1" applyFill="1" applyBorder="1"/>
    <xf numFmtId="164" fontId="9" fillId="0" borderId="15" xfId="1" applyNumberFormat="1" applyFont="1" applyFill="1" applyBorder="1"/>
    <xf numFmtId="167" fontId="9" fillId="0" borderId="0" xfId="4" applyNumberFormat="1" applyFont="1" applyFill="1"/>
    <xf numFmtId="0" fontId="0" fillId="0" borderId="9" xfId="0" applyFill="1" applyBorder="1" applyAlignment="1"/>
    <xf numFmtId="0" fontId="8" fillId="0" borderId="0" xfId="0" applyFont="1" applyFill="1" applyAlignment="1">
      <alignment horizontal="center" wrapText="1"/>
    </xf>
    <xf numFmtId="0" fontId="8" fillId="0" borderId="0" xfId="0" applyFont="1" applyFill="1" applyAlignment="1">
      <alignment horizontal="left"/>
    </xf>
    <xf numFmtId="164" fontId="9" fillId="0" borderId="12" xfId="0" applyNumberFormat="1" applyFont="1" applyBorder="1"/>
    <xf numFmtId="164" fontId="9" fillId="0" borderId="62" xfId="0" applyNumberFormat="1" applyFont="1" applyBorder="1"/>
    <xf numFmtId="43" fontId="9" fillId="0" borderId="0" xfId="0" applyNumberFormat="1" applyFont="1"/>
    <xf numFmtId="0" fontId="0" fillId="0" borderId="75" xfId="0" applyBorder="1"/>
    <xf numFmtId="0" fontId="0" fillId="0" borderId="62" xfId="0" applyBorder="1"/>
    <xf numFmtId="0" fontId="0" fillId="0" borderId="0" xfId="0" applyBorder="1"/>
    <xf numFmtId="0" fontId="0" fillId="0" borderId="12" xfId="0" applyBorder="1"/>
    <xf numFmtId="0" fontId="0" fillId="0" borderId="17" xfId="0" applyBorder="1"/>
    <xf numFmtId="0" fontId="0" fillId="0" borderId="18" xfId="0" applyBorder="1"/>
    <xf numFmtId="0" fontId="2" fillId="0" borderId="0" xfId="5"/>
    <xf numFmtId="0" fontId="26" fillId="0" borderId="0" xfId="6" applyFill="1"/>
    <xf numFmtId="0" fontId="0" fillId="14" borderId="1" xfId="0" applyFill="1" applyBorder="1"/>
    <xf numFmtId="1" fontId="0" fillId="14" borderId="1" xfId="0" applyNumberFormat="1" applyFill="1" applyBorder="1"/>
    <xf numFmtId="0" fontId="0" fillId="15" borderId="50" xfId="0" applyFill="1" applyBorder="1" applyAlignment="1">
      <alignment horizontal="center"/>
    </xf>
    <xf numFmtId="0" fontId="0" fillId="15" borderId="73" xfId="0" applyFill="1" applyBorder="1" applyAlignment="1">
      <alignment horizontal="center"/>
    </xf>
    <xf numFmtId="0" fontId="0" fillId="0" borderId="61" xfId="0" applyBorder="1"/>
    <xf numFmtId="0" fontId="3" fillId="0" borderId="0" xfId="0" applyFont="1" applyFill="1"/>
    <xf numFmtId="0" fontId="0" fillId="0" borderId="14" xfId="0" applyBorder="1"/>
    <xf numFmtId="0" fontId="10" fillId="0" borderId="13" xfId="0" applyFont="1" applyFill="1" applyBorder="1"/>
    <xf numFmtId="0" fontId="0" fillId="0" borderId="13" xfId="0" applyBorder="1"/>
    <xf numFmtId="0" fontId="11" fillId="2" borderId="14" xfId="0" applyFont="1" applyFill="1" applyBorder="1" applyAlignment="1">
      <alignment vertical="center" wrapText="1"/>
    </xf>
    <xf numFmtId="1" fontId="0" fillId="0" borderId="0" xfId="0" applyNumberFormat="1" applyBorder="1"/>
    <xf numFmtId="0" fontId="10" fillId="10" borderId="14" xfId="0" applyFont="1" applyFill="1" applyBorder="1"/>
    <xf numFmtId="0" fontId="10" fillId="0" borderId="21" xfId="0" applyFont="1" applyBorder="1"/>
    <xf numFmtId="0" fontId="0" fillId="0" borderId="76" xfId="0" applyFill="1" applyBorder="1" applyAlignment="1">
      <alignment horizontal="center"/>
    </xf>
    <xf numFmtId="0" fontId="0" fillId="0" borderId="77" xfId="0" applyFill="1" applyBorder="1" applyAlignment="1"/>
    <xf numFmtId="0" fontId="0" fillId="0" borderId="17" xfId="0" applyFill="1" applyBorder="1"/>
    <xf numFmtId="0" fontId="0" fillId="0" borderId="78" xfId="0" applyFill="1" applyBorder="1" applyAlignment="1">
      <alignment horizontal="center"/>
    </xf>
    <xf numFmtId="0" fontId="0" fillId="0" borderId="17" xfId="0" applyFill="1" applyBorder="1" applyAlignment="1">
      <alignment horizontal="left"/>
    </xf>
    <xf numFmtId="1" fontId="0" fillId="0" borderId="79" xfId="0" applyNumberFormat="1" applyFill="1" applyBorder="1"/>
    <xf numFmtId="0" fontId="3" fillId="0" borderId="0" xfId="0" applyFont="1"/>
    <xf numFmtId="0" fontId="3" fillId="0" borderId="61" xfId="0" applyFont="1" applyBorder="1"/>
    <xf numFmtId="168" fontId="0" fillId="10" borderId="16" xfId="2" applyNumberFormat="1" applyFont="1" applyFill="1" applyBorder="1"/>
    <xf numFmtId="0" fontId="0" fillId="0" borderId="0" xfId="0" applyAlignment="1">
      <alignment horizontal="center"/>
    </xf>
    <xf numFmtId="0" fontId="0" fillId="2" borderId="1" xfId="0" applyFill="1" applyBorder="1"/>
    <xf numFmtId="0" fontId="11" fillId="4" borderId="1" xfId="0" applyFont="1" applyFill="1" applyBorder="1" applyAlignment="1">
      <alignment horizontal="center"/>
    </xf>
    <xf numFmtId="0" fontId="11" fillId="3" borderId="1" xfId="0" applyFont="1" applyFill="1" applyBorder="1" applyAlignment="1">
      <alignment horizontal="center"/>
    </xf>
    <xf numFmtId="0" fontId="11" fillId="5" borderId="1" xfId="0" applyFont="1" applyFill="1" applyBorder="1" applyAlignment="1">
      <alignment horizontal="center"/>
    </xf>
    <xf numFmtId="0" fontId="11" fillId="6" borderId="1" xfId="0" applyFont="1" applyFill="1" applyBorder="1" applyAlignment="1">
      <alignment horizontal="center"/>
    </xf>
    <xf numFmtId="0" fontId="11" fillId="13" borderId="1" xfId="0" applyFont="1" applyFill="1" applyBorder="1" applyAlignment="1">
      <alignment horizontal="center"/>
    </xf>
    <xf numFmtId="0" fontId="11" fillId="18" borderId="1" xfId="6" applyFont="1" applyFill="1" applyBorder="1" applyAlignment="1">
      <alignment horizontal="center"/>
    </xf>
    <xf numFmtId="0" fontId="11" fillId="17" borderId="1" xfId="6" applyFont="1" applyFill="1" applyBorder="1" applyAlignment="1">
      <alignment horizontal="center"/>
    </xf>
    <xf numFmtId="0" fontId="26" fillId="4" borderId="1" xfId="6" applyFill="1" applyBorder="1" applyAlignment="1">
      <alignment horizontal="center"/>
    </xf>
    <xf numFmtId="0" fontId="26" fillId="3" borderId="1" xfId="6" applyFill="1" applyBorder="1" applyAlignment="1">
      <alignment horizontal="center"/>
    </xf>
    <xf numFmtId="0" fontId="26" fillId="5" borderId="1" xfId="6" applyFill="1" applyBorder="1" applyAlignment="1">
      <alignment horizontal="center"/>
    </xf>
    <xf numFmtId="0" fontId="26" fillId="6" borderId="1" xfId="6" applyFill="1" applyBorder="1" applyAlignment="1">
      <alignment horizontal="center"/>
    </xf>
    <xf numFmtId="0" fontId="26" fillId="13" borderId="1" xfId="6" applyFill="1" applyBorder="1" applyAlignment="1">
      <alignment horizontal="center"/>
    </xf>
    <xf numFmtId="0" fontId="3" fillId="18" borderId="1" xfId="6" applyFont="1" applyFill="1" applyBorder="1" applyAlignment="1">
      <alignment horizontal="center"/>
    </xf>
    <xf numFmtId="0" fontId="26" fillId="17" borderId="1" xfId="6" applyFill="1" applyBorder="1" applyAlignment="1">
      <alignment horizontal="center"/>
    </xf>
    <xf numFmtId="0" fontId="3" fillId="4" borderId="1" xfId="6" applyFont="1" applyFill="1" applyBorder="1" applyAlignment="1">
      <alignment horizontal="center"/>
    </xf>
    <xf numFmtId="0" fontId="0" fillId="2" borderId="1" xfId="0" applyFill="1" applyBorder="1" applyAlignment="1">
      <alignment horizontal="center"/>
    </xf>
    <xf numFmtId="0" fontId="3" fillId="4" borderId="1" xfId="11" applyFill="1" applyBorder="1" applyAlignment="1">
      <alignment horizontal="center"/>
    </xf>
    <xf numFmtId="0" fontId="3" fillId="3" borderId="1" xfId="11" applyFill="1" applyBorder="1" applyAlignment="1">
      <alignment horizontal="center"/>
    </xf>
    <xf numFmtId="0" fontId="3" fillId="5" borderId="1" xfId="11" applyFill="1" applyBorder="1" applyAlignment="1">
      <alignment horizontal="center"/>
    </xf>
    <xf numFmtId="0" fontId="3" fillId="6" borderId="1" xfId="11" applyFill="1" applyBorder="1" applyAlignment="1">
      <alignment horizontal="center"/>
    </xf>
    <xf numFmtId="0" fontId="3" fillId="13" borderId="1" xfId="11" applyFill="1" applyBorder="1" applyAlignment="1">
      <alignment horizontal="center"/>
    </xf>
    <xf numFmtId="0" fontId="24" fillId="0" borderId="0" xfId="0" applyFont="1" applyFill="1"/>
    <xf numFmtId="0" fontId="0" fillId="0" borderId="16" xfId="0" applyBorder="1"/>
    <xf numFmtId="0" fontId="0" fillId="16" borderId="78" xfId="0" applyFill="1" applyBorder="1" applyAlignment="1">
      <alignment vertical="center"/>
    </xf>
    <xf numFmtId="0" fontId="0" fillId="0" borderId="17" xfId="0" applyFill="1" applyBorder="1" applyAlignment="1">
      <alignment horizontal="center"/>
    </xf>
    <xf numFmtId="0" fontId="0" fillId="0" borderId="79" xfId="0" applyFill="1" applyBorder="1"/>
    <xf numFmtId="1" fontId="0" fillId="0" borderId="17" xfId="0" applyNumberFormat="1" applyFill="1" applyBorder="1"/>
    <xf numFmtId="0" fontId="12" fillId="13" borderId="75" xfId="0" applyFont="1" applyFill="1" applyBorder="1"/>
    <xf numFmtId="0" fontId="12" fillId="13" borderId="61" xfId="0" applyFont="1" applyFill="1" applyBorder="1"/>
    <xf numFmtId="169" fontId="9" fillId="0" borderId="0" xfId="0" applyNumberFormat="1" applyFont="1"/>
    <xf numFmtId="0" fontId="3" fillId="0" borderId="71" xfId="0" applyFont="1" applyBorder="1"/>
    <xf numFmtId="0" fontId="0" fillId="0" borderId="67" xfId="0" applyBorder="1"/>
    <xf numFmtId="0" fontId="0" fillId="0" borderId="72" xfId="0" applyBorder="1"/>
    <xf numFmtId="0" fontId="27" fillId="0" borderId="80" xfId="0" applyFont="1" applyBorder="1"/>
    <xf numFmtId="0" fontId="27" fillId="0" borderId="0" xfId="0" applyFont="1" applyBorder="1"/>
    <xf numFmtId="0" fontId="27" fillId="0" borderId="81" xfId="0" applyFont="1" applyBorder="1"/>
    <xf numFmtId="0" fontId="27" fillId="0" borderId="80" xfId="0" applyFont="1" applyBorder="1" applyAlignment="1">
      <alignment wrapText="1"/>
    </xf>
    <xf numFmtId="0" fontId="27" fillId="0" borderId="0" xfId="0" applyFont="1" applyBorder="1" applyAlignment="1">
      <alignment wrapText="1"/>
    </xf>
    <xf numFmtId="0" fontId="27" fillId="0" borderId="81" xfId="0" applyFont="1" applyBorder="1" applyAlignment="1">
      <alignment wrapText="1"/>
    </xf>
    <xf numFmtId="0" fontId="27" fillId="0" borderId="0" xfId="0" applyFont="1" applyFill="1" applyBorder="1"/>
    <xf numFmtId="167" fontId="27" fillId="0" borderId="81" xfId="4" applyNumberFormat="1" applyFont="1" applyFill="1" applyBorder="1"/>
    <xf numFmtId="0" fontId="27" fillId="0" borderId="81" xfId="0" applyFont="1" applyFill="1" applyBorder="1"/>
    <xf numFmtId="0" fontId="28" fillId="0" borderId="80" xfId="0" applyFont="1" applyBorder="1"/>
    <xf numFmtId="0" fontId="28" fillId="0" borderId="0" xfId="0" applyFont="1" applyBorder="1"/>
    <xf numFmtId="0" fontId="28" fillId="0" borderId="81" xfId="0" applyFont="1" applyBorder="1"/>
    <xf numFmtId="167" fontId="27" fillId="0" borderId="81" xfId="4" applyNumberFormat="1" applyFont="1" applyBorder="1"/>
    <xf numFmtId="0" fontId="27" fillId="0" borderId="73" xfId="0" applyFont="1" applyBorder="1"/>
    <xf numFmtId="0" fontId="27" fillId="0" borderId="66" xfId="0" applyFont="1" applyBorder="1"/>
    <xf numFmtId="0" fontId="27" fillId="0" borderId="74" xfId="0" applyFont="1" applyBorder="1"/>
    <xf numFmtId="0" fontId="0" fillId="15" borderId="61" xfId="0" applyFill="1" applyBorder="1"/>
    <xf numFmtId="0" fontId="0" fillId="15" borderId="62" xfId="0" applyFill="1" applyBorder="1"/>
    <xf numFmtId="1" fontId="0" fillId="15" borderId="16" xfId="0" applyNumberFormat="1" applyFill="1" applyBorder="1"/>
    <xf numFmtId="0" fontId="0" fillId="15" borderId="18" xfId="0" applyFill="1" applyBorder="1"/>
    <xf numFmtId="0" fontId="9" fillId="0" borderId="0" xfId="0" applyFont="1" applyBorder="1"/>
    <xf numFmtId="0" fontId="8" fillId="0" borderId="0" xfId="0" applyFont="1" applyFill="1" applyAlignment="1">
      <alignment horizontal="center" vertical="top"/>
    </xf>
    <xf numFmtId="0" fontId="8" fillId="0" borderId="0" xfId="0" applyFont="1" applyAlignment="1">
      <alignment vertical="top"/>
    </xf>
    <xf numFmtId="0" fontId="8" fillId="0" borderId="0" xfId="0" applyFont="1" applyAlignment="1">
      <alignment horizontal="center" vertical="top"/>
    </xf>
    <xf numFmtId="0" fontId="4" fillId="0" borderId="0" xfId="0" applyFont="1" applyFill="1" applyAlignment="1">
      <alignment vertical="top"/>
    </xf>
    <xf numFmtId="0" fontId="8" fillId="0" borderId="0" xfId="0" applyFont="1" applyFill="1" applyAlignment="1">
      <alignment vertical="top" wrapText="1"/>
    </xf>
    <xf numFmtId="0" fontId="4" fillId="0" borderId="0" xfId="0" applyFont="1" applyFill="1" applyAlignment="1">
      <alignment horizontal="center" vertical="top"/>
    </xf>
    <xf numFmtId="3" fontId="4" fillId="0" borderId="0" xfId="0" applyNumberFormat="1" applyFont="1" applyFill="1" applyAlignment="1">
      <alignment horizontal="center" vertical="top"/>
    </xf>
    <xf numFmtId="0" fontId="8" fillId="0" borderId="0" xfId="0" applyFont="1" applyFill="1" applyAlignment="1">
      <alignment vertical="top"/>
    </xf>
    <xf numFmtId="0" fontId="29" fillId="0" borderId="0" xfId="0" applyFont="1" applyFill="1" applyBorder="1" applyAlignment="1">
      <alignment horizontal="left" vertical="center"/>
    </xf>
    <xf numFmtId="1" fontId="29" fillId="0" borderId="1" xfId="0" applyNumberFormat="1" applyFont="1" applyFill="1" applyBorder="1"/>
    <xf numFmtId="1" fontId="29" fillId="0" borderId="0" xfId="0" applyNumberFormat="1" applyFont="1" applyFill="1" applyBorder="1"/>
    <xf numFmtId="0" fontId="29" fillId="0" borderId="0" xfId="0" applyFont="1" applyFill="1"/>
    <xf numFmtId="0" fontId="30" fillId="0" borderId="0" xfId="0" applyFont="1"/>
    <xf numFmtId="0" fontId="29" fillId="0" borderId="0" xfId="0" applyFont="1"/>
    <xf numFmtId="0" fontId="31" fillId="0" borderId="0" xfId="0" applyFont="1"/>
    <xf numFmtId="0" fontId="32" fillId="0" borderId="0" xfId="0" applyFont="1"/>
    <xf numFmtId="0" fontId="33" fillId="0" borderId="0" xfId="0" applyFont="1" applyFill="1"/>
    <xf numFmtId="0" fontId="34" fillId="0" borderId="0" xfId="0" applyFont="1"/>
    <xf numFmtId="0" fontId="34" fillId="0" borderId="0" xfId="0" applyFont="1" applyAlignment="1">
      <alignment wrapText="1"/>
    </xf>
    <xf numFmtId="167" fontId="34" fillId="0" borderId="0" xfId="4" applyNumberFormat="1" applyFont="1"/>
    <xf numFmtId="0" fontId="16" fillId="0" borderId="0" xfId="3" applyFont="1" applyFill="1" applyBorder="1" applyAlignment="1">
      <alignment wrapText="1"/>
    </xf>
    <xf numFmtId="0" fontId="16" fillId="0" borderId="0" xfId="3" applyFont="1" applyFill="1" applyBorder="1" applyAlignment="1">
      <alignment horizontal="right" wrapText="1"/>
    </xf>
    <xf numFmtId="0" fontId="35" fillId="7" borderId="1" xfId="17" applyFont="1" applyFill="1" applyBorder="1" applyAlignment="1">
      <alignment horizontal="center"/>
    </xf>
    <xf numFmtId="0" fontId="35" fillId="0" borderId="1" xfId="17" applyFont="1" applyFill="1" applyBorder="1" applyAlignment="1">
      <alignment wrapText="1"/>
    </xf>
    <xf numFmtId="0" fontId="35" fillId="0" borderId="1" xfId="17" applyFont="1" applyFill="1" applyBorder="1" applyAlignment="1">
      <alignment horizontal="right" wrapText="1"/>
    </xf>
    <xf numFmtId="0" fontId="0" fillId="19" borderId="1" xfId="0" applyFill="1" applyBorder="1"/>
    <xf numFmtId="2" fontId="0" fillId="19" borderId="1" xfId="0" applyNumberFormat="1" applyFill="1" applyBorder="1"/>
    <xf numFmtId="0" fontId="9" fillId="19" borderId="1" xfId="0" applyFont="1" applyFill="1" applyBorder="1"/>
    <xf numFmtId="0" fontId="35" fillId="7" borderId="43" xfId="17" applyFont="1" applyFill="1" applyBorder="1" applyAlignment="1">
      <alignment horizontal="center"/>
    </xf>
    <xf numFmtId="0" fontId="35" fillId="7" borderId="36" xfId="17" applyFont="1" applyFill="1" applyBorder="1" applyAlignment="1">
      <alignment horizontal="center"/>
    </xf>
    <xf numFmtId="0" fontId="35" fillId="0" borderId="14" xfId="17" applyFont="1" applyFill="1" applyBorder="1" applyAlignment="1">
      <alignment wrapText="1"/>
    </xf>
    <xf numFmtId="0" fontId="36" fillId="0" borderId="14" xfId="17" applyFont="1" applyFill="1" applyBorder="1" applyAlignment="1">
      <alignment wrapText="1"/>
    </xf>
    <xf numFmtId="0" fontId="16" fillId="0" borderId="13" xfId="3" applyFont="1" applyFill="1" applyBorder="1" applyAlignment="1">
      <alignment wrapText="1"/>
    </xf>
    <xf numFmtId="0" fontId="35" fillId="7" borderId="14" xfId="17" applyFont="1" applyFill="1" applyBorder="1" applyAlignment="1">
      <alignment horizontal="center"/>
    </xf>
    <xf numFmtId="0" fontId="35" fillId="0" borderId="21" xfId="17" applyFont="1" applyFill="1" applyBorder="1" applyAlignment="1">
      <alignment wrapText="1"/>
    </xf>
    <xf numFmtId="0" fontId="35" fillId="0" borderId="19" xfId="17" applyFont="1" applyFill="1" applyBorder="1" applyAlignment="1">
      <alignment wrapText="1"/>
    </xf>
    <xf numFmtId="0" fontId="35" fillId="0" borderId="19" xfId="17" applyFont="1" applyFill="1" applyBorder="1" applyAlignment="1">
      <alignment horizontal="right" wrapText="1"/>
    </xf>
    <xf numFmtId="0" fontId="3" fillId="0" borderId="0" xfId="0" applyFont="1" applyAlignment="1">
      <alignment wrapText="1"/>
    </xf>
    <xf numFmtId="0" fontId="3" fillId="0" borderId="1" xfId="0" applyFont="1" applyBorder="1"/>
    <xf numFmtId="0" fontId="3" fillId="0" borderId="1" xfId="0" applyFont="1" applyBorder="1" applyAlignment="1">
      <alignment wrapText="1"/>
    </xf>
    <xf numFmtId="0" fontId="0" fillId="0" borderId="1" xfId="0" applyBorder="1" applyAlignment="1">
      <alignment wrapText="1"/>
    </xf>
    <xf numFmtId="0" fontId="29" fillId="6" borderId="1" xfId="6" applyFont="1" applyFill="1" applyBorder="1" applyAlignment="1">
      <alignment horizontal="center"/>
    </xf>
    <xf numFmtId="0" fontId="29" fillId="4" borderId="1" xfId="6" applyFont="1" applyFill="1" applyBorder="1" applyAlignment="1">
      <alignment horizontal="center"/>
    </xf>
    <xf numFmtId="0" fontId="29" fillId="17" borderId="1" xfId="6" applyFont="1" applyFill="1" applyBorder="1" applyAlignment="1">
      <alignment horizontal="center"/>
    </xf>
    <xf numFmtId="0" fontId="3" fillId="20" borderId="1" xfId="0" applyFont="1" applyFill="1" applyBorder="1" applyAlignment="1">
      <alignment wrapText="1"/>
    </xf>
    <xf numFmtId="49" fontId="3" fillId="0" borderId="2" xfId="0" applyNumberFormat="1" applyFont="1" applyFill="1" applyBorder="1" applyAlignment="1">
      <alignment vertical="top"/>
    </xf>
    <xf numFmtId="0" fontId="3" fillId="0" borderId="54" xfId="0" applyFont="1" applyFill="1" applyBorder="1" applyAlignment="1">
      <alignment horizontal="center"/>
    </xf>
    <xf numFmtId="0" fontId="3" fillId="21" borderId="1" xfId="0" applyFont="1" applyFill="1" applyBorder="1" applyAlignment="1">
      <alignment wrapText="1"/>
    </xf>
    <xf numFmtId="0" fontId="35" fillId="0" borderId="13" xfId="17" applyFont="1" applyFill="1" applyBorder="1" applyAlignment="1"/>
    <xf numFmtId="0" fontId="3" fillId="0" borderId="16" xfId="0" applyFont="1" applyBorder="1"/>
    <xf numFmtId="0" fontId="35" fillId="13" borderId="61" xfId="17" applyFont="1" applyFill="1" applyBorder="1" applyAlignment="1">
      <alignment wrapText="1"/>
    </xf>
    <xf numFmtId="0" fontId="3" fillId="13" borderId="1" xfId="0" applyFont="1" applyFill="1" applyBorder="1" applyAlignment="1">
      <alignment wrapText="1"/>
    </xf>
    <xf numFmtId="0" fontId="29" fillId="4" borderId="1" xfId="11" applyFont="1" applyFill="1" applyBorder="1" applyAlignment="1">
      <alignment horizontal="center"/>
    </xf>
    <xf numFmtId="0" fontId="29" fillId="3" borderId="1" xfId="11" applyFont="1" applyFill="1" applyBorder="1" applyAlignment="1">
      <alignment horizontal="center"/>
    </xf>
    <xf numFmtId="0" fontId="29" fillId="13" borderId="1" xfId="11" applyFont="1" applyFill="1" applyBorder="1" applyAlignment="1">
      <alignment horizontal="center"/>
    </xf>
    <xf numFmtId="0" fontId="0" fillId="0" borderId="69" xfId="0" applyFont="1" applyFill="1" applyBorder="1"/>
    <xf numFmtId="0" fontId="3" fillId="0" borderId="69" xfId="0" applyFont="1" applyFill="1" applyBorder="1"/>
    <xf numFmtId="0" fontId="3" fillId="0" borderId="69" xfId="0" applyFont="1" applyFill="1" applyBorder="1" applyAlignment="1">
      <alignment wrapText="1"/>
    </xf>
    <xf numFmtId="9" fontId="0" fillId="0" borderId="0" xfId="4" applyFont="1" applyBorder="1"/>
    <xf numFmtId="0" fontId="21" fillId="0" borderId="1" xfId="0" applyFont="1" applyBorder="1" applyAlignment="1">
      <alignment horizontal="center" vertical="center" wrapText="1"/>
    </xf>
    <xf numFmtId="166" fontId="21" fillId="0" borderId="1"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1" fontId="22" fillId="0" borderId="27" xfId="1" applyNumberFormat="1" applyFont="1" applyBorder="1" applyAlignment="1">
      <alignment horizontal="center"/>
    </xf>
    <xf numFmtId="1" fontId="22" fillId="0" borderId="15" xfId="1" applyNumberFormat="1" applyFont="1" applyBorder="1" applyAlignment="1">
      <alignment horizontal="center"/>
    </xf>
    <xf numFmtId="1" fontId="22" fillId="0" borderId="20" xfId="1" applyNumberFormat="1" applyFont="1" applyBorder="1" applyAlignment="1">
      <alignment horizontal="center"/>
    </xf>
    <xf numFmtId="0" fontId="21"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2" fillId="0" borderId="0" xfId="0" applyFont="1"/>
    <xf numFmtId="1"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3" fontId="22" fillId="0" borderId="1" xfId="0" applyNumberFormat="1" applyFont="1" applyBorder="1" applyAlignment="1">
      <alignment horizontal="center" vertical="center"/>
    </xf>
    <xf numFmtId="1" fontId="22" fillId="0" borderId="26" xfId="0" applyNumberFormat="1" applyFont="1" applyFill="1" applyBorder="1" applyAlignment="1">
      <alignment horizontal="center"/>
    </xf>
    <xf numFmtId="3" fontId="22" fillId="0" borderId="26" xfId="0" applyNumberFormat="1" applyFont="1" applyFill="1" applyBorder="1" applyAlignment="1">
      <alignment horizontal="center"/>
    </xf>
    <xf numFmtId="1" fontId="22" fillId="0" borderId="1" xfId="0" applyNumberFormat="1" applyFont="1" applyFill="1" applyBorder="1" applyAlignment="1">
      <alignment horizontal="center"/>
    </xf>
    <xf numFmtId="3" fontId="22" fillId="0" borderId="1" xfId="0" applyNumberFormat="1" applyFont="1" applyFill="1" applyBorder="1" applyAlignment="1">
      <alignment horizontal="center"/>
    </xf>
    <xf numFmtId="0" fontId="22" fillId="0" borderId="1" xfId="0" applyFont="1" applyFill="1" applyBorder="1" applyAlignment="1">
      <alignment horizontal="center"/>
    </xf>
    <xf numFmtId="1" fontId="22" fillId="0" borderId="19" xfId="0" applyNumberFormat="1" applyFont="1" applyFill="1" applyBorder="1" applyAlignment="1">
      <alignment horizontal="center"/>
    </xf>
    <xf numFmtId="3" fontId="22" fillId="0" borderId="19" xfId="0" applyNumberFormat="1" applyFont="1" applyFill="1" applyBorder="1" applyAlignment="1">
      <alignment horizontal="center"/>
    </xf>
    <xf numFmtId="2" fontId="0" fillId="0" borderId="0" xfId="0" applyNumberFormat="1"/>
    <xf numFmtId="0" fontId="8" fillId="0" borderId="0" xfId="0" applyFont="1" applyFill="1" applyAlignment="1">
      <alignment horizontal="left" wrapText="1"/>
    </xf>
    <xf numFmtId="0" fontId="8" fillId="0" borderId="0" xfId="0" applyFont="1" applyFill="1" applyBorder="1" applyAlignment="1">
      <alignment horizontal="left" wrapText="1"/>
    </xf>
    <xf numFmtId="0" fontId="8" fillId="0" borderId="0" xfId="0" applyFont="1" applyFill="1" applyAlignment="1">
      <alignment horizontal="left" vertical="top" wrapText="1"/>
    </xf>
    <xf numFmtId="0" fontId="8" fillId="0" borderId="0" xfId="0" applyFont="1" applyFill="1" applyBorder="1" applyAlignment="1">
      <alignment horizontal="left" vertical="top" wrapText="1"/>
    </xf>
    <xf numFmtId="1" fontId="8" fillId="0" borderId="0" xfId="0" applyNumberFormat="1" applyFont="1" applyFill="1" applyAlignment="1">
      <alignment horizontal="center" vertical="top"/>
    </xf>
    <xf numFmtId="3" fontId="8" fillId="0" borderId="0" xfId="0" applyNumberFormat="1" applyFont="1" applyFill="1" applyAlignment="1">
      <alignment horizontal="center" vertical="top"/>
    </xf>
    <xf numFmtId="0" fontId="6" fillId="0" borderId="8" xfId="0" applyFont="1" applyFill="1" applyBorder="1"/>
    <xf numFmtId="166" fontId="6" fillId="0" borderId="44" xfId="0" applyNumberFormat="1" applyFont="1" applyFill="1" applyBorder="1" applyAlignment="1">
      <alignment horizontal="center"/>
    </xf>
    <xf numFmtId="3" fontId="6" fillId="0" borderId="0" xfId="0" applyNumberFormat="1" applyFont="1" applyFill="1"/>
    <xf numFmtId="0" fontId="7" fillId="0" borderId="50" xfId="0" applyFont="1" applyFill="1" applyBorder="1" applyAlignment="1">
      <alignment horizontal="center"/>
    </xf>
    <xf numFmtId="0" fontId="5" fillId="0" borderId="6" xfId="0" applyFont="1" applyFill="1" applyBorder="1" applyAlignment="1">
      <alignment horizontal="center"/>
    </xf>
    <xf numFmtId="3" fontId="7" fillId="0" borderId="45" xfId="0" applyNumberFormat="1" applyFont="1" applyFill="1" applyBorder="1" applyAlignment="1">
      <alignment horizontal="center"/>
    </xf>
    <xf numFmtId="0" fontId="38" fillId="0" borderId="1" xfId="0" applyFont="1" applyBorder="1" applyAlignment="1">
      <alignment horizontal="center" vertical="center"/>
    </xf>
    <xf numFmtId="0" fontId="5" fillId="0" borderId="50" xfId="0" applyFont="1" applyBorder="1" applyAlignment="1">
      <alignment horizontal="right" wrapText="1"/>
    </xf>
    <xf numFmtId="0" fontId="0" fillId="0" borderId="11" xfId="0" applyBorder="1" applyAlignment="1">
      <alignment horizontal="right" wrapText="1"/>
    </xf>
    <xf numFmtId="0" fontId="0" fillId="0" borderId="9" xfId="0" applyBorder="1" applyAlignment="1">
      <alignment horizontal="right" wrapText="1"/>
    </xf>
    <xf numFmtId="0" fontId="5" fillId="0" borderId="0" xfId="0" applyFont="1" applyAlignment="1">
      <alignment horizontal="center"/>
    </xf>
    <xf numFmtId="0" fontId="11" fillId="2" borderId="63" xfId="0" applyFont="1" applyFill="1" applyBorder="1" applyAlignment="1">
      <alignment horizont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11" fillId="2" borderId="38" xfId="0" applyFont="1" applyFill="1" applyBorder="1" applyAlignment="1">
      <alignment horizontal="center" vertical="center"/>
    </xf>
    <xf numFmtId="0" fontId="11" fillId="2" borderId="42" xfId="0" applyFont="1" applyFill="1" applyBorder="1" applyAlignment="1">
      <alignment horizontal="center" vertical="center"/>
    </xf>
    <xf numFmtId="165" fontId="0" fillId="0" borderId="68" xfId="0" applyNumberFormat="1" applyFill="1" applyBorder="1" applyAlignment="1">
      <alignment horizontal="center" vertical="center"/>
    </xf>
    <xf numFmtId="165" fontId="0" fillId="0" borderId="69" xfId="0" applyNumberFormat="1" applyFill="1" applyBorder="1" applyAlignment="1">
      <alignment horizontal="center" vertical="center"/>
    </xf>
    <xf numFmtId="165" fontId="0" fillId="0" borderId="26" xfId="0" applyNumberFormat="1" applyFill="1" applyBorder="1" applyAlignment="1">
      <alignment horizontal="center" vertical="center"/>
    </xf>
    <xf numFmtId="165" fontId="0" fillId="11" borderId="68" xfId="0" applyNumberFormat="1" applyFill="1" applyBorder="1" applyAlignment="1">
      <alignment horizontal="center" vertical="center"/>
    </xf>
    <xf numFmtId="165" fontId="0" fillId="11" borderId="69" xfId="0" applyNumberFormat="1" applyFill="1" applyBorder="1" applyAlignment="1">
      <alignment horizontal="center" vertical="center"/>
    </xf>
    <xf numFmtId="165" fontId="0" fillId="11" borderId="26" xfId="0" applyNumberFormat="1" applyFill="1" applyBorder="1" applyAlignment="1">
      <alignment horizontal="center" vertical="center"/>
    </xf>
    <xf numFmtId="0" fontId="10" fillId="0" borderId="14" xfId="0" applyFont="1" applyBorder="1" applyAlignment="1">
      <alignment horizontal="center" vertical="center"/>
    </xf>
    <xf numFmtId="0" fontId="10" fillId="0" borderId="14" xfId="0"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165" fontId="0" fillId="0" borderId="1" xfId="0" applyNumberFormat="1" applyFill="1" applyBorder="1" applyAlignment="1">
      <alignment horizontal="center" vertical="center"/>
    </xf>
    <xf numFmtId="0" fontId="8" fillId="0" borderId="0" xfId="0" applyFont="1" applyFill="1" applyAlignment="1">
      <alignment horizontal="left" wrapText="1"/>
    </xf>
    <xf numFmtId="0" fontId="8" fillId="0" borderId="0" xfId="0" applyFont="1" applyFill="1" applyAlignment="1">
      <alignment horizontal="left"/>
    </xf>
    <xf numFmtId="0" fontId="5" fillId="0" borderId="0" xfId="0" applyFont="1" applyFill="1" applyAlignment="1">
      <alignment horizontal="center"/>
    </xf>
    <xf numFmtId="0" fontId="5" fillId="0" borderId="66" xfId="0" applyFont="1" applyFill="1" applyBorder="1" applyAlignment="1">
      <alignment horizontal="center"/>
    </xf>
    <xf numFmtId="0" fontId="8" fillId="0" borderId="0" xfId="0" applyFont="1" applyAlignment="1">
      <alignment horizontal="left" wrapText="1"/>
    </xf>
    <xf numFmtId="0" fontId="8" fillId="0" borderId="0" xfId="0" applyFont="1" applyFill="1" applyBorder="1" applyAlignment="1">
      <alignment horizontal="left" wrapText="1"/>
    </xf>
    <xf numFmtId="0" fontId="8" fillId="0" borderId="0" xfId="0" applyFont="1" applyFill="1" applyAlignment="1">
      <alignment horizontal="left" vertical="top" wrapText="1"/>
    </xf>
    <xf numFmtId="0" fontId="5" fillId="0" borderId="66" xfId="0" applyFont="1" applyBorder="1" applyAlignment="1">
      <alignment horizontal="center"/>
    </xf>
    <xf numFmtId="0" fontId="0" fillId="0" borderId="1" xfId="0" applyBorder="1" applyAlignment="1">
      <alignment horizontal="center"/>
    </xf>
    <xf numFmtId="0" fontId="4" fillId="0" borderId="0" xfId="0" applyFont="1" applyFill="1" applyAlignment="1">
      <alignment horizontal="left" wrapText="1"/>
    </xf>
    <xf numFmtId="0" fontId="0" fillId="0" borderId="56" xfId="0" applyFill="1" applyBorder="1" applyAlignment="1">
      <alignment horizontal="left" wrapText="1"/>
    </xf>
    <xf numFmtId="0" fontId="11" fillId="0" borderId="0" xfId="0" applyFont="1" applyFill="1" applyAlignment="1">
      <alignment horizontal="center"/>
    </xf>
    <xf numFmtId="49" fontId="10" fillId="0" borderId="2" xfId="0" applyNumberFormat="1" applyFont="1" applyFill="1" applyBorder="1" applyAlignment="1">
      <alignment horizontal="left" vertical="top" wrapText="1"/>
    </xf>
  </cellXfs>
  <cellStyles count="18">
    <cellStyle name="Comma" xfId="1" builtinId="3"/>
    <cellStyle name="Comma 2" xfId="7"/>
    <cellStyle name="Comma 3" xfId="12"/>
    <cellStyle name="Currency" xfId="2" builtinId="4"/>
    <cellStyle name="Currency 2" xfId="8"/>
    <cellStyle name="Currency 3" xfId="15"/>
    <cellStyle name="Normal" xfId="0" builtinId="0"/>
    <cellStyle name="Normal 2" xfId="6"/>
    <cellStyle name="Normal 2 2" xfId="16"/>
    <cellStyle name="Normal 2 3" xfId="14"/>
    <cellStyle name="Normal 3" xfId="5"/>
    <cellStyle name="Normal 3 2" xfId="13"/>
    <cellStyle name="Normal 4" xfId="11"/>
    <cellStyle name="Normal 5" xfId="10"/>
    <cellStyle name="Normal_Base Data" xfId="3"/>
    <cellStyle name="Normal_Public Vs. Private" xfId="17"/>
    <cellStyle name="Percent" xfId="4" builtinId="5"/>
    <cellStyle name="Percent 2"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ATS/SURVEY/COST/MRR/MRRBOAT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9"/>
  <sheetViews>
    <sheetView workbookViewId="0">
      <selection activeCell="D6" sqref="D6"/>
    </sheetView>
  </sheetViews>
  <sheetFormatPr defaultRowHeight="11.25"/>
  <cols>
    <col min="1" max="1" width="45.5703125" style="68" customWidth="1"/>
    <col min="2" max="2" width="12.140625" style="68" customWidth="1"/>
    <col min="3" max="16384" width="9.140625" style="68"/>
  </cols>
  <sheetData>
    <row r="1" spans="1:8" ht="21" customHeight="1">
      <c r="A1" s="82"/>
      <c r="B1" s="82" t="s">
        <v>196</v>
      </c>
      <c r="C1" s="82" t="s">
        <v>198</v>
      </c>
      <c r="D1" s="82" t="s">
        <v>200</v>
      </c>
      <c r="E1" s="82" t="s">
        <v>202</v>
      </c>
      <c r="F1" s="82" t="s">
        <v>204</v>
      </c>
      <c r="G1" s="82" t="s">
        <v>206</v>
      </c>
      <c r="H1" s="82"/>
    </row>
    <row r="2" spans="1:8" ht="54.75" customHeight="1">
      <c r="A2" s="82" t="s">
        <v>187</v>
      </c>
      <c r="B2" s="82" t="s">
        <v>197</v>
      </c>
      <c r="C2" s="82" t="s">
        <v>199</v>
      </c>
      <c r="D2" s="82" t="s">
        <v>201</v>
      </c>
      <c r="E2" s="82" t="s">
        <v>203</v>
      </c>
      <c r="F2" s="82" t="s">
        <v>205</v>
      </c>
      <c r="G2" s="82" t="s">
        <v>207</v>
      </c>
      <c r="H2" s="82"/>
    </row>
    <row r="3" spans="1:8">
      <c r="A3" s="68" t="s">
        <v>208</v>
      </c>
      <c r="B3" s="275">
        <f>SUM('Base Data'!H67:H69)</f>
        <v>0</v>
      </c>
      <c r="C3" s="105"/>
      <c r="D3" s="275">
        <f>SUM('Base Data'!H23:H25)</f>
        <v>73</v>
      </c>
    </row>
    <row r="4" spans="1:8">
      <c r="A4" s="68" t="s">
        <v>209</v>
      </c>
      <c r="B4" s="275">
        <f>SUM('Base Data'!H63:H65)</f>
        <v>10</v>
      </c>
      <c r="C4" s="105"/>
      <c r="D4" s="275">
        <f>SUM('Base Data'!H18:H20)</f>
        <v>58</v>
      </c>
    </row>
    <row r="5" spans="1:8">
      <c r="A5" s="68" t="s">
        <v>210</v>
      </c>
      <c r="B5" s="275">
        <f>SUM('Base Data'!H79:H81)</f>
        <v>0</v>
      </c>
      <c r="C5" s="105"/>
      <c r="D5" s="275">
        <f>SUM('Base Data'!H43:H45)</f>
        <v>71</v>
      </c>
    </row>
    <row r="6" spans="1:8">
      <c r="A6" s="68" t="s">
        <v>214</v>
      </c>
      <c r="B6" s="275">
        <f>SUM('Base Data'!H71:H73)</f>
        <v>98</v>
      </c>
      <c r="C6" s="105"/>
      <c r="D6" s="275">
        <f>SUM('Base Data'!H28:H30)</f>
        <v>540</v>
      </c>
    </row>
    <row r="7" spans="1:8" ht="12" customHeight="1">
      <c r="A7" s="68" t="s">
        <v>215</v>
      </c>
      <c r="B7" s="105">
        <v>0</v>
      </c>
      <c r="C7" s="105"/>
      <c r="D7" s="275">
        <f>SUM('Base Data'!H33:H35)</f>
        <v>0</v>
      </c>
    </row>
    <row r="8" spans="1:8" ht="12" customHeight="1">
      <c r="A8" s="68" t="s">
        <v>216</v>
      </c>
      <c r="B8" s="275">
        <f>SUM('Base Data'!H75:H77)</f>
        <v>0</v>
      </c>
      <c r="C8" s="105"/>
      <c r="D8" s="275">
        <f>SUM('Base Data'!H38:H40)</f>
        <v>9</v>
      </c>
    </row>
    <row r="9" spans="1:8">
      <c r="A9" s="68" t="s">
        <v>211</v>
      </c>
      <c r="B9" s="275">
        <f>'Base Data'!H66</f>
        <v>0</v>
      </c>
      <c r="C9" s="105"/>
      <c r="D9" s="275">
        <f>'Base Data'!H22+D13</f>
        <v>2</v>
      </c>
      <c r="E9" s="68">
        <v>1</v>
      </c>
    </row>
    <row r="10" spans="1:8">
      <c r="A10" s="68" t="s">
        <v>212</v>
      </c>
      <c r="B10" s="275">
        <f>'Base Data'!H62</f>
        <v>1</v>
      </c>
      <c r="C10" s="105"/>
      <c r="D10" s="275">
        <f>'Base Data'!H17+D14</f>
        <v>3</v>
      </c>
      <c r="E10" s="68">
        <v>1</v>
      </c>
    </row>
    <row r="11" spans="1:8">
      <c r="A11" s="68" t="s">
        <v>213</v>
      </c>
      <c r="B11" s="275">
        <f>'Base Data'!H78</f>
        <v>0</v>
      </c>
      <c r="C11" s="105"/>
      <c r="D11" s="275">
        <f>'Base Data'!H42+D15</f>
        <v>43</v>
      </c>
      <c r="E11" s="68">
        <v>1</v>
      </c>
    </row>
    <row r="12" spans="1:8">
      <c r="A12" s="68" t="s">
        <v>189</v>
      </c>
      <c r="B12" s="275">
        <f>'Base Data'!H70+'Base Data'!H74</f>
        <v>122</v>
      </c>
      <c r="C12" s="105"/>
      <c r="D12" s="275">
        <f>SUM('Base Data'!H27,'Base Data'!H32,'Base Data'!H37)+D16</f>
        <v>905</v>
      </c>
      <c r="E12" s="68">
        <v>1</v>
      </c>
    </row>
    <row r="13" spans="1:8">
      <c r="A13" s="1" t="s">
        <v>453</v>
      </c>
      <c r="B13" s="105">
        <v>0</v>
      </c>
      <c r="C13" s="105"/>
      <c r="D13" s="275">
        <f>'Base Data'!H21</f>
        <v>2</v>
      </c>
    </row>
    <row r="14" spans="1:8">
      <c r="A14" s="1" t="s">
        <v>454</v>
      </c>
      <c r="B14" s="105">
        <v>0</v>
      </c>
      <c r="C14" s="105"/>
      <c r="D14" s="275">
        <f>'Base Data'!H16</f>
        <v>1</v>
      </c>
    </row>
    <row r="15" spans="1:8">
      <c r="A15" s="1" t="s">
        <v>455</v>
      </c>
      <c r="B15" s="105">
        <v>0</v>
      </c>
      <c r="C15" s="105"/>
      <c r="D15" s="275">
        <f>'Base Data'!H41</f>
        <v>15</v>
      </c>
    </row>
    <row r="16" spans="1:8">
      <c r="A16" s="1" t="s">
        <v>456</v>
      </c>
      <c r="B16" s="105">
        <v>0</v>
      </c>
      <c r="C16" s="105"/>
      <c r="D16" s="275">
        <f>'Base Data'!H26+'Base Data'!H31+'Base Data'!H36</f>
        <v>40</v>
      </c>
    </row>
    <row r="17" spans="2:4">
      <c r="B17" s="105"/>
      <c r="C17" s="105"/>
      <c r="D17" s="105"/>
    </row>
    <row r="19" spans="2:4">
      <c r="D19" s="83">
        <f>SUM(D3:D12,B3:B16)</f>
        <v>1935</v>
      </c>
    </row>
  </sheetData>
  <phoneticPr fontId="9"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S121"/>
  <sheetViews>
    <sheetView tabSelected="1" zoomScaleNormal="100" zoomScaleSheetLayoutView="90" workbookViewId="0">
      <pane xSplit="1" ySplit="3" topLeftCell="B4" activePane="bottomRight" state="frozen"/>
      <selection activeCell="L41" sqref="L41"/>
      <selection pane="topRight" activeCell="L41" sqref="L41"/>
      <selection pane="bottomLeft" activeCell="L41" sqref="L41"/>
      <selection pane="bottomRight" activeCell="A100" sqref="A100"/>
    </sheetView>
  </sheetViews>
  <sheetFormatPr defaultRowHeight="11.25"/>
  <cols>
    <col min="1" max="1" width="36.5703125" style="88" customWidth="1"/>
    <col min="2" max="2" width="9.28515625" style="46"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8.42578125" style="46" customWidth="1"/>
    <col min="9" max="9" width="8.85546875" style="47" customWidth="1"/>
    <col min="10" max="11" width="6.85546875" style="46" bestFit="1" customWidth="1"/>
    <col min="12" max="12" width="8.7109375" style="46" customWidth="1"/>
    <col min="13" max="13" width="7.85546875" style="46" hidden="1" customWidth="1"/>
    <col min="14" max="14" width="9.140625" style="46" customWidth="1"/>
    <col min="15" max="15" width="10.140625" style="145" bestFit="1" customWidth="1"/>
    <col min="16" max="16" width="10" style="145" bestFit="1" customWidth="1"/>
    <col min="17" max="17" width="3.7109375" style="46" customWidth="1"/>
    <col min="18" max="19" width="9.140625" style="88" hidden="1" customWidth="1"/>
    <col min="20" max="16384" width="9.140625" style="88"/>
  </cols>
  <sheetData>
    <row r="1" spans="1:19">
      <c r="A1" s="496" t="s">
        <v>165</v>
      </c>
      <c r="B1" s="496"/>
      <c r="C1" s="496"/>
      <c r="D1" s="496"/>
      <c r="E1" s="496"/>
      <c r="F1" s="496"/>
      <c r="G1" s="496"/>
      <c r="H1" s="496"/>
      <c r="I1" s="496"/>
      <c r="J1" s="496"/>
      <c r="K1" s="496"/>
      <c r="L1" s="496"/>
      <c r="M1" s="496"/>
      <c r="N1" s="496"/>
      <c r="O1" s="496"/>
      <c r="P1" s="496"/>
      <c r="Q1" s="496"/>
    </row>
    <row r="2" spans="1:19">
      <c r="A2" s="497" t="s">
        <v>375</v>
      </c>
      <c r="B2" s="497"/>
      <c r="C2" s="497"/>
      <c r="D2" s="497"/>
      <c r="E2" s="497"/>
      <c r="F2" s="497"/>
      <c r="G2" s="497"/>
      <c r="H2" s="497"/>
      <c r="I2" s="497"/>
      <c r="J2" s="497"/>
      <c r="K2" s="497"/>
      <c r="L2" s="497"/>
      <c r="M2" s="497"/>
      <c r="N2" s="497"/>
      <c r="O2" s="497"/>
      <c r="P2" s="497"/>
      <c r="Q2" s="497"/>
    </row>
    <row r="3" spans="1:19" s="142" customFormat="1" ht="63">
      <c r="A3" s="38" t="s">
        <v>343</v>
      </c>
      <c r="B3" s="38" t="s">
        <v>424</v>
      </c>
      <c r="C3" s="38" t="s">
        <v>381</v>
      </c>
      <c r="D3" s="38" t="s">
        <v>4</v>
      </c>
      <c r="E3" s="38" t="s">
        <v>6</v>
      </c>
      <c r="F3" s="38" t="s">
        <v>5</v>
      </c>
      <c r="G3" s="38" t="s">
        <v>163</v>
      </c>
      <c r="H3" s="38" t="s">
        <v>410</v>
      </c>
      <c r="I3" s="51" t="s">
        <v>423</v>
      </c>
      <c r="J3" s="79" t="s">
        <v>413</v>
      </c>
      <c r="K3" s="79" t="s">
        <v>414</v>
      </c>
      <c r="L3" s="79" t="s">
        <v>412</v>
      </c>
      <c r="M3" s="38" t="s">
        <v>342</v>
      </c>
      <c r="N3" s="38" t="s">
        <v>8</v>
      </c>
      <c r="O3" s="79" t="s">
        <v>9</v>
      </c>
      <c r="P3" s="79" t="s">
        <v>162</v>
      </c>
      <c r="Q3" s="131" t="s">
        <v>345</v>
      </c>
      <c r="R3" s="142" t="s">
        <v>275</v>
      </c>
      <c r="S3" s="142" t="s">
        <v>276</v>
      </c>
    </row>
    <row r="4" spans="1:19" s="115" customFormat="1" ht="9">
      <c r="A4" s="127" t="s">
        <v>356</v>
      </c>
      <c r="B4" s="128" t="s">
        <v>384</v>
      </c>
      <c r="C4" s="128"/>
      <c r="D4" s="130"/>
      <c r="E4" s="130"/>
      <c r="F4" s="130"/>
      <c r="G4" s="128"/>
      <c r="H4" s="128"/>
      <c r="I4" s="132"/>
      <c r="J4" s="132"/>
      <c r="K4" s="132"/>
      <c r="L4" s="132"/>
      <c r="M4" s="128"/>
      <c r="N4" s="130"/>
      <c r="O4" s="130"/>
      <c r="P4" s="130"/>
      <c r="Q4" s="188"/>
    </row>
    <row r="5" spans="1:19" s="115" customFormat="1" ht="9">
      <c r="A5" s="110" t="s">
        <v>357</v>
      </c>
      <c r="B5" s="37" t="s">
        <v>384</v>
      </c>
      <c r="C5" s="37"/>
      <c r="D5" s="44"/>
      <c r="E5" s="44"/>
      <c r="F5" s="44"/>
      <c r="G5" s="37"/>
      <c r="H5" s="37"/>
      <c r="I5" s="73"/>
      <c r="J5" s="73"/>
      <c r="K5" s="73"/>
      <c r="L5" s="73"/>
      <c r="M5" s="37"/>
      <c r="N5" s="44"/>
      <c r="O5" s="44"/>
      <c r="P5" s="44"/>
      <c r="Q5" s="75"/>
    </row>
    <row r="6" spans="1:19" s="115" customFormat="1" ht="9">
      <c r="A6" s="110" t="s">
        <v>358</v>
      </c>
      <c r="B6" s="37"/>
      <c r="C6" s="37"/>
      <c r="D6" s="44"/>
      <c r="E6" s="44"/>
      <c r="F6" s="44"/>
      <c r="G6" s="37"/>
      <c r="H6" s="37"/>
      <c r="I6" s="73"/>
      <c r="J6" s="73"/>
      <c r="K6" s="73"/>
      <c r="L6" s="73"/>
      <c r="M6" s="37"/>
      <c r="N6" s="44"/>
      <c r="O6" s="44"/>
      <c r="P6" s="44"/>
      <c r="Q6" s="75"/>
    </row>
    <row r="7" spans="1:19" s="115" customFormat="1" ht="9">
      <c r="A7" s="111" t="s">
        <v>359</v>
      </c>
      <c r="B7" s="37">
        <v>40</v>
      </c>
      <c r="C7" s="37"/>
      <c r="D7" s="44">
        <v>0</v>
      </c>
      <c r="E7" s="44">
        <v>0</v>
      </c>
      <c r="F7" s="44">
        <v>0</v>
      </c>
      <c r="G7" s="37">
        <v>1</v>
      </c>
      <c r="H7" s="37">
        <f>B7*G7</f>
        <v>40</v>
      </c>
      <c r="I7" s="72">
        <f>ROUND(SUM('Base Data'!$H$18:$H$20,'Base Data'!$H$23:$H$25),0)</f>
        <v>131</v>
      </c>
      <c r="J7" s="73">
        <f>H7*I7</f>
        <v>5240</v>
      </c>
      <c r="K7" s="73">
        <f>J7*0.1</f>
        <v>524</v>
      </c>
      <c r="L7" s="72">
        <f>J7*0.05</f>
        <v>262</v>
      </c>
      <c r="M7" s="37">
        <f>C7*G7*I7</f>
        <v>0</v>
      </c>
      <c r="N7" s="44">
        <f>(J7*'Base Data'!$C$5)+(K7*'Base Data'!$C$6)+(L7*'Base Data'!$C$7)</f>
        <v>569994.1</v>
      </c>
      <c r="O7" s="44">
        <f>(D7+E7+F7)*G7*I7</f>
        <v>0</v>
      </c>
      <c r="P7" s="73">
        <v>0</v>
      </c>
      <c r="Q7" s="75" t="s">
        <v>338</v>
      </c>
    </row>
    <row r="8" spans="1:19" s="115" customFormat="1" ht="9">
      <c r="A8" s="110" t="s">
        <v>360</v>
      </c>
      <c r="B8" s="37"/>
      <c r="C8" s="37"/>
      <c r="D8" s="44"/>
      <c r="E8" s="44"/>
      <c r="F8" s="44"/>
      <c r="G8" s="37"/>
      <c r="H8" s="37"/>
      <c r="I8" s="73"/>
      <c r="J8" s="73"/>
      <c r="K8" s="73"/>
      <c r="L8" s="73"/>
      <c r="M8" s="37"/>
      <c r="N8" s="44"/>
      <c r="O8" s="44"/>
      <c r="P8" s="44"/>
      <c r="Q8" s="75"/>
    </row>
    <row r="9" spans="1:19" s="115" customFormat="1" ht="9">
      <c r="A9" s="111" t="s">
        <v>374</v>
      </c>
      <c r="B9" s="37"/>
      <c r="C9" s="37"/>
      <c r="D9" s="76"/>
      <c r="E9" s="44"/>
      <c r="F9" s="44"/>
      <c r="G9" s="37"/>
      <c r="H9" s="37"/>
      <c r="I9" s="72"/>
      <c r="J9" s="73"/>
      <c r="K9" s="73"/>
      <c r="L9" s="73"/>
      <c r="M9" s="74"/>
      <c r="N9" s="44"/>
      <c r="O9" s="44"/>
      <c r="P9" s="44"/>
      <c r="Q9" s="75"/>
    </row>
    <row r="10" spans="1:19" s="115" customFormat="1" ht="9">
      <c r="A10" s="110" t="s">
        <v>249</v>
      </c>
      <c r="B10" s="37">
        <v>20</v>
      </c>
      <c r="C10" s="37"/>
      <c r="D10" s="44">
        <v>854</v>
      </c>
      <c r="E10" s="44">
        <v>0</v>
      </c>
      <c r="F10" s="44">
        <v>0</v>
      </c>
      <c r="G10" s="37">
        <v>1</v>
      </c>
      <c r="H10" s="37">
        <f>B10*G10</f>
        <v>20</v>
      </c>
      <c r="I10" s="72">
        <v>0</v>
      </c>
      <c r="J10" s="73">
        <f>H10*I10</f>
        <v>0</v>
      </c>
      <c r="K10" s="73">
        <f>J10*0.1</f>
        <v>0</v>
      </c>
      <c r="L10" s="73">
        <f>J10*0.05</f>
        <v>0</v>
      </c>
      <c r="M10" s="74">
        <f>C10*G10*I10</f>
        <v>0</v>
      </c>
      <c r="N10" s="44">
        <f>(J10*'Base Data'!$C$5)+(K10*'Base Data'!$C$6)+(L10*'Base Data'!$C$7)</f>
        <v>0</v>
      </c>
      <c r="O10" s="44">
        <f>(D10+E10+F10)*G10*I10</f>
        <v>0</v>
      </c>
      <c r="P10" s="73">
        <v>0</v>
      </c>
      <c r="Q10" s="75" t="s">
        <v>391</v>
      </c>
    </row>
    <row r="11" spans="1:19" s="115" customFormat="1" ht="9">
      <c r="A11" s="110" t="s">
        <v>251</v>
      </c>
      <c r="B11" s="37">
        <v>20</v>
      </c>
      <c r="C11" s="37"/>
      <c r="D11" s="44">
        <v>18292</v>
      </c>
      <c r="E11" s="44">
        <v>0</v>
      </c>
      <c r="F11" s="44">
        <v>0</v>
      </c>
      <c r="G11" s="37">
        <v>1</v>
      </c>
      <c r="H11" s="37">
        <f>B11*G11</f>
        <v>20</v>
      </c>
      <c r="I11" s="72">
        <v>0</v>
      </c>
      <c r="J11" s="73">
        <f>H11*I11</f>
        <v>0</v>
      </c>
      <c r="K11" s="73">
        <f>J11*0.1</f>
        <v>0</v>
      </c>
      <c r="L11" s="73">
        <f>J11*0.05</f>
        <v>0</v>
      </c>
      <c r="M11" s="74">
        <f>C11*G11*I11</f>
        <v>0</v>
      </c>
      <c r="N11" s="44">
        <f>(J11*'Base Data'!$C$5)+(K11*'Base Data'!$C$6)+(L11*'Base Data'!$C$7)</f>
        <v>0</v>
      </c>
      <c r="O11" s="44">
        <f>(D11+E11+F11)*G11*I11</f>
        <v>0</v>
      </c>
      <c r="P11" s="73">
        <v>0</v>
      </c>
      <c r="Q11" s="75" t="s">
        <v>391</v>
      </c>
    </row>
    <row r="12" spans="1:19" s="115" customFormat="1" ht="9">
      <c r="A12" s="111" t="s">
        <v>311</v>
      </c>
      <c r="B12" s="37">
        <v>12</v>
      </c>
      <c r="C12" s="37"/>
      <c r="D12" s="44">
        <v>0</v>
      </c>
      <c r="E12" s="44">
        <f>'Testing Costs'!$B$13</f>
        <v>5000</v>
      </c>
      <c r="F12" s="44">
        <v>0</v>
      </c>
      <c r="G12" s="37">
        <v>1</v>
      </c>
      <c r="H12" s="37">
        <f t="shared" ref="H12:H16" si="0">B12*G12</f>
        <v>12</v>
      </c>
      <c r="I12" s="72">
        <v>0</v>
      </c>
      <c r="J12" s="73">
        <f t="shared" ref="J12:J22" si="1">H12*I12</f>
        <v>0</v>
      </c>
      <c r="K12" s="73">
        <f t="shared" ref="K12:K21" si="2">J12*0.1</f>
        <v>0</v>
      </c>
      <c r="L12" s="73">
        <f t="shared" ref="L12:L22" si="3">J12*0.05</f>
        <v>0</v>
      </c>
      <c r="M12" s="74"/>
      <c r="N12" s="44">
        <f>(J12*'Base Data'!$C$5)+(K12*'Base Data'!$C$6)+(L12*'Base Data'!$C$7)</f>
        <v>0</v>
      </c>
      <c r="O12" s="44">
        <f t="shared" ref="O12:O16" si="4">(D12+E12+F12)*G12*I12</f>
        <v>0</v>
      </c>
      <c r="P12" s="73">
        <v>0</v>
      </c>
      <c r="Q12" s="75" t="s">
        <v>90</v>
      </c>
    </row>
    <row r="13" spans="1:19" s="115" customFormat="1" ht="9">
      <c r="A13" s="111" t="s">
        <v>312</v>
      </c>
      <c r="B13" s="37">
        <v>12</v>
      </c>
      <c r="C13" s="37"/>
      <c r="D13" s="44">
        <v>0</v>
      </c>
      <c r="E13" s="44">
        <f>'Testing Costs'!$B$17</f>
        <v>8000</v>
      </c>
      <c r="F13" s="44">
        <v>0</v>
      </c>
      <c r="G13" s="37">
        <v>1</v>
      </c>
      <c r="H13" s="37">
        <f t="shared" si="0"/>
        <v>12</v>
      </c>
      <c r="I13" s="72">
        <v>0</v>
      </c>
      <c r="J13" s="73">
        <f t="shared" si="1"/>
        <v>0</v>
      </c>
      <c r="K13" s="73">
        <f t="shared" si="2"/>
        <v>0</v>
      </c>
      <c r="L13" s="73">
        <f t="shared" si="3"/>
        <v>0</v>
      </c>
      <c r="M13" s="74"/>
      <c r="N13" s="44">
        <f>(J13*'Base Data'!$C$5)+(K13*'Base Data'!$C$6)+(L13*'Base Data'!$C$7)</f>
        <v>0</v>
      </c>
      <c r="O13" s="44">
        <f t="shared" si="4"/>
        <v>0</v>
      </c>
      <c r="P13" s="73">
        <v>0</v>
      </c>
      <c r="Q13" s="75" t="s">
        <v>339</v>
      </c>
    </row>
    <row r="14" spans="1:19" s="115" customFormat="1" ht="9">
      <c r="A14" s="111" t="s">
        <v>313</v>
      </c>
      <c r="B14" s="37">
        <v>12</v>
      </c>
      <c r="C14" s="37"/>
      <c r="D14" s="44">
        <v>0</v>
      </c>
      <c r="E14" s="44">
        <f>'Testing Costs'!$B$15</f>
        <v>8000</v>
      </c>
      <c r="F14" s="44">
        <v>0</v>
      </c>
      <c r="G14" s="37">
        <v>1</v>
      </c>
      <c r="H14" s="37">
        <f t="shared" si="0"/>
        <v>12</v>
      </c>
      <c r="I14" s="72">
        <v>0</v>
      </c>
      <c r="J14" s="73">
        <f t="shared" si="1"/>
        <v>0</v>
      </c>
      <c r="K14" s="73">
        <f t="shared" si="2"/>
        <v>0</v>
      </c>
      <c r="L14" s="73">
        <f t="shared" si="3"/>
        <v>0</v>
      </c>
      <c r="M14" s="74"/>
      <c r="N14" s="44">
        <f>(J14*'Base Data'!$C$5)+(K14*'Base Data'!$C$6)+(L14*'Base Data'!$C$7)</f>
        <v>0</v>
      </c>
      <c r="O14" s="44">
        <f t="shared" si="4"/>
        <v>0</v>
      </c>
      <c r="P14" s="73">
        <v>0</v>
      </c>
      <c r="Q14" s="75" t="s">
        <v>339</v>
      </c>
    </row>
    <row r="15" spans="1:19" s="115" customFormat="1" ht="9">
      <c r="A15" s="111" t="s">
        <v>185</v>
      </c>
      <c r="B15" s="37">
        <v>12</v>
      </c>
      <c r="C15" s="37"/>
      <c r="D15" s="44">
        <v>0</v>
      </c>
      <c r="E15" s="44">
        <f>'Testing Costs'!$B$14</f>
        <v>7000</v>
      </c>
      <c r="F15" s="44">
        <v>0</v>
      </c>
      <c r="G15" s="37">
        <v>1</v>
      </c>
      <c r="H15" s="37">
        <f t="shared" si="0"/>
        <v>12</v>
      </c>
      <c r="I15" s="72">
        <v>0</v>
      </c>
      <c r="J15" s="73">
        <f t="shared" si="1"/>
        <v>0</v>
      </c>
      <c r="K15" s="73">
        <f t="shared" si="2"/>
        <v>0</v>
      </c>
      <c r="L15" s="73">
        <f t="shared" si="3"/>
        <v>0</v>
      </c>
      <c r="M15" s="74"/>
      <c r="N15" s="44">
        <f>(J15*'Base Data'!$C$5)+(K15*'Base Data'!$C$6)+(L15*'Base Data'!$C$7)</f>
        <v>0</v>
      </c>
      <c r="O15" s="44">
        <f t="shared" si="4"/>
        <v>0</v>
      </c>
      <c r="P15" s="73">
        <v>0</v>
      </c>
      <c r="Q15" s="75" t="s">
        <v>339</v>
      </c>
    </row>
    <row r="16" spans="1:19" s="115" customFormat="1" ht="9" customHeight="1">
      <c r="A16" s="111" t="s">
        <v>137</v>
      </c>
      <c r="B16" s="37">
        <v>12</v>
      </c>
      <c r="C16" s="37"/>
      <c r="D16" s="44">
        <v>0</v>
      </c>
      <c r="E16" s="44">
        <f>'Testing Costs'!$B$13</f>
        <v>5000</v>
      </c>
      <c r="F16" s="44">
        <v>0</v>
      </c>
      <c r="G16" s="37">
        <v>1</v>
      </c>
      <c r="H16" s="37">
        <f t="shared" si="0"/>
        <v>12</v>
      </c>
      <c r="I16" s="72">
        <v>0</v>
      </c>
      <c r="J16" s="73">
        <f t="shared" si="1"/>
        <v>0</v>
      </c>
      <c r="K16" s="73">
        <f t="shared" si="2"/>
        <v>0</v>
      </c>
      <c r="L16" s="73">
        <f t="shared" si="3"/>
        <v>0</v>
      </c>
      <c r="M16" s="74"/>
      <c r="N16" s="44">
        <f>(J16*'Base Data'!$C$5)+(K16*'Base Data'!$C$6)+(L16*'Base Data'!$C$7)</f>
        <v>0</v>
      </c>
      <c r="O16" s="44">
        <f t="shared" si="4"/>
        <v>0</v>
      </c>
      <c r="P16" s="73">
        <v>0</v>
      </c>
      <c r="Q16" s="75" t="s">
        <v>319</v>
      </c>
    </row>
    <row r="17" spans="1:18" s="115" customFormat="1" ht="9">
      <c r="A17" s="111" t="s">
        <v>138</v>
      </c>
      <c r="B17" s="37">
        <v>12</v>
      </c>
      <c r="C17" s="37"/>
      <c r="D17" s="44">
        <v>0</v>
      </c>
      <c r="E17" s="44">
        <f>'Testing Costs'!$B$17</f>
        <v>8000</v>
      </c>
      <c r="F17" s="44">
        <v>0</v>
      </c>
      <c r="G17" s="37">
        <v>1</v>
      </c>
      <c r="H17" s="37">
        <f t="shared" ref="H17:H34" si="5">B17*G17</f>
        <v>12</v>
      </c>
      <c r="I17" s="72">
        <v>0</v>
      </c>
      <c r="J17" s="73">
        <f t="shared" si="1"/>
        <v>0</v>
      </c>
      <c r="K17" s="73">
        <f t="shared" si="2"/>
        <v>0</v>
      </c>
      <c r="L17" s="73">
        <f t="shared" si="3"/>
        <v>0</v>
      </c>
      <c r="M17" s="74"/>
      <c r="N17" s="44">
        <f>(J17*'Base Data'!$C$5)+(K17*'Base Data'!$C$6)+(L17*'Base Data'!$C$7)</f>
        <v>0</v>
      </c>
      <c r="O17" s="44">
        <f t="shared" ref="O17:O22" si="6">(D17+E17+F17)*G17*I17</f>
        <v>0</v>
      </c>
      <c r="P17" s="73">
        <v>0</v>
      </c>
      <c r="Q17" s="75" t="s">
        <v>319</v>
      </c>
    </row>
    <row r="18" spans="1:18" s="115" customFormat="1" ht="9">
      <c r="A18" s="111" t="s">
        <v>139</v>
      </c>
      <c r="B18" s="37">
        <v>12</v>
      </c>
      <c r="C18" s="37"/>
      <c r="D18" s="44">
        <v>0</v>
      </c>
      <c r="E18" s="44">
        <f>'Testing Costs'!$B$15</f>
        <v>8000</v>
      </c>
      <c r="F18" s="44">
        <v>0</v>
      </c>
      <c r="G18" s="37">
        <v>1</v>
      </c>
      <c r="H18" s="37">
        <f t="shared" si="5"/>
        <v>12</v>
      </c>
      <c r="I18" s="72">
        <v>0</v>
      </c>
      <c r="J18" s="73">
        <f t="shared" si="1"/>
        <v>0</v>
      </c>
      <c r="K18" s="73">
        <f t="shared" si="2"/>
        <v>0</v>
      </c>
      <c r="L18" s="73">
        <f t="shared" si="3"/>
        <v>0</v>
      </c>
      <c r="M18" s="74"/>
      <c r="N18" s="44">
        <f>(J18*'Base Data'!$C$5)+(K18*'Base Data'!$C$6)+(L18*'Base Data'!$C$7)</f>
        <v>0</v>
      </c>
      <c r="O18" s="44">
        <f t="shared" si="6"/>
        <v>0</v>
      </c>
      <c r="P18" s="73">
        <v>0</v>
      </c>
      <c r="Q18" s="75" t="s">
        <v>319</v>
      </c>
    </row>
    <row r="19" spans="1:18" s="115" customFormat="1" ht="9">
      <c r="A19" s="111" t="s">
        <v>140</v>
      </c>
      <c r="B19" s="37">
        <v>12</v>
      </c>
      <c r="C19" s="37"/>
      <c r="D19" s="44">
        <v>0</v>
      </c>
      <c r="E19" s="44">
        <f>'Testing Costs'!$B$14</f>
        <v>7000</v>
      </c>
      <c r="F19" s="44">
        <v>0</v>
      </c>
      <c r="G19" s="37">
        <v>1</v>
      </c>
      <c r="H19" s="37">
        <f t="shared" si="5"/>
        <v>12</v>
      </c>
      <c r="I19" s="72">
        <v>0</v>
      </c>
      <c r="J19" s="73">
        <f t="shared" si="1"/>
        <v>0</v>
      </c>
      <c r="K19" s="73">
        <f t="shared" si="2"/>
        <v>0</v>
      </c>
      <c r="L19" s="73">
        <f t="shared" si="3"/>
        <v>0</v>
      </c>
      <c r="M19" s="74"/>
      <c r="N19" s="44">
        <f>(J19*'Base Data'!$C$5)+(K19*'Base Data'!$C$6)+(L19*'Base Data'!$C$7)</f>
        <v>0</v>
      </c>
      <c r="O19" s="44">
        <f t="shared" si="6"/>
        <v>0</v>
      </c>
      <c r="P19" s="73">
        <v>0</v>
      </c>
      <c r="Q19" s="75" t="s">
        <v>319</v>
      </c>
    </row>
    <row r="20" spans="1:18" s="115" customFormat="1" ht="18">
      <c r="A20" s="259" t="s">
        <v>524</v>
      </c>
      <c r="B20" s="37">
        <v>24</v>
      </c>
      <c r="C20" s="258"/>
      <c r="D20" s="44">
        <v>0</v>
      </c>
      <c r="E20" s="44">
        <f>$E$13+$E$14</f>
        <v>16000</v>
      </c>
      <c r="F20" s="44">
        <v>0</v>
      </c>
      <c r="G20" s="37">
        <v>1</v>
      </c>
      <c r="H20" s="37">
        <f t="shared" si="5"/>
        <v>24</v>
      </c>
      <c r="I20" s="72">
        <v>0</v>
      </c>
      <c r="J20" s="73">
        <f t="shared" ref="J20" si="7">H20*I20</f>
        <v>0</v>
      </c>
      <c r="K20" s="73">
        <f t="shared" ref="K20" si="8">J20*0.1</f>
        <v>0</v>
      </c>
      <c r="L20" s="73">
        <f t="shared" ref="L20" si="9">J20*0.05</f>
        <v>0</v>
      </c>
      <c r="M20" s="74"/>
      <c r="N20" s="44">
        <f>(J20*'Base Data'!$C$5)+(K20*'Base Data'!$C$6)+(L20*'Base Data'!$C$7)</f>
        <v>0</v>
      </c>
      <c r="O20" s="44">
        <f t="shared" ref="O20" si="10">(D20+E20+F20)*G20*I20</f>
        <v>0</v>
      </c>
      <c r="P20" s="73">
        <v>0</v>
      </c>
      <c r="Q20" s="75" t="s">
        <v>323</v>
      </c>
    </row>
    <row r="21" spans="1:18" s="115" customFormat="1" ht="9" customHeight="1">
      <c r="A21" s="111" t="s">
        <v>525</v>
      </c>
      <c r="B21" s="37">
        <v>5</v>
      </c>
      <c r="C21" s="37"/>
      <c r="D21" s="44">
        <v>0</v>
      </c>
      <c r="E21" s="44">
        <v>400</v>
      </c>
      <c r="F21" s="44">
        <v>0</v>
      </c>
      <c r="G21" s="37">
        <v>1</v>
      </c>
      <c r="H21" s="37">
        <f t="shared" si="5"/>
        <v>5</v>
      </c>
      <c r="I21" s="72">
        <v>0</v>
      </c>
      <c r="J21" s="73">
        <f t="shared" si="1"/>
        <v>0</v>
      </c>
      <c r="K21" s="73">
        <f t="shared" si="2"/>
        <v>0</v>
      </c>
      <c r="L21" s="73">
        <f t="shared" si="3"/>
        <v>0</v>
      </c>
      <c r="M21" s="74"/>
      <c r="N21" s="44">
        <f>(J21*'Base Data'!$C$5)+(K21*'Base Data'!$C$6)+(L21*'Base Data'!$C$7)</f>
        <v>0</v>
      </c>
      <c r="O21" s="44">
        <f t="shared" si="6"/>
        <v>0</v>
      </c>
      <c r="P21" s="73">
        <v>0</v>
      </c>
      <c r="Q21" s="75" t="s">
        <v>89</v>
      </c>
    </row>
    <row r="22" spans="1:18" s="115" customFormat="1" ht="9" customHeight="1">
      <c r="A22" s="111" t="s">
        <v>526</v>
      </c>
      <c r="B22" s="37">
        <v>5</v>
      </c>
      <c r="C22" s="37"/>
      <c r="D22" s="44">
        <v>0</v>
      </c>
      <c r="E22" s="44">
        <v>400</v>
      </c>
      <c r="F22" s="44">
        <v>0</v>
      </c>
      <c r="G22" s="37">
        <v>12</v>
      </c>
      <c r="H22" s="37">
        <f t="shared" si="5"/>
        <v>60</v>
      </c>
      <c r="I22" s="72">
        <v>0</v>
      </c>
      <c r="J22" s="73">
        <f t="shared" si="1"/>
        <v>0</v>
      </c>
      <c r="K22" s="73">
        <f t="shared" ref="K22:K37" si="11">J22*0.1</f>
        <v>0</v>
      </c>
      <c r="L22" s="73">
        <f t="shared" si="3"/>
        <v>0</v>
      </c>
      <c r="M22" s="74"/>
      <c r="N22" s="44">
        <f>(J22*'Base Data'!$C$5)+(K22*'Base Data'!$C$6)+(L22*'Base Data'!$C$7)</f>
        <v>0</v>
      </c>
      <c r="O22" s="44">
        <f t="shared" si="6"/>
        <v>0</v>
      </c>
      <c r="P22" s="73">
        <v>0</v>
      </c>
      <c r="Q22" s="75" t="s">
        <v>89</v>
      </c>
    </row>
    <row r="23" spans="1:18" s="115" customFormat="1" ht="9">
      <c r="A23" s="110" t="s">
        <v>528</v>
      </c>
      <c r="B23" s="37">
        <v>12</v>
      </c>
      <c r="C23" s="37"/>
      <c r="D23" s="44">
        <v>0</v>
      </c>
      <c r="E23" s="44">
        <v>2875</v>
      </c>
      <c r="F23" s="44">
        <v>0</v>
      </c>
      <c r="G23" s="37">
        <v>1</v>
      </c>
      <c r="H23" s="37">
        <f>B23*G23</f>
        <v>12</v>
      </c>
      <c r="I23" s="73">
        <v>0</v>
      </c>
      <c r="J23" s="72">
        <f>H23*I23</f>
        <v>0</v>
      </c>
      <c r="K23" s="72">
        <f>J23*0.1</f>
        <v>0</v>
      </c>
      <c r="L23" s="72">
        <f>J23*0.05</f>
        <v>0</v>
      </c>
      <c r="M23" s="73"/>
      <c r="N23" s="44">
        <f>(J23*'Base Data'!$C$5)+(K23*'Base Data'!$C$6)+(L23*'Base Data'!$C$7)</f>
        <v>0</v>
      </c>
      <c r="O23" s="44">
        <f>(D23+E23+F23)*G23*I23</f>
        <v>0</v>
      </c>
      <c r="P23" s="73">
        <v>0</v>
      </c>
      <c r="Q23" s="75" t="s">
        <v>492</v>
      </c>
      <c r="R23" s="342"/>
    </row>
    <row r="24" spans="1:18" s="115" customFormat="1" ht="9">
      <c r="A24" s="111" t="s">
        <v>245</v>
      </c>
      <c r="B24" s="37"/>
      <c r="C24" s="37"/>
      <c r="D24" s="44"/>
      <c r="E24" s="44"/>
      <c r="F24" s="44"/>
      <c r="G24" s="37"/>
      <c r="H24" s="37"/>
      <c r="I24" s="73"/>
      <c r="J24" s="73"/>
      <c r="K24" s="73"/>
      <c r="L24" s="73"/>
      <c r="M24" s="74"/>
      <c r="N24" s="44"/>
      <c r="O24" s="44"/>
      <c r="P24" s="73"/>
      <c r="Q24" s="75" t="s">
        <v>496</v>
      </c>
    </row>
    <row r="25" spans="1:18" s="115" customFormat="1" ht="9">
      <c r="A25" s="111" t="s">
        <v>383</v>
      </c>
      <c r="B25" s="37">
        <v>40</v>
      </c>
      <c r="C25" s="37"/>
      <c r="D25" s="44">
        <v>0</v>
      </c>
      <c r="E25" s="44"/>
      <c r="F25" s="44">
        <v>0</v>
      </c>
      <c r="G25" s="37">
        <v>1</v>
      </c>
      <c r="H25" s="37">
        <f t="shared" si="5"/>
        <v>40</v>
      </c>
      <c r="I25" s="72">
        <v>0</v>
      </c>
      <c r="J25" s="73">
        <f t="shared" ref="J25:J34" si="12">H25*I25</f>
        <v>0</v>
      </c>
      <c r="K25" s="73">
        <f t="shared" si="11"/>
        <v>0</v>
      </c>
      <c r="L25" s="73">
        <f t="shared" ref="L25:L34" si="13">J25*0.05</f>
        <v>0</v>
      </c>
      <c r="M25" s="74"/>
      <c r="N25" s="44">
        <f>(J25*'Base Data'!$C$5)+(K25*'Base Data'!$C$6)+(L25*'Base Data'!$C$7)</f>
        <v>0</v>
      </c>
      <c r="O25" s="44">
        <f>(D25+E25+F25)*G25*I25</f>
        <v>0</v>
      </c>
      <c r="P25" s="73">
        <v>0</v>
      </c>
      <c r="Q25" s="75" t="s">
        <v>339</v>
      </c>
    </row>
    <row r="26" spans="1:18" s="115" customFormat="1" ht="9">
      <c r="A26" s="110" t="s">
        <v>361</v>
      </c>
      <c r="B26" s="37"/>
      <c r="C26" s="37"/>
      <c r="D26" s="44"/>
      <c r="E26" s="44"/>
      <c r="F26" s="44"/>
      <c r="G26" s="37"/>
      <c r="H26" s="37"/>
      <c r="I26" s="73"/>
      <c r="J26" s="73"/>
      <c r="K26" s="73"/>
      <c r="L26" s="73"/>
      <c r="M26" s="74"/>
      <c r="N26" s="44"/>
      <c r="O26" s="44"/>
      <c r="P26" s="73"/>
      <c r="Q26" s="75"/>
    </row>
    <row r="27" spans="1:18" s="115" customFormat="1" ht="9">
      <c r="A27" s="110" t="s">
        <v>362</v>
      </c>
      <c r="B27" s="37">
        <v>10</v>
      </c>
      <c r="C27" s="37"/>
      <c r="D27" s="44">
        <v>0</v>
      </c>
      <c r="E27" s="44">
        <v>0</v>
      </c>
      <c r="F27" s="44">
        <v>43100</v>
      </c>
      <c r="G27" s="37">
        <v>1</v>
      </c>
      <c r="H27" s="37">
        <f t="shared" si="5"/>
        <v>10</v>
      </c>
      <c r="I27" s="72">
        <v>0</v>
      </c>
      <c r="J27" s="73">
        <f t="shared" si="12"/>
        <v>0</v>
      </c>
      <c r="K27" s="73">
        <f t="shared" si="11"/>
        <v>0</v>
      </c>
      <c r="L27" s="73">
        <f t="shared" si="13"/>
        <v>0</v>
      </c>
      <c r="M27" s="74"/>
      <c r="N27" s="44">
        <f>(J27*'Base Data'!$C$5)+(K27*'Base Data'!$C$6)+(L27*'Base Data'!$C$7)</f>
        <v>0</v>
      </c>
      <c r="O27" s="44">
        <f>(D27+E27+F27)*G27*I27</f>
        <v>0</v>
      </c>
      <c r="P27" s="73">
        <v>0</v>
      </c>
      <c r="Q27" s="75" t="s">
        <v>339</v>
      </c>
    </row>
    <row r="28" spans="1:18" s="115" customFormat="1" ht="9">
      <c r="A28" s="110" t="s">
        <v>365</v>
      </c>
      <c r="B28" s="37">
        <v>10</v>
      </c>
      <c r="C28" s="37"/>
      <c r="D28" s="44">
        <v>0</v>
      </c>
      <c r="E28" s="44">
        <v>0</v>
      </c>
      <c r="F28" s="44">
        <v>14700</v>
      </c>
      <c r="G28" s="37">
        <v>1</v>
      </c>
      <c r="H28" s="37">
        <f t="shared" si="5"/>
        <v>10</v>
      </c>
      <c r="I28" s="72">
        <v>0</v>
      </c>
      <c r="J28" s="73">
        <f t="shared" si="12"/>
        <v>0</v>
      </c>
      <c r="K28" s="73">
        <f t="shared" si="11"/>
        <v>0</v>
      </c>
      <c r="L28" s="73">
        <f t="shared" si="13"/>
        <v>0</v>
      </c>
      <c r="M28" s="74"/>
      <c r="N28" s="44">
        <f>(J28*'Base Data'!$C$5)+(K28*'Base Data'!$C$6)+(L28*'Base Data'!$C$7)</f>
        <v>0</v>
      </c>
      <c r="O28" s="44">
        <f>(D28+E28+F28)*G28*I28</f>
        <v>0</v>
      </c>
      <c r="P28" s="73">
        <v>0</v>
      </c>
      <c r="Q28" s="75" t="s">
        <v>339</v>
      </c>
    </row>
    <row r="29" spans="1:18" s="115" customFormat="1" ht="9">
      <c r="A29" s="110" t="s">
        <v>310</v>
      </c>
      <c r="B29" s="37"/>
      <c r="C29" s="37"/>
      <c r="D29" s="44"/>
      <c r="E29" s="44"/>
      <c r="F29" s="44"/>
      <c r="G29" s="37"/>
      <c r="H29" s="37"/>
      <c r="I29" s="73"/>
      <c r="J29" s="73"/>
      <c r="K29" s="73"/>
      <c r="L29" s="73"/>
      <c r="M29" s="74"/>
      <c r="N29" s="44"/>
      <c r="O29" s="44"/>
      <c r="P29" s="73"/>
      <c r="Q29" s="75"/>
    </row>
    <row r="30" spans="1:18" s="115" customFormat="1" ht="9">
      <c r="A30" s="110" t="s">
        <v>362</v>
      </c>
      <c r="B30" s="37">
        <v>10</v>
      </c>
      <c r="C30" s="37"/>
      <c r="D30" s="44">
        <v>0</v>
      </c>
      <c r="E30" s="44">
        <v>0</v>
      </c>
      <c r="F30" s="44">
        <v>158000</v>
      </c>
      <c r="G30" s="37">
        <v>1</v>
      </c>
      <c r="H30" s="37">
        <f t="shared" si="5"/>
        <v>10</v>
      </c>
      <c r="I30" s="72">
        <v>0</v>
      </c>
      <c r="J30" s="73">
        <f t="shared" si="12"/>
        <v>0</v>
      </c>
      <c r="K30" s="73">
        <f t="shared" si="11"/>
        <v>0</v>
      </c>
      <c r="L30" s="73">
        <f t="shared" si="13"/>
        <v>0</v>
      </c>
      <c r="M30" s="74"/>
      <c r="N30" s="44">
        <f>(J30*'Base Data'!$C$5)+(K30*'Base Data'!$C$6)+(L30*'Base Data'!$C$7)</f>
        <v>0</v>
      </c>
      <c r="O30" s="44">
        <f>(D30+E30+F30)*G30*I30</f>
        <v>0</v>
      </c>
      <c r="P30" s="73">
        <v>0</v>
      </c>
      <c r="Q30" s="75" t="s">
        <v>493</v>
      </c>
    </row>
    <row r="31" spans="1:18" s="115" customFormat="1" ht="9">
      <c r="A31" s="110" t="s">
        <v>365</v>
      </c>
      <c r="B31" s="37">
        <v>10</v>
      </c>
      <c r="C31" s="37"/>
      <c r="D31" s="44">
        <v>0</v>
      </c>
      <c r="E31" s="44">
        <v>0</v>
      </c>
      <c r="F31" s="44">
        <v>56100</v>
      </c>
      <c r="G31" s="37">
        <v>1</v>
      </c>
      <c r="H31" s="37">
        <f t="shared" si="5"/>
        <v>10</v>
      </c>
      <c r="I31" s="72">
        <v>0</v>
      </c>
      <c r="J31" s="73">
        <f t="shared" si="12"/>
        <v>0</v>
      </c>
      <c r="K31" s="73">
        <f t="shared" si="11"/>
        <v>0</v>
      </c>
      <c r="L31" s="73">
        <f t="shared" si="13"/>
        <v>0</v>
      </c>
      <c r="M31" s="74"/>
      <c r="N31" s="44">
        <f>(J31*'Base Data'!$C$5)+(K31*'Base Data'!$C$6)+(L31*'Base Data'!$C$7)</f>
        <v>0</v>
      </c>
      <c r="O31" s="44">
        <f>(D31+E31+F31)*G31*I31</f>
        <v>0</v>
      </c>
      <c r="P31" s="73">
        <v>0</v>
      </c>
      <c r="Q31" s="75" t="s">
        <v>493</v>
      </c>
    </row>
    <row r="32" spans="1:18" s="115" customFormat="1" ht="9">
      <c r="A32" s="110" t="s">
        <v>461</v>
      </c>
      <c r="B32" s="37"/>
      <c r="C32" s="37"/>
      <c r="D32" s="44"/>
      <c r="E32" s="44"/>
      <c r="F32" s="44"/>
      <c r="G32" s="37"/>
      <c r="H32" s="37"/>
      <c r="I32" s="72"/>
      <c r="J32" s="73"/>
      <c r="K32" s="73"/>
      <c r="L32" s="73"/>
      <c r="M32" s="74"/>
      <c r="N32" s="44"/>
      <c r="O32" s="44"/>
      <c r="P32" s="73"/>
      <c r="Q32" s="75"/>
    </row>
    <row r="33" spans="1:17" s="115" customFormat="1" ht="9">
      <c r="A33" s="110" t="s">
        <v>362</v>
      </c>
      <c r="B33" s="37">
        <v>10</v>
      </c>
      <c r="C33" s="37"/>
      <c r="D33" s="44">
        <v>0</v>
      </c>
      <c r="E33" s="44">
        <v>0</v>
      </c>
      <c r="F33" s="44">
        <f>Monitors!$F$32</f>
        <v>8523</v>
      </c>
      <c r="G33" s="37">
        <v>1</v>
      </c>
      <c r="H33" s="37">
        <f t="shared" si="5"/>
        <v>10</v>
      </c>
      <c r="I33" s="72">
        <v>0</v>
      </c>
      <c r="J33" s="73">
        <f t="shared" si="12"/>
        <v>0</v>
      </c>
      <c r="K33" s="73">
        <f t="shared" si="11"/>
        <v>0</v>
      </c>
      <c r="L33" s="73">
        <f t="shared" si="13"/>
        <v>0</v>
      </c>
      <c r="M33" s="74"/>
      <c r="N33" s="44">
        <f>(J33*'Base Data'!$C$5)+(K33*'Base Data'!$C$6)+(L33*'Base Data'!$C$7)</f>
        <v>0</v>
      </c>
      <c r="O33" s="44">
        <f>(D33+E33+F33)*G33*I33</f>
        <v>0</v>
      </c>
      <c r="P33" s="73">
        <v>0</v>
      </c>
      <c r="Q33" s="75" t="s">
        <v>339</v>
      </c>
    </row>
    <row r="34" spans="1:17" s="115" customFormat="1" ht="9">
      <c r="A34" s="110" t="s">
        <v>365</v>
      </c>
      <c r="B34" s="37">
        <v>10</v>
      </c>
      <c r="C34" s="37"/>
      <c r="D34" s="44">
        <v>0</v>
      </c>
      <c r="E34" s="44">
        <v>0</v>
      </c>
      <c r="F34" s="44">
        <f>Monitors!$G$32</f>
        <v>1436</v>
      </c>
      <c r="G34" s="37">
        <v>1</v>
      </c>
      <c r="H34" s="37">
        <f t="shared" si="5"/>
        <v>10</v>
      </c>
      <c r="I34" s="72">
        <v>0</v>
      </c>
      <c r="J34" s="73">
        <f t="shared" si="12"/>
        <v>0</v>
      </c>
      <c r="K34" s="73">
        <f t="shared" si="11"/>
        <v>0</v>
      </c>
      <c r="L34" s="73">
        <f t="shared" si="13"/>
        <v>0</v>
      </c>
      <c r="M34" s="74"/>
      <c r="N34" s="44">
        <f>(J34*'Base Data'!$C$5)+(K34*'Base Data'!$C$6)+(L34*'Base Data'!$C$7)</f>
        <v>0</v>
      </c>
      <c r="O34" s="44">
        <f>(D34+E34+F34)*G34*I34</f>
        <v>0</v>
      </c>
      <c r="P34" s="73">
        <v>0</v>
      </c>
      <c r="Q34" s="75" t="s">
        <v>339</v>
      </c>
    </row>
    <row r="35" spans="1:17" s="115" customFormat="1" ht="18">
      <c r="A35" s="125" t="s">
        <v>164</v>
      </c>
      <c r="B35" s="37"/>
      <c r="C35" s="37"/>
      <c r="D35" s="44"/>
      <c r="E35" s="44"/>
      <c r="F35" s="76"/>
      <c r="G35" s="37"/>
      <c r="H35" s="37"/>
      <c r="I35" s="72"/>
      <c r="J35" s="73"/>
      <c r="K35" s="73"/>
      <c r="L35" s="73"/>
      <c r="M35" s="74"/>
      <c r="N35" s="44"/>
      <c r="O35" s="44"/>
      <c r="P35" s="73"/>
      <c r="Q35" s="75"/>
    </row>
    <row r="36" spans="1:17" s="115" customFormat="1" ht="9">
      <c r="A36" s="110" t="s">
        <v>362</v>
      </c>
      <c r="B36" s="37">
        <v>10</v>
      </c>
      <c r="C36" s="37"/>
      <c r="D36" s="44">
        <v>0</v>
      </c>
      <c r="E36" s="44">
        <v>0</v>
      </c>
      <c r="F36" s="44">
        <v>24300</v>
      </c>
      <c r="G36" s="37">
        <v>1</v>
      </c>
      <c r="H36" s="37">
        <f>B36*G36</f>
        <v>10</v>
      </c>
      <c r="I36" s="72">
        <v>0</v>
      </c>
      <c r="J36" s="73">
        <f>H36*I36</f>
        <v>0</v>
      </c>
      <c r="K36" s="73">
        <f t="shared" si="11"/>
        <v>0</v>
      </c>
      <c r="L36" s="73">
        <f>J36*0.05</f>
        <v>0</v>
      </c>
      <c r="M36" s="74"/>
      <c r="N36" s="44">
        <f>(J36*'Base Data'!$C$5)+(K36*'Base Data'!$C$6)+(L36*'Base Data'!$C$7)</f>
        <v>0</v>
      </c>
      <c r="O36" s="44">
        <f>(D36+E36+F36)*G36*I36</f>
        <v>0</v>
      </c>
      <c r="P36" s="73">
        <v>0</v>
      </c>
      <c r="Q36" s="75" t="s">
        <v>339</v>
      </c>
    </row>
    <row r="37" spans="1:17" s="115" customFormat="1" ht="9">
      <c r="A37" s="110" t="s">
        <v>365</v>
      </c>
      <c r="B37" s="37">
        <v>10</v>
      </c>
      <c r="C37" s="37"/>
      <c r="D37" s="44">
        <v>0</v>
      </c>
      <c r="E37" s="44">
        <v>0</v>
      </c>
      <c r="F37" s="44">
        <v>5600</v>
      </c>
      <c r="G37" s="37">
        <v>1</v>
      </c>
      <c r="H37" s="37">
        <f>B37*G37</f>
        <v>10</v>
      </c>
      <c r="I37" s="72">
        <v>0</v>
      </c>
      <c r="J37" s="73">
        <f>H37*I37</f>
        <v>0</v>
      </c>
      <c r="K37" s="73">
        <f t="shared" si="11"/>
        <v>0</v>
      </c>
      <c r="L37" s="73">
        <f>J37*0.05</f>
        <v>0</v>
      </c>
      <c r="M37" s="74"/>
      <c r="N37" s="44">
        <f>(J37*'Base Data'!$C$5)+(K37*'Base Data'!$C$6)+(L37*'Base Data'!$C$7)</f>
        <v>0</v>
      </c>
      <c r="O37" s="44">
        <f>(D37+E37+F37)*G37*I37</f>
        <v>0</v>
      </c>
      <c r="P37" s="73">
        <v>0</v>
      </c>
      <c r="Q37" s="75" t="s">
        <v>339</v>
      </c>
    </row>
    <row r="38" spans="1:17" s="115" customFormat="1" ht="18">
      <c r="A38" s="111" t="s">
        <v>425</v>
      </c>
      <c r="B38" s="183"/>
      <c r="C38" s="183"/>
      <c r="D38" s="183"/>
      <c r="E38" s="183"/>
      <c r="F38" s="44"/>
      <c r="G38" s="183"/>
      <c r="H38" s="183"/>
      <c r="I38" s="183"/>
      <c r="J38" s="183"/>
      <c r="K38" s="183"/>
      <c r="L38" s="183"/>
      <c r="M38" s="183"/>
      <c r="N38" s="183"/>
      <c r="O38" s="183"/>
      <c r="P38" s="73"/>
      <c r="Q38" s="465"/>
    </row>
    <row r="39" spans="1:17" s="115" customFormat="1" ht="9">
      <c r="A39" s="110" t="s">
        <v>362</v>
      </c>
      <c r="B39" s="37">
        <v>10</v>
      </c>
      <c r="C39" s="37"/>
      <c r="D39" s="44">
        <v>0</v>
      </c>
      <c r="E39" s="44">
        <v>0</v>
      </c>
      <c r="F39" s="44">
        <f>25500</f>
        <v>25500</v>
      </c>
      <c r="G39" s="37">
        <v>1</v>
      </c>
      <c r="H39" s="37">
        <f>B39*G39</f>
        <v>10</v>
      </c>
      <c r="I39" s="72">
        <v>0</v>
      </c>
      <c r="J39" s="73">
        <f>H39*I39</f>
        <v>0</v>
      </c>
      <c r="K39" s="73">
        <f>J39*0.1</f>
        <v>0</v>
      </c>
      <c r="L39" s="73">
        <f>J39*0.05</f>
        <v>0</v>
      </c>
      <c r="M39" s="74"/>
      <c r="N39" s="44">
        <f>(J39*'Base Data'!$C$5)+(K39*'Base Data'!$C$6)+(L39*'Base Data'!$C$7)</f>
        <v>0</v>
      </c>
      <c r="O39" s="44">
        <f>(D39+E39+F39)*G39*I39</f>
        <v>0</v>
      </c>
      <c r="P39" s="73">
        <v>0</v>
      </c>
      <c r="Q39" s="75" t="s">
        <v>339</v>
      </c>
    </row>
    <row r="40" spans="1:17" s="115" customFormat="1" ht="9">
      <c r="A40" s="110" t="s">
        <v>365</v>
      </c>
      <c r="B40" s="37">
        <v>10</v>
      </c>
      <c r="C40" s="37"/>
      <c r="D40" s="44">
        <v>0</v>
      </c>
      <c r="E40" s="44">
        <v>0</v>
      </c>
      <c r="F40" s="44">
        <v>9700</v>
      </c>
      <c r="G40" s="37">
        <v>1</v>
      </c>
      <c r="H40" s="37">
        <f>B40*G40</f>
        <v>10</v>
      </c>
      <c r="I40" s="72">
        <v>0</v>
      </c>
      <c r="J40" s="73">
        <f>H40*I40</f>
        <v>0</v>
      </c>
      <c r="K40" s="73">
        <f>J40*0.1</f>
        <v>0</v>
      </c>
      <c r="L40" s="73">
        <f>J40*0.05</f>
        <v>0</v>
      </c>
      <c r="M40" s="74"/>
      <c r="N40" s="44">
        <f>(J40*'Base Data'!$C$5)+(K40*'Base Data'!$C$6)+(L40*'Base Data'!$C$7)</f>
        <v>0</v>
      </c>
      <c r="O40" s="44">
        <f>(D40+E40+F40)*G40*I40</f>
        <v>0</v>
      </c>
      <c r="P40" s="73">
        <v>0</v>
      </c>
      <c r="Q40" s="75" t="s">
        <v>339</v>
      </c>
    </row>
    <row r="41" spans="1:17" s="115" customFormat="1" ht="9">
      <c r="A41" s="111" t="s">
        <v>523</v>
      </c>
      <c r="B41" s="37"/>
      <c r="C41" s="37"/>
      <c r="D41" s="44"/>
      <c r="E41" s="44"/>
      <c r="F41" s="44"/>
      <c r="G41" s="37"/>
      <c r="H41" s="37"/>
      <c r="I41" s="72"/>
      <c r="J41" s="73"/>
      <c r="K41" s="73"/>
      <c r="L41" s="73"/>
      <c r="M41" s="74"/>
      <c r="N41" s="44"/>
      <c r="O41" s="183"/>
      <c r="P41" s="73"/>
      <c r="Q41" s="75"/>
    </row>
    <row r="42" spans="1:17" s="115" customFormat="1" ht="9">
      <c r="A42" s="110" t="s">
        <v>362</v>
      </c>
      <c r="B42" s="37">
        <v>10</v>
      </c>
      <c r="C42" s="37"/>
      <c r="D42" s="44">
        <v>0</v>
      </c>
      <c r="E42" s="44">
        <v>0</v>
      </c>
      <c r="F42" s="44">
        <v>43500</v>
      </c>
      <c r="G42" s="37">
        <v>1</v>
      </c>
      <c r="H42" s="37">
        <f>B42*G42</f>
        <v>10</v>
      </c>
      <c r="I42" s="72">
        <v>0</v>
      </c>
      <c r="J42" s="73">
        <f>H42*I42</f>
        <v>0</v>
      </c>
      <c r="K42" s="73">
        <f>J42*0.1</f>
        <v>0</v>
      </c>
      <c r="L42" s="73">
        <f>J42*0.05</f>
        <v>0</v>
      </c>
      <c r="M42" s="74"/>
      <c r="N42" s="44">
        <f>(J42*'Base Data'!$C$5)+(K42*'Base Data'!$C$6)+(L42*'Base Data'!$C$7)</f>
        <v>0</v>
      </c>
      <c r="O42" s="44">
        <f>(D42+E42+F42)*G42*I42</f>
        <v>0</v>
      </c>
      <c r="P42" s="73">
        <v>0</v>
      </c>
      <c r="Q42" s="75" t="s">
        <v>339</v>
      </c>
    </row>
    <row r="43" spans="1:17" s="115" customFormat="1" ht="9">
      <c r="A43" s="110" t="s">
        <v>365</v>
      </c>
      <c r="B43" s="37">
        <v>10</v>
      </c>
      <c r="C43" s="37"/>
      <c r="D43" s="44">
        <v>0</v>
      </c>
      <c r="E43" s="44">
        <v>0</v>
      </c>
      <c r="F43" s="44">
        <v>9700</v>
      </c>
      <c r="G43" s="37">
        <v>1</v>
      </c>
      <c r="H43" s="37">
        <f>B43*G43</f>
        <v>10</v>
      </c>
      <c r="I43" s="72">
        <v>0</v>
      </c>
      <c r="J43" s="73">
        <f>H43*I43</f>
        <v>0</v>
      </c>
      <c r="K43" s="73">
        <f>J43*0.1</f>
        <v>0</v>
      </c>
      <c r="L43" s="73">
        <f>J43*0.05</f>
        <v>0</v>
      </c>
      <c r="M43" s="74"/>
      <c r="N43" s="44">
        <f>(J43*'Base Data'!$C$5)+(K43*'Base Data'!$C$6)+(L43*'Base Data'!$C$7)</f>
        <v>0</v>
      </c>
      <c r="O43" s="44">
        <f>(D43+E43+F43)*G43*I43</f>
        <v>0</v>
      </c>
      <c r="P43" s="73">
        <v>0</v>
      </c>
      <c r="Q43" s="75" t="s">
        <v>339</v>
      </c>
    </row>
    <row r="44" spans="1:17" s="115" customFormat="1" ht="18">
      <c r="A44" s="111" t="s">
        <v>161</v>
      </c>
      <c r="B44" s="37"/>
      <c r="C44" s="37"/>
      <c r="D44" s="44"/>
      <c r="E44" s="44"/>
      <c r="F44" s="44"/>
      <c r="G44" s="37"/>
      <c r="H44" s="37"/>
      <c r="I44" s="77"/>
      <c r="J44" s="73"/>
      <c r="K44" s="73"/>
      <c r="L44" s="73"/>
      <c r="M44" s="74"/>
      <c r="N44" s="44"/>
      <c r="O44" s="44"/>
      <c r="P44" s="73"/>
      <c r="Q44" s="75"/>
    </row>
    <row r="45" spans="1:17" s="115" customFormat="1" ht="9">
      <c r="A45" s="110" t="s">
        <v>362</v>
      </c>
      <c r="B45" s="37">
        <v>10</v>
      </c>
      <c r="C45" s="37"/>
      <c r="D45" s="44">
        <v>0</v>
      </c>
      <c r="E45" s="44">
        <v>0</v>
      </c>
      <c r="F45" s="44">
        <v>115000</v>
      </c>
      <c r="G45" s="37">
        <v>1</v>
      </c>
      <c r="H45" s="37">
        <f>B45*G45</f>
        <v>10</v>
      </c>
      <c r="I45" s="72">
        <v>0</v>
      </c>
      <c r="J45" s="73">
        <f>H45*I45</f>
        <v>0</v>
      </c>
      <c r="K45" s="73">
        <f>J45*0.1</f>
        <v>0</v>
      </c>
      <c r="L45" s="73">
        <f>J45*0.05</f>
        <v>0</v>
      </c>
      <c r="M45" s="74"/>
      <c r="N45" s="44">
        <f>(J45*'Base Data'!$C$5)+(K45*'Base Data'!$C$6)+(L45*'Base Data'!$C$7)</f>
        <v>0</v>
      </c>
      <c r="O45" s="44">
        <f>(D45+E45+F45)*G45*I45</f>
        <v>0</v>
      </c>
      <c r="P45" s="73">
        <v>0</v>
      </c>
      <c r="Q45" s="75" t="s">
        <v>339</v>
      </c>
    </row>
    <row r="46" spans="1:17" s="115" customFormat="1" ht="9">
      <c r="A46" s="110" t="s">
        <v>365</v>
      </c>
      <c r="B46" s="37">
        <v>10</v>
      </c>
      <c r="C46" s="37"/>
      <c r="D46" s="44">
        <v>0</v>
      </c>
      <c r="E46" s="44">
        <v>0</v>
      </c>
      <c r="F46" s="44">
        <v>9700</v>
      </c>
      <c r="G46" s="37">
        <v>1</v>
      </c>
      <c r="H46" s="37">
        <f>B46*G46</f>
        <v>10</v>
      </c>
      <c r="I46" s="72">
        <v>0</v>
      </c>
      <c r="J46" s="73">
        <f>H46*I46</f>
        <v>0</v>
      </c>
      <c r="K46" s="73">
        <f>J46*0.1</f>
        <v>0</v>
      </c>
      <c r="L46" s="73">
        <f>J46*0.05</f>
        <v>0</v>
      </c>
      <c r="M46" s="74"/>
      <c r="N46" s="44">
        <f>(J46*'Base Data'!$C$5)+(K46*'Base Data'!$C$6)+(L46*'Base Data'!$C$7)</f>
        <v>0</v>
      </c>
      <c r="O46" s="44">
        <f>(D46+E46+F46)*G46*I46</f>
        <v>0</v>
      </c>
      <c r="P46" s="73">
        <v>0</v>
      </c>
      <c r="Q46" s="75" t="s">
        <v>339</v>
      </c>
    </row>
    <row r="47" spans="1:17" s="115" customFormat="1" ht="9">
      <c r="A47" s="110" t="s">
        <v>366</v>
      </c>
      <c r="B47" s="37" t="s">
        <v>384</v>
      </c>
      <c r="C47" s="37"/>
      <c r="D47" s="44"/>
      <c r="E47" s="44"/>
      <c r="F47" s="44"/>
      <c r="G47" s="37"/>
      <c r="H47" s="37"/>
      <c r="I47" s="73"/>
      <c r="J47" s="73"/>
      <c r="K47" s="73"/>
      <c r="L47" s="73"/>
      <c r="M47" s="37"/>
      <c r="N47" s="44"/>
      <c r="O47" s="44"/>
      <c r="P47" s="44"/>
      <c r="Q47" s="75"/>
    </row>
    <row r="48" spans="1:17" s="115" customFormat="1" ht="9">
      <c r="A48" s="110" t="s">
        <v>367</v>
      </c>
      <c r="B48" s="37" t="s">
        <v>384</v>
      </c>
      <c r="C48" s="37"/>
      <c r="D48" s="44"/>
      <c r="E48" s="44"/>
      <c r="F48" s="44"/>
      <c r="G48" s="37"/>
      <c r="H48" s="37"/>
      <c r="I48" s="73"/>
      <c r="J48" s="73"/>
      <c r="K48" s="73"/>
      <c r="L48" s="73"/>
      <c r="M48" s="37"/>
      <c r="N48" s="44"/>
      <c r="O48" s="44"/>
      <c r="P48" s="44"/>
      <c r="Q48" s="75"/>
    </row>
    <row r="49" spans="1:19" s="115" customFormat="1" ht="9">
      <c r="A49" s="110" t="s">
        <v>368</v>
      </c>
      <c r="B49" s="37"/>
      <c r="C49" s="37"/>
      <c r="D49" s="44"/>
      <c r="E49" s="44"/>
      <c r="F49" s="44"/>
      <c r="G49" s="37"/>
      <c r="H49" s="37"/>
      <c r="I49" s="73"/>
      <c r="J49" s="73"/>
      <c r="K49" s="73"/>
      <c r="L49" s="73"/>
      <c r="M49" s="37"/>
      <c r="N49" s="44"/>
      <c r="O49" s="44"/>
      <c r="P49" s="44"/>
      <c r="Q49" s="75"/>
    </row>
    <row r="50" spans="1:19" s="115" customFormat="1" ht="9">
      <c r="A50" s="126" t="s">
        <v>386</v>
      </c>
      <c r="B50" s="37">
        <v>2</v>
      </c>
      <c r="C50" s="37"/>
      <c r="D50" s="44">
        <v>0</v>
      </c>
      <c r="E50" s="44">
        <v>0</v>
      </c>
      <c r="F50" s="44">
        <v>0</v>
      </c>
      <c r="G50" s="37">
        <v>1</v>
      </c>
      <c r="H50" s="37">
        <f>B50*G50</f>
        <v>2</v>
      </c>
      <c r="I50" s="72">
        <f>ROUND(SUM('Base Data'!$H$18:$H$20,'Base Data'!$H$23:$H$25),0)</f>
        <v>131</v>
      </c>
      <c r="J50" s="73">
        <f>H50*I50</f>
        <v>262</v>
      </c>
      <c r="K50" s="73">
        <f>J50*0.1</f>
        <v>26.200000000000003</v>
      </c>
      <c r="L50" s="73">
        <f>J50*0.05</f>
        <v>13.100000000000001</v>
      </c>
      <c r="M50" s="37">
        <f>C50*G50*I50</f>
        <v>0</v>
      </c>
      <c r="N50" s="44">
        <f>(J50*'Base Data'!$C$5)+(K50*'Base Data'!$C$6)+(L50*'Base Data'!$C$7)</f>
        <v>28499.705000000002</v>
      </c>
      <c r="O50" s="44">
        <f>(D50+E50+F50)*G50*I50</f>
        <v>0</v>
      </c>
      <c r="P50" s="73">
        <f>G50*I50</f>
        <v>131</v>
      </c>
      <c r="Q50" s="75" t="s">
        <v>338</v>
      </c>
    </row>
    <row r="51" spans="1:19" s="115" customFormat="1" ht="9" customHeight="1">
      <c r="A51" s="126" t="s">
        <v>328</v>
      </c>
      <c r="B51" s="37">
        <v>8</v>
      </c>
      <c r="C51" s="37"/>
      <c r="D51" s="44">
        <v>0</v>
      </c>
      <c r="E51" s="44">
        <v>0</v>
      </c>
      <c r="F51" s="44">
        <v>0</v>
      </c>
      <c r="G51" s="37">
        <v>1</v>
      </c>
      <c r="H51" s="37">
        <f>B51*G51</f>
        <v>8</v>
      </c>
      <c r="I51" s="72">
        <v>0</v>
      </c>
      <c r="J51" s="73">
        <f>H51*I51</f>
        <v>0</v>
      </c>
      <c r="K51" s="73">
        <f>J51*0.1</f>
        <v>0</v>
      </c>
      <c r="L51" s="73">
        <f>J51*0.05</f>
        <v>0</v>
      </c>
      <c r="M51" s="37">
        <f>C51*G51*I51</f>
        <v>0</v>
      </c>
      <c r="N51" s="44">
        <f>(J51*'Base Data'!$C$5)+(K51*'Base Data'!$C$6)+(L51*'Base Data'!$C$7)</f>
        <v>0</v>
      </c>
      <c r="O51" s="44">
        <f>(D51+E51+F51)*G51*I51</f>
        <v>0</v>
      </c>
      <c r="P51" s="73">
        <f>G51*I51</f>
        <v>0</v>
      </c>
      <c r="Q51" s="75" t="s">
        <v>339</v>
      </c>
    </row>
    <row r="52" spans="1:19" s="115" customFormat="1" ht="9">
      <c r="A52" s="126" t="s">
        <v>329</v>
      </c>
      <c r="B52" s="37">
        <v>5</v>
      </c>
      <c r="C52" s="37"/>
      <c r="D52" s="44">
        <v>0</v>
      </c>
      <c r="E52" s="44">
        <v>0</v>
      </c>
      <c r="F52" s="44">
        <v>0</v>
      </c>
      <c r="G52" s="37">
        <v>1</v>
      </c>
      <c r="H52" s="37">
        <f>B52*G52</f>
        <v>5</v>
      </c>
      <c r="I52" s="72">
        <v>0</v>
      </c>
      <c r="J52" s="73">
        <f>H52*I52</f>
        <v>0</v>
      </c>
      <c r="K52" s="73">
        <f>J52*0.1</f>
        <v>0</v>
      </c>
      <c r="L52" s="73">
        <f>J52*0.05</f>
        <v>0</v>
      </c>
      <c r="M52" s="37">
        <f>C52*G52*I52</f>
        <v>0</v>
      </c>
      <c r="N52" s="44">
        <f>(J52*'Base Data'!$C$5)+(K52*'Base Data'!$C$6)+(L52*'Base Data'!$C$7)</f>
        <v>0</v>
      </c>
      <c r="O52" s="44">
        <f>(D52+E52+F52)*G52*I52</f>
        <v>0</v>
      </c>
      <c r="P52" s="73">
        <f>G52*I52</f>
        <v>0</v>
      </c>
      <c r="Q52" s="75" t="s">
        <v>339</v>
      </c>
    </row>
    <row r="53" spans="1:19" s="115" customFormat="1" ht="9">
      <c r="A53" s="112" t="s">
        <v>407</v>
      </c>
      <c r="B53" s="37">
        <v>20</v>
      </c>
      <c r="C53" s="37">
        <v>0</v>
      </c>
      <c r="D53" s="44">
        <v>0</v>
      </c>
      <c r="E53" s="44">
        <v>0</v>
      </c>
      <c r="F53" s="44">
        <v>0</v>
      </c>
      <c r="G53" s="37">
        <v>2</v>
      </c>
      <c r="H53" s="37">
        <f>B53*G53</f>
        <v>40</v>
      </c>
      <c r="I53" s="72">
        <v>0</v>
      </c>
      <c r="J53" s="73">
        <f>H53*I53</f>
        <v>0</v>
      </c>
      <c r="K53" s="73">
        <f>J53*0.1</f>
        <v>0</v>
      </c>
      <c r="L53" s="73">
        <f>J53*0.05</f>
        <v>0</v>
      </c>
      <c r="M53" s="73">
        <f>C53*G53*I53</f>
        <v>0</v>
      </c>
      <c r="N53" s="44">
        <f>(J53*'Base Data'!$C$5)+(K53*'Base Data'!$C$6)+(L53*'Base Data'!$C$7)</f>
        <v>0</v>
      </c>
      <c r="O53" s="44">
        <f>(D53+E53+F53)*G53*I53</f>
        <v>0</v>
      </c>
      <c r="P53" s="73">
        <f>G53*I53</f>
        <v>0</v>
      </c>
      <c r="Q53" s="75" t="s">
        <v>338</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490</v>
      </c>
      <c r="R54" s="133"/>
    </row>
    <row r="55" spans="1:19" s="115" customFormat="1" ht="9">
      <c r="A55" s="113" t="s">
        <v>7</v>
      </c>
      <c r="B55" s="37"/>
      <c r="C55" s="37"/>
      <c r="D55" s="44"/>
      <c r="E55" s="44"/>
      <c r="F55" s="44"/>
      <c r="G55" s="37"/>
      <c r="H55" s="37"/>
      <c r="I55" s="72"/>
      <c r="J55" s="73">
        <f t="shared" ref="J55:O55" si="14">SUM(J7:J53)</f>
        <v>5502</v>
      </c>
      <c r="K55" s="73">
        <f t="shared" si="14"/>
        <v>550.20000000000005</v>
      </c>
      <c r="L55" s="73">
        <f t="shared" si="14"/>
        <v>275.10000000000002</v>
      </c>
      <c r="M55" s="73">
        <f t="shared" si="14"/>
        <v>0</v>
      </c>
      <c r="N55" s="44">
        <f t="shared" si="14"/>
        <v>598493.80499999993</v>
      </c>
      <c r="O55" s="44">
        <f t="shared" si="14"/>
        <v>0</v>
      </c>
      <c r="P55" s="73">
        <f>SUM(P50:P53)</f>
        <v>131</v>
      </c>
      <c r="Q55" s="75"/>
      <c r="R55" s="118">
        <f>SUM(O7,O10:O22,O28,O31,O34,O37,O40,O46)</f>
        <v>0</v>
      </c>
      <c r="S55" s="117">
        <f>SUM(O36,O39,O45,O27,O30,O33)</f>
        <v>0</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5">B61*G61</f>
        <v>20</v>
      </c>
      <c r="I61" s="72">
        <v>0</v>
      </c>
      <c r="J61" s="73">
        <f t="shared" ref="J61:J67" si="16">H61*I61</f>
        <v>0</v>
      </c>
      <c r="K61" s="73">
        <f t="shared" ref="K61:K67" si="17">J61*0.1</f>
        <v>0</v>
      </c>
      <c r="L61" s="73">
        <f t="shared" ref="L61:L67" si="18">J61*0.05</f>
        <v>0</v>
      </c>
      <c r="M61" s="37"/>
      <c r="N61" s="44">
        <f>(J61*'Base Data'!$C$5)+(K61*'Base Data'!$C$6)+(L61*'Base Data'!$C$7)</f>
        <v>0</v>
      </c>
      <c r="O61" s="44">
        <f t="shared" ref="O61:O67" si="19">(D61+E61+F61)*G61*I61</f>
        <v>0</v>
      </c>
      <c r="P61" s="73">
        <v>0</v>
      </c>
      <c r="Q61" s="75" t="s">
        <v>339</v>
      </c>
    </row>
    <row r="62" spans="1:19" s="115" customFormat="1" ht="9">
      <c r="A62" s="111" t="s">
        <v>376</v>
      </c>
      <c r="B62" s="37">
        <v>15</v>
      </c>
      <c r="C62" s="37">
        <v>0</v>
      </c>
      <c r="D62" s="44">
        <v>0</v>
      </c>
      <c r="E62" s="44">
        <v>0</v>
      </c>
      <c r="F62" s="44">
        <v>0</v>
      </c>
      <c r="G62" s="37">
        <v>1</v>
      </c>
      <c r="H62" s="37">
        <f t="shared" si="15"/>
        <v>15</v>
      </c>
      <c r="I62" s="72">
        <v>0</v>
      </c>
      <c r="J62" s="73">
        <f t="shared" si="16"/>
        <v>0</v>
      </c>
      <c r="K62" s="73">
        <f t="shared" si="17"/>
        <v>0</v>
      </c>
      <c r="L62" s="73">
        <f t="shared" si="18"/>
        <v>0</v>
      </c>
      <c r="M62" s="37">
        <f>C62*G62*I62</f>
        <v>0</v>
      </c>
      <c r="N62" s="44">
        <f>(J62*'Base Data'!$C$5)+(K62*'Base Data'!$C$6)+(L62*'Base Data'!$C$7)</f>
        <v>0</v>
      </c>
      <c r="O62" s="44">
        <f t="shared" si="19"/>
        <v>0</v>
      </c>
      <c r="P62" s="73">
        <v>0</v>
      </c>
      <c r="Q62" s="75" t="s">
        <v>339</v>
      </c>
    </row>
    <row r="63" spans="1:19" s="115" customFormat="1" ht="9.75" customHeight="1">
      <c r="A63" s="110" t="s">
        <v>377</v>
      </c>
      <c r="B63" s="37">
        <v>2</v>
      </c>
      <c r="C63" s="37"/>
      <c r="D63" s="44">
        <v>0</v>
      </c>
      <c r="E63" s="44">
        <v>0</v>
      </c>
      <c r="F63" s="44">
        <v>0</v>
      </c>
      <c r="G63" s="37">
        <v>1</v>
      </c>
      <c r="H63" s="37">
        <f t="shared" si="15"/>
        <v>2</v>
      </c>
      <c r="I63" s="72">
        <v>0</v>
      </c>
      <c r="J63" s="73">
        <f t="shared" si="16"/>
        <v>0</v>
      </c>
      <c r="K63" s="73">
        <f t="shared" si="17"/>
        <v>0</v>
      </c>
      <c r="L63" s="73">
        <f t="shared" si="18"/>
        <v>0</v>
      </c>
      <c r="M63" s="37"/>
      <c r="N63" s="44">
        <f>(J63*'Base Data'!$C$5)+(K63*'Base Data'!$C$6)+(L63*'Base Data'!$C$7)</f>
        <v>0</v>
      </c>
      <c r="O63" s="44">
        <f t="shared" si="19"/>
        <v>0</v>
      </c>
      <c r="P63" s="73">
        <v>0</v>
      </c>
      <c r="Q63" s="75" t="s">
        <v>339</v>
      </c>
    </row>
    <row r="64" spans="1:19" s="115" customFormat="1" ht="9">
      <c r="A64" s="111" t="s">
        <v>387</v>
      </c>
      <c r="B64" s="37">
        <v>2</v>
      </c>
      <c r="C64" s="37"/>
      <c r="D64" s="44">
        <v>0</v>
      </c>
      <c r="E64" s="44">
        <v>0</v>
      </c>
      <c r="F64" s="44">
        <v>0</v>
      </c>
      <c r="G64" s="37">
        <v>1</v>
      </c>
      <c r="H64" s="37">
        <f t="shared" si="15"/>
        <v>2</v>
      </c>
      <c r="I64" s="72">
        <v>0</v>
      </c>
      <c r="J64" s="73">
        <f t="shared" si="16"/>
        <v>0</v>
      </c>
      <c r="K64" s="73">
        <f t="shared" si="17"/>
        <v>0</v>
      </c>
      <c r="L64" s="73">
        <f t="shared" si="18"/>
        <v>0</v>
      </c>
      <c r="M64" s="37"/>
      <c r="N64" s="44">
        <f>(J64*'Base Data'!$C$5)+(K64*'Base Data'!$C$6)+(L64*'Base Data'!$C$7)</f>
        <v>0</v>
      </c>
      <c r="O64" s="44">
        <f t="shared" si="19"/>
        <v>0</v>
      </c>
      <c r="P64" s="73">
        <v>0</v>
      </c>
      <c r="Q64" s="75" t="s">
        <v>339</v>
      </c>
    </row>
    <row r="65" spans="1:18" s="115" customFormat="1" ht="9">
      <c r="A65" s="111" t="s">
        <v>388</v>
      </c>
      <c r="B65" s="37">
        <v>2</v>
      </c>
      <c r="C65" s="37">
        <v>0</v>
      </c>
      <c r="D65" s="44">
        <v>0</v>
      </c>
      <c r="E65" s="44">
        <v>0</v>
      </c>
      <c r="F65" s="44">
        <v>0</v>
      </c>
      <c r="G65" s="37">
        <v>2</v>
      </c>
      <c r="H65" s="37">
        <f t="shared" si="15"/>
        <v>4</v>
      </c>
      <c r="I65" s="72">
        <v>0</v>
      </c>
      <c r="J65" s="73">
        <f t="shared" si="16"/>
        <v>0</v>
      </c>
      <c r="K65" s="73">
        <f t="shared" si="17"/>
        <v>0</v>
      </c>
      <c r="L65" s="73">
        <f t="shared" si="18"/>
        <v>0</v>
      </c>
      <c r="M65" s="37">
        <f>C65*G65*I65</f>
        <v>0</v>
      </c>
      <c r="N65" s="44">
        <f>(J65*'Base Data'!$C$5)+(K65*'Base Data'!$C$6)+(L65*'Base Data'!$C$7)</f>
        <v>0</v>
      </c>
      <c r="O65" s="44">
        <f t="shared" si="19"/>
        <v>0</v>
      </c>
      <c r="P65" s="73">
        <v>0</v>
      </c>
      <c r="Q65" s="75" t="s">
        <v>339</v>
      </c>
    </row>
    <row r="66" spans="1:18" s="115" customFormat="1" ht="9">
      <c r="A66" s="111" t="s">
        <v>389</v>
      </c>
      <c r="B66" s="37">
        <v>0.5</v>
      </c>
      <c r="C66" s="37"/>
      <c r="D66" s="44">
        <v>0</v>
      </c>
      <c r="E66" s="44">
        <v>0</v>
      </c>
      <c r="F66" s="44">
        <v>0</v>
      </c>
      <c r="G66" s="37">
        <v>12</v>
      </c>
      <c r="H66" s="37">
        <f t="shared" si="15"/>
        <v>6</v>
      </c>
      <c r="I66" s="72">
        <v>0</v>
      </c>
      <c r="J66" s="73">
        <f t="shared" si="16"/>
        <v>0</v>
      </c>
      <c r="K66" s="73">
        <f t="shared" si="17"/>
        <v>0</v>
      </c>
      <c r="L66" s="73">
        <f t="shared" si="18"/>
        <v>0</v>
      </c>
      <c r="M66" s="37"/>
      <c r="N66" s="44">
        <f>(J66*'Base Data'!$C$5)+(K66*'Base Data'!$C$6)+(L66*'Base Data'!$C$7)</f>
        <v>0</v>
      </c>
      <c r="O66" s="44">
        <f t="shared" si="19"/>
        <v>0</v>
      </c>
      <c r="P66" s="73">
        <v>0</v>
      </c>
      <c r="Q66" s="75" t="s">
        <v>339</v>
      </c>
    </row>
    <row r="67" spans="1:18" s="115" customFormat="1" ht="9">
      <c r="A67" s="110" t="s">
        <v>378</v>
      </c>
      <c r="B67" s="37">
        <v>40</v>
      </c>
      <c r="C67" s="37"/>
      <c r="D67" s="44">
        <v>0</v>
      </c>
      <c r="E67" s="44">
        <v>0</v>
      </c>
      <c r="F67" s="44">
        <v>0</v>
      </c>
      <c r="G67" s="37">
        <v>1</v>
      </c>
      <c r="H67" s="37">
        <f t="shared" si="15"/>
        <v>40</v>
      </c>
      <c r="I67" s="72">
        <v>0</v>
      </c>
      <c r="J67" s="73">
        <f t="shared" si="16"/>
        <v>0</v>
      </c>
      <c r="K67" s="73">
        <f t="shared" si="17"/>
        <v>0</v>
      </c>
      <c r="L67" s="73">
        <f t="shared" si="18"/>
        <v>0</v>
      </c>
      <c r="M67" s="37"/>
      <c r="N67" s="44">
        <f>(J67*'Base Data'!$C$5)+(K67*'Base Data'!$C$6)+(L67*'Base Data'!$C$7)</f>
        <v>0</v>
      </c>
      <c r="O67" s="44">
        <f t="shared" si="19"/>
        <v>0</v>
      </c>
      <c r="P67" s="73">
        <v>0</v>
      </c>
      <c r="Q67" s="75" t="s">
        <v>248</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 t="shared" ref="J69:R69" si="20">SUM(J57:J68)</f>
        <v>0</v>
      </c>
      <c r="K69" s="186">
        <f t="shared" si="20"/>
        <v>0</v>
      </c>
      <c r="L69" s="186">
        <f t="shared" si="20"/>
        <v>0</v>
      </c>
      <c r="M69" s="185">
        <f t="shared" si="20"/>
        <v>0</v>
      </c>
      <c r="N69" s="185">
        <f>SUM(N57:N68)</f>
        <v>0</v>
      </c>
      <c r="O69" s="185">
        <f>SUM(O57:O68)</f>
        <v>0</v>
      </c>
      <c r="P69" s="186"/>
      <c r="Q69" s="187"/>
      <c r="R69" s="466">
        <f t="shared" si="20"/>
        <v>0</v>
      </c>
    </row>
    <row r="70" spans="1:18" s="134" customFormat="1">
      <c r="A70" s="135" t="s">
        <v>351</v>
      </c>
      <c r="B70" s="136"/>
      <c r="C70" s="136"/>
      <c r="D70" s="136"/>
      <c r="E70" s="136"/>
      <c r="F70" s="137"/>
      <c r="G70" s="136"/>
      <c r="H70" s="136"/>
      <c r="I70" s="138"/>
      <c r="J70" s="139">
        <f t="shared" ref="J70:P70" si="21">J55+J69</f>
        <v>5502</v>
      </c>
      <c r="K70" s="139">
        <f t="shared" si="21"/>
        <v>550.20000000000005</v>
      </c>
      <c r="L70" s="139">
        <f t="shared" si="21"/>
        <v>275.10000000000002</v>
      </c>
      <c r="M70" s="140">
        <f t="shared" si="21"/>
        <v>0</v>
      </c>
      <c r="N70" s="140">
        <f t="shared" si="21"/>
        <v>598493.80499999993</v>
      </c>
      <c r="O70" s="140">
        <f t="shared" si="21"/>
        <v>0</v>
      </c>
      <c r="P70" s="139">
        <f t="shared" si="21"/>
        <v>131</v>
      </c>
      <c r="Q70" s="141"/>
    </row>
    <row r="71" spans="1:18" ht="6" customHeight="1"/>
    <row r="72" spans="1:18" s="45" customFormat="1" ht="9">
      <c r="A72" s="45" t="s">
        <v>549</v>
      </c>
      <c r="B72" s="48"/>
      <c r="C72" s="48"/>
      <c r="D72" s="48"/>
      <c r="E72" s="48"/>
      <c r="F72" s="48"/>
      <c r="G72" s="48"/>
      <c r="H72" s="48"/>
      <c r="I72" s="49"/>
      <c r="J72" s="48"/>
      <c r="K72" s="48"/>
      <c r="L72" s="48"/>
      <c r="M72" s="48"/>
      <c r="N72" s="48"/>
      <c r="O72" s="146"/>
      <c r="P72" s="146"/>
      <c r="Q72" s="48"/>
    </row>
    <row r="73" spans="1:18" s="45" customFormat="1" ht="19.5" customHeight="1">
      <c r="A73" s="494" t="s">
        <v>547</v>
      </c>
      <c r="B73" s="494"/>
      <c r="C73" s="494"/>
      <c r="D73" s="494"/>
      <c r="E73" s="494"/>
      <c r="F73" s="494"/>
      <c r="G73" s="494"/>
      <c r="H73" s="494"/>
      <c r="I73" s="494"/>
      <c r="J73" s="494"/>
      <c r="K73" s="494"/>
      <c r="L73" s="494"/>
      <c r="M73" s="494"/>
      <c r="N73" s="494"/>
      <c r="O73" s="494"/>
      <c r="P73" s="459"/>
      <c r="Q73" s="48"/>
    </row>
    <row r="74" spans="1:18" s="45" customFormat="1" ht="9">
      <c r="A74" s="494" t="s">
        <v>325</v>
      </c>
      <c r="B74" s="494"/>
      <c r="C74" s="494"/>
      <c r="D74" s="494"/>
      <c r="E74" s="494"/>
      <c r="F74" s="494"/>
      <c r="G74" s="494"/>
      <c r="H74" s="494"/>
      <c r="I74" s="494"/>
      <c r="J74" s="494"/>
      <c r="K74" s="494"/>
      <c r="L74" s="494"/>
      <c r="M74" s="494"/>
      <c r="N74" s="494"/>
      <c r="O74" s="494"/>
      <c r="P74" s="459"/>
      <c r="Q74" s="48"/>
    </row>
    <row r="75" spans="1:18" s="45" customFormat="1" ht="17.25"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392</v>
      </c>
      <c r="B76" s="48"/>
      <c r="C76" s="48"/>
      <c r="D76" s="48"/>
      <c r="E76" s="48"/>
      <c r="F76" s="48"/>
      <c r="G76" s="48"/>
      <c r="H76" s="48"/>
      <c r="I76" s="49"/>
      <c r="J76" s="48"/>
      <c r="K76" s="48"/>
      <c r="L76" s="48"/>
      <c r="M76" s="48"/>
      <c r="N76" s="48"/>
      <c r="O76" s="146"/>
      <c r="P76" s="146"/>
      <c r="Q76" s="48"/>
    </row>
    <row r="77" spans="1:18" s="45" customFormat="1" ht="9" customHeight="1">
      <c r="A77" s="45" t="s">
        <v>487</v>
      </c>
      <c r="B77" s="48"/>
      <c r="C77" s="48"/>
      <c r="D77" s="48"/>
      <c r="E77" s="48"/>
      <c r="F77" s="48"/>
      <c r="G77" s="48"/>
      <c r="H77" s="48"/>
      <c r="I77" s="49"/>
      <c r="J77" s="48"/>
      <c r="K77" s="48"/>
      <c r="L77" s="48"/>
      <c r="M77" s="48"/>
      <c r="N77" s="48"/>
      <c r="O77" s="146"/>
      <c r="P77" s="146"/>
      <c r="Q77" s="48"/>
    </row>
    <row r="78" spans="1:18" s="45" customFormat="1" ht="9">
      <c r="A78" s="45" t="s">
        <v>3</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9">
      <c r="A80" s="495" t="s">
        <v>465</v>
      </c>
      <c r="B80" s="495"/>
      <c r="C80" s="495"/>
      <c r="D80" s="495"/>
      <c r="E80" s="495"/>
      <c r="F80" s="495"/>
      <c r="G80" s="495"/>
      <c r="H80" s="495"/>
      <c r="I80" s="495"/>
      <c r="J80" s="495"/>
      <c r="K80" s="495"/>
      <c r="L80" s="495"/>
      <c r="M80" s="495"/>
      <c r="N80" s="495"/>
      <c r="O80" s="146"/>
      <c r="P80" s="146"/>
      <c r="Q80" s="48"/>
    </row>
    <row r="81" spans="1:17" s="45" customFormat="1" ht="9">
      <c r="A81" s="45" t="s">
        <v>485</v>
      </c>
      <c r="B81" s="48"/>
      <c r="C81" s="48"/>
      <c r="D81" s="48"/>
      <c r="E81" s="48"/>
      <c r="F81" s="48"/>
      <c r="G81" s="48"/>
      <c r="H81" s="48"/>
      <c r="I81" s="49"/>
      <c r="J81" s="48"/>
      <c r="K81" s="48"/>
      <c r="L81" s="48"/>
      <c r="M81" s="48"/>
      <c r="N81" s="48"/>
      <c r="O81" s="146"/>
      <c r="P81" s="146"/>
      <c r="Q81" s="48"/>
    </row>
    <row r="82" spans="1:17" s="45" customFormat="1" ht="9">
      <c r="A82" s="94" t="s">
        <v>650</v>
      </c>
      <c r="B82" s="94"/>
      <c r="C82" s="94"/>
      <c r="D82" s="94"/>
      <c r="E82" s="94"/>
      <c r="F82" s="94"/>
      <c r="G82" s="94"/>
      <c r="H82" s="94"/>
      <c r="I82" s="94"/>
      <c r="J82" s="94"/>
      <c r="K82" s="94"/>
      <c r="L82" s="94"/>
      <c r="M82" s="94"/>
      <c r="N82" s="94"/>
      <c r="O82" s="94"/>
      <c r="P82" s="94"/>
      <c r="Q82" s="48"/>
    </row>
    <row r="83" spans="1:17" s="45" customFormat="1" ht="9">
      <c r="A83" s="45" t="s">
        <v>546</v>
      </c>
      <c r="B83" s="48"/>
      <c r="C83" s="48"/>
      <c r="D83" s="48"/>
      <c r="E83" s="48"/>
      <c r="F83" s="48"/>
      <c r="G83" s="48"/>
      <c r="H83" s="48"/>
      <c r="I83" s="49"/>
      <c r="J83" s="48"/>
      <c r="K83" s="48"/>
      <c r="L83" s="48"/>
      <c r="M83" s="48"/>
      <c r="N83" s="48"/>
      <c r="O83" s="146"/>
      <c r="P83" s="146"/>
      <c r="Q83" s="48"/>
    </row>
    <row r="84" spans="1:17" s="45" customFormat="1" ht="9">
      <c r="A84" s="45" t="s">
        <v>615</v>
      </c>
      <c r="B84" s="48"/>
      <c r="C84" s="48"/>
      <c r="D84" s="48"/>
      <c r="E84" s="48"/>
      <c r="F84" s="48"/>
      <c r="G84" s="48"/>
      <c r="H84" s="48"/>
      <c r="I84" s="49"/>
      <c r="J84" s="48"/>
      <c r="K84" s="48"/>
      <c r="L84" s="48"/>
      <c r="M84" s="48"/>
      <c r="N84" s="48"/>
      <c r="O84" s="146"/>
      <c r="P84" s="146"/>
      <c r="Q84" s="48"/>
    </row>
    <row r="85" spans="1:17" s="45" customFormat="1" ht="9">
      <c r="A85" s="494" t="s">
        <v>663</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ht="9">
      <c r="B116" s="48"/>
      <c r="C116" s="48"/>
      <c r="D116" s="48"/>
      <c r="E116" s="48"/>
      <c r="F116" s="48"/>
      <c r="G116" s="48"/>
      <c r="H116" s="48"/>
      <c r="I116" s="49"/>
      <c r="J116" s="48"/>
      <c r="K116" s="48"/>
      <c r="L116" s="48"/>
      <c r="M116" s="48"/>
      <c r="N116" s="48"/>
      <c r="O116" s="146"/>
      <c r="P116" s="146"/>
      <c r="Q116" s="48"/>
    </row>
    <row r="117" spans="2:17" s="45" customFormat="1" ht="9">
      <c r="B117" s="48"/>
      <c r="C117" s="48"/>
      <c r="D117" s="48"/>
      <c r="E117" s="48"/>
      <c r="F117" s="48"/>
      <c r="G117" s="48"/>
      <c r="H117" s="48"/>
      <c r="I117" s="49"/>
      <c r="J117" s="48"/>
      <c r="K117" s="48"/>
      <c r="L117" s="48"/>
      <c r="M117" s="48"/>
      <c r="N117" s="48"/>
      <c r="O117" s="146"/>
      <c r="P117" s="146"/>
      <c r="Q117" s="48"/>
    </row>
    <row r="118" spans="2:17" s="45" customFormat="1" ht="9">
      <c r="B118" s="48"/>
      <c r="C118" s="48"/>
      <c r="D118" s="48"/>
      <c r="E118" s="48"/>
      <c r="F118" s="48"/>
      <c r="G118" s="48"/>
      <c r="H118" s="48"/>
      <c r="I118" s="49"/>
      <c r="J118" s="48"/>
      <c r="K118" s="48"/>
      <c r="L118" s="48"/>
      <c r="M118" s="48"/>
      <c r="N118" s="48"/>
      <c r="O118" s="146"/>
      <c r="P118" s="146"/>
      <c r="Q118" s="48"/>
    </row>
    <row r="119" spans="2:17" s="45" customFormat="1" ht="9">
      <c r="B119" s="48"/>
      <c r="C119" s="48"/>
      <c r="D119" s="48"/>
      <c r="E119" s="48"/>
      <c r="F119" s="48"/>
      <c r="G119" s="48"/>
      <c r="H119" s="48"/>
      <c r="I119" s="49"/>
      <c r="J119" s="48"/>
      <c r="K119" s="48"/>
      <c r="L119" s="48"/>
      <c r="M119" s="48"/>
      <c r="N119" s="48"/>
      <c r="O119" s="146"/>
      <c r="P119" s="146"/>
      <c r="Q119" s="48"/>
    </row>
    <row r="120" spans="2:17" s="45" customFormat="1" ht="9">
      <c r="B120" s="48"/>
      <c r="C120" s="48"/>
      <c r="D120" s="48"/>
      <c r="E120" s="48"/>
      <c r="F120" s="48"/>
      <c r="G120" s="48"/>
      <c r="H120" s="48"/>
      <c r="I120" s="49"/>
      <c r="J120" s="48"/>
      <c r="K120" s="48"/>
      <c r="L120" s="48"/>
      <c r="M120" s="48"/>
      <c r="N120" s="48"/>
      <c r="O120" s="146"/>
      <c r="P120" s="146"/>
      <c r="Q120" s="48"/>
    </row>
    <row r="121" spans="2:17" s="45" customFormat="1" ht="9">
      <c r="B121" s="48"/>
      <c r="C121" s="48"/>
      <c r="D121" s="48"/>
      <c r="E121" s="48"/>
      <c r="F121" s="48"/>
      <c r="G121" s="48"/>
      <c r="H121" s="48"/>
      <c r="I121" s="49"/>
      <c r="J121" s="48"/>
      <c r="K121" s="48"/>
      <c r="L121" s="48"/>
      <c r="M121" s="48"/>
      <c r="N121" s="48"/>
      <c r="O121" s="146"/>
      <c r="P121" s="146"/>
      <c r="Q121" s="48"/>
    </row>
  </sheetData>
  <mergeCells count="7">
    <mergeCell ref="A85:Q87"/>
    <mergeCell ref="A80:N80"/>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T102"/>
  <sheetViews>
    <sheetView zoomScaleNormal="100" workbookViewId="0">
      <pane xSplit="1" ySplit="3" topLeftCell="B4" activePane="bottomRight" state="frozen"/>
      <selection activeCell="L41" sqref="L41"/>
      <selection pane="topRight" activeCell="L41" sqref="L41"/>
      <selection pane="bottomLeft" activeCell="L41" sqref="L41"/>
      <selection pane="bottomRight" activeCell="I12" sqref="I12"/>
    </sheetView>
  </sheetViews>
  <sheetFormatPr defaultRowHeight="11.25"/>
  <cols>
    <col min="1" max="1" width="36.5703125" style="88" customWidth="1"/>
    <col min="2" max="2" width="8.42578125" style="46"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8.28515625" style="46" customWidth="1"/>
    <col min="9" max="9" width="9.42578125" style="47" bestFit="1" customWidth="1"/>
    <col min="10" max="10" width="7.5703125" style="46" customWidth="1"/>
    <col min="11" max="11" width="7.140625" style="46" customWidth="1"/>
    <col min="12" max="12" width="7.5703125" style="46" customWidth="1"/>
    <col min="13" max="13" width="7.85546875" style="46" hidden="1" customWidth="1"/>
    <col min="14" max="14" width="10.140625" style="46" customWidth="1"/>
    <col min="15" max="15" width="10.140625" style="145" bestFit="1" customWidth="1"/>
    <col min="16" max="16" width="10" style="145" bestFit="1" customWidth="1"/>
    <col min="17" max="17" width="4.28515625" style="46" bestFit="1" customWidth="1"/>
    <col min="18" max="19" width="9.140625" style="88" hidden="1" customWidth="1"/>
    <col min="20" max="20" width="5.85546875" style="88" customWidth="1"/>
    <col min="21" max="16384" width="9.140625" style="88"/>
  </cols>
  <sheetData>
    <row r="1" spans="1:19">
      <c r="A1" s="496" t="s">
        <v>346</v>
      </c>
      <c r="B1" s="496"/>
      <c r="C1" s="496"/>
      <c r="D1" s="496"/>
      <c r="E1" s="496"/>
      <c r="F1" s="496"/>
      <c r="G1" s="496"/>
      <c r="H1" s="496"/>
      <c r="I1" s="496"/>
      <c r="J1" s="496"/>
      <c r="K1" s="496"/>
      <c r="L1" s="496"/>
      <c r="M1" s="496"/>
      <c r="N1" s="496"/>
      <c r="O1" s="496"/>
      <c r="P1" s="496"/>
      <c r="Q1" s="496"/>
    </row>
    <row r="2" spans="1:19">
      <c r="A2" s="497" t="s">
        <v>96</v>
      </c>
      <c r="B2" s="497"/>
      <c r="C2" s="497"/>
      <c r="D2" s="497"/>
      <c r="E2" s="497"/>
      <c r="F2" s="497"/>
      <c r="G2" s="497"/>
      <c r="H2" s="497"/>
      <c r="I2" s="497"/>
      <c r="J2" s="497"/>
      <c r="K2" s="497"/>
      <c r="L2" s="497"/>
      <c r="M2" s="497"/>
      <c r="N2" s="497"/>
      <c r="O2" s="497"/>
      <c r="P2" s="497"/>
      <c r="Q2" s="497"/>
    </row>
    <row r="3" spans="1:19" s="142" customFormat="1" ht="63">
      <c r="A3" s="38" t="s">
        <v>343</v>
      </c>
      <c r="B3" s="38" t="s">
        <v>424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19" s="115" customFormat="1" ht="9">
      <c r="A4" s="127" t="s">
        <v>356</v>
      </c>
      <c r="B4" s="128" t="s">
        <v>384</v>
      </c>
      <c r="C4" s="128"/>
      <c r="D4" s="130"/>
      <c r="E4" s="130"/>
      <c r="F4" s="130"/>
      <c r="G4" s="128"/>
      <c r="H4" s="128"/>
      <c r="I4" s="132"/>
      <c r="J4" s="132"/>
      <c r="K4" s="132"/>
      <c r="L4" s="132"/>
      <c r="M4" s="128"/>
      <c r="N4" s="130"/>
      <c r="O4" s="130"/>
      <c r="P4" s="130"/>
      <c r="Q4" s="188"/>
    </row>
    <row r="5" spans="1:19" s="115" customFormat="1" ht="9">
      <c r="A5" s="110" t="s">
        <v>357</v>
      </c>
      <c r="B5" s="37" t="s">
        <v>384</v>
      </c>
      <c r="C5" s="37"/>
      <c r="D5" s="44"/>
      <c r="E5" s="44"/>
      <c r="F5" s="44"/>
      <c r="G5" s="37"/>
      <c r="H5" s="37"/>
      <c r="I5" s="73"/>
      <c r="J5" s="73"/>
      <c r="K5" s="73"/>
      <c r="L5" s="73"/>
      <c r="M5" s="37"/>
      <c r="N5" s="44"/>
      <c r="O5" s="44"/>
      <c r="P5" s="44"/>
      <c r="Q5" s="75"/>
    </row>
    <row r="6" spans="1:19" s="115" customFormat="1" ht="9">
      <c r="A6" s="110" t="s">
        <v>358</v>
      </c>
      <c r="B6" s="37"/>
      <c r="C6" s="37"/>
      <c r="D6" s="44"/>
      <c r="E6" s="44"/>
      <c r="F6" s="44"/>
      <c r="G6" s="37"/>
      <c r="H6" s="37"/>
      <c r="I6" s="73"/>
      <c r="J6" s="73"/>
      <c r="K6" s="73"/>
      <c r="L6" s="73"/>
      <c r="M6" s="37"/>
      <c r="N6" s="44"/>
      <c r="O6" s="44"/>
      <c r="P6" s="44"/>
      <c r="Q6" s="75"/>
    </row>
    <row r="7" spans="1:19" s="115"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v>0</v>
      </c>
      <c r="Q7" s="75" t="s">
        <v>338</v>
      </c>
    </row>
    <row r="8" spans="1:19" s="115" customFormat="1" ht="9">
      <c r="A8" s="110" t="s">
        <v>360</v>
      </c>
      <c r="B8" s="37"/>
      <c r="C8" s="37"/>
      <c r="D8" s="44"/>
      <c r="E8" s="44"/>
      <c r="F8" s="44"/>
      <c r="G8" s="37"/>
      <c r="H8" s="37"/>
      <c r="I8" s="73"/>
      <c r="J8" s="73"/>
      <c r="K8" s="73"/>
      <c r="L8" s="73"/>
      <c r="M8" s="37"/>
      <c r="N8" s="44"/>
      <c r="O8" s="44"/>
      <c r="P8" s="44"/>
      <c r="Q8" s="75"/>
    </row>
    <row r="9" spans="1:19" s="115" customFormat="1" ht="9">
      <c r="A9" s="111" t="s">
        <v>374</v>
      </c>
      <c r="B9" s="37"/>
      <c r="C9" s="37"/>
      <c r="D9" s="76"/>
      <c r="E9" s="44"/>
      <c r="F9" s="44"/>
      <c r="G9" s="37"/>
      <c r="H9" s="37"/>
      <c r="I9" s="72"/>
      <c r="J9" s="73"/>
      <c r="K9" s="73"/>
      <c r="L9" s="73"/>
      <c r="M9" s="74"/>
      <c r="N9" s="44"/>
      <c r="O9" s="44"/>
      <c r="P9" s="44"/>
      <c r="Q9" s="75"/>
    </row>
    <row r="10" spans="1:19" s="115" customFormat="1" ht="9">
      <c r="A10" s="110" t="s">
        <v>249</v>
      </c>
      <c r="B10" s="37">
        <v>20</v>
      </c>
      <c r="C10" s="37"/>
      <c r="D10" s="44">
        <v>854</v>
      </c>
      <c r="E10" s="44">
        <v>0</v>
      </c>
      <c r="F10" s="44">
        <v>0</v>
      </c>
      <c r="G10" s="37">
        <v>1</v>
      </c>
      <c r="H10" s="37">
        <f>B10*G10</f>
        <v>20</v>
      </c>
      <c r="I10" s="72">
        <f>ROUND('Testing Costs'!$C$22*(SUM('Base Data'!$H$18:'Base Data'!$H$20,'Base Data'!$H$23:$H$25)/2),0)</f>
        <v>8</v>
      </c>
      <c r="J10" s="73">
        <f>H10*I10</f>
        <v>160</v>
      </c>
      <c r="K10" s="73">
        <f t="shared" ref="K10:K22" si="0">J10*0.1</f>
        <v>16</v>
      </c>
      <c r="L10" s="73">
        <f>J10*0.05</f>
        <v>8</v>
      </c>
      <c r="M10" s="74">
        <f>C10*G10*I10</f>
        <v>0</v>
      </c>
      <c r="N10" s="44">
        <f>(J10*'Base Data'!$C$5)+(K10*'Base Data'!$C$6)+(L10*'Base Data'!$C$7)</f>
        <v>17404.399999999998</v>
      </c>
      <c r="O10" s="44">
        <f>(D10+E10+F10)*G10*I10</f>
        <v>6832</v>
      </c>
      <c r="P10" s="73">
        <v>0</v>
      </c>
      <c r="Q10" s="75" t="s">
        <v>391</v>
      </c>
    </row>
    <row r="11" spans="1:19" s="115" customFormat="1" ht="9">
      <c r="A11" s="110" t="s">
        <v>251</v>
      </c>
      <c r="B11" s="37">
        <v>20</v>
      </c>
      <c r="C11" s="37"/>
      <c r="D11" s="44">
        <v>18292</v>
      </c>
      <c r="E11" s="44">
        <v>0</v>
      </c>
      <c r="F11" s="44">
        <v>0</v>
      </c>
      <c r="G11" s="37">
        <v>1</v>
      </c>
      <c r="H11" s="37">
        <f>B11*G11</f>
        <v>20</v>
      </c>
      <c r="I11" s="72">
        <f>ROUNDUP('Testing Costs'!$C$23*(SUM('Base Data'!$H$18:'Base Data'!$H$20,'Base Data'!$H$23:$H$25)/2),0)</f>
        <v>58</v>
      </c>
      <c r="J11" s="73">
        <f>H11*I11</f>
        <v>1160</v>
      </c>
      <c r="K11" s="73">
        <f t="shared" si="0"/>
        <v>116</v>
      </c>
      <c r="L11" s="73">
        <f>J11*0.05</f>
        <v>58</v>
      </c>
      <c r="M11" s="74">
        <f>C11*G11*I11</f>
        <v>0</v>
      </c>
      <c r="N11" s="44">
        <f>(J11*'Base Data'!$C$5)+(K11*'Base Data'!$C$6)+(L11*'Base Data'!$C$7)</f>
        <v>126181.9</v>
      </c>
      <c r="O11" s="44">
        <f>(D11+E11+F11)*G11*I11</f>
        <v>1060936</v>
      </c>
      <c r="P11" s="73">
        <v>0</v>
      </c>
      <c r="Q11" s="75" t="s">
        <v>391</v>
      </c>
    </row>
    <row r="12" spans="1:19" s="115" customFormat="1" ht="9">
      <c r="A12" s="111" t="s">
        <v>311</v>
      </c>
      <c r="B12" s="37">
        <v>12</v>
      </c>
      <c r="C12" s="37"/>
      <c r="D12" s="44">
        <v>0</v>
      </c>
      <c r="E12" s="44">
        <f>'Testing Costs'!$B$13</f>
        <v>5000</v>
      </c>
      <c r="F12" s="44">
        <v>0</v>
      </c>
      <c r="G12" s="37">
        <v>1</v>
      </c>
      <c r="H12" s="37">
        <f t="shared" ref="H12:H22" si="1">B12*G12</f>
        <v>12</v>
      </c>
      <c r="I12" s="72">
        <f>ROUNDUP(SUM('Base Data'!$D$18:$D$20,'Base Data'!$D$23:$D$25)/2,0)</f>
        <v>544</v>
      </c>
      <c r="J12" s="73">
        <f t="shared" ref="J12:J22" si="2">H12*I12</f>
        <v>6528</v>
      </c>
      <c r="K12" s="73">
        <f t="shared" si="0"/>
        <v>652.80000000000007</v>
      </c>
      <c r="L12" s="73">
        <f t="shared" ref="L12:L22" si="3">J12*0.05</f>
        <v>326.40000000000003</v>
      </c>
      <c r="M12" s="74"/>
      <c r="N12" s="44">
        <f>(J12*'Base Data'!$C$5)+(K12*'Base Data'!$C$6)+(L12*'Base Data'!$C$7)</f>
        <v>710099.5199999999</v>
      </c>
      <c r="O12" s="44">
        <f t="shared" ref="O12:O22" si="4">(D12+E12+F12)*G12*I12</f>
        <v>2720000</v>
      </c>
      <c r="P12" s="73">
        <v>0</v>
      </c>
      <c r="Q12" s="75" t="s">
        <v>90</v>
      </c>
      <c r="R12" s="342"/>
    </row>
    <row r="13" spans="1:19" s="115" customFormat="1" ht="9">
      <c r="A13" s="111" t="s">
        <v>312</v>
      </c>
      <c r="B13" s="37">
        <v>12</v>
      </c>
      <c r="C13" s="37"/>
      <c r="D13" s="44">
        <v>0</v>
      </c>
      <c r="E13" s="44">
        <f>'Testing Costs'!$B$17</f>
        <v>8000</v>
      </c>
      <c r="F13" s="44">
        <v>0</v>
      </c>
      <c r="G13" s="37">
        <v>1</v>
      </c>
      <c r="H13" s="37">
        <f t="shared" si="1"/>
        <v>12</v>
      </c>
      <c r="I13" s="72">
        <f>ROUNDUP(SUM('Base Data'!$D$18:$D$20,'Base Data'!$D$23:$D$25)/2,0)</f>
        <v>544</v>
      </c>
      <c r="J13" s="73">
        <f t="shared" si="2"/>
        <v>6528</v>
      </c>
      <c r="K13" s="73">
        <f t="shared" si="0"/>
        <v>652.80000000000007</v>
      </c>
      <c r="L13" s="73">
        <f t="shared" si="3"/>
        <v>326.40000000000003</v>
      </c>
      <c r="M13" s="74"/>
      <c r="N13" s="44">
        <f>(J13*'Base Data'!$C$5)+(K13*'Base Data'!$C$6)+(L13*'Base Data'!$C$7)</f>
        <v>710099.5199999999</v>
      </c>
      <c r="O13" s="44">
        <f t="shared" si="4"/>
        <v>4352000</v>
      </c>
      <c r="P13" s="73">
        <v>0</v>
      </c>
      <c r="Q13" s="75" t="s">
        <v>339</v>
      </c>
    </row>
    <row r="14" spans="1:19" s="115" customFormat="1" ht="9">
      <c r="A14" s="111" t="s">
        <v>313</v>
      </c>
      <c r="B14" s="37">
        <v>12</v>
      </c>
      <c r="C14" s="37"/>
      <c r="D14" s="44">
        <v>0</v>
      </c>
      <c r="E14" s="44">
        <f>'Testing Costs'!$B$15</f>
        <v>8000</v>
      </c>
      <c r="F14" s="44">
        <v>0</v>
      </c>
      <c r="G14" s="37">
        <v>1</v>
      </c>
      <c r="H14" s="37">
        <f t="shared" si="1"/>
        <v>12</v>
      </c>
      <c r="I14" s="72">
        <f>ROUNDUP(SUM('Base Data'!$D$18:$D$20,'Base Data'!$D$23:$D$25)/2,0)</f>
        <v>544</v>
      </c>
      <c r="J14" s="73">
        <f t="shared" si="2"/>
        <v>6528</v>
      </c>
      <c r="K14" s="73">
        <f t="shared" si="0"/>
        <v>652.80000000000007</v>
      </c>
      <c r="L14" s="73">
        <f t="shared" si="3"/>
        <v>326.40000000000003</v>
      </c>
      <c r="M14" s="74"/>
      <c r="N14" s="44">
        <f>(J14*'Base Data'!$C$5)+(K14*'Base Data'!$C$6)+(L14*'Base Data'!$C$7)</f>
        <v>710099.5199999999</v>
      </c>
      <c r="O14" s="44">
        <f t="shared" si="4"/>
        <v>4352000</v>
      </c>
      <c r="P14" s="73">
        <v>0</v>
      </c>
      <c r="Q14" s="75" t="s">
        <v>339</v>
      </c>
    </row>
    <row r="15" spans="1:19" s="115" customFormat="1" ht="9">
      <c r="A15" s="111" t="s">
        <v>185</v>
      </c>
      <c r="B15" s="37">
        <v>12</v>
      </c>
      <c r="C15" s="37"/>
      <c r="D15" s="44">
        <v>0</v>
      </c>
      <c r="E15" s="44">
        <f>'Testing Costs'!$B$14</f>
        <v>7000</v>
      </c>
      <c r="F15" s="44">
        <v>0</v>
      </c>
      <c r="G15" s="37">
        <v>1</v>
      </c>
      <c r="H15" s="37">
        <f t="shared" si="1"/>
        <v>12</v>
      </c>
      <c r="I15" s="72">
        <f>ROUNDUP(SUM('Base Data'!$D$18:$D$20,'Base Data'!$D$23:$D$25)/2,0)</f>
        <v>544</v>
      </c>
      <c r="J15" s="73">
        <f t="shared" si="2"/>
        <v>6528</v>
      </c>
      <c r="K15" s="73">
        <f t="shared" si="0"/>
        <v>652.80000000000007</v>
      </c>
      <c r="L15" s="73">
        <f t="shared" si="3"/>
        <v>326.40000000000003</v>
      </c>
      <c r="M15" s="74"/>
      <c r="N15" s="44">
        <f>(J15*'Base Data'!$C$5)+(K15*'Base Data'!$C$6)+(L15*'Base Data'!$C$7)</f>
        <v>710099.5199999999</v>
      </c>
      <c r="O15" s="44">
        <f t="shared" si="4"/>
        <v>3808000</v>
      </c>
      <c r="P15" s="73">
        <v>0</v>
      </c>
      <c r="Q15" s="75" t="s">
        <v>339</v>
      </c>
    </row>
    <row r="16" spans="1:19" s="115" customFormat="1" ht="9" customHeight="1">
      <c r="A16" s="111" t="s">
        <v>137</v>
      </c>
      <c r="B16" s="37">
        <v>12</v>
      </c>
      <c r="C16" s="37"/>
      <c r="D16" s="44">
        <v>0</v>
      </c>
      <c r="E16" s="44">
        <f>'Testing Costs'!$B$13</f>
        <v>5000</v>
      </c>
      <c r="F16" s="44">
        <v>0</v>
      </c>
      <c r="G16" s="37">
        <v>1</v>
      </c>
      <c r="H16" s="37">
        <f t="shared" si="1"/>
        <v>12</v>
      </c>
      <c r="I16" s="72">
        <v>0</v>
      </c>
      <c r="J16" s="73">
        <f t="shared" si="2"/>
        <v>0</v>
      </c>
      <c r="K16" s="73">
        <f t="shared" si="0"/>
        <v>0</v>
      </c>
      <c r="L16" s="73">
        <f t="shared" si="3"/>
        <v>0</v>
      </c>
      <c r="M16" s="74"/>
      <c r="N16" s="44">
        <f>(J16*'Base Data'!$C$5)+(K16*'Base Data'!$C$6)+(L16*'Base Data'!$C$7)</f>
        <v>0</v>
      </c>
      <c r="O16" s="44">
        <f t="shared" si="4"/>
        <v>0</v>
      </c>
      <c r="P16" s="73">
        <v>0</v>
      </c>
      <c r="Q16" s="75" t="s">
        <v>483</v>
      </c>
    </row>
    <row r="17" spans="1:20" s="115" customFormat="1" ht="9">
      <c r="A17" s="111" t="s">
        <v>138</v>
      </c>
      <c r="B17" s="37">
        <v>12</v>
      </c>
      <c r="C17" s="37"/>
      <c r="D17" s="44">
        <v>0</v>
      </c>
      <c r="E17" s="44">
        <f>'Testing Costs'!$B$17</f>
        <v>8000</v>
      </c>
      <c r="F17" s="44">
        <v>0</v>
      </c>
      <c r="G17" s="37">
        <v>1</v>
      </c>
      <c r="H17" s="37">
        <f t="shared" si="1"/>
        <v>12</v>
      </c>
      <c r="I17" s="72">
        <v>0</v>
      </c>
      <c r="J17" s="73">
        <f t="shared" si="2"/>
        <v>0</v>
      </c>
      <c r="K17" s="73">
        <f t="shared" si="0"/>
        <v>0</v>
      </c>
      <c r="L17" s="73">
        <f t="shared" si="3"/>
        <v>0</v>
      </c>
      <c r="M17" s="74"/>
      <c r="N17" s="44">
        <f>(J17*'Base Data'!$C$5)+(K17*'Base Data'!$C$6)+(L17*'Base Data'!$C$7)</f>
        <v>0</v>
      </c>
      <c r="O17" s="44">
        <f t="shared" si="4"/>
        <v>0</v>
      </c>
      <c r="P17" s="73">
        <v>0</v>
      </c>
      <c r="Q17" s="75" t="s">
        <v>476</v>
      </c>
    </row>
    <row r="18" spans="1:20" s="115" customFormat="1" ht="9">
      <c r="A18" s="111" t="s">
        <v>139</v>
      </c>
      <c r="B18" s="37">
        <v>12</v>
      </c>
      <c r="C18" s="37"/>
      <c r="D18" s="44">
        <v>0</v>
      </c>
      <c r="E18" s="44">
        <f>'Testing Costs'!$B$15</f>
        <v>8000</v>
      </c>
      <c r="F18" s="44">
        <v>0</v>
      </c>
      <c r="G18" s="37">
        <v>1</v>
      </c>
      <c r="H18" s="37">
        <f t="shared" si="1"/>
        <v>12</v>
      </c>
      <c r="I18" s="72">
        <v>0</v>
      </c>
      <c r="J18" s="73">
        <f t="shared" si="2"/>
        <v>0</v>
      </c>
      <c r="K18" s="73">
        <f t="shared" si="0"/>
        <v>0</v>
      </c>
      <c r="L18" s="73">
        <f t="shared" si="3"/>
        <v>0</v>
      </c>
      <c r="M18" s="74"/>
      <c r="N18" s="44">
        <f>(J18*'Base Data'!$C$5)+(K18*'Base Data'!$C$6)+(L18*'Base Data'!$C$7)</f>
        <v>0</v>
      </c>
      <c r="O18" s="44">
        <f t="shared" si="4"/>
        <v>0</v>
      </c>
      <c r="P18" s="73">
        <v>0</v>
      </c>
      <c r="Q18" s="75" t="s">
        <v>476</v>
      </c>
    </row>
    <row r="19" spans="1:20" s="115" customFormat="1" ht="9">
      <c r="A19" s="111" t="s">
        <v>140</v>
      </c>
      <c r="B19" s="37">
        <v>12</v>
      </c>
      <c r="C19" s="37"/>
      <c r="D19" s="44">
        <v>0</v>
      </c>
      <c r="E19" s="44">
        <f>'Testing Costs'!$B$14</f>
        <v>7000</v>
      </c>
      <c r="F19" s="44">
        <v>0</v>
      </c>
      <c r="G19" s="37">
        <v>1</v>
      </c>
      <c r="H19" s="37">
        <f t="shared" si="1"/>
        <v>12</v>
      </c>
      <c r="I19" s="72">
        <v>0</v>
      </c>
      <c r="J19" s="73">
        <f t="shared" si="2"/>
        <v>0</v>
      </c>
      <c r="K19" s="73">
        <f t="shared" si="0"/>
        <v>0</v>
      </c>
      <c r="L19" s="73">
        <f t="shared" si="3"/>
        <v>0</v>
      </c>
      <c r="M19" s="74"/>
      <c r="N19" s="44">
        <f>(J19*'Base Data'!$C$5)+(K19*'Base Data'!$C$6)+(L19*'Base Data'!$C$7)</f>
        <v>0</v>
      </c>
      <c r="O19" s="44">
        <f t="shared" si="4"/>
        <v>0</v>
      </c>
      <c r="P19" s="73">
        <v>0</v>
      </c>
      <c r="Q19" s="75" t="s">
        <v>476</v>
      </c>
    </row>
    <row r="20" spans="1:20" s="115" customFormat="1" ht="18.75" customHeight="1">
      <c r="A20" s="259" t="s">
        <v>524</v>
      </c>
      <c r="B20" s="37">
        <v>24</v>
      </c>
      <c r="C20" s="258"/>
      <c r="D20" s="44">
        <v>0</v>
      </c>
      <c r="E20" s="44">
        <f>$E$13+$E$14</f>
        <v>16000</v>
      </c>
      <c r="F20" s="44">
        <v>0</v>
      </c>
      <c r="G20" s="37">
        <v>1</v>
      </c>
      <c r="H20" s="37">
        <f t="shared" si="1"/>
        <v>24</v>
      </c>
      <c r="I20" s="72">
        <f>ROUNDUP('Base Data'!F49/2,0)</f>
        <v>544</v>
      </c>
      <c r="J20" s="73">
        <f t="shared" ref="J20" si="5">H20*I20</f>
        <v>13056</v>
      </c>
      <c r="K20" s="73">
        <f t="shared" ref="K20" si="6">J20*0.1</f>
        <v>1305.6000000000001</v>
      </c>
      <c r="L20" s="73">
        <f t="shared" ref="L20" si="7">J20*0.05</f>
        <v>652.80000000000007</v>
      </c>
      <c r="M20" s="74"/>
      <c r="N20" s="44">
        <f>(J20*'Base Data'!$C$5)+(K20*'Base Data'!$C$6)+(L20*'Base Data'!$C$7)</f>
        <v>1420199.0399999998</v>
      </c>
      <c r="O20" s="44">
        <f t="shared" ref="O20" si="8">(D20+E20+F20)*G20*I20</f>
        <v>8704000</v>
      </c>
      <c r="P20" s="73">
        <v>0</v>
      </c>
      <c r="Q20" s="75" t="s">
        <v>323</v>
      </c>
    </row>
    <row r="21" spans="1:20" s="115" customFormat="1" ht="9" customHeight="1">
      <c r="A21" s="111" t="s">
        <v>525</v>
      </c>
      <c r="B21" s="37">
        <v>5</v>
      </c>
      <c r="C21" s="37"/>
      <c r="D21" s="44">
        <v>0</v>
      </c>
      <c r="E21" s="44">
        <v>400</v>
      </c>
      <c r="F21" s="44">
        <v>0</v>
      </c>
      <c r="G21" s="37">
        <v>1</v>
      </c>
      <c r="H21" s="37">
        <f t="shared" si="1"/>
        <v>5</v>
      </c>
      <c r="I21" s="72">
        <v>0</v>
      </c>
      <c r="J21" s="73">
        <f t="shared" si="2"/>
        <v>0</v>
      </c>
      <c r="K21" s="73">
        <f t="shared" si="0"/>
        <v>0</v>
      </c>
      <c r="L21" s="73">
        <f t="shared" si="3"/>
        <v>0</v>
      </c>
      <c r="M21" s="74"/>
      <c r="N21" s="44">
        <f>(J21*'Base Data'!$C$5)+(K21*'Base Data'!$C$6)+(L21*'Base Data'!$C$7)</f>
        <v>0</v>
      </c>
      <c r="O21" s="44">
        <f t="shared" si="4"/>
        <v>0</v>
      </c>
      <c r="P21" s="73">
        <v>0</v>
      </c>
      <c r="Q21" s="75" t="s">
        <v>89</v>
      </c>
    </row>
    <row r="22" spans="1:20" s="115" customFormat="1" ht="9" customHeight="1">
      <c r="A22" s="111" t="s">
        <v>526</v>
      </c>
      <c r="B22" s="37">
        <v>5</v>
      </c>
      <c r="C22" s="37"/>
      <c r="D22" s="44">
        <v>0</v>
      </c>
      <c r="E22" s="44">
        <v>400</v>
      </c>
      <c r="F22" s="44">
        <v>0</v>
      </c>
      <c r="G22" s="37">
        <v>12</v>
      </c>
      <c r="H22" s="37">
        <f t="shared" si="1"/>
        <v>60</v>
      </c>
      <c r="I22" s="72">
        <v>0</v>
      </c>
      <c r="J22" s="73">
        <f t="shared" si="2"/>
        <v>0</v>
      </c>
      <c r="K22" s="73">
        <f t="shared" si="0"/>
        <v>0</v>
      </c>
      <c r="L22" s="73">
        <f t="shared" si="3"/>
        <v>0</v>
      </c>
      <c r="M22" s="74"/>
      <c r="N22" s="44">
        <f>(J22*'Base Data'!$C$5)+(K22*'Base Data'!$C$6)+(L22*'Base Data'!$C$7)</f>
        <v>0</v>
      </c>
      <c r="O22" s="44">
        <f t="shared" si="4"/>
        <v>0</v>
      </c>
      <c r="P22" s="73">
        <v>0</v>
      </c>
      <c r="Q22" s="75" t="s">
        <v>89</v>
      </c>
    </row>
    <row r="23" spans="1:20" s="115" customFormat="1" ht="9">
      <c r="A23" s="110" t="s">
        <v>528</v>
      </c>
      <c r="B23" s="37">
        <v>12</v>
      </c>
      <c r="C23" s="37"/>
      <c r="D23" s="44">
        <v>0</v>
      </c>
      <c r="E23" s="44">
        <v>2875</v>
      </c>
      <c r="F23" s="44">
        <v>0</v>
      </c>
      <c r="G23" s="37">
        <v>1</v>
      </c>
      <c r="H23" s="37">
        <f>B23*G23</f>
        <v>12</v>
      </c>
      <c r="I23" s="73">
        <f>ROUNDUP(SUM('Base Data'!$D$18:$D$20,'Base Data'!$D$23:$D$25)/2,0)</f>
        <v>544</v>
      </c>
      <c r="J23" s="72">
        <f>H23*I23</f>
        <v>6528</v>
      </c>
      <c r="K23" s="72">
        <f>J23*0.1</f>
        <v>652.80000000000007</v>
      </c>
      <c r="L23" s="72">
        <f>J23*0.05</f>
        <v>326.40000000000003</v>
      </c>
      <c r="M23" s="73"/>
      <c r="N23" s="44">
        <f>(J23*'Base Data'!$C$5)+(K23*'Base Data'!$C$6)+(L23*'Base Data'!$C$7)</f>
        <v>710099.5199999999</v>
      </c>
      <c r="O23" s="44">
        <f>(D23+E23+F23)*G23*I23</f>
        <v>1564000</v>
      </c>
      <c r="P23" s="73">
        <v>0</v>
      </c>
      <c r="Q23" s="75" t="s">
        <v>492</v>
      </c>
      <c r="R23" s="342"/>
    </row>
    <row r="24" spans="1:20" s="115" customFormat="1" ht="9">
      <c r="A24" s="111" t="s">
        <v>245</v>
      </c>
      <c r="B24" s="37"/>
      <c r="C24" s="37"/>
      <c r="D24" s="44"/>
      <c r="E24" s="44"/>
      <c r="F24" s="44"/>
      <c r="G24" s="37"/>
      <c r="H24" s="37"/>
      <c r="I24" s="73"/>
      <c r="J24" s="73"/>
      <c r="K24" s="73"/>
      <c r="L24" s="73"/>
      <c r="M24" s="74"/>
      <c r="N24" s="44"/>
      <c r="O24" s="44"/>
      <c r="P24" s="73"/>
      <c r="Q24" s="75" t="s">
        <v>496</v>
      </c>
    </row>
    <row r="25" spans="1:20" s="115" customFormat="1" ht="9">
      <c r="A25" s="111" t="s">
        <v>383</v>
      </c>
      <c r="B25" s="37">
        <v>40</v>
      </c>
      <c r="C25" s="37"/>
      <c r="D25" s="44">
        <v>0</v>
      </c>
      <c r="E25" s="44"/>
      <c r="F25" s="44">
        <v>0</v>
      </c>
      <c r="G25" s="37">
        <v>1</v>
      </c>
      <c r="H25" s="37">
        <f>B25*G25</f>
        <v>40</v>
      </c>
      <c r="I25" s="72">
        <f>ROUNDUP(SUM('Base Data'!$H$18:$H$20,'Base Data'!$H$23:$H$25)/2,0)</f>
        <v>66</v>
      </c>
      <c r="J25" s="73">
        <f>H25*I25</f>
        <v>2640</v>
      </c>
      <c r="K25" s="73">
        <f>J25*0.1</f>
        <v>264</v>
      </c>
      <c r="L25" s="73">
        <f>J25*0.05</f>
        <v>132</v>
      </c>
      <c r="M25" s="74"/>
      <c r="N25" s="44">
        <f>(J25*'Base Data'!$C$5)+(K25*'Base Data'!$C$6)+(L25*'Base Data'!$C$7)</f>
        <v>287172.59999999998</v>
      </c>
      <c r="O25" s="44">
        <f>(D25+E25+F25)*G25*I25</f>
        <v>0</v>
      </c>
      <c r="P25" s="73">
        <v>0</v>
      </c>
      <c r="Q25" s="75" t="s">
        <v>339</v>
      </c>
    </row>
    <row r="26" spans="1:20" s="115" customFormat="1" ht="9">
      <c r="A26" s="110" t="s">
        <v>361</v>
      </c>
      <c r="B26" s="37"/>
      <c r="C26" s="37"/>
      <c r="D26" s="44"/>
      <c r="E26" s="44"/>
      <c r="F26" s="44"/>
      <c r="G26" s="37"/>
      <c r="H26" s="37"/>
      <c r="I26" s="73"/>
      <c r="J26" s="73"/>
      <c r="K26" s="73"/>
      <c r="L26" s="73"/>
      <c r="M26" s="74"/>
      <c r="N26" s="44"/>
      <c r="O26" s="44"/>
      <c r="P26" s="73"/>
      <c r="Q26" s="75"/>
    </row>
    <row r="27" spans="1:20" s="115" customFormat="1" ht="9">
      <c r="A27" s="110" t="s">
        <v>362</v>
      </c>
      <c r="B27" s="37">
        <v>10</v>
      </c>
      <c r="C27" s="37"/>
      <c r="D27" s="44">
        <v>0</v>
      </c>
      <c r="E27" s="44">
        <v>0</v>
      </c>
      <c r="F27" s="44">
        <v>43100</v>
      </c>
      <c r="G27" s="37">
        <v>1</v>
      </c>
      <c r="H27" s="37">
        <f>B27*G27</f>
        <v>10</v>
      </c>
      <c r="I27" s="72">
        <f>ROUNDUP(Monitors!$C$6/2,0)</f>
        <v>226</v>
      </c>
      <c r="J27" s="73">
        <f>H27*I27</f>
        <v>2260</v>
      </c>
      <c r="K27" s="73">
        <f>J27*0.1</f>
        <v>226</v>
      </c>
      <c r="L27" s="73">
        <f>J27*0.05</f>
        <v>113</v>
      </c>
      <c r="M27" s="74"/>
      <c r="N27" s="44">
        <f>(J27*'Base Data'!$C$5)+(K27*'Base Data'!$C$6)+(L27*'Base Data'!$C$7)</f>
        <v>245837.15</v>
      </c>
      <c r="O27" s="44">
        <f>(D27+E27+F27)*G27*I27</f>
        <v>9740600</v>
      </c>
      <c r="P27" s="73">
        <v>0</v>
      </c>
      <c r="Q27" s="75" t="s">
        <v>339</v>
      </c>
    </row>
    <row r="28" spans="1:20" s="115" customFormat="1" ht="9">
      <c r="A28" s="110" t="s">
        <v>365</v>
      </c>
      <c r="B28" s="37">
        <v>10</v>
      </c>
      <c r="C28" s="37"/>
      <c r="D28" s="44">
        <v>0</v>
      </c>
      <c r="E28" s="44">
        <v>0</v>
      </c>
      <c r="F28" s="44">
        <v>14700</v>
      </c>
      <c r="G28" s="37">
        <v>1</v>
      </c>
      <c r="H28" s="37">
        <f>B28*G28</f>
        <v>10</v>
      </c>
      <c r="I28" s="72">
        <f>ROUNDUP(Monitors!$C$6/2,0)</f>
        <v>226</v>
      </c>
      <c r="J28" s="73">
        <f>H28*I28</f>
        <v>2260</v>
      </c>
      <c r="K28" s="73">
        <f>J28*0.1</f>
        <v>226</v>
      </c>
      <c r="L28" s="73">
        <f>J28*0.05</f>
        <v>113</v>
      </c>
      <c r="M28" s="74"/>
      <c r="N28" s="44">
        <f>(J28*'Base Data'!$C$5)+(K28*'Base Data'!$C$6)+(L28*'Base Data'!$C$7)</f>
        <v>245837.15</v>
      </c>
      <c r="O28" s="44">
        <f>(D28+E28+F28)*G28*I28</f>
        <v>3322200</v>
      </c>
      <c r="P28" s="73">
        <v>0</v>
      </c>
      <c r="Q28" s="75" t="s">
        <v>339</v>
      </c>
    </row>
    <row r="29" spans="1:20" s="115" customFormat="1" ht="9">
      <c r="A29" s="110" t="s">
        <v>310</v>
      </c>
      <c r="B29" s="37"/>
      <c r="C29" s="37"/>
      <c r="D29" s="44"/>
      <c r="E29" s="44"/>
      <c r="F29" s="44"/>
      <c r="G29" s="37"/>
      <c r="H29" s="37"/>
      <c r="I29" s="73"/>
      <c r="J29" s="73"/>
      <c r="K29" s="73"/>
      <c r="L29" s="73"/>
      <c r="M29" s="74"/>
      <c r="N29" s="44"/>
      <c r="O29" s="44"/>
      <c r="P29" s="73"/>
      <c r="Q29" s="75"/>
    </row>
    <row r="30" spans="1:20" s="115" customFormat="1" ht="9">
      <c r="A30" s="110" t="s">
        <v>362</v>
      </c>
      <c r="B30" s="37">
        <v>10</v>
      </c>
      <c r="C30" s="37"/>
      <c r="D30" s="44">
        <v>0</v>
      </c>
      <c r="E30" s="44">
        <v>0</v>
      </c>
      <c r="F30" s="44">
        <v>158000</v>
      </c>
      <c r="G30" s="37">
        <v>1</v>
      </c>
      <c r="H30" s="37">
        <f>B30*G30</f>
        <v>10</v>
      </c>
      <c r="I30" s="72">
        <f>ROUNDUP(Monitors!$H$6/2,0)</f>
        <v>145</v>
      </c>
      <c r="J30" s="73">
        <f>H30*I30</f>
        <v>1450</v>
      </c>
      <c r="K30" s="73">
        <f>J30*0.1</f>
        <v>145</v>
      </c>
      <c r="L30" s="73">
        <f>J30*0.05</f>
        <v>72.5</v>
      </c>
      <c r="M30" s="74"/>
      <c r="N30" s="44">
        <f>(J30*'Base Data'!$C$5)+(K30*'Base Data'!$C$6)+(L30*'Base Data'!$C$7)</f>
        <v>157727.375</v>
      </c>
      <c r="O30" s="44">
        <f>(D30+E30+F30)*G30*I30</f>
        <v>22910000</v>
      </c>
      <c r="P30" s="73">
        <v>0</v>
      </c>
      <c r="Q30" s="75" t="s">
        <v>493</v>
      </c>
      <c r="R30" s="342"/>
      <c r="T30" s="467"/>
    </row>
    <row r="31" spans="1:20" s="115" customFormat="1" ht="9">
      <c r="A31" s="110" t="s">
        <v>365</v>
      </c>
      <c r="B31" s="37">
        <v>10</v>
      </c>
      <c r="C31" s="37"/>
      <c r="D31" s="44">
        <v>0</v>
      </c>
      <c r="E31" s="44">
        <v>0</v>
      </c>
      <c r="F31" s="44">
        <v>56100</v>
      </c>
      <c r="G31" s="37">
        <v>1</v>
      </c>
      <c r="H31" s="37">
        <f>B31*G31</f>
        <v>10</v>
      </c>
      <c r="I31" s="72">
        <f>ROUNDUP(Monitors!$H$6/2,0)</f>
        <v>145</v>
      </c>
      <c r="J31" s="73">
        <f>H31*I31</f>
        <v>1450</v>
      </c>
      <c r="K31" s="73">
        <f>J31*0.1</f>
        <v>145</v>
      </c>
      <c r="L31" s="73">
        <f>J31*0.05</f>
        <v>72.5</v>
      </c>
      <c r="M31" s="74"/>
      <c r="N31" s="44">
        <f>(J31*'Base Data'!$C$5)+(K31*'Base Data'!$C$6)+(L31*'Base Data'!$C$7)</f>
        <v>157727.375</v>
      </c>
      <c r="O31" s="44">
        <f>(D31+E31+F31)*G31*I31</f>
        <v>8134500</v>
      </c>
      <c r="P31" s="73">
        <v>0</v>
      </c>
      <c r="Q31" s="75" t="s">
        <v>493</v>
      </c>
      <c r="R31" s="342"/>
    </row>
    <row r="32" spans="1:20" s="115" customFormat="1" ht="9">
      <c r="A32" s="110" t="s">
        <v>461</v>
      </c>
      <c r="B32" s="37"/>
      <c r="C32" s="37"/>
      <c r="D32" s="44"/>
      <c r="E32" s="44"/>
      <c r="F32" s="44"/>
      <c r="G32" s="37"/>
      <c r="H32" s="37"/>
      <c r="I32" s="72"/>
      <c r="J32" s="73"/>
      <c r="K32" s="73"/>
      <c r="L32" s="73"/>
      <c r="M32" s="74"/>
      <c r="N32" s="44"/>
      <c r="O32" s="44"/>
      <c r="P32" s="73"/>
      <c r="Q32" s="75"/>
    </row>
    <row r="33" spans="1:17" s="115" customFormat="1" ht="9">
      <c r="A33" s="110" t="s">
        <v>362</v>
      </c>
      <c r="B33" s="37">
        <v>10</v>
      </c>
      <c r="C33" s="37"/>
      <c r="D33" s="44">
        <v>0</v>
      </c>
      <c r="E33" s="44">
        <v>0</v>
      </c>
      <c r="F33" s="44">
        <f>Monitors!$F$32</f>
        <v>8523</v>
      </c>
      <c r="G33" s="37">
        <v>1</v>
      </c>
      <c r="H33" s="37">
        <f t="shared" ref="H33:H34" si="9">B33*G33</f>
        <v>10</v>
      </c>
      <c r="I33" s="72">
        <f>ROUND(Monitors!$F$6/2,0)</f>
        <v>544</v>
      </c>
      <c r="J33" s="73">
        <f t="shared" ref="J33:J34" si="10">H33*I33</f>
        <v>5440</v>
      </c>
      <c r="K33" s="73">
        <f t="shared" ref="K33:K34" si="11">J33*0.1</f>
        <v>544</v>
      </c>
      <c r="L33" s="73">
        <f t="shared" ref="L33:L34" si="12">J33*0.05</f>
        <v>272</v>
      </c>
      <c r="M33" s="74"/>
      <c r="N33" s="44">
        <f>(J33*'Base Data'!$C$5)+(K33*'Base Data'!$C$6)+(L33*'Base Data'!$C$7)</f>
        <v>591749.6</v>
      </c>
      <c r="O33" s="44">
        <f>(D33+E33+F33)*G33*I33</f>
        <v>4636512</v>
      </c>
      <c r="P33" s="73">
        <v>0</v>
      </c>
      <c r="Q33" s="75" t="s">
        <v>339</v>
      </c>
    </row>
    <row r="34" spans="1:17" s="115" customFormat="1" ht="9">
      <c r="A34" s="110" t="s">
        <v>365</v>
      </c>
      <c r="B34" s="37">
        <v>10</v>
      </c>
      <c r="C34" s="37"/>
      <c r="D34" s="44">
        <v>0</v>
      </c>
      <c r="E34" s="44">
        <v>0</v>
      </c>
      <c r="F34" s="44">
        <f>Monitors!$G$32</f>
        <v>1436</v>
      </c>
      <c r="G34" s="37">
        <v>1</v>
      </c>
      <c r="H34" s="37">
        <f t="shared" si="9"/>
        <v>10</v>
      </c>
      <c r="I34" s="72">
        <f>ROUND(Monitors!$F$6/2,0)</f>
        <v>544</v>
      </c>
      <c r="J34" s="73">
        <f t="shared" si="10"/>
        <v>5440</v>
      </c>
      <c r="K34" s="73">
        <f t="shared" si="11"/>
        <v>544</v>
      </c>
      <c r="L34" s="73">
        <f t="shared" si="12"/>
        <v>272</v>
      </c>
      <c r="M34" s="74"/>
      <c r="N34" s="44">
        <f>(J34*'Base Data'!$C$5)+(K34*'Base Data'!$C$6)+(L34*'Base Data'!$C$7)</f>
        <v>591749.6</v>
      </c>
      <c r="O34" s="44">
        <f>(D34+E34+F34)*G34*I34</f>
        <v>781184</v>
      </c>
      <c r="P34" s="73">
        <v>0</v>
      </c>
      <c r="Q34" s="75" t="s">
        <v>339</v>
      </c>
    </row>
    <row r="35" spans="1:17" s="115" customFormat="1" ht="18">
      <c r="A35" s="111" t="s">
        <v>160</v>
      </c>
      <c r="B35" s="37"/>
      <c r="C35" s="37"/>
      <c r="D35" s="44"/>
      <c r="E35" s="44"/>
      <c r="F35" s="76"/>
      <c r="G35" s="37"/>
      <c r="H35" s="37"/>
      <c r="I35" s="77"/>
      <c r="J35" s="73"/>
      <c r="K35" s="73"/>
      <c r="L35" s="73"/>
      <c r="M35" s="74"/>
      <c r="N35" s="44"/>
      <c r="O35" s="44"/>
      <c r="P35" s="73"/>
      <c r="Q35" s="75"/>
    </row>
    <row r="36" spans="1:17" s="115" customFormat="1" ht="9">
      <c r="A36" s="110" t="s">
        <v>362</v>
      </c>
      <c r="B36" s="37">
        <v>10</v>
      </c>
      <c r="C36" s="37"/>
      <c r="D36" s="44">
        <v>0</v>
      </c>
      <c r="E36" s="44">
        <v>0</v>
      </c>
      <c r="F36" s="44">
        <v>24300</v>
      </c>
      <c r="G36" s="37">
        <v>1</v>
      </c>
      <c r="H36" s="37">
        <f>B36*G36</f>
        <v>10</v>
      </c>
      <c r="I36" s="72">
        <f>ROUNDUP(Monitors!$D$6/2,0)</f>
        <v>200</v>
      </c>
      <c r="J36" s="73">
        <f>H36*I36</f>
        <v>2000</v>
      </c>
      <c r="K36" s="73">
        <f>J36*0.1</f>
        <v>200</v>
      </c>
      <c r="L36" s="73">
        <f>J36*0.05</f>
        <v>100</v>
      </c>
      <c r="M36" s="74"/>
      <c r="N36" s="44">
        <f>(J36*'Base Data'!$C$5)+(K36*'Base Data'!$C$6)+(L36*'Base Data'!$C$7)</f>
        <v>217555</v>
      </c>
      <c r="O36" s="44">
        <f>(D36+E36+F36)*G36*I36</f>
        <v>4860000</v>
      </c>
      <c r="P36" s="73">
        <v>0</v>
      </c>
      <c r="Q36" s="75" t="s">
        <v>339</v>
      </c>
    </row>
    <row r="37" spans="1:17" s="115" customFormat="1" ht="9">
      <c r="A37" s="110" t="s">
        <v>365</v>
      </c>
      <c r="B37" s="37">
        <v>10</v>
      </c>
      <c r="C37" s="37"/>
      <c r="D37" s="44">
        <v>0</v>
      </c>
      <c r="E37" s="44">
        <v>0</v>
      </c>
      <c r="F37" s="44">
        <v>5600</v>
      </c>
      <c r="G37" s="37">
        <v>1</v>
      </c>
      <c r="H37" s="37">
        <f>B37*G37</f>
        <v>10</v>
      </c>
      <c r="I37" s="72">
        <f>ROUNDUP(Monitors!$D$6/2,0)</f>
        <v>200</v>
      </c>
      <c r="J37" s="73">
        <f>H37*I37</f>
        <v>2000</v>
      </c>
      <c r="K37" s="73">
        <f>J37*0.1</f>
        <v>200</v>
      </c>
      <c r="L37" s="73">
        <f>J37*0.05</f>
        <v>100</v>
      </c>
      <c r="M37" s="74"/>
      <c r="N37" s="44">
        <f>(J37*'Base Data'!$C$5)+(K37*'Base Data'!$C$6)+(L37*'Base Data'!$C$7)</f>
        <v>217555</v>
      </c>
      <c r="O37" s="44">
        <f>(D37+E37+F37)*G37*I37</f>
        <v>1120000</v>
      </c>
      <c r="P37" s="73">
        <v>0</v>
      </c>
      <c r="Q37" s="75" t="s">
        <v>339</v>
      </c>
    </row>
    <row r="38" spans="1:17" s="115" customFormat="1" ht="18.75" customHeight="1">
      <c r="A38" s="111" t="s">
        <v>425</v>
      </c>
      <c r="B38" s="37"/>
      <c r="C38" s="37"/>
      <c r="D38" s="44"/>
      <c r="E38" s="44"/>
      <c r="F38" s="44"/>
      <c r="G38" s="37"/>
      <c r="H38" s="37"/>
      <c r="I38" s="72"/>
      <c r="J38" s="73"/>
      <c r="K38" s="73"/>
      <c r="L38" s="73"/>
      <c r="M38" s="74"/>
      <c r="N38" s="44"/>
      <c r="O38" s="183"/>
      <c r="P38" s="73"/>
      <c r="Q38" s="75"/>
    </row>
    <row r="39" spans="1:17" s="115" customFormat="1" ht="9">
      <c r="A39" s="110" t="s">
        <v>362</v>
      </c>
      <c r="B39" s="37">
        <v>10</v>
      </c>
      <c r="C39" s="37"/>
      <c r="D39" s="44">
        <v>0</v>
      </c>
      <c r="E39" s="44">
        <v>0</v>
      </c>
      <c r="F39" s="44">
        <f>25500</f>
        <v>25500</v>
      </c>
      <c r="G39" s="37">
        <v>1</v>
      </c>
      <c r="H39" s="37">
        <f>B39*G39</f>
        <v>10</v>
      </c>
      <c r="I39" s="72">
        <f>ROUNDUP(Monitors!$B$6/2,0)</f>
        <v>22</v>
      </c>
      <c r="J39" s="73">
        <f>H39*I39</f>
        <v>220</v>
      </c>
      <c r="K39" s="73">
        <f>J39*0.1</f>
        <v>22</v>
      </c>
      <c r="L39" s="73">
        <f>J39*0.05</f>
        <v>11</v>
      </c>
      <c r="M39" s="74"/>
      <c r="N39" s="44">
        <f>(J39*'Base Data'!$C$5)+(K39*'Base Data'!$C$6)+(L39*'Base Data'!$C$7)</f>
        <v>23931.05</v>
      </c>
      <c r="O39" s="44">
        <f>(D39+E39+F39)*G39*I39</f>
        <v>561000</v>
      </c>
      <c r="P39" s="73">
        <v>0</v>
      </c>
      <c r="Q39" s="75" t="s">
        <v>339</v>
      </c>
    </row>
    <row r="40" spans="1:17" s="115" customFormat="1" ht="9">
      <c r="A40" s="110" t="s">
        <v>365</v>
      </c>
      <c r="B40" s="37">
        <v>10</v>
      </c>
      <c r="C40" s="37"/>
      <c r="D40" s="44">
        <v>0</v>
      </c>
      <c r="E40" s="44">
        <v>0</v>
      </c>
      <c r="F40" s="44">
        <v>9700</v>
      </c>
      <c r="G40" s="37">
        <v>1</v>
      </c>
      <c r="H40" s="37">
        <f>B40*G40</f>
        <v>10</v>
      </c>
      <c r="I40" s="72">
        <f>ROUNDUP(Monitors!$B$6/2,0)</f>
        <v>22</v>
      </c>
      <c r="J40" s="73">
        <f>H40*I40</f>
        <v>220</v>
      </c>
      <c r="K40" s="73">
        <f>J40*0.1</f>
        <v>22</v>
      </c>
      <c r="L40" s="73">
        <f>J40*0.05</f>
        <v>11</v>
      </c>
      <c r="M40" s="74"/>
      <c r="N40" s="44">
        <f>(J40*'Base Data'!$C$5)+(K40*'Base Data'!$C$6)+(L40*'Base Data'!$C$7)</f>
        <v>23931.05</v>
      </c>
      <c r="O40" s="44">
        <f>(D40+E40+F40)*G40*I40</f>
        <v>213400</v>
      </c>
      <c r="P40" s="73">
        <v>0</v>
      </c>
      <c r="Q40" s="75" t="s">
        <v>339</v>
      </c>
    </row>
    <row r="41" spans="1:17" s="115" customFormat="1" ht="9">
      <c r="A41" s="111" t="s">
        <v>523</v>
      </c>
      <c r="B41" s="37"/>
      <c r="C41" s="37"/>
      <c r="D41" s="44"/>
      <c r="E41" s="44"/>
      <c r="F41" s="44"/>
      <c r="G41" s="37"/>
      <c r="H41" s="37"/>
      <c r="I41" s="72"/>
      <c r="J41" s="73"/>
      <c r="K41" s="73"/>
      <c r="L41" s="73"/>
      <c r="M41" s="74"/>
      <c r="N41" s="44"/>
      <c r="O41" s="183"/>
      <c r="P41" s="73"/>
      <c r="Q41" s="75"/>
    </row>
    <row r="42" spans="1:17" s="115" customFormat="1" ht="9">
      <c r="A42" s="110" t="s">
        <v>362</v>
      </c>
      <c r="B42" s="37">
        <v>10</v>
      </c>
      <c r="C42" s="37"/>
      <c r="D42" s="44">
        <v>0</v>
      </c>
      <c r="E42" s="44">
        <v>0</v>
      </c>
      <c r="F42" s="44">
        <v>43500</v>
      </c>
      <c r="G42" s="37">
        <v>1</v>
      </c>
      <c r="H42" s="37">
        <f>B42*G42</f>
        <v>10</v>
      </c>
      <c r="I42" s="72">
        <f>ROUNDUP(Monitors!$G$6/2,0)</f>
        <v>38</v>
      </c>
      <c r="J42" s="73">
        <f>H42*I42</f>
        <v>380</v>
      </c>
      <c r="K42" s="73">
        <f>J42*0.1</f>
        <v>38</v>
      </c>
      <c r="L42" s="73">
        <f>J42*0.05</f>
        <v>19</v>
      </c>
      <c r="M42" s="74"/>
      <c r="N42" s="44">
        <f>(J42*'Base Data'!$C$5)+(K42*'Base Data'!$C$6)+(L42*'Base Data'!$C$7)</f>
        <v>41335.449999999997</v>
      </c>
      <c r="O42" s="44">
        <f>(D42+E42+F42)*G42*I42</f>
        <v>1653000</v>
      </c>
      <c r="P42" s="73">
        <v>0</v>
      </c>
      <c r="Q42" s="75" t="s">
        <v>339</v>
      </c>
    </row>
    <row r="43" spans="1:17" s="115" customFormat="1" ht="9">
      <c r="A43" s="110" t="s">
        <v>365</v>
      </c>
      <c r="B43" s="37">
        <v>10</v>
      </c>
      <c r="C43" s="37"/>
      <c r="D43" s="44">
        <v>0</v>
      </c>
      <c r="E43" s="44">
        <v>0</v>
      </c>
      <c r="F43" s="44">
        <v>9700</v>
      </c>
      <c r="G43" s="37">
        <v>1</v>
      </c>
      <c r="H43" s="37">
        <f>B43*G43</f>
        <v>10</v>
      </c>
      <c r="I43" s="72">
        <f>ROUNDUP(Monitors!$G$6/2,0)</f>
        <v>38</v>
      </c>
      <c r="J43" s="73">
        <f>H43*I43</f>
        <v>380</v>
      </c>
      <c r="K43" s="73">
        <f>J43*0.1</f>
        <v>38</v>
      </c>
      <c r="L43" s="73">
        <f>J43*0.05</f>
        <v>19</v>
      </c>
      <c r="M43" s="74"/>
      <c r="N43" s="44">
        <f>(J43*'Base Data'!$C$5)+(K43*'Base Data'!$C$6)+(L43*'Base Data'!$C$7)</f>
        <v>41335.449999999997</v>
      </c>
      <c r="O43" s="44">
        <f>(D43+E43+F43)*G43*I43</f>
        <v>368600</v>
      </c>
      <c r="P43" s="73">
        <v>0</v>
      </c>
      <c r="Q43" s="75" t="s">
        <v>339</v>
      </c>
    </row>
    <row r="44" spans="1:17" s="115" customFormat="1" ht="18.75" customHeight="1">
      <c r="A44" s="111" t="s">
        <v>161</v>
      </c>
      <c r="B44" s="37"/>
      <c r="C44" s="37"/>
      <c r="D44" s="44"/>
      <c r="E44" s="44"/>
      <c r="F44" s="44"/>
      <c r="G44" s="37"/>
      <c r="H44" s="37"/>
      <c r="I44" s="77"/>
      <c r="J44" s="73"/>
      <c r="K44" s="73"/>
      <c r="L44" s="73"/>
      <c r="M44" s="74"/>
      <c r="N44" s="44"/>
      <c r="O44" s="44"/>
      <c r="P44" s="73"/>
      <c r="Q44" s="75"/>
    </row>
    <row r="45" spans="1:17" s="115" customFormat="1" ht="9">
      <c r="A45" s="110" t="s">
        <v>362</v>
      </c>
      <c r="B45" s="37">
        <v>10</v>
      </c>
      <c r="C45" s="37"/>
      <c r="D45" s="44">
        <v>0</v>
      </c>
      <c r="E45" s="44">
        <v>0</v>
      </c>
      <c r="F45" s="44">
        <v>115000</v>
      </c>
      <c r="G45" s="37">
        <v>1</v>
      </c>
      <c r="H45" s="37">
        <f>B45*G45</f>
        <v>10</v>
      </c>
      <c r="I45" s="72">
        <f>ROUNDUP(Monitors!$E$6/2,0)</f>
        <v>18</v>
      </c>
      <c r="J45" s="73">
        <f>H45*I45</f>
        <v>180</v>
      </c>
      <c r="K45" s="73">
        <f>J45*0.1</f>
        <v>18</v>
      </c>
      <c r="L45" s="73">
        <f>J45*0.05</f>
        <v>9</v>
      </c>
      <c r="M45" s="74"/>
      <c r="N45" s="44">
        <f>(J45*'Base Data'!$C$5)+(K45*'Base Data'!$C$6)+(L45*'Base Data'!$C$7)</f>
        <v>19579.95</v>
      </c>
      <c r="O45" s="44">
        <f>(D45+E45+F45)*G45*I45</f>
        <v>2070000</v>
      </c>
      <c r="P45" s="73">
        <v>0</v>
      </c>
      <c r="Q45" s="75" t="s">
        <v>339</v>
      </c>
    </row>
    <row r="46" spans="1:17" s="115" customFormat="1" ht="9">
      <c r="A46" s="110" t="s">
        <v>365</v>
      </c>
      <c r="B46" s="37">
        <v>10</v>
      </c>
      <c r="C46" s="37"/>
      <c r="D46" s="44">
        <v>0</v>
      </c>
      <c r="E46" s="44">
        <v>0</v>
      </c>
      <c r="F46" s="44">
        <v>9700</v>
      </c>
      <c r="G46" s="37">
        <v>1</v>
      </c>
      <c r="H46" s="37">
        <f>B46*G46</f>
        <v>10</v>
      </c>
      <c r="I46" s="72">
        <f>ROUNDUP(Monitors!$E$6/2,0)</f>
        <v>18</v>
      </c>
      <c r="J46" s="73">
        <f>H46*I46</f>
        <v>180</v>
      </c>
      <c r="K46" s="73">
        <f>J46*0.1</f>
        <v>18</v>
      </c>
      <c r="L46" s="73">
        <f>J46*0.05</f>
        <v>9</v>
      </c>
      <c r="M46" s="74"/>
      <c r="N46" s="44">
        <f>(J46*'Base Data'!$C$5)+(K46*'Base Data'!$C$6)+(L46*'Base Data'!$C$7)</f>
        <v>19579.95</v>
      </c>
      <c r="O46" s="44">
        <f>(D46+E46+F46)*G46*I46</f>
        <v>174600</v>
      </c>
      <c r="P46" s="73">
        <v>0</v>
      </c>
      <c r="Q46" s="75" t="s">
        <v>339</v>
      </c>
    </row>
    <row r="47" spans="1:17" s="115" customFormat="1" ht="9">
      <c r="A47" s="110" t="s">
        <v>366</v>
      </c>
      <c r="B47" s="37" t="s">
        <v>384</v>
      </c>
      <c r="C47" s="37"/>
      <c r="D47" s="44"/>
      <c r="E47" s="44"/>
      <c r="F47" s="44"/>
      <c r="G47" s="37"/>
      <c r="H47" s="37"/>
      <c r="I47" s="73"/>
      <c r="J47" s="73"/>
      <c r="K47" s="73"/>
      <c r="L47" s="73"/>
      <c r="M47" s="37"/>
      <c r="N47" s="44"/>
      <c r="O47" s="44"/>
      <c r="P47" s="73"/>
      <c r="Q47" s="75"/>
    </row>
    <row r="48" spans="1:17" s="115" customFormat="1" ht="9">
      <c r="A48" s="110" t="s">
        <v>367</v>
      </c>
      <c r="B48" s="37" t="s">
        <v>384</v>
      </c>
      <c r="C48" s="37"/>
      <c r="D48" s="44"/>
      <c r="E48" s="44"/>
      <c r="F48" s="44"/>
      <c r="G48" s="37"/>
      <c r="H48" s="37"/>
      <c r="I48" s="73"/>
      <c r="J48" s="73"/>
      <c r="K48" s="73"/>
      <c r="L48" s="73"/>
      <c r="M48" s="37"/>
      <c r="N48" s="44"/>
      <c r="O48" s="44"/>
      <c r="P48" s="73"/>
      <c r="Q48" s="75"/>
    </row>
    <row r="49" spans="1:19" s="115" customFormat="1" ht="9">
      <c r="A49" s="110" t="s">
        <v>368</v>
      </c>
      <c r="B49" s="37"/>
      <c r="C49" s="37"/>
      <c r="D49" s="44"/>
      <c r="E49" s="44"/>
      <c r="F49" s="44"/>
      <c r="G49" s="37"/>
      <c r="H49" s="37"/>
      <c r="I49" s="73"/>
      <c r="J49" s="73"/>
      <c r="K49" s="73"/>
      <c r="L49" s="73"/>
      <c r="M49" s="37"/>
      <c r="N49" s="44"/>
      <c r="O49" s="44"/>
      <c r="P49" s="73"/>
      <c r="Q49" s="75"/>
    </row>
    <row r="50" spans="1:19" s="115" customFormat="1" ht="9">
      <c r="A50" s="126" t="s">
        <v>386</v>
      </c>
      <c r="B50" s="37">
        <v>2</v>
      </c>
      <c r="C50" s="37"/>
      <c r="D50" s="44">
        <v>0</v>
      </c>
      <c r="E50" s="44">
        <v>0</v>
      </c>
      <c r="F50" s="44">
        <v>0</v>
      </c>
      <c r="G50" s="37">
        <v>1</v>
      </c>
      <c r="H50" s="37">
        <f>B50*G50</f>
        <v>2</v>
      </c>
      <c r="I50" s="72">
        <v>0</v>
      </c>
      <c r="J50" s="73">
        <f>H50*I50</f>
        <v>0</v>
      </c>
      <c r="K50" s="73">
        <f>J50*0.1</f>
        <v>0</v>
      </c>
      <c r="L50" s="73">
        <f>J50*0.05</f>
        <v>0</v>
      </c>
      <c r="M50" s="37">
        <f>C50*G50*I50</f>
        <v>0</v>
      </c>
      <c r="N50" s="44">
        <f>(J50*'Base Data'!$C$5)+(K50*'Base Data'!$C$6)+(L50*'Base Data'!$C$7)</f>
        <v>0</v>
      </c>
      <c r="O50" s="44">
        <f>(D50+E50+F50)*G50*I50</f>
        <v>0</v>
      </c>
      <c r="P50" s="73">
        <f>G50*I50</f>
        <v>0</v>
      </c>
      <c r="Q50" s="75" t="s">
        <v>338</v>
      </c>
    </row>
    <row r="51" spans="1:19" s="115" customFormat="1" ht="9" customHeight="1">
      <c r="A51" s="126" t="s">
        <v>328</v>
      </c>
      <c r="B51" s="37">
        <v>8</v>
      </c>
      <c r="C51" s="37"/>
      <c r="D51" s="44">
        <v>0</v>
      </c>
      <c r="E51" s="44">
        <v>0</v>
      </c>
      <c r="F51" s="44">
        <v>0</v>
      </c>
      <c r="G51" s="37">
        <v>1</v>
      </c>
      <c r="H51" s="37">
        <f>B51*G51</f>
        <v>8</v>
      </c>
      <c r="I51" s="72">
        <v>0</v>
      </c>
      <c r="J51" s="73">
        <f>H51*I51</f>
        <v>0</v>
      </c>
      <c r="K51" s="73">
        <f>J51*0.1</f>
        <v>0</v>
      </c>
      <c r="L51" s="73">
        <f>J51*0.05</f>
        <v>0</v>
      </c>
      <c r="M51" s="37">
        <f>C51*G51*I51</f>
        <v>0</v>
      </c>
      <c r="N51" s="44">
        <f>(J51*'Base Data'!$C$5)+(K51*'Base Data'!$C$6)+(L51*'Base Data'!$C$7)</f>
        <v>0</v>
      </c>
      <c r="O51" s="44">
        <f>(D51+E51+F51)*G51*I51</f>
        <v>0</v>
      </c>
      <c r="P51" s="73">
        <f>G51*I51</f>
        <v>0</v>
      </c>
      <c r="Q51" s="75" t="s">
        <v>339</v>
      </c>
    </row>
    <row r="52" spans="1:19" s="115" customFormat="1" ht="9">
      <c r="A52" s="126" t="s">
        <v>329</v>
      </c>
      <c r="B52" s="37">
        <v>5</v>
      </c>
      <c r="C52" s="37"/>
      <c r="D52" s="44">
        <v>0</v>
      </c>
      <c r="E52" s="44">
        <v>0</v>
      </c>
      <c r="F52" s="44">
        <v>0</v>
      </c>
      <c r="G52" s="37">
        <v>1</v>
      </c>
      <c r="H52" s="37">
        <f>B52*G52</f>
        <v>5</v>
      </c>
      <c r="I52" s="72">
        <v>0</v>
      </c>
      <c r="J52" s="73">
        <f>H52*I52</f>
        <v>0</v>
      </c>
      <c r="K52" s="73">
        <f>J52*0.1</f>
        <v>0</v>
      </c>
      <c r="L52" s="73">
        <f>J52*0.05</f>
        <v>0</v>
      </c>
      <c r="M52" s="37">
        <f>C52*G52*I52</f>
        <v>0</v>
      </c>
      <c r="N52" s="44">
        <f>(J52*'Base Data'!$C$5)+(K52*'Base Data'!$C$6)+(L52*'Base Data'!$C$7)</f>
        <v>0</v>
      </c>
      <c r="O52" s="44">
        <f>(D52+E52+F52)*G52*I52</f>
        <v>0</v>
      </c>
      <c r="P52" s="73">
        <f>G52*I52</f>
        <v>0</v>
      </c>
      <c r="Q52" s="75" t="s">
        <v>339</v>
      </c>
    </row>
    <row r="53" spans="1:19" s="115" customFormat="1" ht="9">
      <c r="A53" s="112" t="s">
        <v>407</v>
      </c>
      <c r="B53" s="37">
        <v>20</v>
      </c>
      <c r="C53" s="37">
        <v>0</v>
      </c>
      <c r="D53" s="44">
        <v>0</v>
      </c>
      <c r="E53" s="44">
        <v>0</v>
      </c>
      <c r="F53" s="44">
        <v>0</v>
      </c>
      <c r="G53" s="37">
        <v>2</v>
      </c>
      <c r="H53" s="37">
        <f>B53*G53</f>
        <v>40</v>
      </c>
      <c r="I53" s="72">
        <v>0</v>
      </c>
      <c r="J53" s="73">
        <f>H53*I53</f>
        <v>0</v>
      </c>
      <c r="K53" s="73">
        <f>J53*0.1</f>
        <v>0</v>
      </c>
      <c r="L53" s="73">
        <f>J53*0.05</f>
        <v>0</v>
      </c>
      <c r="M53" s="73">
        <f>C53*G53*I53</f>
        <v>0</v>
      </c>
      <c r="N53" s="44">
        <f>(J53*'Base Data'!$C$5)+(K53*'Base Data'!$C$6)+(L53*'Base Data'!$C$7)</f>
        <v>0</v>
      </c>
      <c r="O53" s="44">
        <f>(D53+E53+F53)*G53*I53</f>
        <v>0</v>
      </c>
      <c r="P53" s="73">
        <f>G53*I53</f>
        <v>0</v>
      </c>
      <c r="Q53" s="75" t="s">
        <v>339</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490</v>
      </c>
      <c r="R54" s="133"/>
    </row>
    <row r="55" spans="1:19" s="115" customFormat="1" ht="9">
      <c r="A55" s="113" t="s">
        <v>7</v>
      </c>
      <c r="B55" s="37"/>
      <c r="C55" s="37"/>
      <c r="D55" s="44"/>
      <c r="E55" s="44"/>
      <c r="F55" s="44"/>
      <c r="G55" s="37"/>
      <c r="H55" s="37"/>
      <c r="I55" s="72"/>
      <c r="J55" s="73">
        <f>SUM(J7:J53)</f>
        <v>73516</v>
      </c>
      <c r="K55" s="73">
        <f t="shared" ref="K55:M55" si="13">SUM(K7:K53)</f>
        <v>7351.6</v>
      </c>
      <c r="L55" s="73">
        <f t="shared" si="13"/>
        <v>3675.8</v>
      </c>
      <c r="M55" s="73">
        <f t="shared" si="13"/>
        <v>0</v>
      </c>
      <c r="N55" s="44">
        <f>SUM(N7:N53)</f>
        <v>7996886.6899999995</v>
      </c>
      <c r="O55" s="44">
        <f>SUM(O7:O53)</f>
        <v>87113364</v>
      </c>
      <c r="P55" s="73">
        <f>SUM(P50:P53)</f>
        <v>0</v>
      </c>
      <c r="Q55" s="75"/>
      <c r="R55" s="118">
        <f>SUM(O7,O10:O23,O28,O31,O34,O37,O40,O46,O43)</f>
        <v>40682252</v>
      </c>
      <c r="S55" s="117">
        <f>SUM(O27,O30,O33,O36,O39,O45,O42)</f>
        <v>46431112</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4">B61*G61</f>
        <v>20</v>
      </c>
      <c r="I61" s="72">
        <v>0</v>
      </c>
      <c r="J61" s="73">
        <f t="shared" ref="J61:J67" si="15">H61*I61</f>
        <v>0</v>
      </c>
      <c r="K61" s="73">
        <f t="shared" ref="K61:K67" si="16">J61*0.1</f>
        <v>0</v>
      </c>
      <c r="L61" s="73">
        <f t="shared" ref="L61:L67" si="17">J61*0.05</f>
        <v>0</v>
      </c>
      <c r="M61" s="37"/>
      <c r="N61" s="44">
        <f>(J61*'Base Data'!$C$5)+(K61*'Base Data'!$C$6)+(L61*'Base Data'!$C$7)</f>
        <v>0</v>
      </c>
      <c r="O61" s="44">
        <f t="shared" ref="O61:O67" si="18">(D61+E61+F61)*G61*I61</f>
        <v>0</v>
      </c>
      <c r="P61" s="73">
        <v>0</v>
      </c>
      <c r="Q61" s="75" t="s">
        <v>339</v>
      </c>
    </row>
    <row r="62" spans="1:19" s="115" customFormat="1" ht="9">
      <c r="A62" s="111" t="s">
        <v>376</v>
      </c>
      <c r="B62" s="37">
        <v>15</v>
      </c>
      <c r="C62" s="37">
        <v>0</v>
      </c>
      <c r="D62" s="44">
        <v>0</v>
      </c>
      <c r="E62" s="44">
        <v>0</v>
      </c>
      <c r="F62" s="44">
        <v>0</v>
      </c>
      <c r="G62" s="37">
        <v>1</v>
      </c>
      <c r="H62" s="37">
        <f t="shared" si="14"/>
        <v>15</v>
      </c>
      <c r="I62" s="72">
        <v>0</v>
      </c>
      <c r="J62" s="73">
        <f t="shared" si="15"/>
        <v>0</v>
      </c>
      <c r="K62" s="73">
        <f t="shared" si="16"/>
        <v>0</v>
      </c>
      <c r="L62" s="73">
        <f t="shared" si="17"/>
        <v>0</v>
      </c>
      <c r="M62" s="37">
        <f>C62*G62*I62</f>
        <v>0</v>
      </c>
      <c r="N62" s="44">
        <f>(J62*'Base Data'!$C$5)+(K62*'Base Data'!$C$6)+(L62*'Base Data'!$C$7)</f>
        <v>0</v>
      </c>
      <c r="O62" s="44">
        <f t="shared" si="18"/>
        <v>0</v>
      </c>
      <c r="P62" s="73">
        <v>0</v>
      </c>
      <c r="Q62" s="75" t="s">
        <v>339</v>
      </c>
    </row>
    <row r="63" spans="1:19" s="115" customFormat="1" ht="9.75" customHeight="1">
      <c r="A63" s="110" t="s">
        <v>377</v>
      </c>
      <c r="B63" s="37">
        <v>2</v>
      </c>
      <c r="C63" s="37"/>
      <c r="D63" s="44">
        <v>0</v>
      </c>
      <c r="E63" s="44">
        <v>0</v>
      </c>
      <c r="F63" s="44">
        <v>0</v>
      </c>
      <c r="G63" s="37">
        <v>1</v>
      </c>
      <c r="H63" s="37">
        <f t="shared" si="14"/>
        <v>2</v>
      </c>
      <c r="I63" s="72">
        <v>0</v>
      </c>
      <c r="J63" s="73">
        <f t="shared" si="15"/>
        <v>0</v>
      </c>
      <c r="K63" s="73">
        <f t="shared" si="16"/>
        <v>0</v>
      </c>
      <c r="L63" s="73">
        <f t="shared" si="17"/>
        <v>0</v>
      </c>
      <c r="M63" s="37"/>
      <c r="N63" s="44">
        <f>(J63*'Base Data'!$C$5)+(K63*'Base Data'!$C$6)+(L63*'Base Data'!$C$7)</f>
        <v>0</v>
      </c>
      <c r="O63" s="44">
        <f t="shared" si="18"/>
        <v>0</v>
      </c>
      <c r="P63" s="73">
        <v>0</v>
      </c>
      <c r="Q63" s="75" t="s">
        <v>339</v>
      </c>
    </row>
    <row r="64" spans="1:19" s="115" customFormat="1" ht="9">
      <c r="A64" s="111" t="s">
        <v>387</v>
      </c>
      <c r="B64" s="37">
        <v>2</v>
      </c>
      <c r="C64" s="37"/>
      <c r="D64" s="44">
        <v>0</v>
      </c>
      <c r="E64" s="44">
        <v>0</v>
      </c>
      <c r="F64" s="44">
        <v>0</v>
      </c>
      <c r="G64" s="37">
        <v>1</v>
      </c>
      <c r="H64" s="37">
        <f t="shared" si="14"/>
        <v>2</v>
      </c>
      <c r="I64" s="72">
        <v>0</v>
      </c>
      <c r="J64" s="73">
        <f t="shared" si="15"/>
        <v>0</v>
      </c>
      <c r="K64" s="73">
        <f t="shared" si="16"/>
        <v>0</v>
      </c>
      <c r="L64" s="73">
        <f t="shared" si="17"/>
        <v>0</v>
      </c>
      <c r="M64" s="37"/>
      <c r="N64" s="44">
        <f>(J64*'Base Data'!$C$5)+(K64*'Base Data'!$C$6)+(L64*'Base Data'!$C$7)</f>
        <v>0</v>
      </c>
      <c r="O64" s="44">
        <f t="shared" si="18"/>
        <v>0</v>
      </c>
      <c r="P64" s="73">
        <v>0</v>
      </c>
      <c r="Q64" s="75" t="s">
        <v>339</v>
      </c>
    </row>
    <row r="65" spans="1:18" s="115" customFormat="1" ht="9">
      <c r="A65" s="111" t="s">
        <v>388</v>
      </c>
      <c r="B65" s="37">
        <v>2</v>
      </c>
      <c r="C65" s="37">
        <v>0</v>
      </c>
      <c r="D65" s="44">
        <v>0</v>
      </c>
      <c r="E65" s="44">
        <v>0</v>
      </c>
      <c r="F65" s="44">
        <v>0</v>
      </c>
      <c r="G65" s="37">
        <v>2</v>
      </c>
      <c r="H65" s="37">
        <f t="shared" si="14"/>
        <v>4</v>
      </c>
      <c r="I65" s="72">
        <v>0</v>
      </c>
      <c r="J65" s="73">
        <f t="shared" si="15"/>
        <v>0</v>
      </c>
      <c r="K65" s="73">
        <f t="shared" si="16"/>
        <v>0</v>
      </c>
      <c r="L65" s="73">
        <f t="shared" si="17"/>
        <v>0</v>
      </c>
      <c r="M65" s="37">
        <f>C65*G65*I65</f>
        <v>0</v>
      </c>
      <c r="N65" s="44">
        <f>(J65*'Base Data'!$C$5)+(K65*'Base Data'!$C$6)+(L65*'Base Data'!$C$7)</f>
        <v>0</v>
      </c>
      <c r="O65" s="44">
        <f t="shared" si="18"/>
        <v>0</v>
      </c>
      <c r="P65" s="73">
        <v>0</v>
      </c>
      <c r="Q65" s="75" t="s">
        <v>339</v>
      </c>
    </row>
    <row r="66" spans="1:18" s="115" customFormat="1" ht="9">
      <c r="A66" s="111" t="s">
        <v>389</v>
      </c>
      <c r="B66" s="37">
        <v>0.5</v>
      </c>
      <c r="C66" s="37"/>
      <c r="D66" s="44">
        <v>0</v>
      </c>
      <c r="E66" s="44">
        <v>0</v>
      </c>
      <c r="F66" s="44">
        <v>0</v>
      </c>
      <c r="G66" s="37">
        <v>12</v>
      </c>
      <c r="H66" s="37">
        <f t="shared" si="14"/>
        <v>6</v>
      </c>
      <c r="I66" s="72">
        <v>0</v>
      </c>
      <c r="J66" s="73">
        <f t="shared" si="15"/>
        <v>0</v>
      </c>
      <c r="K66" s="73">
        <f t="shared" si="16"/>
        <v>0</v>
      </c>
      <c r="L66" s="73">
        <f t="shared" si="17"/>
        <v>0</v>
      </c>
      <c r="M66" s="37"/>
      <c r="N66" s="44">
        <f>(J66*'Base Data'!$C$5)+(K66*'Base Data'!$C$6)+(L66*'Base Data'!$C$7)</f>
        <v>0</v>
      </c>
      <c r="O66" s="44">
        <f t="shared" si="18"/>
        <v>0</v>
      </c>
      <c r="P66" s="73">
        <v>0</v>
      </c>
      <c r="Q66" s="75" t="s">
        <v>339</v>
      </c>
    </row>
    <row r="67" spans="1:18" s="115" customFormat="1" ht="9">
      <c r="A67" s="110" t="s">
        <v>378</v>
      </c>
      <c r="B67" s="37">
        <v>40</v>
      </c>
      <c r="C67" s="37"/>
      <c r="D67" s="44">
        <v>0</v>
      </c>
      <c r="E67" s="44">
        <v>0</v>
      </c>
      <c r="F67" s="44">
        <v>0</v>
      </c>
      <c r="G67" s="37">
        <v>1</v>
      </c>
      <c r="H67" s="37">
        <f t="shared" si="14"/>
        <v>40</v>
      </c>
      <c r="I67" s="72">
        <f>ROUND(SUM('Base Data'!$H$18:$H$20,'Base Data'!$H$23:$H$25)/2,0)</f>
        <v>66</v>
      </c>
      <c r="J67" s="73">
        <f t="shared" si="15"/>
        <v>2640</v>
      </c>
      <c r="K67" s="73">
        <f t="shared" si="16"/>
        <v>264</v>
      </c>
      <c r="L67" s="73">
        <f t="shared" si="17"/>
        <v>132</v>
      </c>
      <c r="M67" s="37"/>
      <c r="N67" s="44">
        <f>(J67*'Base Data'!$C$5)+(K67*'Base Data'!$C$6)+(L67*'Base Data'!$C$7)</f>
        <v>287172.59999999998</v>
      </c>
      <c r="O67" s="44">
        <f t="shared" si="18"/>
        <v>0</v>
      </c>
      <c r="P67" s="44">
        <v>0</v>
      </c>
      <c r="Q67" s="75" t="s">
        <v>248</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SUM(J57:J68)</f>
        <v>2640</v>
      </c>
      <c r="K69" s="186">
        <f t="shared" ref="K69:O69" si="19">SUM(K57:K68)</f>
        <v>264</v>
      </c>
      <c r="L69" s="186">
        <f t="shared" si="19"/>
        <v>132</v>
      </c>
      <c r="M69" s="185">
        <f t="shared" si="19"/>
        <v>0</v>
      </c>
      <c r="N69" s="185">
        <f t="shared" si="19"/>
        <v>287172.59999999998</v>
      </c>
      <c r="O69" s="185">
        <f t="shared" si="19"/>
        <v>0</v>
      </c>
      <c r="P69" s="186">
        <f>SUM(P57:P68)</f>
        <v>0</v>
      </c>
      <c r="Q69" s="187"/>
      <c r="R69" s="44">
        <f>SUM(R57:R68)</f>
        <v>0</v>
      </c>
    </row>
    <row r="70" spans="1:18" s="134" customFormat="1">
      <c r="A70" s="135" t="s">
        <v>351</v>
      </c>
      <c r="B70" s="136"/>
      <c r="C70" s="136"/>
      <c r="D70" s="136"/>
      <c r="E70" s="136"/>
      <c r="F70" s="137"/>
      <c r="G70" s="136"/>
      <c r="H70" s="136"/>
      <c r="I70" s="138"/>
      <c r="J70" s="139">
        <f>J55+J69</f>
        <v>76156</v>
      </c>
      <c r="K70" s="139">
        <f t="shared" ref="K70:P70" si="20">K55+K69</f>
        <v>7615.6</v>
      </c>
      <c r="L70" s="139">
        <f t="shared" si="20"/>
        <v>3807.8</v>
      </c>
      <c r="M70" s="140">
        <f t="shared" si="20"/>
        <v>0</v>
      </c>
      <c r="N70" s="140">
        <f t="shared" si="20"/>
        <v>8284059.2899999991</v>
      </c>
      <c r="O70" s="140">
        <f t="shared" si="20"/>
        <v>87113364</v>
      </c>
      <c r="P70" s="139">
        <f t="shared" si="20"/>
        <v>0</v>
      </c>
      <c r="Q70" s="141"/>
    </row>
    <row r="71" spans="1:18" ht="6" customHeight="1"/>
    <row r="72" spans="1:18" s="45" customFormat="1" ht="9">
      <c r="A72" s="45" t="s">
        <v>341</v>
      </c>
      <c r="B72" s="48"/>
      <c r="C72" s="48"/>
      <c r="D72" s="48"/>
      <c r="E72" s="48"/>
      <c r="F72" s="48"/>
      <c r="G72" s="48"/>
      <c r="H72" s="48"/>
      <c r="I72" s="49"/>
      <c r="J72" s="48"/>
      <c r="K72" s="48"/>
      <c r="L72" s="48"/>
      <c r="M72" s="48"/>
      <c r="N72" s="48"/>
      <c r="O72" s="146"/>
      <c r="P72" s="146"/>
      <c r="Q72" s="48"/>
    </row>
    <row r="73" spans="1:18" s="45" customFormat="1" ht="19.5" customHeight="1">
      <c r="A73" s="494" t="s">
        <v>547</v>
      </c>
      <c r="B73" s="494"/>
      <c r="C73" s="494"/>
      <c r="D73" s="494"/>
      <c r="E73" s="494"/>
      <c r="F73" s="494"/>
      <c r="G73" s="494"/>
      <c r="H73" s="494"/>
      <c r="I73" s="494"/>
      <c r="J73" s="494"/>
      <c r="K73" s="494"/>
      <c r="L73" s="494"/>
      <c r="M73" s="494"/>
      <c r="N73" s="494"/>
      <c r="O73" s="494"/>
      <c r="P73" s="459"/>
      <c r="Q73" s="48"/>
    </row>
    <row r="74" spans="1:18" s="45" customFormat="1" ht="26.25" customHeight="1">
      <c r="A74" s="494" t="s">
        <v>2</v>
      </c>
      <c r="B74" s="494"/>
      <c r="C74" s="494"/>
      <c r="D74" s="494"/>
      <c r="E74" s="494"/>
      <c r="F74" s="494"/>
      <c r="G74" s="494"/>
      <c r="H74" s="494"/>
      <c r="I74" s="494"/>
      <c r="J74" s="494"/>
      <c r="K74" s="494"/>
      <c r="L74" s="494"/>
      <c r="M74" s="494"/>
      <c r="N74" s="494"/>
      <c r="O74" s="494"/>
      <c r="P74" s="459"/>
      <c r="Q74" s="48"/>
    </row>
    <row r="75" spans="1:18" s="45" customFormat="1" ht="9"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487</v>
      </c>
      <c r="B76" s="48"/>
      <c r="C76" s="48"/>
      <c r="D76" s="48"/>
      <c r="E76" s="48"/>
      <c r="F76" s="48"/>
      <c r="G76" s="48"/>
      <c r="H76" s="48"/>
      <c r="I76" s="49"/>
      <c r="J76" s="48"/>
      <c r="K76" s="48"/>
      <c r="L76" s="48"/>
      <c r="M76" s="48"/>
      <c r="N76" s="48"/>
      <c r="O76" s="146"/>
      <c r="P76" s="146"/>
      <c r="Q76" s="48"/>
    </row>
    <row r="77" spans="1:18" s="45" customFormat="1" ht="9" customHeight="1">
      <c r="A77" s="45" t="s">
        <v>392</v>
      </c>
      <c r="B77" s="48"/>
      <c r="C77" s="48"/>
      <c r="D77" s="48"/>
      <c r="E77" s="48"/>
      <c r="F77" s="48"/>
      <c r="G77" s="48"/>
      <c r="H77" s="48"/>
      <c r="I77" s="49"/>
      <c r="J77" s="48"/>
      <c r="K77" s="48"/>
      <c r="L77" s="48"/>
      <c r="M77" s="48"/>
      <c r="N77" s="48"/>
      <c r="O77" s="146"/>
      <c r="P77" s="146"/>
      <c r="Q77" s="48"/>
    </row>
    <row r="78" spans="1:18" s="45" customFormat="1" ht="9">
      <c r="A78" s="45" t="s">
        <v>3</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19.5" customHeight="1">
      <c r="A80" s="494" t="s">
        <v>484</v>
      </c>
      <c r="B80" s="494"/>
      <c r="C80" s="494"/>
      <c r="D80" s="494"/>
      <c r="E80" s="494"/>
      <c r="F80" s="494"/>
      <c r="G80" s="494"/>
      <c r="H80" s="494"/>
      <c r="I80" s="494"/>
      <c r="J80" s="494"/>
      <c r="K80" s="494"/>
      <c r="L80" s="494"/>
      <c r="M80" s="494"/>
      <c r="N80" s="494"/>
      <c r="O80" s="494"/>
      <c r="P80" s="146"/>
      <c r="Q80" s="48"/>
    </row>
    <row r="81" spans="1:17" s="45" customFormat="1" ht="9">
      <c r="A81" s="45" t="s">
        <v>485</v>
      </c>
      <c r="B81" s="48"/>
      <c r="C81" s="48"/>
      <c r="D81" s="48"/>
      <c r="E81" s="48"/>
      <c r="F81" s="48"/>
      <c r="G81" s="48"/>
      <c r="H81" s="48"/>
      <c r="I81" s="49"/>
      <c r="J81" s="48"/>
      <c r="K81" s="48"/>
      <c r="L81" s="48"/>
      <c r="M81" s="48"/>
      <c r="N81" s="48"/>
      <c r="O81" s="146"/>
      <c r="P81" s="146"/>
      <c r="Q81" s="48"/>
    </row>
    <row r="82" spans="1:17" s="45" customFormat="1" ht="9">
      <c r="A82" s="94" t="s">
        <v>513</v>
      </c>
      <c r="B82" s="48"/>
      <c r="C82" s="48"/>
      <c r="D82" s="48"/>
      <c r="E82" s="48"/>
      <c r="F82" s="48"/>
      <c r="G82" s="48"/>
      <c r="H82" s="48"/>
      <c r="I82" s="49"/>
      <c r="J82" s="48"/>
      <c r="K82" s="48"/>
      <c r="L82" s="48"/>
      <c r="M82" s="48"/>
      <c r="N82" s="48"/>
      <c r="O82" s="146"/>
      <c r="P82" s="146"/>
      <c r="Q82" s="48"/>
    </row>
    <row r="83" spans="1:17" s="45" customFormat="1" ht="9">
      <c r="A83" s="45" t="s">
        <v>546</v>
      </c>
      <c r="B83" s="48"/>
      <c r="C83" s="48"/>
      <c r="D83" s="48"/>
      <c r="E83" s="48"/>
      <c r="F83" s="48"/>
      <c r="G83" s="48"/>
      <c r="H83" s="48"/>
      <c r="I83" s="49"/>
      <c r="J83" s="48"/>
      <c r="K83" s="48"/>
      <c r="L83" s="48"/>
      <c r="M83" s="48"/>
      <c r="N83" s="48"/>
      <c r="O83" s="146"/>
      <c r="P83" s="146"/>
      <c r="Q83" s="48"/>
    </row>
    <row r="84" spans="1:17" s="45" customFormat="1" ht="9">
      <c r="A84" s="45" t="s">
        <v>615</v>
      </c>
      <c r="B84" s="48"/>
      <c r="C84" s="48"/>
      <c r="D84" s="48"/>
      <c r="E84" s="48"/>
      <c r="F84" s="48"/>
      <c r="G84" s="48"/>
      <c r="H84" s="48"/>
      <c r="I84" s="49"/>
      <c r="J84" s="48"/>
      <c r="K84" s="48"/>
      <c r="L84" s="48"/>
      <c r="M84" s="48"/>
      <c r="N84" s="48"/>
      <c r="O84" s="146"/>
      <c r="P84" s="146"/>
      <c r="Q84" s="48"/>
    </row>
    <row r="85" spans="1:17" s="45" customFormat="1" ht="9">
      <c r="A85" s="494" t="s">
        <v>663</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c r="P101" s="146"/>
    </row>
    <row r="102" spans="2:17">
      <c r="P102" s="146"/>
    </row>
  </sheetData>
  <mergeCells count="7">
    <mergeCell ref="A85:Q87"/>
    <mergeCell ref="A80:O80"/>
    <mergeCell ref="A1:Q1"/>
    <mergeCell ref="A2:Q2"/>
    <mergeCell ref="A75:Q75"/>
    <mergeCell ref="A73:O73"/>
    <mergeCell ref="A74:O74"/>
  </mergeCells>
  <phoneticPr fontId="9" type="noConversion"/>
  <pageMargins left="0.25" right="0.25" top="0.5" bottom="0.5" header="0" footer="0.5"/>
  <pageSetup scale="67"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V124"/>
  <sheetViews>
    <sheetView zoomScaleNormal="100" workbookViewId="0">
      <pane xSplit="1" ySplit="3" topLeftCell="B4" activePane="bottomRight" state="frozen"/>
      <selection activeCell="R31" sqref="R31"/>
      <selection pane="topRight" activeCell="R31" sqref="R31"/>
      <selection pane="bottomLeft" activeCell="R31" sqref="R31"/>
      <selection pane="bottomRight" activeCell="A54" sqref="A54"/>
    </sheetView>
  </sheetViews>
  <sheetFormatPr defaultRowHeight="11.25"/>
  <cols>
    <col min="1" max="1" width="36.5703125" style="88" customWidth="1"/>
    <col min="2" max="2" width="8" style="46"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8.140625" style="46" customWidth="1"/>
    <col min="9" max="9" width="9.42578125" style="47" bestFit="1" customWidth="1"/>
    <col min="10" max="11" width="6.85546875" style="46" bestFit="1" customWidth="1"/>
    <col min="12" max="12" width="8.5703125" style="46" customWidth="1"/>
    <col min="13" max="13" width="7.85546875" style="46" hidden="1" customWidth="1"/>
    <col min="14" max="14" width="10.140625" style="46" customWidth="1"/>
    <col min="15" max="15" width="10.28515625" style="145" bestFit="1" customWidth="1"/>
    <col min="16" max="16" width="8.5703125" style="145" bestFit="1" customWidth="1"/>
    <col min="17" max="17" width="4.28515625" style="46" customWidth="1"/>
    <col min="18" max="19" width="9.140625" style="88" hidden="1" customWidth="1"/>
    <col min="20" max="20" width="4.85546875" style="88" customWidth="1"/>
    <col min="21" max="16384" width="9.140625" style="88"/>
  </cols>
  <sheetData>
    <row r="1" spans="1:22">
      <c r="A1" s="496" t="s">
        <v>166</v>
      </c>
      <c r="B1" s="496"/>
      <c r="C1" s="496"/>
      <c r="D1" s="496"/>
      <c r="E1" s="496"/>
      <c r="F1" s="496"/>
      <c r="G1" s="496"/>
      <c r="H1" s="496"/>
      <c r="I1" s="496"/>
      <c r="J1" s="496"/>
      <c r="K1" s="496"/>
      <c r="L1" s="496"/>
      <c r="M1" s="496"/>
      <c r="N1" s="496"/>
      <c r="O1" s="496"/>
      <c r="P1" s="496"/>
      <c r="Q1" s="496"/>
    </row>
    <row r="2" spans="1:22">
      <c r="A2" s="497" t="s">
        <v>92</v>
      </c>
      <c r="B2" s="497"/>
      <c r="C2" s="497"/>
      <c r="D2" s="497"/>
      <c r="E2" s="497"/>
      <c r="F2" s="497"/>
      <c r="G2" s="497"/>
      <c r="H2" s="497"/>
      <c r="I2" s="497"/>
      <c r="J2" s="497"/>
      <c r="K2" s="497"/>
      <c r="L2" s="497"/>
      <c r="M2" s="497"/>
      <c r="N2" s="497"/>
      <c r="O2" s="497"/>
      <c r="P2" s="497"/>
      <c r="Q2" s="497"/>
    </row>
    <row r="3" spans="1:22"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2" s="115" customFormat="1" ht="9">
      <c r="A4" s="127" t="s">
        <v>356</v>
      </c>
      <c r="B4" s="128" t="s">
        <v>384</v>
      </c>
      <c r="C4" s="128"/>
      <c r="D4" s="130"/>
      <c r="E4" s="130"/>
      <c r="F4" s="130"/>
      <c r="G4" s="128"/>
      <c r="H4" s="128"/>
      <c r="I4" s="132"/>
      <c r="J4" s="132"/>
      <c r="K4" s="132"/>
      <c r="L4" s="132"/>
      <c r="M4" s="128"/>
      <c r="N4" s="130"/>
      <c r="O4" s="130"/>
      <c r="P4" s="130"/>
      <c r="Q4" s="188"/>
    </row>
    <row r="5" spans="1:22" s="115" customFormat="1" ht="9">
      <c r="A5" s="110" t="s">
        <v>357</v>
      </c>
      <c r="B5" s="37" t="s">
        <v>384</v>
      </c>
      <c r="C5" s="37"/>
      <c r="D5" s="44"/>
      <c r="E5" s="44"/>
      <c r="F5" s="44"/>
      <c r="G5" s="37"/>
      <c r="H5" s="37"/>
      <c r="I5" s="73"/>
      <c r="J5" s="73"/>
      <c r="K5" s="73"/>
      <c r="L5" s="73"/>
      <c r="M5" s="37"/>
      <c r="N5" s="44"/>
      <c r="O5" s="44"/>
      <c r="P5" s="44"/>
      <c r="Q5" s="75"/>
    </row>
    <row r="6" spans="1:22" s="115" customFormat="1" ht="9">
      <c r="A6" s="110" t="s">
        <v>358</v>
      </c>
      <c r="B6" s="37"/>
      <c r="C6" s="37"/>
      <c r="D6" s="44"/>
      <c r="E6" s="44"/>
      <c r="F6" s="44"/>
      <c r="G6" s="37"/>
      <c r="H6" s="37"/>
      <c r="I6" s="73"/>
      <c r="J6" s="73"/>
      <c r="K6" s="73"/>
      <c r="L6" s="73"/>
      <c r="M6" s="37"/>
      <c r="N6" s="44"/>
      <c r="O6" s="44"/>
      <c r="P6" s="44"/>
      <c r="Q6" s="75"/>
    </row>
    <row r="7" spans="1:22" s="115"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f>G7*I7</f>
        <v>0</v>
      </c>
      <c r="Q7" s="75" t="s">
        <v>338</v>
      </c>
    </row>
    <row r="8" spans="1:22" s="115" customFormat="1" ht="9">
      <c r="A8" s="110" t="s">
        <v>360</v>
      </c>
      <c r="B8" s="37"/>
      <c r="C8" s="37"/>
      <c r="D8" s="44"/>
      <c r="E8" s="44"/>
      <c r="F8" s="44"/>
      <c r="G8" s="37"/>
      <c r="H8" s="37"/>
      <c r="I8" s="73"/>
      <c r="J8" s="73"/>
      <c r="K8" s="73"/>
      <c r="L8" s="73"/>
      <c r="M8" s="37"/>
      <c r="N8" s="44"/>
      <c r="O8" s="44"/>
      <c r="P8" s="44"/>
      <c r="Q8" s="75"/>
      <c r="V8" s="467"/>
    </row>
    <row r="9" spans="1:22" s="115" customFormat="1" ht="9">
      <c r="A9" s="111" t="s">
        <v>374</v>
      </c>
      <c r="B9" s="37"/>
      <c r="C9" s="37"/>
      <c r="D9" s="76"/>
      <c r="E9" s="44"/>
      <c r="F9" s="44"/>
      <c r="G9" s="37"/>
      <c r="H9" s="37"/>
      <c r="I9" s="72"/>
      <c r="J9" s="73"/>
      <c r="K9" s="73"/>
      <c r="L9" s="73"/>
      <c r="M9" s="74"/>
      <c r="N9" s="44"/>
      <c r="O9" s="44"/>
      <c r="P9" s="44"/>
      <c r="Q9" s="75"/>
    </row>
    <row r="10" spans="1:22" s="115" customFormat="1" ht="9">
      <c r="A10" s="110" t="s">
        <v>249</v>
      </c>
      <c r="B10" s="37">
        <v>20</v>
      </c>
      <c r="C10" s="37"/>
      <c r="D10" s="44">
        <v>854</v>
      </c>
      <c r="E10" s="44">
        <v>0</v>
      </c>
      <c r="F10" s="44">
        <v>0</v>
      </c>
      <c r="G10" s="37">
        <v>1</v>
      </c>
      <c r="H10" s="37">
        <f>B10*G10</f>
        <v>20</v>
      </c>
      <c r="I10" s="72">
        <f>ROUND('Testing Costs'!$C$22*(SUM('Base Data'!$H$18:$H$25)/2),0)</f>
        <v>8</v>
      </c>
      <c r="J10" s="73">
        <f>H10*I10</f>
        <v>160</v>
      </c>
      <c r="K10" s="73">
        <f>J10*0.1</f>
        <v>16</v>
      </c>
      <c r="L10" s="73">
        <f>J10*0.05</f>
        <v>8</v>
      </c>
      <c r="M10" s="74">
        <f>C10*G10*I10</f>
        <v>0</v>
      </c>
      <c r="N10" s="44">
        <f>(J10*'Base Data'!$C$5)+(K10*'Base Data'!$C$6)+(L10*'Base Data'!$C$7)</f>
        <v>17404.399999999998</v>
      </c>
      <c r="O10" s="44">
        <f>(D10+E10+F10)*G10*I10</f>
        <v>6832</v>
      </c>
      <c r="P10" s="73">
        <v>0</v>
      </c>
      <c r="Q10" s="75" t="s">
        <v>391</v>
      </c>
    </row>
    <row r="11" spans="1:22" s="115" customFormat="1" ht="9">
      <c r="A11" s="110" t="s">
        <v>251</v>
      </c>
      <c r="B11" s="37">
        <v>20</v>
      </c>
      <c r="C11" s="37"/>
      <c r="D11" s="44">
        <v>18292</v>
      </c>
      <c r="E11" s="44">
        <v>0</v>
      </c>
      <c r="F11" s="44">
        <v>0</v>
      </c>
      <c r="G11" s="37">
        <v>1</v>
      </c>
      <c r="H11" s="37">
        <f>B11*G11</f>
        <v>20</v>
      </c>
      <c r="I11" s="72">
        <f>ROUNDDOWN('Testing Costs'!$C$23*(SUM('Base Data'!$H$18:'Base Data'!$H$20,'Base Data'!$H$23:$H$25)/2),0)</f>
        <v>57</v>
      </c>
      <c r="J11" s="73">
        <f>H11*I11</f>
        <v>1140</v>
      </c>
      <c r="K11" s="73">
        <f>J11*0.1</f>
        <v>114</v>
      </c>
      <c r="L11" s="73">
        <f>J11*0.05</f>
        <v>57</v>
      </c>
      <c r="M11" s="74">
        <f>C11*G11*I11</f>
        <v>0</v>
      </c>
      <c r="N11" s="44">
        <f>(J11*'Base Data'!$C$5)+(K11*'Base Data'!$C$6)+(L11*'Base Data'!$C$7)</f>
        <v>124006.34999999999</v>
      </c>
      <c r="O11" s="44">
        <f>(D11+E11+F11)*G11*I11</f>
        <v>1042644</v>
      </c>
      <c r="P11" s="73">
        <v>0</v>
      </c>
      <c r="Q11" s="75" t="s">
        <v>391</v>
      </c>
    </row>
    <row r="12" spans="1:22" s="115" customFormat="1" ht="9">
      <c r="A12" s="111" t="s">
        <v>311</v>
      </c>
      <c r="B12" s="37">
        <v>12</v>
      </c>
      <c r="C12" s="37"/>
      <c r="D12" s="44">
        <v>0</v>
      </c>
      <c r="E12" s="44">
        <f>'Testing Costs'!$B$13</f>
        <v>5000</v>
      </c>
      <c r="F12" s="44">
        <v>0</v>
      </c>
      <c r="G12" s="37">
        <v>1</v>
      </c>
      <c r="H12" s="37">
        <f t="shared" ref="H12:H22" si="0">B12*G12</f>
        <v>12</v>
      </c>
      <c r="I12" s="72">
        <f>ROUNDUP(SUM('Base Data'!$D$18:$D$20,'Base Data'!$D$23:$D$25)/2,0)</f>
        <v>544</v>
      </c>
      <c r="J12" s="73">
        <f t="shared" ref="J12:J22" si="1">H12*I12</f>
        <v>6528</v>
      </c>
      <c r="K12" s="73">
        <f t="shared" ref="K12:K22" si="2">J12*0.1</f>
        <v>652.80000000000007</v>
      </c>
      <c r="L12" s="73">
        <f t="shared" ref="L12:L22" si="3">J12*0.05</f>
        <v>326.40000000000003</v>
      </c>
      <c r="M12" s="74"/>
      <c r="N12" s="44">
        <f>(J12*'Base Data'!$C$5)+(K12*'Base Data'!$C$6)+(L12*'Base Data'!$C$7)</f>
        <v>710099.5199999999</v>
      </c>
      <c r="O12" s="44">
        <f t="shared" ref="O12:O22" si="4">(D12+E12+F12)*G12*I12</f>
        <v>2720000</v>
      </c>
      <c r="P12" s="73">
        <v>0</v>
      </c>
      <c r="Q12" s="75" t="s">
        <v>90</v>
      </c>
      <c r="R12" s="342"/>
    </row>
    <row r="13" spans="1:22" s="115" customFormat="1" ht="9">
      <c r="A13" s="111" t="s">
        <v>312</v>
      </c>
      <c r="B13" s="37">
        <v>12</v>
      </c>
      <c r="C13" s="37"/>
      <c r="D13" s="44">
        <v>0</v>
      </c>
      <c r="E13" s="44">
        <f>'Testing Costs'!$B$17</f>
        <v>8000</v>
      </c>
      <c r="F13" s="44">
        <v>0</v>
      </c>
      <c r="G13" s="37">
        <v>1</v>
      </c>
      <c r="H13" s="37">
        <f t="shared" si="0"/>
        <v>12</v>
      </c>
      <c r="I13" s="72">
        <f>ROUNDDOWN(SUM('Base Data'!$D$18:$D$20,'Base Data'!$D$23:$D$25)/2,0)</f>
        <v>544</v>
      </c>
      <c r="J13" s="73">
        <f t="shared" si="1"/>
        <v>6528</v>
      </c>
      <c r="K13" s="73">
        <f t="shared" si="2"/>
        <v>652.80000000000007</v>
      </c>
      <c r="L13" s="73">
        <f t="shared" si="3"/>
        <v>326.40000000000003</v>
      </c>
      <c r="M13" s="74"/>
      <c r="N13" s="44">
        <f>(J13*'Base Data'!$C$5)+(K13*'Base Data'!$C$6)+(L13*'Base Data'!$C$7)</f>
        <v>710099.5199999999</v>
      </c>
      <c r="O13" s="44">
        <f t="shared" si="4"/>
        <v>4352000</v>
      </c>
      <c r="P13" s="73">
        <v>0</v>
      </c>
      <c r="Q13" s="75" t="s">
        <v>339</v>
      </c>
    </row>
    <row r="14" spans="1:22" s="115" customFormat="1" ht="9">
      <c r="A14" s="111" t="s">
        <v>313</v>
      </c>
      <c r="B14" s="37">
        <v>12</v>
      </c>
      <c r="C14" s="37"/>
      <c r="D14" s="44">
        <v>0</v>
      </c>
      <c r="E14" s="44">
        <f>'Testing Costs'!$B$15</f>
        <v>8000</v>
      </c>
      <c r="F14" s="44">
        <v>0</v>
      </c>
      <c r="G14" s="37">
        <v>1</v>
      </c>
      <c r="H14" s="37">
        <f t="shared" si="0"/>
        <v>12</v>
      </c>
      <c r="I14" s="72">
        <f>ROUNDDOWN(SUM('Base Data'!$D$18:$D$20,'Base Data'!$D$23:$D$25)/2,0)</f>
        <v>544</v>
      </c>
      <c r="J14" s="73">
        <f t="shared" si="1"/>
        <v>6528</v>
      </c>
      <c r="K14" s="73">
        <f t="shared" si="2"/>
        <v>652.80000000000007</v>
      </c>
      <c r="L14" s="73">
        <f t="shared" si="3"/>
        <v>326.40000000000003</v>
      </c>
      <c r="M14" s="74"/>
      <c r="N14" s="44">
        <f>(J14*'Base Data'!$C$5)+(K14*'Base Data'!$C$6)+(L14*'Base Data'!$C$7)</f>
        <v>710099.5199999999</v>
      </c>
      <c r="O14" s="44">
        <f t="shared" si="4"/>
        <v>4352000</v>
      </c>
      <c r="P14" s="73">
        <v>0</v>
      </c>
      <c r="Q14" s="75" t="s">
        <v>339</v>
      </c>
    </row>
    <row r="15" spans="1:22" s="115" customFormat="1" ht="9">
      <c r="A15" s="111" t="s">
        <v>185</v>
      </c>
      <c r="B15" s="37">
        <v>12</v>
      </c>
      <c r="C15" s="37"/>
      <c r="D15" s="44">
        <v>0</v>
      </c>
      <c r="E15" s="44">
        <f>'Testing Costs'!$B$14</f>
        <v>7000</v>
      </c>
      <c r="F15" s="44">
        <v>0</v>
      </c>
      <c r="G15" s="37">
        <v>1</v>
      </c>
      <c r="H15" s="37">
        <f t="shared" si="0"/>
        <v>12</v>
      </c>
      <c r="I15" s="72">
        <f>ROUNDDOWN(SUM('Base Data'!$D$18:$D$20,'Base Data'!$D$23:$D$25)/2,0)</f>
        <v>544</v>
      </c>
      <c r="J15" s="73">
        <f t="shared" si="1"/>
        <v>6528</v>
      </c>
      <c r="K15" s="73">
        <f t="shared" si="2"/>
        <v>652.80000000000007</v>
      </c>
      <c r="L15" s="73">
        <f t="shared" si="3"/>
        <v>326.40000000000003</v>
      </c>
      <c r="M15" s="74"/>
      <c r="N15" s="44">
        <f>(J15*'Base Data'!$C$5)+(K15*'Base Data'!$C$6)+(L15*'Base Data'!$C$7)</f>
        <v>710099.5199999999</v>
      </c>
      <c r="O15" s="44">
        <f t="shared" si="4"/>
        <v>3808000</v>
      </c>
      <c r="P15" s="73">
        <v>0</v>
      </c>
      <c r="Q15" s="75" t="s">
        <v>339</v>
      </c>
    </row>
    <row r="16" spans="1:22" s="115" customFormat="1" ht="9" customHeight="1">
      <c r="A16" s="111" t="s">
        <v>137</v>
      </c>
      <c r="B16" s="37">
        <v>12</v>
      </c>
      <c r="C16" s="37"/>
      <c r="D16" s="44">
        <v>0</v>
      </c>
      <c r="E16" s="44">
        <f>'Testing Costs'!$B$13</f>
        <v>5000</v>
      </c>
      <c r="F16" s="44">
        <v>0</v>
      </c>
      <c r="G16" s="37">
        <v>1</v>
      </c>
      <c r="H16" s="37">
        <f t="shared" si="0"/>
        <v>12</v>
      </c>
      <c r="I16" s="72">
        <f>'Fac-ExistLrgSolid-Yr2'!I12</f>
        <v>544</v>
      </c>
      <c r="J16" s="73">
        <f t="shared" si="1"/>
        <v>6528</v>
      </c>
      <c r="K16" s="73">
        <f t="shared" si="2"/>
        <v>652.80000000000007</v>
      </c>
      <c r="L16" s="73">
        <f t="shared" si="3"/>
        <v>326.40000000000003</v>
      </c>
      <c r="M16" s="74"/>
      <c r="N16" s="44">
        <f>(J16*'Base Data'!$C$5)+(K16*'Base Data'!$C$6)+(L16*'Base Data'!$C$7)</f>
        <v>710099.5199999999</v>
      </c>
      <c r="O16" s="44">
        <f t="shared" si="4"/>
        <v>2720000</v>
      </c>
      <c r="P16" s="73">
        <v>0</v>
      </c>
      <c r="Q16" s="75" t="s">
        <v>483</v>
      </c>
    </row>
    <row r="17" spans="1:18" s="115" customFormat="1" ht="9">
      <c r="A17" s="111" t="s">
        <v>138</v>
      </c>
      <c r="B17" s="37">
        <v>12</v>
      </c>
      <c r="C17" s="37"/>
      <c r="D17" s="44">
        <v>0</v>
      </c>
      <c r="E17" s="44">
        <f>'Testing Costs'!$B$17</f>
        <v>8000</v>
      </c>
      <c r="F17" s="44">
        <v>0</v>
      </c>
      <c r="G17" s="37">
        <v>1</v>
      </c>
      <c r="H17" s="37">
        <f t="shared" si="0"/>
        <v>12</v>
      </c>
      <c r="I17" s="72">
        <f>'Fac-ExistLrgSolid-Yr2'!I13</f>
        <v>544</v>
      </c>
      <c r="J17" s="73">
        <f t="shared" si="1"/>
        <v>6528</v>
      </c>
      <c r="K17" s="73">
        <f t="shared" si="2"/>
        <v>652.80000000000007</v>
      </c>
      <c r="L17" s="73">
        <f t="shared" si="3"/>
        <v>326.40000000000003</v>
      </c>
      <c r="M17" s="74"/>
      <c r="N17" s="44">
        <f>(J17*'Base Data'!$C$5)+(K17*'Base Data'!$C$6)+(L17*'Base Data'!$C$7)</f>
        <v>710099.5199999999</v>
      </c>
      <c r="O17" s="44">
        <f t="shared" si="4"/>
        <v>4352000</v>
      </c>
      <c r="P17" s="73">
        <v>0</v>
      </c>
      <c r="Q17" s="75" t="s">
        <v>476</v>
      </c>
    </row>
    <row r="18" spans="1:18" s="115" customFormat="1" ht="9">
      <c r="A18" s="111" t="s">
        <v>139</v>
      </c>
      <c r="B18" s="37">
        <v>12</v>
      </c>
      <c r="C18" s="37"/>
      <c r="D18" s="44">
        <v>0</v>
      </c>
      <c r="E18" s="44">
        <f>'Testing Costs'!$B$15</f>
        <v>8000</v>
      </c>
      <c r="F18" s="44">
        <v>0</v>
      </c>
      <c r="G18" s="37">
        <v>1</v>
      </c>
      <c r="H18" s="37">
        <f t="shared" si="0"/>
        <v>12</v>
      </c>
      <c r="I18" s="72">
        <f>'Fac-ExistLrgSolid-Yr2'!I14</f>
        <v>544</v>
      </c>
      <c r="J18" s="73">
        <f t="shared" si="1"/>
        <v>6528</v>
      </c>
      <c r="K18" s="73">
        <f t="shared" si="2"/>
        <v>652.80000000000007</v>
      </c>
      <c r="L18" s="73">
        <f t="shared" si="3"/>
        <v>326.40000000000003</v>
      </c>
      <c r="M18" s="74"/>
      <c r="N18" s="44">
        <f>(J18*'Base Data'!$C$5)+(K18*'Base Data'!$C$6)+(L18*'Base Data'!$C$7)</f>
        <v>710099.5199999999</v>
      </c>
      <c r="O18" s="44">
        <f t="shared" si="4"/>
        <v>4352000</v>
      </c>
      <c r="P18" s="73">
        <v>0</v>
      </c>
      <c r="Q18" s="75" t="s">
        <v>476</v>
      </c>
    </row>
    <row r="19" spans="1:18" s="115" customFormat="1" ht="9">
      <c r="A19" s="111" t="s">
        <v>140</v>
      </c>
      <c r="B19" s="37">
        <v>12</v>
      </c>
      <c r="C19" s="37"/>
      <c r="D19" s="44">
        <v>0</v>
      </c>
      <c r="E19" s="44">
        <f>'Testing Costs'!$B$14</f>
        <v>7000</v>
      </c>
      <c r="F19" s="44">
        <v>0</v>
      </c>
      <c r="G19" s="37">
        <v>1</v>
      </c>
      <c r="H19" s="37">
        <f t="shared" si="0"/>
        <v>12</v>
      </c>
      <c r="I19" s="72">
        <f>'Fac-ExistLrgSolid-Yr2'!I15</f>
        <v>544</v>
      </c>
      <c r="J19" s="73">
        <f t="shared" si="1"/>
        <v>6528</v>
      </c>
      <c r="K19" s="73">
        <f t="shared" si="2"/>
        <v>652.80000000000007</v>
      </c>
      <c r="L19" s="73">
        <f t="shared" si="3"/>
        <v>326.40000000000003</v>
      </c>
      <c r="M19" s="74"/>
      <c r="N19" s="44">
        <f>(J19*'Base Data'!$C$5)+(K19*'Base Data'!$C$6)+(L19*'Base Data'!$C$7)</f>
        <v>710099.5199999999</v>
      </c>
      <c r="O19" s="44">
        <f t="shared" si="4"/>
        <v>3808000</v>
      </c>
      <c r="P19" s="73">
        <v>0</v>
      </c>
      <c r="Q19" s="75" t="s">
        <v>476</v>
      </c>
    </row>
    <row r="20" spans="1:18" s="115" customFormat="1" ht="18.75" customHeight="1">
      <c r="A20" s="259" t="s">
        <v>524</v>
      </c>
      <c r="B20" s="37">
        <v>24</v>
      </c>
      <c r="C20" s="258"/>
      <c r="D20" s="44">
        <v>0</v>
      </c>
      <c r="E20" s="44">
        <f>$E$13+$E$14</f>
        <v>16000</v>
      </c>
      <c r="F20" s="44">
        <v>0</v>
      </c>
      <c r="G20" s="37">
        <v>1</v>
      </c>
      <c r="H20" s="37">
        <f t="shared" si="0"/>
        <v>24</v>
      </c>
      <c r="I20" s="72">
        <f>ROUNDDOWN('Base Data'!$F$49/2,0)</f>
        <v>544</v>
      </c>
      <c r="J20" s="73">
        <f t="shared" ref="J20" si="5">H20*I20</f>
        <v>13056</v>
      </c>
      <c r="K20" s="73">
        <f t="shared" ref="K20" si="6">J20*0.1</f>
        <v>1305.6000000000001</v>
      </c>
      <c r="L20" s="73">
        <f t="shared" ref="L20" si="7">J20*0.05</f>
        <v>652.80000000000007</v>
      </c>
      <c r="M20" s="74"/>
      <c r="N20" s="44">
        <f>(J20*'Base Data'!$C$5)+(K20*'Base Data'!$C$6)+(L20*'Base Data'!$C$7)</f>
        <v>1420199.0399999998</v>
      </c>
      <c r="O20" s="44">
        <f t="shared" ref="O20" si="8">(D20+E20+F20)*G20*I20</f>
        <v>8704000</v>
      </c>
      <c r="P20" s="73">
        <v>0</v>
      </c>
      <c r="Q20" s="75" t="s">
        <v>323</v>
      </c>
    </row>
    <row r="21" spans="1:18" s="115" customFormat="1" ht="9" customHeight="1">
      <c r="A21" s="111" t="s">
        <v>525</v>
      </c>
      <c r="B21" s="37">
        <v>5</v>
      </c>
      <c r="C21" s="37"/>
      <c r="D21" s="44">
        <v>0</v>
      </c>
      <c r="E21" s="44">
        <v>400</v>
      </c>
      <c r="F21" s="44">
        <v>0</v>
      </c>
      <c r="G21" s="37">
        <v>1</v>
      </c>
      <c r="H21" s="37">
        <f t="shared" si="0"/>
        <v>5</v>
      </c>
      <c r="I21" s="72">
        <v>0</v>
      </c>
      <c r="J21" s="73">
        <f t="shared" si="1"/>
        <v>0</v>
      </c>
      <c r="K21" s="73">
        <f t="shared" si="2"/>
        <v>0</v>
      </c>
      <c r="L21" s="73">
        <f t="shared" si="3"/>
        <v>0</v>
      </c>
      <c r="M21" s="74"/>
      <c r="N21" s="44">
        <f>(J21*'Base Data'!$C$5)+(K21*'Base Data'!$C$6)+(L21*'Base Data'!$C$7)</f>
        <v>0</v>
      </c>
      <c r="O21" s="44">
        <f t="shared" si="4"/>
        <v>0</v>
      </c>
      <c r="P21" s="73">
        <v>0</v>
      </c>
      <c r="Q21" s="75" t="s">
        <v>89</v>
      </c>
    </row>
    <row r="22" spans="1:18" s="115" customFormat="1" ht="9" customHeight="1">
      <c r="A22" s="111" t="s">
        <v>526</v>
      </c>
      <c r="B22" s="37">
        <v>5</v>
      </c>
      <c r="C22" s="37"/>
      <c r="D22" s="44">
        <v>0</v>
      </c>
      <c r="E22" s="44">
        <v>400</v>
      </c>
      <c r="F22" s="44">
        <v>0</v>
      </c>
      <c r="G22" s="37">
        <v>12</v>
      </c>
      <c r="H22" s="37">
        <f t="shared" si="0"/>
        <v>60</v>
      </c>
      <c r="I22" s="72">
        <v>0</v>
      </c>
      <c r="J22" s="73">
        <f t="shared" si="1"/>
        <v>0</v>
      </c>
      <c r="K22" s="73">
        <f t="shared" si="2"/>
        <v>0</v>
      </c>
      <c r="L22" s="73">
        <f t="shared" si="3"/>
        <v>0</v>
      </c>
      <c r="M22" s="74"/>
      <c r="N22" s="44">
        <f>(J22*'Base Data'!$C$5)+(K22*'Base Data'!$C$6)+(L22*'Base Data'!$C$7)</f>
        <v>0</v>
      </c>
      <c r="O22" s="44">
        <f t="shared" si="4"/>
        <v>0</v>
      </c>
      <c r="P22" s="73">
        <v>0</v>
      </c>
      <c r="Q22" s="75" t="s">
        <v>89</v>
      </c>
    </row>
    <row r="23" spans="1:18" s="115" customFormat="1" ht="9">
      <c r="A23" s="110" t="s">
        <v>528</v>
      </c>
      <c r="B23" s="37">
        <v>12</v>
      </c>
      <c r="C23" s="37"/>
      <c r="D23" s="44">
        <v>0</v>
      </c>
      <c r="E23" s="44">
        <v>2875</v>
      </c>
      <c r="F23" s="44">
        <v>0</v>
      </c>
      <c r="G23" s="37">
        <v>1</v>
      </c>
      <c r="H23" s="37">
        <f>B23*G23</f>
        <v>12</v>
      </c>
      <c r="I23" s="73">
        <f>ROUNDUP(SUM('Base Data'!$D$18:$D$20,'Base Data'!$D$23:$D$25)/2,0)</f>
        <v>544</v>
      </c>
      <c r="J23" s="72">
        <f>H23*I23</f>
        <v>6528</v>
      </c>
      <c r="K23" s="72">
        <f>J23*0.1</f>
        <v>652.80000000000007</v>
      </c>
      <c r="L23" s="72">
        <f>J23*0.05</f>
        <v>326.40000000000003</v>
      </c>
      <c r="M23" s="73"/>
      <c r="N23" s="44">
        <f>(J23*'Base Data'!$C$5)+(K23*'Base Data'!$C$6)+(L23*'Base Data'!$C$7)</f>
        <v>710099.5199999999</v>
      </c>
      <c r="O23" s="44">
        <f>(D23+E23+F23)*G23*I23</f>
        <v>1564000</v>
      </c>
      <c r="P23" s="73">
        <v>0</v>
      </c>
      <c r="Q23" s="75" t="s">
        <v>492</v>
      </c>
      <c r="R23" s="342"/>
    </row>
    <row r="24" spans="1:18" s="115" customFormat="1" ht="9">
      <c r="A24" s="111" t="s">
        <v>245</v>
      </c>
      <c r="B24" s="37"/>
      <c r="C24" s="37"/>
      <c r="D24" s="44"/>
      <c r="E24" s="44"/>
      <c r="F24" s="44"/>
      <c r="G24" s="37"/>
      <c r="H24" s="37"/>
      <c r="I24" s="73"/>
      <c r="J24" s="73"/>
      <c r="K24" s="73"/>
      <c r="L24" s="73"/>
      <c r="M24" s="74"/>
      <c r="N24" s="44"/>
      <c r="O24" s="44"/>
      <c r="P24" s="73"/>
      <c r="Q24" s="75" t="s">
        <v>496</v>
      </c>
    </row>
    <row r="25" spans="1:18" s="115" customFormat="1" ht="9">
      <c r="A25" s="111" t="s">
        <v>383</v>
      </c>
      <c r="B25" s="37">
        <v>40</v>
      </c>
      <c r="C25" s="37"/>
      <c r="D25" s="44">
        <v>0</v>
      </c>
      <c r="E25" s="44"/>
      <c r="F25" s="44">
        <v>0</v>
      </c>
      <c r="G25" s="37">
        <v>1</v>
      </c>
      <c r="H25" s="37">
        <f>B25*G25</f>
        <v>40</v>
      </c>
      <c r="I25" s="72">
        <f>ROUNDDOWN(SUM('Base Data'!$H$18:$H$20,'Base Data'!$H$23:$H$25)/2,0)</f>
        <v>65</v>
      </c>
      <c r="J25" s="73">
        <f>H25*I25</f>
        <v>2600</v>
      </c>
      <c r="K25" s="73">
        <f>J25*0.1</f>
        <v>260</v>
      </c>
      <c r="L25" s="73">
        <f>J25*0.05</f>
        <v>130</v>
      </c>
      <c r="M25" s="74"/>
      <c r="N25" s="44">
        <f>(J25*'Base Data'!$C$5)+(K25*'Base Data'!$C$6)+(L25*'Base Data'!$C$7)</f>
        <v>282821.5</v>
      </c>
      <c r="O25" s="44">
        <f>(D25+E25+F25)*G25*I25</f>
        <v>0</v>
      </c>
      <c r="P25" s="73">
        <v>0</v>
      </c>
      <c r="Q25" s="75" t="s">
        <v>339</v>
      </c>
    </row>
    <row r="26" spans="1:18" s="115" customFormat="1" ht="9">
      <c r="A26" s="110" t="s">
        <v>361</v>
      </c>
      <c r="B26" s="37"/>
      <c r="C26" s="37"/>
      <c r="D26" s="44"/>
      <c r="E26" s="44"/>
      <c r="F26" s="44"/>
      <c r="G26" s="37"/>
      <c r="H26" s="37"/>
      <c r="I26" s="73"/>
      <c r="J26" s="73"/>
      <c r="K26" s="73"/>
      <c r="L26" s="73"/>
      <c r="M26" s="74"/>
      <c r="N26" s="44"/>
      <c r="O26" s="44"/>
      <c r="P26" s="73"/>
      <c r="Q26" s="75"/>
    </row>
    <row r="27" spans="1:18" s="115" customFormat="1" ht="9">
      <c r="A27" s="110" t="s">
        <v>362</v>
      </c>
      <c r="B27" s="37">
        <v>10</v>
      </c>
      <c r="C27" s="37"/>
      <c r="D27" s="44">
        <v>0</v>
      </c>
      <c r="E27" s="44">
        <v>0</v>
      </c>
      <c r="F27" s="44">
        <v>43100</v>
      </c>
      <c r="G27" s="37">
        <v>1</v>
      </c>
      <c r="H27" s="37">
        <f>B27*G27</f>
        <v>10</v>
      </c>
      <c r="I27" s="72">
        <f>ROUNDDOWN(Monitors!$C$6/2,0)</f>
        <v>225</v>
      </c>
      <c r="J27" s="73">
        <f>H27*I27</f>
        <v>2250</v>
      </c>
      <c r="K27" s="73">
        <f>J27*0.1</f>
        <v>225</v>
      </c>
      <c r="L27" s="73">
        <f>J27*0.05</f>
        <v>112.5</v>
      </c>
      <c r="M27" s="74"/>
      <c r="N27" s="44">
        <f>(J27*'Base Data'!$C$5)+(K27*'Base Data'!$C$6)+(L27*'Base Data'!$C$7)</f>
        <v>244749.375</v>
      </c>
      <c r="O27" s="44">
        <f>(D27+E27+F27)*G27*I27</f>
        <v>9697500</v>
      </c>
      <c r="P27" s="73">
        <v>0</v>
      </c>
      <c r="Q27" s="75" t="s">
        <v>339</v>
      </c>
    </row>
    <row r="28" spans="1:18" s="115" customFormat="1" ht="9">
      <c r="A28" s="110" t="s">
        <v>365</v>
      </c>
      <c r="B28" s="37">
        <v>10</v>
      </c>
      <c r="C28" s="37"/>
      <c r="D28" s="44">
        <v>0</v>
      </c>
      <c r="E28" s="44">
        <v>0</v>
      </c>
      <c r="F28" s="44">
        <v>14700</v>
      </c>
      <c r="G28" s="37">
        <v>1</v>
      </c>
      <c r="H28" s="37">
        <f>B28*G28</f>
        <v>10</v>
      </c>
      <c r="I28" s="72">
        <f>ROUNDDOWN(Monitors!$C$6/2,0)</f>
        <v>225</v>
      </c>
      <c r="J28" s="73">
        <f>H28*I28</f>
        <v>2250</v>
      </c>
      <c r="K28" s="73">
        <f>J28*0.1</f>
        <v>225</v>
      </c>
      <c r="L28" s="73">
        <f>J28*0.05</f>
        <v>112.5</v>
      </c>
      <c r="M28" s="74"/>
      <c r="N28" s="44">
        <f>(J28*'Base Data'!$C$5)+(K28*'Base Data'!$C$6)+(L28*'Base Data'!$C$7)</f>
        <v>244749.375</v>
      </c>
      <c r="O28" s="44">
        <f>(D28+E28+F28)*G28*I28</f>
        <v>3307500</v>
      </c>
      <c r="P28" s="73">
        <v>0</v>
      </c>
      <c r="Q28" s="75" t="s">
        <v>339</v>
      </c>
    </row>
    <row r="29" spans="1:18" s="115" customFormat="1" ht="9">
      <c r="A29" s="110" t="s">
        <v>310</v>
      </c>
      <c r="B29" s="37"/>
      <c r="C29" s="37"/>
      <c r="D29" s="44"/>
      <c r="E29" s="44"/>
      <c r="F29" s="44"/>
      <c r="G29" s="37"/>
      <c r="H29" s="37"/>
      <c r="I29" s="73"/>
      <c r="J29" s="73"/>
      <c r="K29" s="73"/>
      <c r="L29" s="73"/>
      <c r="M29" s="74"/>
      <c r="N29" s="44"/>
      <c r="O29" s="44"/>
      <c r="P29" s="73"/>
      <c r="Q29" s="75"/>
    </row>
    <row r="30" spans="1:18" s="115" customFormat="1" ht="9">
      <c r="A30" s="110" t="s">
        <v>362</v>
      </c>
      <c r="B30" s="37">
        <v>10</v>
      </c>
      <c r="C30" s="37"/>
      <c r="D30" s="44">
        <v>0</v>
      </c>
      <c r="E30" s="44">
        <v>0</v>
      </c>
      <c r="F30" s="44">
        <v>158000</v>
      </c>
      <c r="G30" s="37">
        <v>1</v>
      </c>
      <c r="H30" s="37">
        <f>B30*G30</f>
        <v>10</v>
      </c>
      <c r="I30" s="72">
        <f>ROUNDDOWN(Monitors!$H$6/2,0)</f>
        <v>144</v>
      </c>
      <c r="J30" s="73">
        <f>H30*I30</f>
        <v>1440</v>
      </c>
      <c r="K30" s="73">
        <f>J30*0.1</f>
        <v>144</v>
      </c>
      <c r="L30" s="73">
        <f>J30*0.05</f>
        <v>72</v>
      </c>
      <c r="M30" s="74"/>
      <c r="N30" s="44">
        <f>(J30*'Base Data'!$C$5)+(K30*'Base Data'!$C$6)+(L30*'Base Data'!$C$7)</f>
        <v>156639.6</v>
      </c>
      <c r="O30" s="44">
        <f>(D30+E30+F30)*G30*I30</f>
        <v>22752000</v>
      </c>
      <c r="P30" s="73">
        <v>0</v>
      </c>
      <c r="Q30" s="75" t="s">
        <v>493</v>
      </c>
      <c r="R30" s="342"/>
    </row>
    <row r="31" spans="1:18" s="115" customFormat="1" ht="9">
      <c r="A31" s="110" t="s">
        <v>365</v>
      </c>
      <c r="B31" s="37">
        <v>10</v>
      </c>
      <c r="C31" s="37"/>
      <c r="D31" s="44">
        <v>0</v>
      </c>
      <c r="E31" s="44">
        <v>0</v>
      </c>
      <c r="F31" s="44">
        <v>56100</v>
      </c>
      <c r="G31" s="37">
        <v>1</v>
      </c>
      <c r="H31" s="37">
        <f>B31*G31</f>
        <v>10</v>
      </c>
      <c r="I31" s="72">
        <f>ROUNDDOWN(Monitors!$H$6/2,0)</f>
        <v>144</v>
      </c>
      <c r="J31" s="73">
        <f>H31*I31</f>
        <v>1440</v>
      </c>
      <c r="K31" s="73">
        <f>J31*0.1</f>
        <v>144</v>
      </c>
      <c r="L31" s="73">
        <f>J31*0.05</f>
        <v>72</v>
      </c>
      <c r="M31" s="74"/>
      <c r="N31" s="44">
        <f>(J31*'Base Data'!$C$5)+(K31*'Base Data'!$C$6)+(L31*'Base Data'!$C$7)</f>
        <v>156639.6</v>
      </c>
      <c r="O31" s="44">
        <f>(D31+E31+F31)*G31*I31</f>
        <v>8078400</v>
      </c>
      <c r="P31" s="73">
        <v>0</v>
      </c>
      <c r="Q31" s="75" t="s">
        <v>493</v>
      </c>
      <c r="R31" s="342"/>
    </row>
    <row r="32" spans="1:18" s="115" customFormat="1" ht="9">
      <c r="A32" s="110" t="s">
        <v>461</v>
      </c>
      <c r="B32" s="37"/>
      <c r="C32" s="37"/>
      <c r="D32" s="44"/>
      <c r="E32" s="44"/>
      <c r="F32" s="44"/>
      <c r="G32" s="37"/>
      <c r="H32" s="37"/>
      <c r="I32" s="72"/>
      <c r="J32" s="73"/>
      <c r="K32" s="73"/>
      <c r="L32" s="73"/>
      <c r="M32" s="74"/>
      <c r="N32" s="44"/>
      <c r="O32" s="44"/>
      <c r="P32" s="73"/>
      <c r="Q32" s="75"/>
    </row>
    <row r="33" spans="1:17" s="115" customFormat="1" ht="9">
      <c r="A33" s="110" t="s">
        <v>362</v>
      </c>
      <c r="B33" s="37">
        <v>10</v>
      </c>
      <c r="C33" s="37"/>
      <c r="D33" s="44">
        <v>0</v>
      </c>
      <c r="E33" s="44">
        <v>0</v>
      </c>
      <c r="F33" s="44">
        <f>Monitors!$F$32</f>
        <v>8523</v>
      </c>
      <c r="G33" s="37">
        <v>1</v>
      </c>
      <c r="H33" s="37">
        <f t="shared" ref="H33:H34" si="9">B33*G33</f>
        <v>10</v>
      </c>
      <c r="I33" s="72">
        <f>ROUNDDOWN(Monitors!$F$6/2,0)</f>
        <v>544</v>
      </c>
      <c r="J33" s="73">
        <f t="shared" ref="J33:J34" si="10">H33*I33</f>
        <v>5440</v>
      </c>
      <c r="K33" s="73">
        <f t="shared" ref="K33:K34" si="11">J33*0.1</f>
        <v>544</v>
      </c>
      <c r="L33" s="73">
        <f t="shared" ref="L33:L34" si="12">J33*0.05</f>
        <v>272</v>
      </c>
      <c r="M33" s="74"/>
      <c r="N33" s="44">
        <f>(J33*'Base Data'!$C$5)+(K33*'Base Data'!$C$6)+(L33*'Base Data'!$C$7)</f>
        <v>591749.6</v>
      </c>
      <c r="O33" s="44">
        <f>(D33+E33+F33)*G33*I33</f>
        <v>4636512</v>
      </c>
      <c r="P33" s="73">
        <v>0</v>
      </c>
      <c r="Q33" s="75" t="s">
        <v>339</v>
      </c>
    </row>
    <row r="34" spans="1:17" s="115" customFormat="1" ht="9">
      <c r="A34" s="110" t="s">
        <v>365</v>
      </c>
      <c r="B34" s="37">
        <v>10</v>
      </c>
      <c r="C34" s="37"/>
      <c r="D34" s="44">
        <v>0</v>
      </c>
      <c r="E34" s="44">
        <v>0</v>
      </c>
      <c r="F34" s="44">
        <f>Monitors!$G$32</f>
        <v>1436</v>
      </c>
      <c r="G34" s="37">
        <v>1</v>
      </c>
      <c r="H34" s="37">
        <f t="shared" si="9"/>
        <v>10</v>
      </c>
      <c r="I34" s="72">
        <f>ROUNDDOWN(Monitors!$F$6/2,0)</f>
        <v>544</v>
      </c>
      <c r="J34" s="73">
        <f t="shared" si="10"/>
        <v>5440</v>
      </c>
      <c r="K34" s="73">
        <f t="shared" si="11"/>
        <v>544</v>
      </c>
      <c r="L34" s="73">
        <f t="shared" si="12"/>
        <v>272</v>
      </c>
      <c r="M34" s="74"/>
      <c r="N34" s="44">
        <f>(J34*'Base Data'!$C$5)+(K34*'Base Data'!$C$6)+(L34*'Base Data'!$C$7)</f>
        <v>591749.6</v>
      </c>
      <c r="O34" s="44">
        <f>(D34+E34+F34)*G34*I34</f>
        <v>781184</v>
      </c>
      <c r="P34" s="73">
        <v>0</v>
      </c>
      <c r="Q34" s="75" t="s">
        <v>339</v>
      </c>
    </row>
    <row r="35" spans="1:17" s="115" customFormat="1" ht="18">
      <c r="A35" s="111" t="s">
        <v>160</v>
      </c>
      <c r="B35" s="37"/>
      <c r="C35" s="37"/>
      <c r="D35" s="44"/>
      <c r="E35" s="44"/>
      <c r="F35" s="76"/>
      <c r="G35" s="37"/>
      <c r="H35" s="37"/>
      <c r="I35" s="72"/>
      <c r="J35" s="73"/>
      <c r="K35" s="73"/>
      <c r="L35" s="73"/>
      <c r="M35" s="74"/>
      <c r="N35" s="44"/>
      <c r="O35" s="44"/>
      <c r="P35" s="73"/>
      <c r="Q35" s="75"/>
    </row>
    <row r="36" spans="1:17" s="115" customFormat="1" ht="9">
      <c r="A36" s="110" t="s">
        <v>362</v>
      </c>
      <c r="B36" s="37">
        <v>10</v>
      </c>
      <c r="C36" s="37"/>
      <c r="D36" s="44">
        <v>0</v>
      </c>
      <c r="E36" s="44">
        <v>0</v>
      </c>
      <c r="F36" s="44">
        <v>24300</v>
      </c>
      <c r="G36" s="37">
        <v>1</v>
      </c>
      <c r="H36" s="37">
        <f>B36*G36</f>
        <v>10</v>
      </c>
      <c r="I36" s="72">
        <f>ROUNDDOWN(Monitors!$D$6/2,0)</f>
        <v>199</v>
      </c>
      <c r="J36" s="73">
        <f>H36*I36</f>
        <v>1990</v>
      </c>
      <c r="K36" s="73">
        <f>J36*0.1</f>
        <v>199</v>
      </c>
      <c r="L36" s="73">
        <f>J36*0.05</f>
        <v>99.5</v>
      </c>
      <c r="M36" s="74"/>
      <c r="N36" s="44">
        <f>(J36*'Base Data'!$C$5)+(K36*'Base Data'!$C$6)+(L36*'Base Data'!$C$7)</f>
        <v>216467.22500000001</v>
      </c>
      <c r="O36" s="44">
        <f>(D36+E36+F36)*G36*I36</f>
        <v>4835700</v>
      </c>
      <c r="P36" s="73">
        <v>0</v>
      </c>
      <c r="Q36" s="75" t="s">
        <v>339</v>
      </c>
    </row>
    <row r="37" spans="1:17" s="115" customFormat="1" ht="9">
      <c r="A37" s="110" t="s">
        <v>365</v>
      </c>
      <c r="B37" s="37">
        <v>10</v>
      </c>
      <c r="C37" s="37"/>
      <c r="D37" s="44">
        <v>0</v>
      </c>
      <c r="E37" s="44">
        <v>0</v>
      </c>
      <c r="F37" s="44">
        <v>5600</v>
      </c>
      <c r="G37" s="37">
        <v>1</v>
      </c>
      <c r="H37" s="37">
        <f>B37*G37</f>
        <v>10</v>
      </c>
      <c r="I37" s="72">
        <f>ROUNDDOWN(Monitors!$D$6/2,0)</f>
        <v>199</v>
      </c>
      <c r="J37" s="73">
        <f>H37*I37</f>
        <v>1990</v>
      </c>
      <c r="K37" s="73">
        <f>J37*0.1</f>
        <v>199</v>
      </c>
      <c r="L37" s="73">
        <f>J37*0.05</f>
        <v>99.5</v>
      </c>
      <c r="M37" s="74"/>
      <c r="N37" s="44">
        <f>(J37*'Base Data'!$C$5)+(K37*'Base Data'!$C$6)+(L37*'Base Data'!$C$7)</f>
        <v>216467.22500000001</v>
      </c>
      <c r="O37" s="44">
        <f>(D37+E37+F37)*G37*I37</f>
        <v>1114400</v>
      </c>
      <c r="P37" s="73">
        <v>0</v>
      </c>
      <c r="Q37" s="75" t="s">
        <v>339</v>
      </c>
    </row>
    <row r="38" spans="1:17" s="115" customFormat="1" ht="18.75" customHeight="1">
      <c r="A38" s="111" t="s">
        <v>425</v>
      </c>
      <c r="B38" s="37"/>
      <c r="C38" s="37"/>
      <c r="D38" s="44"/>
      <c r="E38" s="44"/>
      <c r="F38" s="44"/>
      <c r="G38" s="37"/>
      <c r="H38" s="37"/>
      <c r="I38" s="72"/>
      <c r="J38" s="73"/>
      <c r="K38" s="73"/>
      <c r="L38" s="73"/>
      <c r="M38" s="74"/>
      <c r="N38" s="44"/>
      <c r="O38" s="183"/>
      <c r="P38" s="73"/>
      <c r="Q38" s="75"/>
    </row>
    <row r="39" spans="1:17" s="115" customFormat="1" ht="9">
      <c r="A39" s="110" t="s">
        <v>362</v>
      </c>
      <c r="B39" s="37">
        <v>10</v>
      </c>
      <c r="C39" s="37"/>
      <c r="D39" s="44">
        <v>0</v>
      </c>
      <c r="E39" s="44">
        <v>0</v>
      </c>
      <c r="F39" s="44">
        <f>25500</f>
        <v>25500</v>
      </c>
      <c r="G39" s="37">
        <v>1</v>
      </c>
      <c r="H39" s="37">
        <f>B39*G39</f>
        <v>10</v>
      </c>
      <c r="I39" s="72">
        <f>ROUNDDOWN(Monitors!$B$6/2,0)</f>
        <v>22</v>
      </c>
      <c r="J39" s="73">
        <f>H39*I39</f>
        <v>220</v>
      </c>
      <c r="K39" s="73">
        <f>J39*0.1</f>
        <v>22</v>
      </c>
      <c r="L39" s="73">
        <f>J39*0.05</f>
        <v>11</v>
      </c>
      <c r="M39" s="74"/>
      <c r="N39" s="44">
        <f>(J39*'Base Data'!$C$5)+(K39*'Base Data'!$C$6)+(L39*'Base Data'!$C$7)</f>
        <v>23931.05</v>
      </c>
      <c r="O39" s="44">
        <f>(D39+E39+F39)*G39*I39</f>
        <v>561000</v>
      </c>
      <c r="P39" s="73">
        <v>0</v>
      </c>
      <c r="Q39" s="75" t="s">
        <v>339</v>
      </c>
    </row>
    <row r="40" spans="1:17" s="115" customFormat="1" ht="9">
      <c r="A40" s="110" t="s">
        <v>365</v>
      </c>
      <c r="B40" s="37">
        <v>10</v>
      </c>
      <c r="C40" s="37"/>
      <c r="D40" s="44">
        <v>0</v>
      </c>
      <c r="E40" s="44">
        <v>0</v>
      </c>
      <c r="F40" s="44">
        <v>9700</v>
      </c>
      <c r="G40" s="37">
        <v>1</v>
      </c>
      <c r="H40" s="37">
        <f>B40*G40</f>
        <v>10</v>
      </c>
      <c r="I40" s="72">
        <f>ROUNDDOWN(Monitors!$B$6/2,0)</f>
        <v>22</v>
      </c>
      <c r="J40" s="73">
        <f>H40*I40</f>
        <v>220</v>
      </c>
      <c r="K40" s="73">
        <f>J40*0.1</f>
        <v>22</v>
      </c>
      <c r="L40" s="73">
        <f>J40*0.05</f>
        <v>11</v>
      </c>
      <c r="M40" s="74"/>
      <c r="N40" s="44">
        <f>(J40*'Base Data'!$C$5)+(K40*'Base Data'!$C$6)+(L40*'Base Data'!$C$7)</f>
        <v>23931.05</v>
      </c>
      <c r="O40" s="44">
        <f>(D40+E40+F40)*G40*I40</f>
        <v>213400</v>
      </c>
      <c r="P40" s="73">
        <v>0</v>
      </c>
      <c r="Q40" s="75" t="s">
        <v>339</v>
      </c>
    </row>
    <row r="41" spans="1:17" s="115" customFormat="1" ht="9">
      <c r="A41" s="111" t="s">
        <v>523</v>
      </c>
      <c r="B41" s="37"/>
      <c r="C41" s="37"/>
      <c r="D41" s="44"/>
      <c r="E41" s="44"/>
      <c r="F41" s="44"/>
      <c r="G41" s="37"/>
      <c r="H41" s="37"/>
      <c r="I41" s="72"/>
      <c r="J41" s="73"/>
      <c r="K41" s="73"/>
      <c r="L41" s="73"/>
      <c r="M41" s="74"/>
      <c r="N41" s="44"/>
      <c r="O41" s="183"/>
      <c r="P41" s="73"/>
      <c r="Q41" s="75"/>
    </row>
    <row r="42" spans="1:17" s="115" customFormat="1" ht="9">
      <c r="A42" s="110" t="s">
        <v>362</v>
      </c>
      <c r="B42" s="37">
        <v>10</v>
      </c>
      <c r="C42" s="37"/>
      <c r="D42" s="44">
        <v>0</v>
      </c>
      <c r="E42" s="44">
        <v>0</v>
      </c>
      <c r="F42" s="44">
        <v>43500</v>
      </c>
      <c r="G42" s="37">
        <v>1</v>
      </c>
      <c r="H42" s="37">
        <f>B42*G42</f>
        <v>10</v>
      </c>
      <c r="I42" s="72">
        <f>ROUNDDOWN(Monitors!$G$6/2,0)</f>
        <v>37</v>
      </c>
      <c r="J42" s="73">
        <f>H42*I42</f>
        <v>370</v>
      </c>
      <c r="K42" s="73">
        <f>J42*0.1</f>
        <v>37</v>
      </c>
      <c r="L42" s="73">
        <f>J42*0.05</f>
        <v>18.5</v>
      </c>
      <c r="M42" s="74"/>
      <c r="N42" s="44">
        <f>(J42*'Base Data'!$C$5)+(K42*'Base Data'!$C$6)+(L42*'Base Data'!$C$7)</f>
        <v>40247.675000000003</v>
      </c>
      <c r="O42" s="44">
        <f>(D42+E42+F42)*G42*I42</f>
        <v>1609500</v>
      </c>
      <c r="P42" s="73">
        <v>0</v>
      </c>
      <c r="Q42" s="75" t="s">
        <v>339</v>
      </c>
    </row>
    <row r="43" spans="1:17" s="115" customFormat="1" ht="9">
      <c r="A43" s="110" t="s">
        <v>365</v>
      </c>
      <c r="B43" s="37">
        <v>10</v>
      </c>
      <c r="C43" s="37"/>
      <c r="D43" s="44">
        <v>0</v>
      </c>
      <c r="E43" s="44">
        <v>0</v>
      </c>
      <c r="F43" s="44">
        <v>26500</v>
      </c>
      <c r="G43" s="37">
        <v>1</v>
      </c>
      <c r="H43" s="37">
        <f>B43*G43</f>
        <v>10</v>
      </c>
      <c r="I43" s="72">
        <f>ROUNDDOWN(Monitors!$G$6/2,0)</f>
        <v>37</v>
      </c>
      <c r="J43" s="73">
        <f>H43*I43</f>
        <v>370</v>
      </c>
      <c r="K43" s="73">
        <f>J43*0.1</f>
        <v>37</v>
      </c>
      <c r="L43" s="73">
        <f>J43*0.05</f>
        <v>18.5</v>
      </c>
      <c r="M43" s="74"/>
      <c r="N43" s="44">
        <f>(J43*'Base Data'!$C$5)+(K43*'Base Data'!$C$6)+(L43*'Base Data'!$C$7)</f>
        <v>40247.675000000003</v>
      </c>
      <c r="O43" s="44">
        <f>(D43+E43+F43)*G43*I43</f>
        <v>980500</v>
      </c>
      <c r="P43" s="73">
        <v>0</v>
      </c>
      <c r="Q43" s="75" t="s">
        <v>339</v>
      </c>
    </row>
    <row r="44" spans="1:17" s="115" customFormat="1" ht="18.75" customHeight="1">
      <c r="A44" s="111" t="s">
        <v>161</v>
      </c>
      <c r="B44" s="37"/>
      <c r="C44" s="37"/>
      <c r="D44" s="44"/>
      <c r="E44" s="44"/>
      <c r="F44" s="44"/>
      <c r="G44" s="37"/>
      <c r="H44" s="37"/>
      <c r="I44" s="72"/>
      <c r="J44" s="73"/>
      <c r="K44" s="73"/>
      <c r="L44" s="73"/>
      <c r="M44" s="74"/>
      <c r="N44" s="44"/>
      <c r="O44" s="44"/>
      <c r="P44" s="73"/>
      <c r="Q44" s="75"/>
    </row>
    <row r="45" spans="1:17" s="115" customFormat="1" ht="9">
      <c r="A45" s="110" t="s">
        <v>362</v>
      </c>
      <c r="B45" s="37">
        <v>10</v>
      </c>
      <c r="C45" s="37"/>
      <c r="D45" s="44">
        <v>0</v>
      </c>
      <c r="E45" s="44">
        <v>0</v>
      </c>
      <c r="F45" s="44">
        <v>115000</v>
      </c>
      <c r="G45" s="37">
        <v>1</v>
      </c>
      <c r="H45" s="37">
        <f>B45*G45</f>
        <v>10</v>
      </c>
      <c r="I45" s="72">
        <f>ROUNDDOWN(Monitors!$E$6/2,0)</f>
        <v>17</v>
      </c>
      <c r="J45" s="73">
        <f>H45*I45</f>
        <v>170</v>
      </c>
      <c r="K45" s="73">
        <f>J45*0.1</f>
        <v>17</v>
      </c>
      <c r="L45" s="73">
        <f>J45*0.05</f>
        <v>8.5</v>
      </c>
      <c r="M45" s="74"/>
      <c r="N45" s="44">
        <f>(J45*'Base Data'!$C$5)+(K45*'Base Data'!$C$6)+(L45*'Base Data'!$C$7)</f>
        <v>18492.174999999999</v>
      </c>
      <c r="O45" s="44">
        <f>(D45+E45+F45)*G45*I45</f>
        <v>1955000</v>
      </c>
      <c r="P45" s="73">
        <v>0</v>
      </c>
      <c r="Q45" s="75" t="s">
        <v>339</v>
      </c>
    </row>
    <row r="46" spans="1:17" s="115" customFormat="1" ht="9">
      <c r="A46" s="110" t="s">
        <v>365</v>
      </c>
      <c r="B46" s="37">
        <v>10</v>
      </c>
      <c r="C46" s="37"/>
      <c r="D46" s="44">
        <v>0</v>
      </c>
      <c r="E46" s="44">
        <v>0</v>
      </c>
      <c r="F46" s="44">
        <v>9700</v>
      </c>
      <c r="G46" s="37">
        <v>1</v>
      </c>
      <c r="H46" s="37">
        <f>B46*G46</f>
        <v>10</v>
      </c>
      <c r="I46" s="72">
        <f>ROUNDDOWN(Monitors!$E$6/2,0)</f>
        <v>17</v>
      </c>
      <c r="J46" s="73">
        <f>H46*I46</f>
        <v>170</v>
      </c>
      <c r="K46" s="73">
        <f>J46*0.1</f>
        <v>17</v>
      </c>
      <c r="L46" s="73">
        <f>J46*0.05</f>
        <v>8.5</v>
      </c>
      <c r="M46" s="74"/>
      <c r="N46" s="44">
        <f>(J46*'Base Data'!$C$5)+(K46*'Base Data'!$C$6)+(L46*'Base Data'!$C$7)</f>
        <v>18492.174999999999</v>
      </c>
      <c r="O46" s="44">
        <f>(D46+E46+F46)*G46*I46</f>
        <v>164900</v>
      </c>
      <c r="P46" s="73">
        <v>0</v>
      </c>
      <c r="Q46" s="75" t="s">
        <v>339</v>
      </c>
    </row>
    <row r="47" spans="1:17" s="115" customFormat="1" ht="9">
      <c r="A47" s="110" t="s">
        <v>366</v>
      </c>
      <c r="B47" s="37" t="s">
        <v>384</v>
      </c>
      <c r="C47" s="37"/>
      <c r="D47" s="44"/>
      <c r="E47" s="44"/>
      <c r="F47" s="44"/>
      <c r="G47" s="37"/>
      <c r="H47" s="37"/>
      <c r="I47" s="73"/>
      <c r="J47" s="73"/>
      <c r="K47" s="73"/>
      <c r="L47" s="73"/>
      <c r="M47" s="37"/>
      <c r="N47" s="44"/>
      <c r="O47" s="44"/>
      <c r="P47" s="44"/>
      <c r="Q47" s="75"/>
    </row>
    <row r="48" spans="1:17" s="115" customFormat="1" ht="9">
      <c r="A48" s="110" t="s">
        <v>367</v>
      </c>
      <c r="B48" s="37" t="s">
        <v>384</v>
      </c>
      <c r="C48" s="37"/>
      <c r="D48" s="44"/>
      <c r="E48" s="44"/>
      <c r="F48" s="44"/>
      <c r="G48" s="37"/>
      <c r="H48" s="37"/>
      <c r="I48" s="73"/>
      <c r="J48" s="73"/>
      <c r="K48" s="73"/>
      <c r="L48" s="73"/>
      <c r="M48" s="37"/>
      <c r="N48" s="44"/>
      <c r="O48" s="44"/>
      <c r="P48" s="44"/>
      <c r="Q48" s="75"/>
    </row>
    <row r="49" spans="1:19" s="115" customFormat="1" ht="9">
      <c r="A49" s="110" t="s">
        <v>368</v>
      </c>
      <c r="B49" s="37"/>
      <c r="C49" s="37"/>
      <c r="D49" s="44"/>
      <c r="E49" s="44"/>
      <c r="F49" s="44"/>
      <c r="G49" s="37"/>
      <c r="H49" s="37"/>
      <c r="I49" s="73"/>
      <c r="J49" s="73"/>
      <c r="K49" s="73"/>
      <c r="L49" s="73"/>
      <c r="M49" s="37"/>
      <c r="N49" s="44"/>
      <c r="O49" s="44"/>
      <c r="P49" s="44"/>
      <c r="Q49" s="75"/>
    </row>
    <row r="50" spans="1:19" s="115" customFormat="1" ht="9">
      <c r="A50" s="126" t="s">
        <v>386</v>
      </c>
      <c r="B50" s="37">
        <v>2</v>
      </c>
      <c r="C50" s="37"/>
      <c r="D50" s="44">
        <v>0</v>
      </c>
      <c r="E50" s="44">
        <v>0</v>
      </c>
      <c r="F50" s="44">
        <v>0</v>
      </c>
      <c r="G50" s="37">
        <v>1</v>
      </c>
      <c r="H50" s="37">
        <f>B50*G50</f>
        <v>2</v>
      </c>
      <c r="I50" s="72">
        <v>0</v>
      </c>
      <c r="J50" s="73">
        <f>H50*I50</f>
        <v>0</v>
      </c>
      <c r="K50" s="73">
        <f>J50*0.1</f>
        <v>0</v>
      </c>
      <c r="L50" s="73">
        <f>J50*0.05</f>
        <v>0</v>
      </c>
      <c r="M50" s="37">
        <f>C50*G50*I50</f>
        <v>0</v>
      </c>
      <c r="N50" s="44">
        <f>(J50*'Base Data'!$C$5)+(K50*'Base Data'!$C$6)+(L50*'Base Data'!$C$7)</f>
        <v>0</v>
      </c>
      <c r="O50" s="44">
        <f>(D50+E50+F50)*G50*I50</f>
        <v>0</v>
      </c>
      <c r="P50" s="73">
        <f>G50*I50</f>
        <v>0</v>
      </c>
      <c r="Q50" s="75" t="s">
        <v>338</v>
      </c>
    </row>
    <row r="51" spans="1:19" s="115" customFormat="1" ht="9" customHeight="1">
      <c r="A51" s="126" t="s">
        <v>328</v>
      </c>
      <c r="B51" s="37">
        <v>8</v>
      </c>
      <c r="C51" s="37"/>
      <c r="D51" s="44">
        <v>0</v>
      </c>
      <c r="E51" s="44">
        <v>0</v>
      </c>
      <c r="F51" s="44">
        <v>0</v>
      </c>
      <c r="G51" s="37">
        <v>1</v>
      </c>
      <c r="H51" s="37">
        <f>B51*G51</f>
        <v>8</v>
      </c>
      <c r="I51" s="72">
        <f>ROUND(SUM('Base Data'!$H$18:$H$20,'Base Data'!$H$23:$H$25),0)</f>
        <v>131</v>
      </c>
      <c r="J51" s="73">
        <f>H51*I51</f>
        <v>1048</v>
      </c>
      <c r="K51" s="73">
        <f>J51*0.1</f>
        <v>104.80000000000001</v>
      </c>
      <c r="L51" s="73">
        <f>J51*0.05</f>
        <v>52.400000000000006</v>
      </c>
      <c r="M51" s="37">
        <f>C51*G51*I51</f>
        <v>0</v>
      </c>
      <c r="N51" s="44">
        <f>(J51*'Base Data'!$C$5)+(K51*'Base Data'!$C$6)+(L51*'Base Data'!$C$7)</f>
        <v>113998.82</v>
      </c>
      <c r="O51" s="44">
        <f>(D51+E51+F51)*G51*I51</f>
        <v>0</v>
      </c>
      <c r="P51" s="73">
        <f>G51*I51</f>
        <v>131</v>
      </c>
      <c r="Q51" s="75" t="s">
        <v>339</v>
      </c>
    </row>
    <row r="52" spans="1:19" s="115" customFormat="1" ht="9">
      <c r="A52" s="126" t="s">
        <v>329</v>
      </c>
      <c r="B52" s="37">
        <v>5</v>
      </c>
      <c r="C52" s="37"/>
      <c r="D52" s="44">
        <v>0</v>
      </c>
      <c r="E52" s="44">
        <v>0</v>
      </c>
      <c r="F52" s="44">
        <v>0</v>
      </c>
      <c r="G52" s="37">
        <v>1</v>
      </c>
      <c r="H52" s="37">
        <f>B52*G52</f>
        <v>5</v>
      </c>
      <c r="I52" s="72">
        <f>ROUND(SUM('Base Data'!$H$18:$H$20,'Base Data'!$H$23:$H$25),0)</f>
        <v>131</v>
      </c>
      <c r="J52" s="73">
        <f>H52*I52</f>
        <v>655</v>
      </c>
      <c r="K52" s="73">
        <f>J52*0.1</f>
        <v>65.5</v>
      </c>
      <c r="L52" s="73">
        <f>J52*0.05</f>
        <v>32.75</v>
      </c>
      <c r="M52" s="37">
        <f>C52*G52*I52</f>
        <v>0</v>
      </c>
      <c r="N52" s="44">
        <f>(J52*'Base Data'!$C$5)+(K52*'Base Data'!$C$6)+(L52*'Base Data'!$C$7)</f>
        <v>71249.262499999997</v>
      </c>
      <c r="O52" s="44">
        <f>(D52+E52+F52)*G52*I52</f>
        <v>0</v>
      </c>
      <c r="P52" s="73">
        <f>G52*I52</f>
        <v>131</v>
      </c>
      <c r="Q52" s="75" t="s">
        <v>339</v>
      </c>
    </row>
    <row r="53" spans="1:19" s="115" customFormat="1" ht="9">
      <c r="A53" s="112" t="s">
        <v>407</v>
      </c>
      <c r="B53" s="37">
        <v>20</v>
      </c>
      <c r="C53" s="37">
        <v>0</v>
      </c>
      <c r="D53" s="44">
        <v>0</v>
      </c>
      <c r="E53" s="44">
        <v>0</v>
      </c>
      <c r="F53" s="44">
        <v>0</v>
      </c>
      <c r="G53" s="37">
        <v>2</v>
      </c>
      <c r="H53" s="37">
        <f>B53*G53</f>
        <v>40</v>
      </c>
      <c r="I53" s="72">
        <f>ROUND(SUM('Base Data'!$H$18:$H$20,'Base Data'!$H$23:$H$25),0)</f>
        <v>131</v>
      </c>
      <c r="J53" s="73">
        <f>H53*I53</f>
        <v>5240</v>
      </c>
      <c r="K53" s="73">
        <f>J53*0.1</f>
        <v>524</v>
      </c>
      <c r="L53" s="73">
        <f>J53*0.05</f>
        <v>262</v>
      </c>
      <c r="M53" s="73">
        <f>C53*G53*I53</f>
        <v>0</v>
      </c>
      <c r="N53" s="44">
        <f>(J53*'Base Data'!$C$5)+(K53*'Base Data'!$C$6)+(L53*'Base Data'!$C$7)</f>
        <v>569994.1</v>
      </c>
      <c r="O53" s="44">
        <f>(D53+E53+F53)*G53*I53</f>
        <v>0</v>
      </c>
      <c r="P53" s="73">
        <f>G53*I53</f>
        <v>262</v>
      </c>
      <c r="Q53" s="75" t="s">
        <v>338</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490</v>
      </c>
      <c r="R54" s="133"/>
    </row>
    <row r="55" spans="1:19" s="115" customFormat="1" ht="9">
      <c r="A55" s="113" t="s">
        <v>7</v>
      </c>
      <c r="B55" s="37"/>
      <c r="C55" s="37"/>
      <c r="D55" s="44"/>
      <c r="E55" s="44"/>
      <c r="F55" s="44"/>
      <c r="G55" s="37"/>
      <c r="H55" s="37"/>
      <c r="I55" s="72"/>
      <c r="J55" s="73">
        <f t="shared" ref="J55:O55" si="13">SUM(J7:J53)</f>
        <v>106411</v>
      </c>
      <c r="K55" s="73">
        <f t="shared" si="13"/>
        <v>10641.1</v>
      </c>
      <c r="L55" s="73">
        <f t="shared" si="13"/>
        <v>5320.55</v>
      </c>
      <c r="M55" s="73">
        <f t="shared" si="13"/>
        <v>0</v>
      </c>
      <c r="N55" s="44">
        <f t="shared" si="13"/>
        <v>11575122.5525</v>
      </c>
      <c r="O55" s="44">
        <f t="shared" si="13"/>
        <v>102468972</v>
      </c>
      <c r="P55" s="73">
        <f>SUM(P50:P53)</f>
        <v>524</v>
      </c>
      <c r="Q55" s="75"/>
      <c r="R55" s="118">
        <f>SUM(O7,O10:O23,O28,O31,O34,O37,O40,O46,O43)</f>
        <v>56421760</v>
      </c>
      <c r="S55" s="117">
        <f>SUM(O27,O30,O33,O36,O39,O45,O42)</f>
        <v>46047212</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4">B61*G61</f>
        <v>20</v>
      </c>
      <c r="I61" s="72">
        <f>ROUND(SUM('Base Data'!$D$18:$D$20,'Base Data'!$D$23:$D$25),0)</f>
        <v>1088</v>
      </c>
      <c r="J61" s="73">
        <f t="shared" ref="J61:J66" si="15">H61*I61</f>
        <v>21760</v>
      </c>
      <c r="K61" s="73">
        <f t="shared" ref="K61:K66" si="16">J61*0.1</f>
        <v>2176</v>
      </c>
      <c r="L61" s="73">
        <f t="shared" ref="L61:L66" si="17">J61*0.05</f>
        <v>1088</v>
      </c>
      <c r="M61" s="37"/>
      <c r="N61" s="44">
        <f>(J61*'Base Data'!$C$5)+(K61*'Base Data'!$C$6)+(L61*'Base Data'!$C$7)</f>
        <v>2366998.4</v>
      </c>
      <c r="O61" s="44">
        <f t="shared" ref="O61:O66" si="18">(D61+E61+F61)*G61*I61</f>
        <v>0</v>
      </c>
      <c r="P61" s="73">
        <v>0</v>
      </c>
      <c r="Q61" s="75" t="s">
        <v>339</v>
      </c>
    </row>
    <row r="62" spans="1:19" s="115" customFormat="1" ht="9">
      <c r="A62" s="111" t="s">
        <v>376</v>
      </c>
      <c r="B62" s="37">
        <v>15</v>
      </c>
      <c r="C62" s="37">
        <v>0</v>
      </c>
      <c r="D62" s="44">
        <v>0</v>
      </c>
      <c r="E62" s="44">
        <v>0</v>
      </c>
      <c r="F62" s="44">
        <v>0</v>
      </c>
      <c r="G62" s="37">
        <v>1</v>
      </c>
      <c r="H62" s="37">
        <f t="shared" si="14"/>
        <v>15</v>
      </c>
      <c r="I62" s="72">
        <f>ROUND(SUM('Base Data'!$D$18:$D$20,'Base Data'!$D$23:$D$25),0)</f>
        <v>1088</v>
      </c>
      <c r="J62" s="73">
        <f t="shared" si="15"/>
        <v>16320</v>
      </c>
      <c r="K62" s="73">
        <f t="shared" si="16"/>
        <v>1632</v>
      </c>
      <c r="L62" s="73">
        <f t="shared" si="17"/>
        <v>816</v>
      </c>
      <c r="M62" s="37">
        <f>C62*G62*I62</f>
        <v>0</v>
      </c>
      <c r="N62" s="44">
        <f>(J62*'Base Data'!$C$5)+(K62*'Base Data'!$C$6)+(L62*'Base Data'!$C$7)</f>
        <v>1775248.8</v>
      </c>
      <c r="O62" s="44">
        <f t="shared" si="18"/>
        <v>0</v>
      </c>
      <c r="P62" s="73">
        <v>0</v>
      </c>
      <c r="Q62" s="75" t="s">
        <v>339</v>
      </c>
    </row>
    <row r="63" spans="1:19" s="115" customFormat="1" ht="9.75" customHeight="1">
      <c r="A63" s="110" t="s">
        <v>377</v>
      </c>
      <c r="B63" s="37">
        <v>2</v>
      </c>
      <c r="C63" s="37"/>
      <c r="D63" s="44">
        <v>0</v>
      </c>
      <c r="E63" s="44">
        <v>0</v>
      </c>
      <c r="F63" s="44">
        <v>0</v>
      </c>
      <c r="G63" s="37">
        <v>1</v>
      </c>
      <c r="H63" s="37">
        <f t="shared" si="14"/>
        <v>2</v>
      </c>
      <c r="I63" s="72">
        <f>ROUND(SUM('Base Data'!$D$18:$D$20,'Base Data'!$D$23:$D$25),0)</f>
        <v>1088</v>
      </c>
      <c r="J63" s="73">
        <f t="shared" si="15"/>
        <v>2176</v>
      </c>
      <c r="K63" s="73">
        <f t="shared" si="16"/>
        <v>217.60000000000002</v>
      </c>
      <c r="L63" s="73">
        <f t="shared" si="17"/>
        <v>108.80000000000001</v>
      </c>
      <c r="M63" s="37"/>
      <c r="N63" s="44">
        <f>(J63*'Base Data'!$C$5)+(K63*'Base Data'!$C$6)+(L63*'Base Data'!$C$7)</f>
        <v>236699.84</v>
      </c>
      <c r="O63" s="44">
        <f t="shared" si="18"/>
        <v>0</v>
      </c>
      <c r="P63" s="73">
        <v>0</v>
      </c>
      <c r="Q63" s="75" t="s">
        <v>339</v>
      </c>
    </row>
    <row r="64" spans="1:19" s="115" customFormat="1" ht="9">
      <c r="A64" s="111" t="s">
        <v>387</v>
      </c>
      <c r="B64" s="37">
        <v>2</v>
      </c>
      <c r="C64" s="37"/>
      <c r="D64" s="44">
        <v>0</v>
      </c>
      <c r="E64" s="44">
        <v>0</v>
      </c>
      <c r="F64" s="44">
        <v>0</v>
      </c>
      <c r="G64" s="37">
        <v>1</v>
      </c>
      <c r="H64" s="37">
        <f t="shared" si="14"/>
        <v>2</v>
      </c>
      <c r="I64" s="72">
        <f>ROUND(SUM('Base Data'!$D$18:$D$20,'Base Data'!$D$23:$D$25),0)</f>
        <v>1088</v>
      </c>
      <c r="J64" s="73">
        <f t="shared" si="15"/>
        <v>2176</v>
      </c>
      <c r="K64" s="73">
        <f t="shared" si="16"/>
        <v>217.60000000000002</v>
      </c>
      <c r="L64" s="73">
        <f t="shared" si="17"/>
        <v>108.80000000000001</v>
      </c>
      <c r="M64" s="37"/>
      <c r="N64" s="44">
        <f>(J64*'Base Data'!$C$5)+(K64*'Base Data'!$C$6)+(L64*'Base Data'!$C$7)</f>
        <v>236699.84</v>
      </c>
      <c r="O64" s="44">
        <f t="shared" si="18"/>
        <v>0</v>
      </c>
      <c r="P64" s="73">
        <v>0</v>
      </c>
      <c r="Q64" s="75" t="s">
        <v>339</v>
      </c>
    </row>
    <row r="65" spans="1:18" s="115" customFormat="1" ht="9">
      <c r="A65" s="111" t="s">
        <v>388</v>
      </c>
      <c r="B65" s="37">
        <v>2</v>
      </c>
      <c r="C65" s="37">
        <v>0</v>
      </c>
      <c r="D65" s="44">
        <v>0</v>
      </c>
      <c r="E65" s="44">
        <v>0</v>
      </c>
      <c r="F65" s="44">
        <v>0</v>
      </c>
      <c r="G65" s="37">
        <v>2</v>
      </c>
      <c r="H65" s="37">
        <f t="shared" si="14"/>
        <v>4</v>
      </c>
      <c r="I65" s="72">
        <f>ROUND(SUM('Base Data'!$D$18:$D$20,'Base Data'!$D$23:$D$25),0)</f>
        <v>1088</v>
      </c>
      <c r="J65" s="73">
        <f t="shared" si="15"/>
        <v>4352</v>
      </c>
      <c r="K65" s="73">
        <f t="shared" si="16"/>
        <v>435.20000000000005</v>
      </c>
      <c r="L65" s="73">
        <f t="shared" si="17"/>
        <v>217.60000000000002</v>
      </c>
      <c r="M65" s="37">
        <f>C65*G65*I65</f>
        <v>0</v>
      </c>
      <c r="N65" s="44">
        <f>(J65*'Base Data'!$C$5)+(K65*'Base Data'!$C$6)+(L65*'Base Data'!$C$7)</f>
        <v>473399.68</v>
      </c>
      <c r="O65" s="44">
        <f t="shared" si="18"/>
        <v>0</v>
      </c>
      <c r="P65" s="73">
        <v>0</v>
      </c>
      <c r="Q65" s="75" t="s">
        <v>339</v>
      </c>
    </row>
    <row r="66" spans="1:18" s="115" customFormat="1" ht="9">
      <c r="A66" s="111" t="s">
        <v>389</v>
      </c>
      <c r="B66" s="37">
        <v>0.5</v>
      </c>
      <c r="C66" s="37"/>
      <c r="D66" s="44">
        <v>0</v>
      </c>
      <c r="E66" s="44">
        <v>0</v>
      </c>
      <c r="F66" s="44">
        <v>0</v>
      </c>
      <c r="G66" s="37">
        <v>12</v>
      </c>
      <c r="H66" s="37">
        <f t="shared" si="14"/>
        <v>6</v>
      </c>
      <c r="I66" s="72">
        <f>ROUND(SUM('Base Data'!$D$18:$D$20,'Base Data'!$D$23:$D$25),0)</f>
        <v>1088</v>
      </c>
      <c r="J66" s="73">
        <f t="shared" si="15"/>
        <v>6528</v>
      </c>
      <c r="K66" s="73">
        <f t="shared" si="16"/>
        <v>652.80000000000007</v>
      </c>
      <c r="L66" s="73">
        <f t="shared" si="17"/>
        <v>326.40000000000003</v>
      </c>
      <c r="M66" s="37"/>
      <c r="N66" s="44">
        <f>(J66*'Base Data'!$C$5)+(K66*'Base Data'!$C$6)+(L66*'Base Data'!$C$7)</f>
        <v>710099.5199999999</v>
      </c>
      <c r="O66" s="44">
        <f t="shared" si="18"/>
        <v>0</v>
      </c>
      <c r="P66" s="73">
        <v>0</v>
      </c>
      <c r="Q66" s="75" t="s">
        <v>339</v>
      </c>
    </row>
    <row r="67" spans="1:18" s="115" customFormat="1" ht="9">
      <c r="A67" s="110" t="s">
        <v>378</v>
      </c>
      <c r="B67" s="37">
        <v>40</v>
      </c>
      <c r="C67" s="37"/>
      <c r="D67" s="44">
        <v>0</v>
      </c>
      <c r="E67" s="44">
        <v>0</v>
      </c>
      <c r="F67" s="44">
        <v>0</v>
      </c>
      <c r="G67" s="37">
        <v>1</v>
      </c>
      <c r="H67" s="37">
        <f t="shared" si="14"/>
        <v>40</v>
      </c>
      <c r="I67" s="72">
        <f>ROUNDDOWN(SUM('Base Data'!$H$18:$H$20,'Base Data'!$H$23:$H$25)/2,0)</f>
        <v>65</v>
      </c>
      <c r="J67" s="73">
        <f t="shared" ref="J67" si="19">H67*I67</f>
        <v>2600</v>
      </c>
      <c r="K67" s="73">
        <f t="shared" ref="K67" si="20">J67*0.1</f>
        <v>260</v>
      </c>
      <c r="L67" s="73">
        <f t="shared" ref="L67" si="21">J67*0.05</f>
        <v>130</v>
      </c>
      <c r="M67" s="37"/>
      <c r="N67" s="44">
        <f>(J67*'Base Data'!$C$5)+(K67*'Base Data'!$C$6)+(L67*'Base Data'!$C$7)</f>
        <v>282821.5</v>
      </c>
      <c r="O67" s="44">
        <f t="shared" ref="O67" si="22">(D67+E67+F67)*G67*I67</f>
        <v>0</v>
      </c>
      <c r="P67" s="73">
        <v>0</v>
      </c>
      <c r="Q67" s="75" t="s">
        <v>248</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SUM(J57:J68)</f>
        <v>55912</v>
      </c>
      <c r="K69" s="186">
        <f t="shared" ref="K69:P69" si="23">SUM(K57:K68)</f>
        <v>5591.2</v>
      </c>
      <c r="L69" s="186">
        <f t="shared" si="23"/>
        <v>2795.6</v>
      </c>
      <c r="M69" s="185">
        <f t="shared" si="23"/>
        <v>0</v>
      </c>
      <c r="N69" s="185">
        <f t="shared" si="23"/>
        <v>6081967.5799999991</v>
      </c>
      <c r="O69" s="185">
        <f t="shared" si="23"/>
        <v>0</v>
      </c>
      <c r="P69" s="186">
        <f t="shared" si="23"/>
        <v>0</v>
      </c>
      <c r="Q69" s="187"/>
      <c r="R69" s="44">
        <f>SUM(R57:R68)</f>
        <v>0</v>
      </c>
    </row>
    <row r="70" spans="1:18" s="134" customFormat="1">
      <c r="A70" s="135" t="s">
        <v>351</v>
      </c>
      <c r="B70" s="136"/>
      <c r="C70" s="136"/>
      <c r="D70" s="136"/>
      <c r="E70" s="136"/>
      <c r="F70" s="137"/>
      <c r="G70" s="136"/>
      <c r="H70" s="136"/>
      <c r="I70" s="138"/>
      <c r="J70" s="139">
        <f>J55+J69</f>
        <v>162323</v>
      </c>
      <c r="K70" s="139">
        <f t="shared" ref="K70:P70" si="24">K55+K69</f>
        <v>16232.3</v>
      </c>
      <c r="L70" s="139">
        <f t="shared" si="24"/>
        <v>8116.15</v>
      </c>
      <c r="M70" s="140">
        <f t="shared" si="24"/>
        <v>0</v>
      </c>
      <c r="N70" s="140">
        <f t="shared" si="24"/>
        <v>17657090.1325</v>
      </c>
      <c r="O70" s="140">
        <f t="shared" si="24"/>
        <v>102468972</v>
      </c>
      <c r="P70" s="139">
        <f t="shared" si="24"/>
        <v>524</v>
      </c>
      <c r="Q70" s="141"/>
    </row>
    <row r="71" spans="1:18" ht="6" customHeight="1"/>
    <row r="72" spans="1:18" s="45" customFormat="1" ht="9">
      <c r="A72" s="45" t="s">
        <v>341</v>
      </c>
      <c r="B72" s="48"/>
      <c r="C72" s="48"/>
      <c r="D72" s="48"/>
      <c r="E72" s="48"/>
      <c r="F72" s="48"/>
      <c r="G72" s="48"/>
      <c r="H72" s="48"/>
      <c r="I72" s="49"/>
      <c r="J72" s="48"/>
      <c r="K72" s="48"/>
      <c r="L72" s="48"/>
      <c r="M72" s="48"/>
      <c r="N72" s="48"/>
      <c r="O72" s="146"/>
      <c r="P72" s="146"/>
      <c r="Q72" s="48"/>
    </row>
    <row r="73" spans="1:18" s="45" customFormat="1" ht="18" customHeight="1">
      <c r="A73" s="494" t="s">
        <v>547</v>
      </c>
      <c r="B73" s="494"/>
      <c r="C73" s="494"/>
      <c r="D73" s="494"/>
      <c r="E73" s="494"/>
      <c r="F73" s="494"/>
      <c r="G73" s="494"/>
      <c r="H73" s="494"/>
      <c r="I73" s="494"/>
      <c r="J73" s="494"/>
      <c r="K73" s="494"/>
      <c r="L73" s="494"/>
      <c r="M73" s="494"/>
      <c r="N73" s="494"/>
      <c r="O73" s="494"/>
      <c r="P73" s="459"/>
      <c r="Q73" s="48"/>
    </row>
    <row r="74" spans="1:18" s="45" customFormat="1" ht="26.25" customHeight="1">
      <c r="A74" s="494" t="s">
        <v>2</v>
      </c>
      <c r="B74" s="494"/>
      <c r="C74" s="494"/>
      <c r="D74" s="494"/>
      <c r="E74" s="494"/>
      <c r="F74" s="494"/>
      <c r="G74" s="494"/>
      <c r="H74" s="494"/>
      <c r="I74" s="494"/>
      <c r="J74" s="494"/>
      <c r="K74" s="494"/>
      <c r="L74" s="494"/>
      <c r="M74" s="494"/>
      <c r="N74" s="494"/>
      <c r="O74" s="494"/>
      <c r="P74" s="459"/>
      <c r="Q74" s="48"/>
    </row>
    <row r="75" spans="1:18" s="45" customFormat="1" ht="18"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392</v>
      </c>
      <c r="B76" s="48"/>
      <c r="C76" s="48"/>
      <c r="D76" s="48"/>
      <c r="E76" s="48"/>
      <c r="F76" s="48"/>
      <c r="G76" s="48"/>
      <c r="H76" s="48"/>
      <c r="I76" s="49"/>
      <c r="J76" s="48"/>
      <c r="K76" s="48"/>
      <c r="L76" s="48"/>
      <c r="M76" s="48"/>
      <c r="N76" s="48"/>
      <c r="O76" s="146"/>
      <c r="P76" s="146"/>
      <c r="Q76" s="48"/>
    </row>
    <row r="77" spans="1:18" s="45" customFormat="1" ht="9" customHeight="1">
      <c r="A77" s="45" t="s">
        <v>487</v>
      </c>
      <c r="B77" s="48"/>
      <c r="C77" s="48"/>
      <c r="D77" s="48"/>
      <c r="E77" s="48"/>
      <c r="F77" s="48"/>
      <c r="G77" s="48"/>
      <c r="H77" s="48"/>
      <c r="I77" s="49"/>
      <c r="J77" s="48"/>
      <c r="K77" s="48"/>
      <c r="L77" s="48"/>
      <c r="M77" s="48"/>
      <c r="N77" s="48"/>
      <c r="O77" s="146"/>
      <c r="P77" s="146"/>
      <c r="Q77" s="48"/>
    </row>
    <row r="78" spans="1:18" s="45" customFormat="1" ht="9">
      <c r="A78" s="45" t="s">
        <v>3</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19.5" customHeight="1">
      <c r="A80" s="494" t="s">
        <v>484</v>
      </c>
      <c r="B80" s="494"/>
      <c r="C80" s="494"/>
      <c r="D80" s="494"/>
      <c r="E80" s="494"/>
      <c r="F80" s="494"/>
      <c r="G80" s="494"/>
      <c r="H80" s="494"/>
      <c r="I80" s="494"/>
      <c r="J80" s="494"/>
      <c r="K80" s="494"/>
      <c r="L80" s="494"/>
      <c r="M80" s="494"/>
      <c r="N80" s="494"/>
      <c r="O80" s="494"/>
      <c r="P80" s="146"/>
      <c r="Q80" s="48"/>
    </row>
    <row r="81" spans="1:17" s="45" customFormat="1" ht="9">
      <c r="A81" s="45" t="s">
        <v>485</v>
      </c>
      <c r="B81" s="48"/>
      <c r="C81" s="48"/>
      <c r="D81" s="48"/>
      <c r="E81" s="48"/>
      <c r="F81" s="48"/>
      <c r="G81" s="48"/>
      <c r="H81" s="48"/>
      <c r="I81" s="49"/>
      <c r="J81" s="48"/>
      <c r="K81" s="48"/>
      <c r="L81" s="48"/>
      <c r="M81" s="48"/>
      <c r="N81" s="48"/>
      <c r="O81" s="146"/>
      <c r="P81" s="146"/>
      <c r="Q81" s="48"/>
    </row>
    <row r="82" spans="1:17" s="45" customFormat="1" ht="9">
      <c r="A82" s="94" t="s">
        <v>513</v>
      </c>
      <c r="B82" s="48"/>
      <c r="C82" s="48"/>
      <c r="D82" s="48"/>
      <c r="E82" s="48"/>
      <c r="F82" s="48"/>
      <c r="G82" s="48"/>
      <c r="H82" s="48"/>
      <c r="I82" s="49"/>
      <c r="J82" s="48"/>
      <c r="K82" s="48"/>
      <c r="L82" s="48"/>
      <c r="M82" s="48"/>
      <c r="N82" s="48"/>
      <c r="O82" s="146"/>
      <c r="P82" s="146"/>
      <c r="Q82" s="48"/>
    </row>
    <row r="83" spans="1:17" s="45" customFormat="1" ht="9">
      <c r="A83" s="45" t="s">
        <v>546</v>
      </c>
      <c r="B83" s="48"/>
      <c r="C83" s="48"/>
      <c r="D83" s="48"/>
      <c r="E83" s="48"/>
      <c r="F83" s="48"/>
      <c r="G83" s="48"/>
      <c r="H83" s="48"/>
      <c r="I83" s="49"/>
      <c r="J83" s="48"/>
      <c r="K83" s="48"/>
      <c r="L83" s="48"/>
      <c r="M83" s="48"/>
      <c r="N83" s="48"/>
      <c r="O83" s="146"/>
      <c r="P83" s="146"/>
      <c r="Q83" s="48"/>
    </row>
    <row r="84" spans="1:17" s="45" customFormat="1" ht="9">
      <c r="A84" s="45" t="s">
        <v>615</v>
      </c>
      <c r="B84" s="48"/>
      <c r="C84" s="48"/>
      <c r="D84" s="48"/>
      <c r="E84" s="48"/>
      <c r="F84" s="48"/>
      <c r="G84" s="48"/>
      <c r="H84" s="48"/>
      <c r="I84" s="49"/>
      <c r="J84" s="48"/>
      <c r="K84" s="48"/>
      <c r="L84" s="48"/>
      <c r="M84" s="48"/>
      <c r="N84" s="48"/>
      <c r="O84" s="146"/>
      <c r="P84" s="146"/>
      <c r="Q84" s="48"/>
    </row>
    <row r="85" spans="1:17" s="45" customFormat="1" ht="9">
      <c r="A85" s="494" t="s">
        <v>663</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ht="9">
      <c r="B116" s="48"/>
      <c r="C116" s="48"/>
      <c r="D116" s="48"/>
      <c r="E116" s="48"/>
      <c r="F116" s="48"/>
      <c r="G116" s="48"/>
      <c r="H116" s="48"/>
      <c r="I116" s="49"/>
      <c r="J116" s="48"/>
      <c r="K116" s="48"/>
      <c r="L116" s="48"/>
      <c r="M116" s="48"/>
      <c r="N116" s="48"/>
      <c r="O116" s="146"/>
      <c r="P116" s="146"/>
      <c r="Q116" s="48"/>
    </row>
    <row r="117" spans="2:17" s="45" customFormat="1" ht="9">
      <c r="B117" s="48"/>
      <c r="C117" s="48"/>
      <c r="D117" s="48"/>
      <c r="E117" s="48"/>
      <c r="F117" s="48"/>
      <c r="G117" s="48"/>
      <c r="H117" s="48"/>
      <c r="I117" s="49"/>
      <c r="J117" s="48"/>
      <c r="K117" s="48"/>
      <c r="L117" s="48"/>
      <c r="M117" s="48"/>
      <c r="N117" s="48"/>
      <c r="O117" s="146"/>
      <c r="P117" s="146"/>
      <c r="Q117" s="48"/>
    </row>
    <row r="118" spans="2:17" s="45" customFormat="1" ht="9">
      <c r="B118" s="48"/>
      <c r="C118" s="48"/>
      <c r="D118" s="48"/>
      <c r="E118" s="48"/>
      <c r="F118" s="48"/>
      <c r="G118" s="48"/>
      <c r="H118" s="48"/>
      <c r="I118" s="49"/>
      <c r="J118" s="48"/>
      <c r="K118" s="48"/>
      <c r="L118" s="48"/>
      <c r="M118" s="48"/>
      <c r="N118" s="48"/>
      <c r="O118" s="146"/>
      <c r="P118" s="146"/>
      <c r="Q118" s="48"/>
    </row>
    <row r="119" spans="2:17" s="45" customFormat="1" ht="9">
      <c r="B119" s="48"/>
      <c r="C119" s="48"/>
      <c r="D119" s="48"/>
      <c r="E119" s="48"/>
      <c r="F119" s="48"/>
      <c r="G119" s="48"/>
      <c r="H119" s="48"/>
      <c r="I119" s="49"/>
      <c r="J119" s="48"/>
      <c r="K119" s="48"/>
      <c r="L119" s="48"/>
      <c r="M119" s="48"/>
      <c r="N119" s="48"/>
      <c r="O119" s="146"/>
      <c r="P119" s="146"/>
      <c r="Q119" s="48"/>
    </row>
    <row r="120" spans="2:17" s="45" customFormat="1" ht="9">
      <c r="B120" s="48"/>
      <c r="C120" s="48"/>
      <c r="D120" s="48"/>
      <c r="E120" s="48"/>
      <c r="F120" s="48"/>
      <c r="G120" s="48"/>
      <c r="H120" s="48"/>
      <c r="I120" s="49"/>
      <c r="J120" s="48"/>
      <c r="K120" s="48"/>
      <c r="L120" s="48"/>
      <c r="M120" s="48"/>
      <c r="N120" s="48"/>
      <c r="O120" s="146"/>
      <c r="P120" s="146"/>
      <c r="Q120" s="48"/>
    </row>
    <row r="121" spans="2:17" s="45" customFormat="1" ht="9">
      <c r="B121" s="48"/>
      <c r="C121" s="48"/>
      <c r="D121" s="48"/>
      <c r="E121" s="48"/>
      <c r="F121" s="48"/>
      <c r="G121" s="48"/>
      <c r="H121" s="48"/>
      <c r="I121" s="49"/>
      <c r="J121" s="48"/>
      <c r="K121" s="48"/>
      <c r="L121" s="48"/>
      <c r="M121" s="48"/>
      <c r="N121" s="48"/>
      <c r="O121" s="146"/>
      <c r="P121" s="146"/>
      <c r="Q121" s="48"/>
    </row>
    <row r="122" spans="2:17" s="45" customFormat="1" ht="9">
      <c r="B122" s="48"/>
      <c r="C122" s="48"/>
      <c r="D122" s="48"/>
      <c r="E122" s="48"/>
      <c r="F122" s="48"/>
      <c r="G122" s="48"/>
      <c r="H122" s="48"/>
      <c r="I122" s="49"/>
      <c r="J122" s="48"/>
      <c r="K122" s="48"/>
      <c r="L122" s="48"/>
      <c r="M122" s="48"/>
      <c r="N122" s="48"/>
      <c r="O122" s="146"/>
      <c r="P122" s="146"/>
      <c r="Q122" s="48"/>
    </row>
    <row r="123" spans="2:17" s="45" customFormat="1" ht="9">
      <c r="B123" s="48"/>
      <c r="C123" s="48"/>
      <c r="D123" s="48"/>
      <c r="E123" s="48"/>
      <c r="F123" s="48"/>
      <c r="G123" s="48"/>
      <c r="H123" s="48"/>
      <c r="I123" s="49"/>
      <c r="J123" s="48"/>
      <c r="K123" s="48"/>
      <c r="L123" s="48"/>
      <c r="M123" s="48"/>
      <c r="N123" s="48"/>
      <c r="O123" s="146"/>
      <c r="P123" s="146"/>
      <c r="Q123" s="48"/>
    </row>
    <row r="124" spans="2:17">
      <c r="P124" s="146"/>
    </row>
  </sheetData>
  <mergeCells count="7">
    <mergeCell ref="A85:Q87"/>
    <mergeCell ref="A80:O80"/>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U12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75" sqref="A75:Q75"/>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710937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167</v>
      </c>
      <c r="B1" s="496"/>
      <c r="C1" s="496"/>
      <c r="D1" s="496"/>
      <c r="E1" s="496"/>
      <c r="F1" s="496"/>
      <c r="G1" s="496"/>
      <c r="H1" s="496"/>
      <c r="I1" s="496"/>
      <c r="J1" s="496"/>
      <c r="K1" s="496"/>
      <c r="L1" s="496"/>
      <c r="M1" s="496"/>
      <c r="N1" s="496"/>
      <c r="O1" s="496"/>
      <c r="P1" s="496"/>
      <c r="Q1" s="496"/>
    </row>
    <row r="2" spans="1:21">
      <c r="A2" s="497" t="s">
        <v>415</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ROUND(SUM('Base Data'!$H$43:$H$45),0)</f>
        <v>71</v>
      </c>
      <c r="J7" s="73">
        <f>H7*I7</f>
        <v>2840</v>
      </c>
      <c r="K7" s="73">
        <f>J7*0.1</f>
        <v>284</v>
      </c>
      <c r="L7" s="72">
        <f>J7*0.05</f>
        <v>142</v>
      </c>
      <c r="M7" s="37">
        <f>C7*G7*I7</f>
        <v>0</v>
      </c>
      <c r="N7" s="44">
        <f>(J7*'Base Data'!$C$5)+(K7*'Base Data'!$C$6)+(L7*'Base Data'!$C$7)</f>
        <v>308928.10000000003</v>
      </c>
      <c r="O7" s="44">
        <f>(D7+E7+F7)*G7*I7</f>
        <v>0</v>
      </c>
      <c r="P7" s="73">
        <f>G7*I7</f>
        <v>71</v>
      </c>
      <c r="Q7" s="75" t="s">
        <v>338</v>
      </c>
    </row>
    <row r="8" spans="1:21" s="115" customFormat="1" ht="9">
      <c r="A8" s="110" t="s">
        <v>360</v>
      </c>
      <c r="B8" s="37"/>
      <c r="C8" s="37"/>
      <c r="D8" s="44"/>
      <c r="E8" s="44"/>
      <c r="F8" s="44"/>
      <c r="G8" s="37"/>
      <c r="H8" s="37"/>
      <c r="I8" s="73"/>
      <c r="J8" s="73"/>
      <c r="K8" s="73"/>
      <c r="L8" s="73"/>
      <c r="M8" s="37"/>
      <c r="N8" s="44"/>
      <c r="O8" s="44"/>
      <c r="P8" s="44"/>
      <c r="Q8" s="75"/>
      <c r="U8" s="144"/>
    </row>
    <row r="9" spans="1:21" s="115" customFormat="1" ht="9">
      <c r="A9" s="111" t="s">
        <v>374</v>
      </c>
      <c r="B9" s="37"/>
      <c r="C9" s="37"/>
      <c r="D9" s="76"/>
      <c r="E9" s="44"/>
      <c r="F9" s="44"/>
      <c r="G9" s="37"/>
      <c r="H9" s="37"/>
      <c r="I9" s="72"/>
      <c r="J9" s="73"/>
      <c r="K9" s="73"/>
      <c r="L9" s="73"/>
      <c r="M9" s="74"/>
      <c r="N9" s="44"/>
      <c r="O9" s="44"/>
      <c r="P9" s="44"/>
      <c r="Q9" s="75"/>
      <c r="U9" s="144"/>
    </row>
    <row r="10" spans="1:21" s="115" customFormat="1" ht="9">
      <c r="A10" s="110" t="s">
        <v>249</v>
      </c>
      <c r="B10" s="37">
        <v>20</v>
      </c>
      <c r="C10" s="37"/>
      <c r="D10" s="44">
        <v>854</v>
      </c>
      <c r="E10" s="44">
        <v>0</v>
      </c>
      <c r="F10" s="44">
        <v>0</v>
      </c>
      <c r="G10" s="37">
        <v>1</v>
      </c>
      <c r="H10" s="37">
        <f>B10*G10</f>
        <v>20</v>
      </c>
      <c r="I10" s="72">
        <v>0</v>
      </c>
      <c r="J10" s="73">
        <f>H10*I10</f>
        <v>0</v>
      </c>
      <c r="K10" s="73">
        <f>J10*0.1</f>
        <v>0</v>
      </c>
      <c r="L10" s="73">
        <f>J10*0.05</f>
        <v>0</v>
      </c>
      <c r="M10" s="74">
        <f>C10*G10*I10</f>
        <v>0</v>
      </c>
      <c r="N10" s="44">
        <f>(J10*'Base Data'!$C$5)+(K10*'Base Data'!$C$6)+(L10*'Base Data'!$C$7)</f>
        <v>0</v>
      </c>
      <c r="O10" s="44">
        <f>(D10+E10+F10)*G10*I10</f>
        <v>0</v>
      </c>
      <c r="P10" s="73">
        <v>0</v>
      </c>
      <c r="Q10" s="75" t="s">
        <v>391</v>
      </c>
      <c r="U10" s="144"/>
    </row>
    <row r="11" spans="1:21" s="115" customFormat="1" ht="9">
      <c r="A11" s="110" t="s">
        <v>251</v>
      </c>
      <c r="B11" s="37">
        <v>20</v>
      </c>
      <c r="C11" s="37"/>
      <c r="D11" s="44">
        <v>18292</v>
      </c>
      <c r="E11" s="44">
        <v>0</v>
      </c>
      <c r="F11" s="44">
        <v>0</v>
      </c>
      <c r="G11" s="37">
        <v>1</v>
      </c>
      <c r="H11" s="37">
        <f>B11*G11</f>
        <v>20</v>
      </c>
      <c r="I11" s="72">
        <v>0</v>
      </c>
      <c r="J11" s="73">
        <f>H11*I11</f>
        <v>0</v>
      </c>
      <c r="K11" s="73">
        <f>J11*0.1</f>
        <v>0</v>
      </c>
      <c r="L11" s="73">
        <f>J11*0.05</f>
        <v>0</v>
      </c>
      <c r="M11" s="74">
        <f>C11*G11*I11</f>
        <v>0</v>
      </c>
      <c r="N11" s="44">
        <f>(J11*'Base Data'!$C$5)+(K11*'Base Data'!$C$6)+(L11*'Base Data'!$C$7)</f>
        <v>0</v>
      </c>
      <c r="O11" s="44">
        <f>(D11+E11+F11)*G11*I11</f>
        <v>0</v>
      </c>
      <c r="P11" s="73">
        <v>0</v>
      </c>
      <c r="Q11" s="75" t="s">
        <v>391</v>
      </c>
      <c r="U11" s="144"/>
    </row>
    <row r="12" spans="1:21" s="115" customFormat="1" ht="9">
      <c r="A12" s="111" t="s">
        <v>311</v>
      </c>
      <c r="B12" s="37">
        <v>12</v>
      </c>
      <c r="C12" s="37"/>
      <c r="D12" s="44">
        <v>0</v>
      </c>
      <c r="E12" s="44">
        <f>'Testing Costs'!$B$13</f>
        <v>5000</v>
      </c>
      <c r="F12" s="44">
        <v>0</v>
      </c>
      <c r="G12" s="37">
        <v>1</v>
      </c>
      <c r="H12" s="37">
        <f t="shared" ref="H12:H22" si="0">B12*G12</f>
        <v>12</v>
      </c>
      <c r="I12" s="72">
        <v>0</v>
      </c>
      <c r="J12" s="73">
        <f t="shared" ref="J12:J22" si="1">H12*I12</f>
        <v>0</v>
      </c>
      <c r="K12" s="73">
        <f t="shared" ref="K12:K22" si="2">J12*0.1</f>
        <v>0</v>
      </c>
      <c r="L12" s="73">
        <f t="shared" ref="L12:L22" si="3">J12*0.05</f>
        <v>0</v>
      </c>
      <c r="M12" s="74"/>
      <c r="N12" s="44">
        <f>(J12*'Base Data'!$C$5)+(K12*'Base Data'!$C$6)+(L12*'Base Data'!$C$7)</f>
        <v>0</v>
      </c>
      <c r="O12" s="44">
        <f t="shared" ref="O12:O22" si="4">(D12+E12+F12)*G12*I12</f>
        <v>0</v>
      </c>
      <c r="P12" s="73">
        <v>0</v>
      </c>
      <c r="Q12" s="75" t="s">
        <v>90</v>
      </c>
      <c r="U12" s="144"/>
    </row>
    <row r="13" spans="1:21" s="115" customFormat="1" ht="9">
      <c r="A13" s="111" t="s">
        <v>312</v>
      </c>
      <c r="B13" s="37">
        <v>12</v>
      </c>
      <c r="C13" s="37"/>
      <c r="D13" s="44">
        <v>0</v>
      </c>
      <c r="E13" s="44">
        <f>'Testing Costs'!$B$17</f>
        <v>8000</v>
      </c>
      <c r="F13" s="44">
        <v>0</v>
      </c>
      <c r="G13" s="37">
        <v>1</v>
      </c>
      <c r="H13" s="37">
        <f t="shared" si="0"/>
        <v>12</v>
      </c>
      <c r="I13" s="72">
        <v>0</v>
      </c>
      <c r="J13" s="73">
        <f t="shared" si="1"/>
        <v>0</v>
      </c>
      <c r="K13" s="73">
        <f t="shared" si="2"/>
        <v>0</v>
      </c>
      <c r="L13" s="73">
        <f t="shared" si="3"/>
        <v>0</v>
      </c>
      <c r="M13" s="74"/>
      <c r="N13" s="44">
        <f>(J13*'Base Data'!$C$5)+(K13*'Base Data'!$C$6)+(L13*'Base Data'!$C$7)</f>
        <v>0</v>
      </c>
      <c r="O13" s="44">
        <f t="shared" si="4"/>
        <v>0</v>
      </c>
      <c r="P13" s="73">
        <v>0</v>
      </c>
      <c r="Q13" s="75" t="s">
        <v>339</v>
      </c>
      <c r="U13" s="144"/>
    </row>
    <row r="14" spans="1:21" s="115" customFormat="1" ht="9">
      <c r="A14" s="111" t="s">
        <v>313</v>
      </c>
      <c r="B14" s="37">
        <v>12</v>
      </c>
      <c r="C14" s="37"/>
      <c r="D14" s="44">
        <v>0</v>
      </c>
      <c r="E14" s="44">
        <f>'Testing Costs'!$B$15</f>
        <v>8000</v>
      </c>
      <c r="F14" s="44">
        <v>0</v>
      </c>
      <c r="G14" s="37">
        <v>1</v>
      </c>
      <c r="H14" s="37">
        <f t="shared" si="0"/>
        <v>12</v>
      </c>
      <c r="I14" s="72">
        <v>0</v>
      </c>
      <c r="J14" s="73">
        <f t="shared" si="1"/>
        <v>0</v>
      </c>
      <c r="K14" s="73">
        <f t="shared" si="2"/>
        <v>0</v>
      </c>
      <c r="L14" s="73">
        <f t="shared" si="3"/>
        <v>0</v>
      </c>
      <c r="M14" s="74"/>
      <c r="N14" s="44">
        <f>(J14*'Base Data'!$C$5)+(K14*'Base Data'!$C$6)+(L14*'Base Data'!$C$7)</f>
        <v>0</v>
      </c>
      <c r="O14" s="44">
        <f t="shared" si="4"/>
        <v>0</v>
      </c>
      <c r="P14" s="73">
        <v>0</v>
      </c>
      <c r="Q14" s="75" t="s">
        <v>339</v>
      </c>
      <c r="U14" s="144"/>
    </row>
    <row r="15" spans="1:21" s="115" customFormat="1" ht="9">
      <c r="A15" s="111" t="s">
        <v>185</v>
      </c>
      <c r="B15" s="37">
        <v>12</v>
      </c>
      <c r="C15" s="37"/>
      <c r="D15" s="44">
        <v>0</v>
      </c>
      <c r="E15" s="44">
        <f>'Testing Costs'!$B$14</f>
        <v>7000</v>
      </c>
      <c r="F15" s="44">
        <v>0</v>
      </c>
      <c r="G15" s="37">
        <v>1</v>
      </c>
      <c r="H15" s="37">
        <f t="shared" si="0"/>
        <v>12</v>
      </c>
      <c r="I15" s="72">
        <v>0</v>
      </c>
      <c r="J15" s="73">
        <f t="shared" si="1"/>
        <v>0</v>
      </c>
      <c r="K15" s="73">
        <f t="shared" si="2"/>
        <v>0</v>
      </c>
      <c r="L15" s="73">
        <f t="shared" si="3"/>
        <v>0</v>
      </c>
      <c r="M15" s="74"/>
      <c r="N15" s="44">
        <f>(J15*'Base Data'!$C$5)+(K15*'Base Data'!$C$6)+(L15*'Base Data'!$C$7)</f>
        <v>0</v>
      </c>
      <c r="O15" s="44">
        <f t="shared" si="4"/>
        <v>0</v>
      </c>
      <c r="P15" s="73">
        <v>0</v>
      </c>
      <c r="Q15" s="75" t="s">
        <v>339</v>
      </c>
      <c r="U15" s="144"/>
    </row>
    <row r="16" spans="1:21" s="115" customFormat="1" ht="9" customHeight="1">
      <c r="A16" s="111" t="s">
        <v>137</v>
      </c>
      <c r="B16" s="37">
        <v>12</v>
      </c>
      <c r="C16" s="37"/>
      <c r="D16" s="44">
        <v>0</v>
      </c>
      <c r="E16" s="44">
        <f>'Testing Costs'!$B$13</f>
        <v>5000</v>
      </c>
      <c r="F16" s="44">
        <v>0</v>
      </c>
      <c r="G16" s="37">
        <v>1</v>
      </c>
      <c r="H16" s="37">
        <f t="shared" si="0"/>
        <v>12</v>
      </c>
      <c r="I16" s="72">
        <v>0</v>
      </c>
      <c r="J16" s="73">
        <f t="shared" si="1"/>
        <v>0</v>
      </c>
      <c r="K16" s="73">
        <f t="shared" si="2"/>
        <v>0</v>
      </c>
      <c r="L16" s="73">
        <f t="shared" si="3"/>
        <v>0</v>
      </c>
      <c r="M16" s="74"/>
      <c r="N16" s="44">
        <f>(J16*'Base Data'!$C$5)+(K16*'Base Data'!$C$6)+(L16*'Base Data'!$C$7)</f>
        <v>0</v>
      </c>
      <c r="O16" s="44">
        <f t="shared" si="4"/>
        <v>0</v>
      </c>
      <c r="P16" s="73">
        <v>0</v>
      </c>
      <c r="Q16" s="75" t="s">
        <v>483</v>
      </c>
      <c r="U16" s="144"/>
    </row>
    <row r="17" spans="1:21" s="115" customFormat="1" ht="9">
      <c r="A17" s="111" t="s">
        <v>138</v>
      </c>
      <c r="B17" s="37">
        <v>12</v>
      </c>
      <c r="C17" s="37"/>
      <c r="D17" s="44">
        <v>0</v>
      </c>
      <c r="E17" s="44">
        <f>'Testing Costs'!$B$17</f>
        <v>8000</v>
      </c>
      <c r="F17" s="44">
        <v>0</v>
      </c>
      <c r="G17" s="37">
        <v>1</v>
      </c>
      <c r="H17" s="37">
        <f t="shared" si="0"/>
        <v>12</v>
      </c>
      <c r="I17" s="72">
        <v>0</v>
      </c>
      <c r="J17" s="73">
        <f t="shared" si="1"/>
        <v>0</v>
      </c>
      <c r="K17" s="73">
        <f t="shared" si="2"/>
        <v>0</v>
      </c>
      <c r="L17" s="73">
        <f t="shared" si="3"/>
        <v>0</v>
      </c>
      <c r="M17" s="74"/>
      <c r="N17" s="44">
        <f>(J17*'Base Data'!$C$5)+(K17*'Base Data'!$C$6)+(L17*'Base Data'!$C$7)</f>
        <v>0</v>
      </c>
      <c r="O17" s="44">
        <f t="shared" si="4"/>
        <v>0</v>
      </c>
      <c r="P17" s="73">
        <v>0</v>
      </c>
      <c r="Q17" s="75" t="s">
        <v>319</v>
      </c>
      <c r="U17" s="144"/>
    </row>
    <row r="18" spans="1:21" s="115" customFormat="1" ht="9">
      <c r="A18" s="111" t="s">
        <v>139</v>
      </c>
      <c r="B18" s="37">
        <v>12</v>
      </c>
      <c r="C18" s="37"/>
      <c r="D18" s="44">
        <v>0</v>
      </c>
      <c r="E18" s="44">
        <f>'Testing Costs'!$B$15</f>
        <v>8000</v>
      </c>
      <c r="F18" s="44">
        <v>0</v>
      </c>
      <c r="G18" s="37">
        <v>1</v>
      </c>
      <c r="H18" s="37">
        <f t="shared" si="0"/>
        <v>12</v>
      </c>
      <c r="I18" s="72">
        <v>0</v>
      </c>
      <c r="J18" s="73">
        <f t="shared" si="1"/>
        <v>0</v>
      </c>
      <c r="K18" s="73">
        <f t="shared" si="2"/>
        <v>0</v>
      </c>
      <c r="L18" s="73">
        <f t="shared" si="3"/>
        <v>0</v>
      </c>
      <c r="M18" s="74"/>
      <c r="N18" s="44">
        <f>(J18*'Base Data'!$C$5)+(K18*'Base Data'!$C$6)+(L18*'Base Data'!$C$7)</f>
        <v>0</v>
      </c>
      <c r="O18" s="44">
        <f t="shared" si="4"/>
        <v>0</v>
      </c>
      <c r="P18" s="73">
        <v>0</v>
      </c>
      <c r="Q18" s="75" t="s">
        <v>319</v>
      </c>
      <c r="U18" s="144"/>
    </row>
    <row r="19" spans="1:21" s="115" customFormat="1" ht="9">
      <c r="A19" s="111" t="s">
        <v>140</v>
      </c>
      <c r="B19" s="37">
        <v>12</v>
      </c>
      <c r="C19" s="37"/>
      <c r="D19" s="44">
        <v>0</v>
      </c>
      <c r="E19" s="44">
        <f>'Testing Costs'!$B$14</f>
        <v>7000</v>
      </c>
      <c r="F19" s="44">
        <v>0</v>
      </c>
      <c r="G19" s="37">
        <v>1</v>
      </c>
      <c r="H19" s="37">
        <f t="shared" si="0"/>
        <v>12</v>
      </c>
      <c r="I19" s="72">
        <v>0</v>
      </c>
      <c r="J19" s="73">
        <f t="shared" si="1"/>
        <v>0</v>
      </c>
      <c r="K19" s="73">
        <f t="shared" si="2"/>
        <v>0</v>
      </c>
      <c r="L19" s="73">
        <f t="shared" si="3"/>
        <v>0</v>
      </c>
      <c r="M19" s="74"/>
      <c r="N19" s="44">
        <f>(J19*'Base Data'!$C$5)+(K19*'Base Data'!$C$6)+(L19*'Base Data'!$C$7)</f>
        <v>0</v>
      </c>
      <c r="O19" s="44">
        <f t="shared" si="4"/>
        <v>0</v>
      </c>
      <c r="P19" s="73">
        <v>0</v>
      </c>
      <c r="Q19" s="75" t="s">
        <v>319</v>
      </c>
      <c r="U19" s="144"/>
    </row>
    <row r="20" spans="1:21" s="115" customFormat="1" ht="18.75" customHeight="1">
      <c r="A20" s="259" t="s">
        <v>524</v>
      </c>
      <c r="B20" s="37">
        <v>24</v>
      </c>
      <c r="C20" s="258"/>
      <c r="D20" s="44">
        <v>0</v>
      </c>
      <c r="E20" s="44">
        <f>$E$13+$E$14</f>
        <v>16000</v>
      </c>
      <c r="F20" s="44">
        <v>0</v>
      </c>
      <c r="G20" s="37">
        <v>1</v>
      </c>
      <c r="H20" s="37">
        <f t="shared" si="0"/>
        <v>24</v>
      </c>
      <c r="I20" s="72">
        <v>0</v>
      </c>
      <c r="J20" s="73">
        <f t="shared" si="1"/>
        <v>0</v>
      </c>
      <c r="K20" s="73">
        <f t="shared" si="2"/>
        <v>0</v>
      </c>
      <c r="L20" s="73">
        <f t="shared" si="3"/>
        <v>0</v>
      </c>
      <c r="M20" s="74"/>
      <c r="N20" s="44">
        <f>(J20*'Base Data'!$C$5)+(K20*'Base Data'!$C$6)+(L20*'Base Data'!$C$7)</f>
        <v>0</v>
      </c>
      <c r="O20" s="44">
        <f t="shared" si="4"/>
        <v>0</v>
      </c>
      <c r="P20" s="73">
        <v>0</v>
      </c>
      <c r="Q20" s="75" t="s">
        <v>91</v>
      </c>
    </row>
    <row r="21" spans="1:21" s="115" customFormat="1" ht="9" customHeight="1">
      <c r="A21" s="111" t="s">
        <v>525</v>
      </c>
      <c r="B21" s="37">
        <v>5</v>
      </c>
      <c r="C21" s="37"/>
      <c r="D21" s="44">
        <v>0</v>
      </c>
      <c r="E21" s="44">
        <v>400</v>
      </c>
      <c r="F21" s="44">
        <v>0</v>
      </c>
      <c r="G21" s="37">
        <v>1</v>
      </c>
      <c r="H21" s="37">
        <f t="shared" si="0"/>
        <v>5</v>
      </c>
      <c r="I21" s="72">
        <v>0</v>
      </c>
      <c r="J21" s="73">
        <f t="shared" si="1"/>
        <v>0</v>
      </c>
      <c r="K21" s="73">
        <f t="shared" si="2"/>
        <v>0</v>
      </c>
      <c r="L21" s="73">
        <f t="shared" si="3"/>
        <v>0</v>
      </c>
      <c r="M21" s="74"/>
      <c r="N21" s="44">
        <f>(J21*'Base Data'!$C$5)+(K21*'Base Data'!$C$6)+(L21*'Base Data'!$C$7)</f>
        <v>0</v>
      </c>
      <c r="O21" s="44">
        <f t="shared" si="4"/>
        <v>0</v>
      </c>
      <c r="P21" s="73">
        <v>0</v>
      </c>
      <c r="Q21" s="75" t="s">
        <v>89</v>
      </c>
      <c r="U21" s="144"/>
    </row>
    <row r="22" spans="1:21" s="115" customFormat="1" ht="9" customHeight="1">
      <c r="A22" s="111" t="s">
        <v>526</v>
      </c>
      <c r="B22" s="37">
        <v>5</v>
      </c>
      <c r="C22" s="37"/>
      <c r="D22" s="44">
        <v>0</v>
      </c>
      <c r="E22" s="44">
        <v>400</v>
      </c>
      <c r="F22" s="44">
        <v>0</v>
      </c>
      <c r="G22" s="37">
        <v>12</v>
      </c>
      <c r="H22" s="37">
        <f t="shared" si="0"/>
        <v>60</v>
      </c>
      <c r="I22" s="72">
        <v>0</v>
      </c>
      <c r="J22" s="73">
        <f t="shared" si="1"/>
        <v>0</v>
      </c>
      <c r="K22" s="73">
        <f t="shared" si="2"/>
        <v>0</v>
      </c>
      <c r="L22" s="73">
        <f t="shared" si="3"/>
        <v>0</v>
      </c>
      <c r="M22" s="74"/>
      <c r="N22" s="44">
        <f>(J22*'Base Data'!$C$5)+(K22*'Base Data'!$C$6)+(L22*'Base Data'!$C$7)</f>
        <v>0</v>
      </c>
      <c r="O22" s="44">
        <f t="shared" si="4"/>
        <v>0</v>
      </c>
      <c r="P22" s="73">
        <v>0</v>
      </c>
      <c r="Q22" s="75" t="s">
        <v>89</v>
      </c>
      <c r="U22" s="144"/>
    </row>
    <row r="23" spans="1:21" s="115" customFormat="1" ht="9">
      <c r="A23" s="110" t="s">
        <v>528</v>
      </c>
      <c r="B23" s="37">
        <v>12</v>
      </c>
      <c r="C23" s="37"/>
      <c r="D23" s="44">
        <v>0</v>
      </c>
      <c r="E23" s="44">
        <v>2875</v>
      </c>
      <c r="F23" s="44">
        <v>0</v>
      </c>
      <c r="G23" s="37">
        <v>1</v>
      </c>
      <c r="H23" s="37">
        <f>B23*G23</f>
        <v>12</v>
      </c>
      <c r="I23" s="73">
        <v>0</v>
      </c>
      <c r="J23" s="72">
        <f>H23*I23</f>
        <v>0</v>
      </c>
      <c r="K23" s="72">
        <f>J23*0.1</f>
        <v>0</v>
      </c>
      <c r="L23" s="72">
        <f>J23*0.05</f>
        <v>0</v>
      </c>
      <c r="M23" s="73"/>
      <c r="N23" s="44">
        <f>(J23*'Base Data'!$C$5)+(K23*'Base Data'!$C$6)+(L23*'Base Data'!$C$7)</f>
        <v>0</v>
      </c>
      <c r="O23" s="44">
        <f>(D23+E23+F23)*G23*I23</f>
        <v>0</v>
      </c>
      <c r="P23" s="73">
        <v>0</v>
      </c>
      <c r="Q23" s="75" t="s">
        <v>492</v>
      </c>
      <c r="R23" s="342"/>
      <c r="T23" s="342"/>
    </row>
    <row r="24" spans="1:21" s="115" customFormat="1" ht="9">
      <c r="A24" s="111" t="s">
        <v>245</v>
      </c>
      <c r="B24" s="37"/>
      <c r="C24" s="37"/>
      <c r="D24" s="44"/>
      <c r="E24" s="44"/>
      <c r="F24" s="44"/>
      <c r="G24" s="37"/>
      <c r="H24" s="37"/>
      <c r="I24" s="73"/>
      <c r="J24" s="73"/>
      <c r="K24" s="73"/>
      <c r="L24" s="73"/>
      <c r="M24" s="74"/>
      <c r="N24" s="44"/>
      <c r="O24" s="44"/>
      <c r="P24" s="73"/>
      <c r="Q24" s="75" t="s">
        <v>496</v>
      </c>
      <c r="U24" s="144"/>
    </row>
    <row r="25" spans="1:21" s="115" customFormat="1" ht="9">
      <c r="A25" s="111" t="s">
        <v>383</v>
      </c>
      <c r="B25" s="37">
        <v>40</v>
      </c>
      <c r="C25" s="37"/>
      <c r="D25" s="44">
        <v>0</v>
      </c>
      <c r="E25" s="44"/>
      <c r="F25" s="44">
        <v>0</v>
      </c>
      <c r="G25" s="37">
        <v>1</v>
      </c>
      <c r="H25" s="37">
        <f>B25*G25</f>
        <v>40</v>
      </c>
      <c r="I25" s="72">
        <v>0</v>
      </c>
      <c r="J25" s="73">
        <f>H25*I25</f>
        <v>0</v>
      </c>
      <c r="K25" s="73">
        <f>J25*0.1</f>
        <v>0</v>
      </c>
      <c r="L25" s="73">
        <f>J25*0.05</f>
        <v>0</v>
      </c>
      <c r="M25" s="74"/>
      <c r="N25" s="44">
        <f>(J25*'Base Data'!$C$5)+(K25*'Base Data'!$C$6)+(L25*'Base Data'!$C$7)</f>
        <v>0</v>
      </c>
      <c r="O25" s="44">
        <f>(D25+E25+F25)*G25*I25</f>
        <v>0</v>
      </c>
      <c r="P25" s="73">
        <v>0</v>
      </c>
      <c r="Q25" s="75" t="s">
        <v>339</v>
      </c>
      <c r="U25" s="144"/>
    </row>
    <row r="26" spans="1:21" s="115" customFormat="1" ht="9">
      <c r="A26" s="110" t="s">
        <v>361</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43100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339</v>
      </c>
      <c r="U27" s="144"/>
    </row>
    <row r="28" spans="1:21" s="115" customFormat="1" ht="9">
      <c r="A28" s="110" t="s">
        <v>365</v>
      </c>
      <c r="B28" s="37">
        <v>10</v>
      </c>
      <c r="C28" s="37"/>
      <c r="D28" s="44">
        <v>0</v>
      </c>
      <c r="E28" s="44">
        <v>0</v>
      </c>
      <c r="F28" s="44">
        <v>14700</v>
      </c>
      <c r="G28" s="37">
        <v>1</v>
      </c>
      <c r="H28" s="37">
        <f>B28*G28</f>
        <v>10</v>
      </c>
      <c r="I28" s="72">
        <v>0</v>
      </c>
      <c r="J28" s="73">
        <f>H28*I28</f>
        <v>0</v>
      </c>
      <c r="K28" s="73">
        <f>J28*0.1</f>
        <v>0</v>
      </c>
      <c r="L28" s="73">
        <f>J28*0.05</f>
        <v>0</v>
      </c>
      <c r="M28" s="74"/>
      <c r="N28" s="44">
        <f>(J28*'Base Data'!$C$5)+(K28*'Base Data'!$C$6)+(L28*'Base Data'!$C$7)</f>
        <v>0</v>
      </c>
      <c r="O28" s="44">
        <f>(D28+E28+F28)*G28*I28</f>
        <v>0</v>
      </c>
      <c r="P28" s="73">
        <v>0</v>
      </c>
      <c r="Q28" s="75" t="s">
        <v>339</v>
      </c>
      <c r="U28" s="144"/>
    </row>
    <row r="29" spans="1:21" s="115" customFormat="1" ht="9">
      <c r="A29" s="110" t="s">
        <v>310</v>
      </c>
      <c r="B29" s="37"/>
      <c r="C29" s="37"/>
      <c r="D29" s="44"/>
      <c r="E29" s="44"/>
      <c r="F29" s="44"/>
      <c r="G29" s="37"/>
      <c r="H29" s="37"/>
      <c r="I29" s="73"/>
      <c r="J29" s="73"/>
      <c r="K29" s="73"/>
      <c r="L29" s="73"/>
      <c r="M29" s="74"/>
      <c r="N29" s="44"/>
      <c r="O29" s="44"/>
      <c r="P29" s="73"/>
      <c r="Q29" s="75"/>
      <c r="U29" s="144"/>
    </row>
    <row r="30" spans="1:21" s="115" customFormat="1" ht="9">
      <c r="A30" s="110" t="s">
        <v>362</v>
      </c>
      <c r="B30" s="37">
        <v>10</v>
      </c>
      <c r="C30" s="37"/>
      <c r="D30" s="44">
        <v>0</v>
      </c>
      <c r="E30" s="44">
        <v>0</v>
      </c>
      <c r="F30" s="44">
        <v>158000</v>
      </c>
      <c r="G30" s="37">
        <v>1</v>
      </c>
      <c r="H30" s="37">
        <f>B30*G30</f>
        <v>10</v>
      </c>
      <c r="I30" s="72">
        <v>0</v>
      </c>
      <c r="J30" s="73">
        <f>H30*I30</f>
        <v>0</v>
      </c>
      <c r="K30" s="73">
        <f>J30*0.1</f>
        <v>0</v>
      </c>
      <c r="L30" s="73">
        <f>J30*0.05</f>
        <v>0</v>
      </c>
      <c r="M30" s="74"/>
      <c r="N30" s="44">
        <f>(J30*'Base Data'!$C$5)+(K30*'Base Data'!$C$6)+(L30*'Base Data'!$C$7)</f>
        <v>0</v>
      </c>
      <c r="O30" s="44">
        <f>(D30+E30+F30)*G30*I30</f>
        <v>0</v>
      </c>
      <c r="P30" s="73">
        <v>0</v>
      </c>
      <c r="Q30" s="75" t="s">
        <v>493</v>
      </c>
      <c r="U30" s="144"/>
    </row>
    <row r="31" spans="1:21" s="115" customFormat="1" ht="9">
      <c r="A31" s="110" t="s">
        <v>365</v>
      </c>
      <c r="B31" s="37">
        <v>10</v>
      </c>
      <c r="C31" s="37"/>
      <c r="D31" s="44">
        <v>0</v>
      </c>
      <c r="E31" s="44">
        <v>0</v>
      </c>
      <c r="F31" s="44">
        <v>56100</v>
      </c>
      <c r="G31" s="37">
        <v>1</v>
      </c>
      <c r="H31" s="37">
        <f>B31*G31</f>
        <v>10</v>
      </c>
      <c r="I31" s="72">
        <v>0</v>
      </c>
      <c r="J31" s="73">
        <f>H31*I31</f>
        <v>0</v>
      </c>
      <c r="K31" s="73">
        <f>J31*0.1</f>
        <v>0</v>
      </c>
      <c r="L31" s="73">
        <f>J31*0.05</f>
        <v>0</v>
      </c>
      <c r="M31" s="74"/>
      <c r="N31" s="44">
        <f>(J31*'Base Data'!$C$5)+(K31*'Base Data'!$C$6)+(L31*'Base Data'!$C$7)</f>
        <v>0</v>
      </c>
      <c r="O31" s="44">
        <f>(D31+E31+F31)*G31*I31</f>
        <v>0</v>
      </c>
      <c r="P31" s="73">
        <v>0</v>
      </c>
      <c r="Q31" s="75" t="s">
        <v>493</v>
      </c>
      <c r="U31" s="144"/>
    </row>
    <row r="32" spans="1:21" s="115" customFormat="1" ht="9">
      <c r="A32" s="110" t="s">
        <v>461</v>
      </c>
      <c r="B32" s="37"/>
      <c r="C32" s="37"/>
      <c r="D32" s="44"/>
      <c r="E32" s="44"/>
      <c r="F32" s="44"/>
      <c r="G32" s="37"/>
      <c r="H32" s="37"/>
      <c r="I32" s="72"/>
      <c r="J32" s="73"/>
      <c r="K32" s="73"/>
      <c r="L32" s="73"/>
      <c r="M32" s="74"/>
      <c r="N32" s="44"/>
      <c r="O32" s="44"/>
      <c r="P32" s="73"/>
      <c r="Q32" s="75"/>
    </row>
    <row r="33" spans="1:21" s="115" customFormat="1" ht="9">
      <c r="A33" s="110" t="s">
        <v>362</v>
      </c>
      <c r="B33" s="37">
        <v>10</v>
      </c>
      <c r="C33" s="37"/>
      <c r="D33" s="44">
        <v>0</v>
      </c>
      <c r="E33" s="44">
        <v>0</v>
      </c>
      <c r="F33" s="44">
        <f>Monitors!$F$32</f>
        <v>8523</v>
      </c>
      <c r="G33" s="37">
        <v>1</v>
      </c>
      <c r="H33" s="37">
        <f t="shared" ref="H33:H34" si="5">B33*G33</f>
        <v>10</v>
      </c>
      <c r="I33" s="72">
        <v>0</v>
      </c>
      <c r="J33" s="73">
        <f t="shared" ref="J33:J34" si="6">H33*I33</f>
        <v>0</v>
      </c>
      <c r="K33" s="73">
        <f t="shared" ref="K33:K34" si="7">J33*0.1</f>
        <v>0</v>
      </c>
      <c r="L33" s="73">
        <f t="shared" ref="L33:L34" si="8">J33*0.05</f>
        <v>0</v>
      </c>
      <c r="M33" s="74"/>
      <c r="N33" s="44">
        <f>(J33*'Base Data'!$C$5)+(K33*'Base Data'!$C$6)+(L33*'Base Data'!$C$7)</f>
        <v>0</v>
      </c>
      <c r="O33" s="44">
        <f>(D33+E33+F33)*G33*I33</f>
        <v>0</v>
      </c>
      <c r="P33" s="73">
        <v>0</v>
      </c>
      <c r="Q33" s="75" t="s">
        <v>339</v>
      </c>
    </row>
    <row r="34" spans="1:21" s="115" customFormat="1" ht="9">
      <c r="A34" s="110" t="s">
        <v>365</v>
      </c>
      <c r="B34" s="37">
        <v>10</v>
      </c>
      <c r="C34" s="37"/>
      <c r="D34" s="44">
        <v>0</v>
      </c>
      <c r="E34" s="44">
        <v>0</v>
      </c>
      <c r="F34" s="44">
        <f>Monitors!$G$32</f>
        <v>1436</v>
      </c>
      <c r="G34" s="37">
        <v>1</v>
      </c>
      <c r="H34" s="37">
        <f t="shared" si="5"/>
        <v>10</v>
      </c>
      <c r="I34" s="72">
        <v>0</v>
      </c>
      <c r="J34" s="73">
        <f t="shared" si="6"/>
        <v>0</v>
      </c>
      <c r="K34" s="73">
        <f t="shared" si="7"/>
        <v>0</v>
      </c>
      <c r="L34" s="73">
        <f t="shared" si="8"/>
        <v>0</v>
      </c>
      <c r="M34" s="74"/>
      <c r="N34" s="44">
        <f>(J34*'Base Data'!$C$5)+(K34*'Base Data'!$C$6)+(L34*'Base Data'!$C$7)</f>
        <v>0</v>
      </c>
      <c r="O34" s="44">
        <f>(D34+E34+F34)*G34*I34</f>
        <v>0</v>
      </c>
      <c r="P34" s="73">
        <v>0</v>
      </c>
      <c r="Q34" s="75" t="s">
        <v>339</v>
      </c>
    </row>
    <row r="35" spans="1:21" s="115" customFormat="1" ht="18">
      <c r="A35" s="111" t="s">
        <v>160</v>
      </c>
      <c r="B35" s="37"/>
      <c r="C35" s="37"/>
      <c r="D35" s="44"/>
      <c r="E35" s="44"/>
      <c r="F35" s="76"/>
      <c r="G35" s="37"/>
      <c r="H35" s="37"/>
      <c r="I35" s="72"/>
      <c r="J35" s="73"/>
      <c r="K35" s="73"/>
      <c r="L35" s="73"/>
      <c r="M35" s="74"/>
      <c r="N35" s="44"/>
      <c r="O35" s="44"/>
      <c r="P35" s="73"/>
      <c r="Q35" s="75"/>
      <c r="U35" s="144"/>
    </row>
    <row r="36" spans="1:21" s="115" customFormat="1" ht="9">
      <c r="A36" s="110" t="s">
        <v>362</v>
      </c>
      <c r="B36" s="37">
        <v>10</v>
      </c>
      <c r="C36" s="37"/>
      <c r="D36" s="44">
        <v>0</v>
      </c>
      <c r="E36" s="44">
        <v>0</v>
      </c>
      <c r="F36" s="44">
        <v>24300</v>
      </c>
      <c r="G36" s="37">
        <v>1</v>
      </c>
      <c r="H36" s="37">
        <f>B36*G36</f>
        <v>10</v>
      </c>
      <c r="I36" s="72">
        <v>0</v>
      </c>
      <c r="J36" s="73">
        <f>H36*I36</f>
        <v>0</v>
      </c>
      <c r="K36" s="73">
        <f>J36*0.1</f>
        <v>0</v>
      </c>
      <c r="L36" s="73">
        <f>J36*0.05</f>
        <v>0</v>
      </c>
      <c r="M36" s="74"/>
      <c r="N36" s="44">
        <f>(J36*'Base Data'!$C$5)+(K36*'Base Data'!$C$6)+(L36*'Base Data'!$C$7)</f>
        <v>0</v>
      </c>
      <c r="O36" s="44">
        <f>(D36+E36+F36)*G36*I36</f>
        <v>0</v>
      </c>
      <c r="P36" s="73">
        <v>0</v>
      </c>
      <c r="Q36" s="75" t="s">
        <v>339</v>
      </c>
      <c r="U36" s="144"/>
    </row>
    <row r="37" spans="1:21" s="115" customFormat="1" ht="9">
      <c r="A37" s="110" t="s">
        <v>365</v>
      </c>
      <c r="B37" s="37">
        <v>10</v>
      </c>
      <c r="C37" s="37"/>
      <c r="D37" s="44">
        <v>0</v>
      </c>
      <c r="E37" s="44">
        <v>0</v>
      </c>
      <c r="F37" s="44">
        <v>5600</v>
      </c>
      <c r="G37" s="37">
        <v>1</v>
      </c>
      <c r="H37" s="37">
        <f>B37*G37</f>
        <v>10</v>
      </c>
      <c r="I37" s="72">
        <v>0</v>
      </c>
      <c r="J37" s="73">
        <f>H37*I37</f>
        <v>0</v>
      </c>
      <c r="K37" s="73">
        <f>J37*0.1</f>
        <v>0</v>
      </c>
      <c r="L37" s="73">
        <f>J37*0.05</f>
        <v>0</v>
      </c>
      <c r="M37" s="74"/>
      <c r="N37" s="44">
        <f>(J37*'Base Data'!$C$5)+(K37*'Base Data'!$C$6)+(L37*'Base Data'!$C$7)</f>
        <v>0</v>
      </c>
      <c r="O37" s="44">
        <f>(D37+E37+F37)*G37*I37</f>
        <v>0</v>
      </c>
      <c r="P37" s="73">
        <v>0</v>
      </c>
      <c r="Q37" s="75" t="s">
        <v>339</v>
      </c>
      <c r="U37" s="144"/>
    </row>
    <row r="38" spans="1:21" s="115" customFormat="1" ht="18">
      <c r="A38" s="111" t="s">
        <v>425</v>
      </c>
      <c r="B38" s="37"/>
      <c r="C38" s="37"/>
      <c r="D38" s="44"/>
      <c r="E38" s="44"/>
      <c r="F38" s="44"/>
      <c r="G38" s="37"/>
      <c r="H38" s="37"/>
      <c r="I38" s="72"/>
      <c r="J38" s="73"/>
      <c r="K38" s="73"/>
      <c r="L38" s="73"/>
      <c r="M38" s="74"/>
      <c r="N38" s="44"/>
      <c r="O38" s="183"/>
      <c r="P38" s="73"/>
      <c r="Q38" s="75"/>
      <c r="U38" s="144"/>
    </row>
    <row r="39" spans="1:21" s="115" customFormat="1" ht="9">
      <c r="A39" s="110" t="s">
        <v>362</v>
      </c>
      <c r="B39" s="37">
        <v>10</v>
      </c>
      <c r="C39" s="37"/>
      <c r="D39" s="44">
        <v>0</v>
      </c>
      <c r="E39" s="44">
        <v>0</v>
      </c>
      <c r="F39" s="44">
        <f>25500</f>
        <v>25500</v>
      </c>
      <c r="G39" s="37">
        <v>1</v>
      </c>
      <c r="H39" s="37">
        <f>B39*G39</f>
        <v>10</v>
      </c>
      <c r="I39" s="72">
        <v>0</v>
      </c>
      <c r="J39" s="73">
        <f>H39*I39</f>
        <v>0</v>
      </c>
      <c r="K39" s="73">
        <f>J39*0.1</f>
        <v>0</v>
      </c>
      <c r="L39" s="73">
        <f>J39*0.05</f>
        <v>0</v>
      </c>
      <c r="M39" s="74"/>
      <c r="N39" s="44">
        <f>(J39*'Base Data'!$C$5)+(K39*'Base Data'!$C$6)+(L39*'Base Data'!$C$7)</f>
        <v>0</v>
      </c>
      <c r="O39" s="44">
        <f>(D39+E39+F39)*G39*I39</f>
        <v>0</v>
      </c>
      <c r="P39" s="73">
        <v>0</v>
      </c>
      <c r="Q39" s="75" t="s">
        <v>339</v>
      </c>
      <c r="U39" s="144"/>
    </row>
    <row r="40" spans="1:21" s="115" customFormat="1" ht="9">
      <c r="A40" s="110" t="s">
        <v>365</v>
      </c>
      <c r="B40" s="37">
        <v>10</v>
      </c>
      <c r="C40" s="37"/>
      <c r="D40" s="44">
        <v>0</v>
      </c>
      <c r="E40" s="44">
        <v>0</v>
      </c>
      <c r="F40" s="44">
        <v>9700</v>
      </c>
      <c r="G40" s="37">
        <v>1</v>
      </c>
      <c r="H40" s="37">
        <f>B40*G40</f>
        <v>10</v>
      </c>
      <c r="I40" s="72">
        <v>0</v>
      </c>
      <c r="J40" s="73">
        <f>H40*I40</f>
        <v>0</v>
      </c>
      <c r="K40" s="73">
        <f>J40*0.1</f>
        <v>0</v>
      </c>
      <c r="L40" s="73">
        <f>J40*0.05</f>
        <v>0</v>
      </c>
      <c r="M40" s="74"/>
      <c r="N40" s="44">
        <f>(J40*'Base Data'!$C$5)+(K40*'Base Data'!$C$6)+(L40*'Base Data'!$C$7)</f>
        <v>0</v>
      </c>
      <c r="O40" s="44">
        <f>(D40+E40+F40)*G40*I40</f>
        <v>0</v>
      </c>
      <c r="P40" s="73">
        <v>0</v>
      </c>
      <c r="Q40" s="75" t="s">
        <v>339</v>
      </c>
      <c r="U40" s="144"/>
    </row>
    <row r="41" spans="1:21" s="115" customFormat="1" ht="9">
      <c r="A41" s="111" t="s">
        <v>523</v>
      </c>
      <c r="B41" s="37"/>
      <c r="C41" s="37"/>
      <c r="D41" s="44"/>
      <c r="E41" s="44"/>
      <c r="F41" s="44"/>
      <c r="G41" s="37"/>
      <c r="H41" s="37"/>
      <c r="I41" s="72"/>
      <c r="J41" s="73"/>
      <c r="K41" s="73"/>
      <c r="L41" s="73"/>
      <c r="M41" s="74"/>
      <c r="N41" s="44"/>
      <c r="O41" s="183"/>
      <c r="P41" s="73"/>
      <c r="Q41" s="75"/>
    </row>
    <row r="42" spans="1:21" s="115" customFormat="1" ht="9">
      <c r="A42" s="110" t="s">
        <v>362</v>
      </c>
      <c r="B42" s="37">
        <v>10</v>
      </c>
      <c r="C42" s="37"/>
      <c r="D42" s="44">
        <v>0</v>
      </c>
      <c r="E42" s="44">
        <v>0</v>
      </c>
      <c r="F42" s="44">
        <v>43500</v>
      </c>
      <c r="G42" s="37">
        <v>1</v>
      </c>
      <c r="H42" s="37">
        <f>B42*G42</f>
        <v>10</v>
      </c>
      <c r="I42" s="72">
        <v>0</v>
      </c>
      <c r="J42" s="73">
        <f>H42*I42</f>
        <v>0</v>
      </c>
      <c r="K42" s="73">
        <f>J42*0.1</f>
        <v>0</v>
      </c>
      <c r="L42" s="73">
        <f>J42*0.05</f>
        <v>0</v>
      </c>
      <c r="M42" s="74"/>
      <c r="N42" s="44">
        <f>(J42*'Base Data'!$C$5)+(K42*'Base Data'!$C$6)+(L42*'Base Data'!$C$7)</f>
        <v>0</v>
      </c>
      <c r="O42" s="44">
        <f>(D42+E42+F42)*G42*I42</f>
        <v>0</v>
      </c>
      <c r="P42" s="73">
        <v>0</v>
      </c>
      <c r="Q42" s="75" t="s">
        <v>339</v>
      </c>
    </row>
    <row r="43" spans="1:21" s="115" customFormat="1" ht="9">
      <c r="A43" s="110" t="s">
        <v>365</v>
      </c>
      <c r="B43" s="37">
        <v>10</v>
      </c>
      <c r="C43" s="37"/>
      <c r="D43" s="44">
        <v>0</v>
      </c>
      <c r="E43" s="44">
        <v>0</v>
      </c>
      <c r="F43" s="44">
        <v>9700</v>
      </c>
      <c r="G43" s="37">
        <v>1</v>
      </c>
      <c r="H43" s="37">
        <f>B43*G43</f>
        <v>10</v>
      </c>
      <c r="I43" s="72">
        <v>0</v>
      </c>
      <c r="J43" s="73">
        <f>H43*I43</f>
        <v>0</v>
      </c>
      <c r="K43" s="73">
        <f>J43*0.1</f>
        <v>0</v>
      </c>
      <c r="L43" s="73">
        <f>J43*0.05</f>
        <v>0</v>
      </c>
      <c r="M43" s="74"/>
      <c r="N43" s="44">
        <f>(J43*'Base Data'!$C$5)+(K43*'Base Data'!$C$6)+(L43*'Base Data'!$C$7)</f>
        <v>0</v>
      </c>
      <c r="O43" s="44">
        <f>(D43+E43+F43)*G43*I43</f>
        <v>0</v>
      </c>
      <c r="P43" s="73">
        <v>0</v>
      </c>
      <c r="Q43" s="75" t="s">
        <v>339</v>
      </c>
    </row>
    <row r="44" spans="1:21" s="115" customFormat="1" ht="18">
      <c r="A44" s="111" t="s">
        <v>161</v>
      </c>
      <c r="B44" s="37"/>
      <c r="C44" s="37"/>
      <c r="D44" s="44"/>
      <c r="E44" s="44"/>
      <c r="F44" s="44"/>
      <c r="G44" s="37"/>
      <c r="H44" s="37"/>
      <c r="I44" s="72"/>
      <c r="J44" s="73"/>
      <c r="K44" s="73"/>
      <c r="L44" s="73"/>
      <c r="M44" s="74"/>
      <c r="N44" s="44"/>
      <c r="O44" s="44"/>
      <c r="P44" s="73"/>
      <c r="Q44" s="75"/>
      <c r="U44" s="144"/>
    </row>
    <row r="45" spans="1:21" s="115" customFormat="1" ht="9">
      <c r="A45" s="110" t="s">
        <v>362</v>
      </c>
      <c r="B45" s="37">
        <v>10</v>
      </c>
      <c r="C45" s="37"/>
      <c r="D45" s="44">
        <v>0</v>
      </c>
      <c r="E45" s="44">
        <v>0</v>
      </c>
      <c r="F45" s="44">
        <v>115000</v>
      </c>
      <c r="G45" s="37">
        <v>1</v>
      </c>
      <c r="H45" s="37">
        <f>B45*G45</f>
        <v>10</v>
      </c>
      <c r="I45" s="72">
        <v>0</v>
      </c>
      <c r="J45" s="73">
        <f>H45*I45</f>
        <v>0</v>
      </c>
      <c r="K45" s="73">
        <f>J45*0.1</f>
        <v>0</v>
      </c>
      <c r="L45" s="73">
        <f>J45*0.05</f>
        <v>0</v>
      </c>
      <c r="M45" s="74"/>
      <c r="N45" s="44">
        <f>(J45*'Base Data'!$C$5)+(K45*'Base Data'!$C$6)+(L45*'Base Data'!$C$7)</f>
        <v>0</v>
      </c>
      <c r="O45" s="44">
        <f>(D45+E45+F45)*G45*I45</f>
        <v>0</v>
      </c>
      <c r="P45" s="73">
        <v>0</v>
      </c>
      <c r="Q45" s="75" t="s">
        <v>339</v>
      </c>
      <c r="U45" s="144"/>
    </row>
    <row r="46" spans="1:21" s="115" customFormat="1" ht="9">
      <c r="A46" s="110" t="s">
        <v>365</v>
      </c>
      <c r="B46" s="37">
        <v>10</v>
      </c>
      <c r="C46" s="37"/>
      <c r="D46" s="44">
        <v>0</v>
      </c>
      <c r="E46" s="44">
        <v>0</v>
      </c>
      <c r="F46" s="44">
        <v>9700</v>
      </c>
      <c r="G46" s="37">
        <v>1</v>
      </c>
      <c r="H46" s="37">
        <f>B46*G46</f>
        <v>10</v>
      </c>
      <c r="I46" s="72">
        <v>0</v>
      </c>
      <c r="J46" s="73">
        <f>H46*I46</f>
        <v>0</v>
      </c>
      <c r="K46" s="73">
        <f>J46*0.1</f>
        <v>0</v>
      </c>
      <c r="L46" s="73">
        <f>J46*0.05</f>
        <v>0</v>
      </c>
      <c r="M46" s="74"/>
      <c r="N46" s="44">
        <f>(J46*'Base Data'!$C$5)+(K46*'Base Data'!$C$6)+(L46*'Base Data'!$C$7)</f>
        <v>0</v>
      </c>
      <c r="O46" s="44">
        <f>(D46+E46+F46)*G46*I46</f>
        <v>0</v>
      </c>
      <c r="P46" s="73">
        <v>0</v>
      </c>
      <c r="Q46" s="75" t="s">
        <v>339</v>
      </c>
      <c r="U46" s="144"/>
    </row>
    <row r="47" spans="1:21" s="115" customFormat="1" ht="9">
      <c r="A47" s="110" t="s">
        <v>366</v>
      </c>
      <c r="B47" s="37" t="s">
        <v>384</v>
      </c>
      <c r="C47" s="37"/>
      <c r="D47" s="44"/>
      <c r="E47" s="44"/>
      <c r="F47" s="44"/>
      <c r="G47" s="37"/>
      <c r="H47" s="37"/>
      <c r="I47" s="73"/>
      <c r="J47" s="73"/>
      <c r="K47" s="73"/>
      <c r="L47" s="73"/>
      <c r="M47" s="37"/>
      <c r="N47" s="44"/>
      <c r="O47" s="44"/>
      <c r="P47" s="44"/>
      <c r="Q47" s="75"/>
      <c r="U47" s="144"/>
    </row>
    <row r="48" spans="1:21" s="115" customFormat="1" ht="9">
      <c r="A48" s="110" t="s">
        <v>367</v>
      </c>
      <c r="B48" s="37" t="s">
        <v>384</v>
      </c>
      <c r="C48" s="37"/>
      <c r="D48" s="44"/>
      <c r="E48" s="44"/>
      <c r="F48" s="44"/>
      <c r="G48" s="37"/>
      <c r="H48" s="37"/>
      <c r="I48" s="73"/>
      <c r="J48" s="73"/>
      <c r="K48" s="73"/>
      <c r="L48" s="73"/>
      <c r="M48" s="37"/>
      <c r="N48" s="44"/>
      <c r="O48" s="44"/>
      <c r="P48" s="44"/>
      <c r="Q48" s="75"/>
    </row>
    <row r="49" spans="1:19" s="115" customFormat="1" ht="9">
      <c r="A49" s="110" t="s">
        <v>368</v>
      </c>
      <c r="B49" s="37"/>
      <c r="C49" s="37"/>
      <c r="D49" s="44"/>
      <c r="E49" s="44"/>
      <c r="F49" s="44"/>
      <c r="G49" s="37"/>
      <c r="H49" s="37"/>
      <c r="I49" s="73"/>
      <c r="J49" s="73"/>
      <c r="K49" s="73"/>
      <c r="L49" s="73"/>
      <c r="M49" s="37"/>
      <c r="N49" s="44"/>
      <c r="O49" s="44"/>
      <c r="P49" s="44"/>
      <c r="Q49" s="75"/>
    </row>
    <row r="50" spans="1:19" s="115" customFormat="1" ht="9">
      <c r="A50" s="126" t="s">
        <v>386</v>
      </c>
      <c r="B50" s="37">
        <v>2</v>
      </c>
      <c r="C50" s="37"/>
      <c r="D50" s="44">
        <v>0</v>
      </c>
      <c r="E50" s="44">
        <v>0</v>
      </c>
      <c r="F50" s="44">
        <v>0</v>
      </c>
      <c r="G50" s="37">
        <v>1</v>
      </c>
      <c r="H50" s="37">
        <f>B50*G50</f>
        <v>2</v>
      </c>
      <c r="I50" s="72">
        <f>ROUND(SUM('Base Data'!$H$43:$H$45),0)</f>
        <v>71</v>
      </c>
      <c r="J50" s="73">
        <f>H50*I50</f>
        <v>142</v>
      </c>
      <c r="K50" s="73">
        <f>J50*0.1</f>
        <v>14.200000000000001</v>
      </c>
      <c r="L50" s="73">
        <f>J50*0.05</f>
        <v>7.1000000000000005</v>
      </c>
      <c r="M50" s="37">
        <f>C50*G50*I50</f>
        <v>0</v>
      </c>
      <c r="N50" s="44">
        <f>(J50*'Base Data'!$C$5)+(K50*'Base Data'!$C$6)+(L50*'Base Data'!$C$7)</f>
        <v>15446.405000000001</v>
      </c>
      <c r="O50" s="44">
        <f>(D50+E50+F50)*G50*I50</f>
        <v>0</v>
      </c>
      <c r="P50" s="73">
        <f>G50*I50</f>
        <v>71</v>
      </c>
      <c r="Q50" s="75" t="s">
        <v>338</v>
      </c>
    </row>
    <row r="51" spans="1:19" s="115" customFormat="1" ht="9" customHeight="1">
      <c r="A51" s="126" t="s">
        <v>328</v>
      </c>
      <c r="B51" s="37">
        <v>8</v>
      </c>
      <c r="C51" s="37"/>
      <c r="D51" s="44">
        <v>0</v>
      </c>
      <c r="E51" s="44">
        <v>0</v>
      </c>
      <c r="F51" s="44">
        <v>0</v>
      </c>
      <c r="G51" s="37">
        <v>1</v>
      </c>
      <c r="H51" s="37">
        <f>B51*G51</f>
        <v>8</v>
      </c>
      <c r="I51" s="72">
        <v>0</v>
      </c>
      <c r="J51" s="73">
        <f>H51*I51</f>
        <v>0</v>
      </c>
      <c r="K51" s="73">
        <f>J51*0.1</f>
        <v>0</v>
      </c>
      <c r="L51" s="73">
        <f>J51*0.05</f>
        <v>0</v>
      </c>
      <c r="M51" s="37">
        <f>C51*G51*I51</f>
        <v>0</v>
      </c>
      <c r="N51" s="44">
        <f>(J51*'Base Data'!$C$5)+(K51*'Base Data'!$C$6)+(L51*'Base Data'!$C$7)</f>
        <v>0</v>
      </c>
      <c r="O51" s="44">
        <f>(D51+E51+F51)*G51*I51</f>
        <v>0</v>
      </c>
      <c r="P51" s="73">
        <f>G51*I51</f>
        <v>0</v>
      </c>
      <c r="Q51" s="75" t="s">
        <v>339</v>
      </c>
    </row>
    <row r="52" spans="1:19" s="115" customFormat="1" ht="9">
      <c r="A52" s="126" t="s">
        <v>329</v>
      </c>
      <c r="B52" s="37">
        <v>5</v>
      </c>
      <c r="C52" s="37"/>
      <c r="D52" s="44">
        <v>0</v>
      </c>
      <c r="E52" s="44">
        <v>0</v>
      </c>
      <c r="F52" s="44">
        <v>0</v>
      </c>
      <c r="G52" s="37">
        <v>1</v>
      </c>
      <c r="H52" s="37">
        <f>B52*G52</f>
        <v>5</v>
      </c>
      <c r="I52" s="72">
        <v>0</v>
      </c>
      <c r="J52" s="73">
        <f>H52*I52</f>
        <v>0</v>
      </c>
      <c r="K52" s="73">
        <f>J52*0.1</f>
        <v>0</v>
      </c>
      <c r="L52" s="73">
        <f>J52*0.05</f>
        <v>0</v>
      </c>
      <c r="M52" s="37">
        <f>C52*G52*I52</f>
        <v>0</v>
      </c>
      <c r="N52" s="44">
        <f>(J52*'Base Data'!$C$5)+(K52*'Base Data'!$C$6)+(L52*'Base Data'!$C$7)</f>
        <v>0</v>
      </c>
      <c r="O52" s="44">
        <f>(D52+E52+F52)*G52*I52</f>
        <v>0</v>
      </c>
      <c r="P52" s="73">
        <f>G52*I52</f>
        <v>0</v>
      </c>
      <c r="Q52" s="75" t="s">
        <v>339</v>
      </c>
    </row>
    <row r="53" spans="1:19" s="115" customFormat="1" ht="9">
      <c r="A53" s="112" t="s">
        <v>407</v>
      </c>
      <c r="B53" s="37">
        <v>20</v>
      </c>
      <c r="C53" s="37">
        <v>0</v>
      </c>
      <c r="D53" s="44">
        <v>0</v>
      </c>
      <c r="E53" s="44">
        <v>0</v>
      </c>
      <c r="F53" s="44">
        <v>0</v>
      </c>
      <c r="G53" s="37">
        <v>2</v>
      </c>
      <c r="H53" s="37">
        <f>B53*G53</f>
        <v>40</v>
      </c>
      <c r="I53" s="72">
        <v>0</v>
      </c>
      <c r="J53" s="73">
        <f>H53*I53</f>
        <v>0</v>
      </c>
      <c r="K53" s="73">
        <f>J53*0.1</f>
        <v>0</v>
      </c>
      <c r="L53" s="73">
        <f>J53*0.05</f>
        <v>0</v>
      </c>
      <c r="M53" s="73">
        <f>C53*G53*I53</f>
        <v>0</v>
      </c>
      <c r="N53" s="44">
        <f>(J53*'Base Data'!$C$5)+(K53*'Base Data'!$C$6)+(L53*'Base Data'!$C$7)</f>
        <v>0</v>
      </c>
      <c r="O53" s="44">
        <f>(D53+E53+F53)*G53*I53</f>
        <v>0</v>
      </c>
      <c r="P53" s="73">
        <f>G53*I53</f>
        <v>0</v>
      </c>
      <c r="Q53" s="75" t="s">
        <v>338</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490</v>
      </c>
      <c r="R54" s="133"/>
    </row>
    <row r="55" spans="1:19" s="115" customFormat="1" ht="9">
      <c r="A55" s="113" t="s">
        <v>7</v>
      </c>
      <c r="B55" s="37"/>
      <c r="C55" s="37"/>
      <c r="D55" s="44"/>
      <c r="E55" s="44"/>
      <c r="F55" s="44"/>
      <c r="G55" s="37"/>
      <c r="H55" s="37"/>
      <c r="I55" s="72"/>
      <c r="J55" s="73">
        <f t="shared" ref="J55:O55" si="9">SUM(J7:J53)</f>
        <v>2982</v>
      </c>
      <c r="K55" s="73">
        <f t="shared" si="9"/>
        <v>298.2</v>
      </c>
      <c r="L55" s="73">
        <f t="shared" si="9"/>
        <v>149.1</v>
      </c>
      <c r="M55" s="73">
        <f t="shared" si="9"/>
        <v>0</v>
      </c>
      <c r="N55" s="44">
        <f t="shared" si="9"/>
        <v>324374.50500000006</v>
      </c>
      <c r="O55" s="44">
        <f t="shared" si="9"/>
        <v>0</v>
      </c>
      <c r="P55" s="73">
        <f>SUM(P50:P53)</f>
        <v>71</v>
      </c>
      <c r="Q55" s="75"/>
      <c r="R55" s="118">
        <f>SUM(O7,O10:O22,O28,O31,O34,O37,O40,O46)</f>
        <v>0</v>
      </c>
      <c r="S55" s="117">
        <f>SUM(O27,O30,O33,O36,O39,O45)</f>
        <v>0</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0">B61*G61</f>
        <v>20</v>
      </c>
      <c r="I61" s="72">
        <v>0</v>
      </c>
      <c r="J61" s="73">
        <f t="shared" ref="J61:J67" si="11">H61*I61</f>
        <v>0</v>
      </c>
      <c r="K61" s="73">
        <f t="shared" ref="K61:K67" si="12">J61*0.1</f>
        <v>0</v>
      </c>
      <c r="L61" s="73">
        <f t="shared" ref="L61:L67" si="13">J61*0.05</f>
        <v>0</v>
      </c>
      <c r="M61" s="37"/>
      <c r="N61" s="44">
        <f>(J61*'Base Data'!$C$5)+(K61*'Base Data'!$C$6)+(L61*'Base Data'!$C$7)</f>
        <v>0</v>
      </c>
      <c r="O61" s="44">
        <f t="shared" ref="O61:O67" si="14">(D61+E61+F61)*G61*I61</f>
        <v>0</v>
      </c>
      <c r="P61" s="73">
        <v>0</v>
      </c>
      <c r="Q61" s="75" t="s">
        <v>339</v>
      </c>
    </row>
    <row r="62" spans="1:19" s="115" customFormat="1" ht="9">
      <c r="A62" s="111" t="s">
        <v>376</v>
      </c>
      <c r="B62" s="37">
        <v>15</v>
      </c>
      <c r="C62" s="37">
        <v>0</v>
      </c>
      <c r="D62" s="44">
        <v>0</v>
      </c>
      <c r="E62" s="44">
        <v>0</v>
      </c>
      <c r="F62" s="44">
        <v>0</v>
      </c>
      <c r="G62" s="37">
        <v>1</v>
      </c>
      <c r="H62" s="37">
        <f t="shared" si="10"/>
        <v>15</v>
      </c>
      <c r="I62" s="72">
        <v>0</v>
      </c>
      <c r="J62" s="73">
        <f t="shared" si="11"/>
        <v>0</v>
      </c>
      <c r="K62" s="73">
        <f t="shared" si="12"/>
        <v>0</v>
      </c>
      <c r="L62" s="73">
        <f t="shared" si="13"/>
        <v>0</v>
      </c>
      <c r="M62" s="37">
        <f>C62*G62*I62</f>
        <v>0</v>
      </c>
      <c r="N62" s="44">
        <f>(J62*'Base Data'!$C$5)+(K62*'Base Data'!$C$6)+(L62*'Base Data'!$C$7)</f>
        <v>0</v>
      </c>
      <c r="O62" s="44">
        <f t="shared" si="14"/>
        <v>0</v>
      </c>
      <c r="P62" s="73">
        <v>0</v>
      </c>
      <c r="Q62" s="75" t="s">
        <v>339</v>
      </c>
    </row>
    <row r="63" spans="1:19" s="115" customFormat="1" ht="9.75" customHeight="1">
      <c r="A63" s="110" t="s">
        <v>377</v>
      </c>
      <c r="B63" s="37">
        <v>2</v>
      </c>
      <c r="C63" s="37"/>
      <c r="D63" s="44">
        <v>0</v>
      </c>
      <c r="E63" s="44">
        <v>0</v>
      </c>
      <c r="F63" s="44">
        <v>0</v>
      </c>
      <c r="G63" s="37">
        <v>1</v>
      </c>
      <c r="H63" s="37">
        <f t="shared" si="10"/>
        <v>2</v>
      </c>
      <c r="I63" s="72">
        <v>0</v>
      </c>
      <c r="J63" s="73">
        <f t="shared" si="11"/>
        <v>0</v>
      </c>
      <c r="K63" s="73">
        <f t="shared" si="12"/>
        <v>0</v>
      </c>
      <c r="L63" s="73">
        <f t="shared" si="13"/>
        <v>0</v>
      </c>
      <c r="M63" s="37"/>
      <c r="N63" s="44">
        <f>(J63*'Base Data'!$C$5)+(K63*'Base Data'!$C$6)+(L63*'Base Data'!$C$7)</f>
        <v>0</v>
      </c>
      <c r="O63" s="44">
        <f t="shared" si="14"/>
        <v>0</v>
      </c>
      <c r="P63" s="73">
        <v>0</v>
      </c>
      <c r="Q63" s="75" t="s">
        <v>339</v>
      </c>
    </row>
    <row r="64" spans="1:19" s="115" customFormat="1" ht="9">
      <c r="A64" s="111" t="s">
        <v>387</v>
      </c>
      <c r="B64" s="37">
        <v>2</v>
      </c>
      <c r="C64" s="37"/>
      <c r="D64" s="44">
        <v>0</v>
      </c>
      <c r="E64" s="44">
        <v>0</v>
      </c>
      <c r="F64" s="44">
        <v>0</v>
      </c>
      <c r="G64" s="37">
        <v>1</v>
      </c>
      <c r="H64" s="37">
        <f t="shared" si="10"/>
        <v>2</v>
      </c>
      <c r="I64" s="72">
        <v>0</v>
      </c>
      <c r="J64" s="73">
        <f t="shared" si="11"/>
        <v>0</v>
      </c>
      <c r="K64" s="73">
        <f t="shared" si="12"/>
        <v>0</v>
      </c>
      <c r="L64" s="73">
        <f t="shared" si="13"/>
        <v>0</v>
      </c>
      <c r="M64" s="37"/>
      <c r="N64" s="44">
        <f>(J64*'Base Data'!$C$5)+(K64*'Base Data'!$C$6)+(L64*'Base Data'!$C$7)</f>
        <v>0</v>
      </c>
      <c r="O64" s="44">
        <f t="shared" si="14"/>
        <v>0</v>
      </c>
      <c r="P64" s="73">
        <v>0</v>
      </c>
      <c r="Q64" s="75" t="s">
        <v>339</v>
      </c>
    </row>
    <row r="65" spans="1:18" s="115" customFormat="1" ht="9">
      <c r="A65" s="111" t="s">
        <v>388</v>
      </c>
      <c r="B65" s="37">
        <v>2</v>
      </c>
      <c r="C65" s="37">
        <v>0</v>
      </c>
      <c r="D65" s="44">
        <v>0</v>
      </c>
      <c r="E65" s="44">
        <v>0</v>
      </c>
      <c r="F65" s="44">
        <v>0</v>
      </c>
      <c r="G65" s="37">
        <v>2</v>
      </c>
      <c r="H65" s="37">
        <f t="shared" si="10"/>
        <v>4</v>
      </c>
      <c r="I65" s="72">
        <v>0</v>
      </c>
      <c r="J65" s="73">
        <f t="shared" si="11"/>
        <v>0</v>
      </c>
      <c r="K65" s="73">
        <f t="shared" si="12"/>
        <v>0</v>
      </c>
      <c r="L65" s="73">
        <f t="shared" si="13"/>
        <v>0</v>
      </c>
      <c r="M65" s="37">
        <f>C65*G65*I65</f>
        <v>0</v>
      </c>
      <c r="N65" s="44">
        <f>(J65*'Base Data'!$C$5)+(K65*'Base Data'!$C$6)+(L65*'Base Data'!$C$7)</f>
        <v>0</v>
      </c>
      <c r="O65" s="44">
        <f t="shared" si="14"/>
        <v>0</v>
      </c>
      <c r="P65" s="73">
        <v>0</v>
      </c>
      <c r="Q65" s="75" t="s">
        <v>339</v>
      </c>
    </row>
    <row r="66" spans="1:18" s="115" customFormat="1" ht="9">
      <c r="A66" s="111" t="s">
        <v>389</v>
      </c>
      <c r="B66" s="37">
        <v>0.5</v>
      </c>
      <c r="C66" s="37"/>
      <c r="D66" s="44">
        <v>0</v>
      </c>
      <c r="E66" s="44">
        <v>0</v>
      </c>
      <c r="F66" s="44">
        <v>0</v>
      </c>
      <c r="G66" s="37">
        <v>12</v>
      </c>
      <c r="H66" s="37">
        <f t="shared" si="10"/>
        <v>6</v>
      </c>
      <c r="I66" s="72">
        <v>0</v>
      </c>
      <c r="J66" s="73">
        <f t="shared" si="11"/>
        <v>0</v>
      </c>
      <c r="K66" s="73">
        <f t="shared" si="12"/>
        <v>0</v>
      </c>
      <c r="L66" s="73">
        <f t="shared" si="13"/>
        <v>0</v>
      </c>
      <c r="M66" s="37"/>
      <c r="N66" s="44">
        <f>(J66*'Base Data'!$C$5)+(K66*'Base Data'!$C$6)+(L66*'Base Data'!$C$7)</f>
        <v>0</v>
      </c>
      <c r="O66" s="44">
        <f t="shared" si="14"/>
        <v>0</v>
      </c>
      <c r="P66" s="73">
        <v>0</v>
      </c>
      <c r="Q66" s="75" t="s">
        <v>339</v>
      </c>
    </row>
    <row r="67" spans="1:18" s="115" customFormat="1" ht="9">
      <c r="A67" s="110" t="s">
        <v>378</v>
      </c>
      <c r="B67" s="37">
        <v>40</v>
      </c>
      <c r="C67" s="37"/>
      <c r="D67" s="44">
        <v>0</v>
      </c>
      <c r="E67" s="44">
        <v>0</v>
      </c>
      <c r="F67" s="44">
        <v>0</v>
      </c>
      <c r="G67" s="37">
        <v>1</v>
      </c>
      <c r="H67" s="37">
        <f t="shared" si="10"/>
        <v>40</v>
      </c>
      <c r="I67" s="72">
        <v>0</v>
      </c>
      <c r="J67" s="73">
        <f t="shared" si="11"/>
        <v>0</v>
      </c>
      <c r="K67" s="73">
        <f t="shared" si="12"/>
        <v>0</v>
      </c>
      <c r="L67" s="73">
        <f t="shared" si="13"/>
        <v>0</v>
      </c>
      <c r="M67" s="37"/>
      <c r="N67" s="44">
        <f>(J67*'Base Data'!$C$5)+(K67*'Base Data'!$C$6)+(L67*'Base Data'!$C$7)</f>
        <v>0</v>
      </c>
      <c r="O67" s="44">
        <f t="shared" si="14"/>
        <v>0</v>
      </c>
      <c r="P67" s="73">
        <v>0</v>
      </c>
      <c r="Q67" s="75" t="s">
        <v>16</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SUM(J57:J68)</f>
        <v>0</v>
      </c>
      <c r="K69" s="186">
        <f t="shared" ref="K69:O69" si="15">SUM(K57:K68)</f>
        <v>0</v>
      </c>
      <c r="L69" s="186">
        <f t="shared" si="15"/>
        <v>0</v>
      </c>
      <c r="M69" s="185">
        <f t="shared" si="15"/>
        <v>0</v>
      </c>
      <c r="N69" s="185">
        <f t="shared" si="15"/>
        <v>0</v>
      </c>
      <c r="O69" s="185">
        <f t="shared" si="15"/>
        <v>0</v>
      </c>
      <c r="P69" s="186">
        <f t="shared" ref="P69" si="16">SUM(P57:P68)</f>
        <v>0</v>
      </c>
      <c r="Q69" s="187"/>
      <c r="R69" s="44">
        <f>SUM(R57:R68)</f>
        <v>0</v>
      </c>
    </row>
    <row r="70" spans="1:18" s="134" customFormat="1">
      <c r="A70" s="135" t="s">
        <v>351</v>
      </c>
      <c r="B70" s="136"/>
      <c r="C70" s="136"/>
      <c r="D70" s="136"/>
      <c r="E70" s="136"/>
      <c r="F70" s="137"/>
      <c r="G70" s="136"/>
      <c r="H70" s="136"/>
      <c r="I70" s="138"/>
      <c r="J70" s="139">
        <f>J55+J69</f>
        <v>2982</v>
      </c>
      <c r="K70" s="139">
        <f t="shared" ref="K70:P70" si="17">K55+K69</f>
        <v>298.2</v>
      </c>
      <c r="L70" s="139">
        <f t="shared" si="17"/>
        <v>149.1</v>
      </c>
      <c r="M70" s="140">
        <f t="shared" si="17"/>
        <v>0</v>
      </c>
      <c r="N70" s="140">
        <f t="shared" si="17"/>
        <v>324374.50500000006</v>
      </c>
      <c r="O70" s="140">
        <f t="shared" si="17"/>
        <v>0</v>
      </c>
      <c r="P70" s="139">
        <f t="shared" si="17"/>
        <v>71</v>
      </c>
      <c r="Q70" s="141"/>
    </row>
    <row r="71" spans="1:18" ht="6" customHeight="1"/>
    <row r="72" spans="1:18" s="45" customFormat="1" ht="9">
      <c r="A72" s="45" t="s">
        <v>548</v>
      </c>
      <c r="B72" s="48"/>
      <c r="C72" s="48"/>
      <c r="D72" s="48"/>
      <c r="E72" s="48"/>
      <c r="F72" s="48"/>
      <c r="G72" s="48"/>
      <c r="H72" s="48"/>
      <c r="I72" s="49"/>
      <c r="J72" s="48"/>
      <c r="K72" s="48"/>
      <c r="L72" s="48"/>
      <c r="M72" s="48"/>
      <c r="N72" s="48"/>
      <c r="O72" s="146"/>
      <c r="P72" s="146"/>
      <c r="Q72" s="48"/>
    </row>
    <row r="73" spans="1:18" s="45" customFormat="1" ht="19.5" customHeight="1">
      <c r="A73" s="494" t="s">
        <v>547</v>
      </c>
      <c r="B73" s="494"/>
      <c r="C73" s="494"/>
      <c r="D73" s="494"/>
      <c r="E73" s="494"/>
      <c r="F73" s="494"/>
      <c r="G73" s="494"/>
      <c r="H73" s="494"/>
      <c r="I73" s="494"/>
      <c r="J73" s="494"/>
      <c r="K73" s="494"/>
      <c r="L73" s="494"/>
      <c r="M73" s="494"/>
      <c r="N73" s="494"/>
      <c r="O73" s="494"/>
      <c r="P73" s="459"/>
      <c r="Q73" s="48"/>
    </row>
    <row r="74" spans="1:18" s="45" customFormat="1" ht="9" customHeight="1">
      <c r="A74" s="494" t="s">
        <v>325</v>
      </c>
      <c r="B74" s="494"/>
      <c r="C74" s="494"/>
      <c r="D74" s="494"/>
      <c r="E74" s="494"/>
      <c r="F74" s="494"/>
      <c r="G74" s="494"/>
      <c r="H74" s="494"/>
      <c r="I74" s="494"/>
      <c r="J74" s="494"/>
      <c r="K74" s="494"/>
      <c r="L74" s="494"/>
      <c r="M74" s="494"/>
      <c r="N74" s="494"/>
      <c r="O74" s="494"/>
      <c r="P74" s="459"/>
      <c r="Q74" s="48"/>
    </row>
    <row r="75" spans="1:18" s="45" customFormat="1" ht="18.75"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392</v>
      </c>
      <c r="B76" s="48"/>
      <c r="C76" s="48"/>
      <c r="D76" s="48"/>
      <c r="E76" s="48"/>
      <c r="F76" s="48"/>
      <c r="G76" s="48"/>
      <c r="H76" s="48"/>
      <c r="I76" s="49"/>
      <c r="J76" s="48"/>
      <c r="K76" s="48"/>
      <c r="L76" s="48"/>
      <c r="M76" s="48"/>
      <c r="N76" s="48"/>
      <c r="O76" s="146"/>
      <c r="P76" s="146"/>
      <c r="Q76" s="48"/>
    </row>
    <row r="77" spans="1:18" s="45" customFormat="1" ht="9" customHeight="1">
      <c r="A77" s="45" t="s">
        <v>486</v>
      </c>
    </row>
    <row r="78" spans="1:18" s="45" customFormat="1" ht="9">
      <c r="A78" s="45" t="s">
        <v>475</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9">
      <c r="A80" s="495" t="s">
        <v>322</v>
      </c>
      <c r="B80" s="495"/>
      <c r="C80" s="495"/>
      <c r="D80" s="495"/>
      <c r="E80" s="495"/>
      <c r="F80" s="495"/>
      <c r="G80" s="495"/>
      <c r="H80" s="495"/>
      <c r="I80" s="495"/>
      <c r="J80" s="495"/>
      <c r="K80" s="495"/>
      <c r="L80" s="495"/>
      <c r="M80" s="495"/>
      <c r="N80" s="495"/>
      <c r="O80" s="146"/>
      <c r="P80" s="146"/>
      <c r="Q80" s="48"/>
    </row>
    <row r="81" spans="1:17" s="45" customFormat="1" ht="9" customHeight="1">
      <c r="A81" s="45" t="s">
        <v>488</v>
      </c>
      <c r="B81" s="48"/>
      <c r="C81" s="48"/>
      <c r="D81" s="48"/>
      <c r="E81" s="48"/>
      <c r="F81" s="48"/>
      <c r="G81" s="48"/>
      <c r="H81" s="48"/>
      <c r="I81" s="49"/>
      <c r="J81" s="48"/>
      <c r="K81" s="48"/>
      <c r="L81" s="48"/>
      <c r="M81" s="48"/>
      <c r="N81" s="48"/>
      <c r="O81" s="146"/>
      <c r="P81" s="146"/>
      <c r="Q81" s="48"/>
    </row>
    <row r="82" spans="1:17" ht="20.25" customHeight="1">
      <c r="A82" s="494" t="s">
        <v>513</v>
      </c>
      <c r="B82" s="494"/>
      <c r="C82" s="494"/>
      <c r="D82" s="494"/>
      <c r="E82" s="494"/>
      <c r="F82" s="494"/>
      <c r="G82" s="494"/>
      <c r="H82" s="494"/>
      <c r="I82" s="494"/>
      <c r="J82" s="494"/>
      <c r="K82" s="494"/>
      <c r="L82" s="494"/>
      <c r="M82" s="494"/>
      <c r="N82" s="494"/>
      <c r="O82" s="494"/>
      <c r="P82" s="494"/>
      <c r="Q82" s="494"/>
    </row>
    <row r="83" spans="1:17" s="45" customFormat="1" ht="9">
      <c r="A83" s="45" t="s">
        <v>546</v>
      </c>
      <c r="B83" s="48"/>
      <c r="C83" s="48"/>
      <c r="D83" s="48"/>
      <c r="E83" s="48"/>
      <c r="F83" s="48"/>
      <c r="G83" s="48"/>
      <c r="H83" s="48"/>
      <c r="I83" s="49"/>
      <c r="J83" s="48"/>
      <c r="K83" s="48"/>
      <c r="L83" s="48"/>
      <c r="M83" s="48"/>
      <c r="N83" s="48"/>
      <c r="O83" s="146"/>
      <c r="P83" s="146"/>
      <c r="Q83" s="48"/>
    </row>
    <row r="84" spans="1:17" s="45" customFormat="1" ht="9">
      <c r="A84" s="45" t="s">
        <v>615</v>
      </c>
      <c r="B84" s="48"/>
      <c r="C84" s="48"/>
      <c r="D84" s="48"/>
      <c r="E84" s="48"/>
      <c r="F84" s="48"/>
      <c r="G84" s="48"/>
      <c r="H84" s="48"/>
      <c r="I84" s="49"/>
      <c r="J84" s="48"/>
      <c r="K84" s="48"/>
      <c r="L84" s="48"/>
      <c r="M84" s="48"/>
      <c r="N84" s="48"/>
      <c r="O84" s="146"/>
      <c r="P84" s="146"/>
      <c r="Q84" s="48"/>
    </row>
    <row r="85" spans="1:17" s="45" customFormat="1" ht="9">
      <c r="A85" s="494" t="s">
        <v>663</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ht="9">
      <c r="B116" s="48"/>
      <c r="C116" s="48"/>
      <c r="D116" s="48"/>
      <c r="E116" s="48"/>
      <c r="F116" s="48"/>
      <c r="G116" s="48"/>
      <c r="H116" s="48"/>
      <c r="I116" s="49"/>
      <c r="J116" s="48"/>
      <c r="K116" s="48"/>
      <c r="L116" s="48"/>
      <c r="M116" s="48"/>
      <c r="N116" s="48"/>
      <c r="O116" s="146"/>
      <c r="P116" s="146"/>
      <c r="Q116" s="48"/>
    </row>
    <row r="117" spans="2:17" s="45" customFormat="1" ht="9">
      <c r="B117" s="48"/>
      <c r="C117" s="48"/>
      <c r="D117" s="48"/>
      <c r="E117" s="48"/>
      <c r="F117" s="48"/>
      <c r="G117" s="48"/>
      <c r="H117" s="48"/>
      <c r="I117" s="49"/>
      <c r="J117" s="48"/>
      <c r="K117" s="48"/>
      <c r="L117" s="48"/>
      <c r="M117" s="48"/>
      <c r="N117" s="48"/>
      <c r="O117" s="146"/>
      <c r="P117" s="146"/>
      <c r="Q117" s="48"/>
    </row>
    <row r="118" spans="2:17" s="45" customFormat="1" ht="9">
      <c r="B118" s="48"/>
      <c r="C118" s="48"/>
      <c r="D118" s="48"/>
      <c r="E118" s="48"/>
      <c r="F118" s="48"/>
      <c r="G118" s="48"/>
      <c r="H118" s="48"/>
      <c r="I118" s="49"/>
      <c r="J118" s="48"/>
      <c r="K118" s="48"/>
      <c r="L118" s="48"/>
      <c r="M118" s="48"/>
      <c r="N118" s="48"/>
      <c r="O118" s="146"/>
      <c r="P118" s="146"/>
      <c r="Q118" s="48"/>
    </row>
    <row r="119" spans="2:17" s="45" customFormat="1" ht="9">
      <c r="B119" s="48"/>
      <c r="C119" s="48"/>
      <c r="D119" s="48"/>
      <c r="E119" s="48"/>
      <c r="F119" s="48"/>
      <c r="G119" s="48"/>
      <c r="H119" s="48"/>
      <c r="I119" s="49"/>
      <c r="J119" s="48"/>
      <c r="K119" s="48"/>
      <c r="L119" s="48"/>
      <c r="M119" s="48"/>
      <c r="N119" s="48"/>
      <c r="O119" s="146"/>
      <c r="P119" s="146"/>
      <c r="Q119" s="48"/>
    </row>
    <row r="120" spans="2:17" s="45" customFormat="1" ht="9">
      <c r="B120" s="48"/>
      <c r="C120" s="48"/>
      <c r="D120" s="48"/>
      <c r="E120" s="48"/>
      <c r="F120" s="48"/>
      <c r="G120" s="48"/>
      <c r="H120" s="48"/>
      <c r="I120" s="49"/>
      <c r="J120" s="48"/>
      <c r="K120" s="48"/>
      <c r="L120" s="48"/>
      <c r="M120" s="48"/>
      <c r="N120" s="48"/>
      <c r="O120" s="146"/>
      <c r="P120" s="146"/>
      <c r="Q120" s="48"/>
    </row>
    <row r="121" spans="2:17" s="45" customFormat="1" ht="9">
      <c r="B121" s="48"/>
      <c r="C121" s="48"/>
      <c r="D121" s="48"/>
      <c r="E121" s="48"/>
      <c r="F121" s="48"/>
      <c r="G121" s="48"/>
      <c r="H121" s="48"/>
      <c r="I121" s="49"/>
      <c r="J121" s="48"/>
      <c r="K121" s="48"/>
      <c r="L121" s="48"/>
      <c r="M121" s="48"/>
      <c r="N121" s="48"/>
      <c r="O121" s="146"/>
      <c r="P121" s="146"/>
      <c r="Q121" s="48"/>
    </row>
    <row r="122" spans="2:17" s="45" customFormat="1" ht="9">
      <c r="B122" s="48"/>
      <c r="C122" s="48"/>
      <c r="D122" s="48"/>
      <c r="E122" s="48"/>
      <c r="F122" s="48"/>
      <c r="G122" s="48"/>
      <c r="H122" s="48"/>
      <c r="I122" s="49"/>
      <c r="J122" s="48"/>
      <c r="K122" s="48"/>
      <c r="L122" s="48"/>
      <c r="M122" s="48"/>
      <c r="N122" s="48"/>
      <c r="O122" s="146"/>
      <c r="P122" s="146"/>
      <c r="Q122" s="48"/>
    </row>
    <row r="123" spans="2:17" s="45" customFormat="1" ht="9">
      <c r="B123" s="48"/>
      <c r="C123" s="48"/>
      <c r="D123" s="48"/>
      <c r="E123" s="48"/>
      <c r="F123" s="48"/>
      <c r="G123" s="48"/>
      <c r="H123" s="48"/>
      <c r="I123" s="49"/>
      <c r="J123" s="48"/>
      <c r="K123" s="48"/>
      <c r="L123" s="48"/>
      <c r="M123" s="48"/>
      <c r="N123" s="48"/>
      <c r="O123" s="146"/>
      <c r="P123" s="146"/>
      <c r="Q123" s="48"/>
    </row>
  </sheetData>
  <mergeCells count="8">
    <mergeCell ref="A85:Q87"/>
    <mergeCell ref="A82:Q82"/>
    <mergeCell ref="A80:N80"/>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U125"/>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15" sqref="I15"/>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570312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168</v>
      </c>
      <c r="B1" s="496"/>
      <c r="C1" s="496"/>
      <c r="D1" s="496"/>
      <c r="E1" s="496"/>
      <c r="F1" s="496"/>
      <c r="G1" s="496"/>
      <c r="H1" s="496"/>
      <c r="I1" s="496"/>
      <c r="J1" s="496"/>
      <c r="K1" s="496"/>
      <c r="L1" s="496"/>
      <c r="M1" s="496"/>
      <c r="N1" s="496"/>
      <c r="O1" s="496"/>
      <c r="P1" s="496"/>
      <c r="Q1" s="496"/>
    </row>
    <row r="2" spans="1:21">
      <c r="A2" s="497" t="s">
        <v>416</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f>G7*I7</f>
        <v>0</v>
      </c>
      <c r="Q7" s="75" t="s">
        <v>338</v>
      </c>
    </row>
    <row r="8" spans="1:21" s="115" customFormat="1" ht="9">
      <c r="A8" s="110" t="s">
        <v>360</v>
      </c>
      <c r="B8" s="37"/>
      <c r="C8" s="37"/>
      <c r="D8" s="44"/>
      <c r="E8" s="44"/>
      <c r="F8" s="44"/>
      <c r="G8" s="37"/>
      <c r="H8" s="37"/>
      <c r="I8" s="73"/>
      <c r="J8" s="73"/>
      <c r="K8" s="73"/>
      <c r="L8" s="73"/>
      <c r="M8" s="37"/>
      <c r="N8" s="44"/>
      <c r="O8" s="44"/>
      <c r="P8" s="44"/>
      <c r="Q8" s="75"/>
      <c r="U8" s="144"/>
    </row>
    <row r="9" spans="1:21" s="115" customFormat="1" ht="9">
      <c r="A9" s="111" t="s">
        <v>374</v>
      </c>
      <c r="B9" s="37"/>
      <c r="C9" s="37"/>
      <c r="D9" s="76"/>
      <c r="E9" s="44"/>
      <c r="F9" s="44"/>
      <c r="G9" s="37"/>
      <c r="H9" s="37"/>
      <c r="I9" s="72"/>
      <c r="J9" s="73"/>
      <c r="K9" s="73"/>
      <c r="L9" s="73"/>
      <c r="M9" s="74"/>
      <c r="N9" s="44"/>
      <c r="O9" s="44"/>
      <c r="P9" s="44"/>
      <c r="Q9" s="75"/>
      <c r="U9" s="144"/>
    </row>
    <row r="10" spans="1:21" s="115" customFormat="1" ht="9">
      <c r="A10" s="110" t="s">
        <v>249</v>
      </c>
      <c r="B10" s="37">
        <v>20</v>
      </c>
      <c r="C10" s="37"/>
      <c r="D10" s="44">
        <v>854</v>
      </c>
      <c r="E10" s="44">
        <v>0</v>
      </c>
      <c r="F10" s="44">
        <v>0</v>
      </c>
      <c r="G10" s="37">
        <v>1</v>
      </c>
      <c r="H10" s="37">
        <f>B10*G10</f>
        <v>20</v>
      </c>
      <c r="I10" s="72">
        <f>ROUND('Testing Costs'!$C$22*(SUM('Base Data'!$H$43:$H$45)/2),0)</f>
        <v>4</v>
      </c>
      <c r="J10" s="73">
        <f>H10*I10</f>
        <v>80</v>
      </c>
      <c r="K10" s="73">
        <f t="shared" ref="K10:K22" si="0">J10*0.1</f>
        <v>8</v>
      </c>
      <c r="L10" s="73">
        <f>J10*0.05</f>
        <v>4</v>
      </c>
      <c r="M10" s="74">
        <f>C10*G10*I10</f>
        <v>0</v>
      </c>
      <c r="N10" s="44">
        <f>(J10*'Base Data'!$C$5)+(K10*'Base Data'!$C$6)+(L10*'Base Data'!$C$7)</f>
        <v>8702.1999999999989</v>
      </c>
      <c r="O10" s="44">
        <f>(D10+E10+F10)*G10*I10</f>
        <v>3416</v>
      </c>
      <c r="P10" s="73">
        <v>0</v>
      </c>
      <c r="Q10" s="75" t="s">
        <v>391</v>
      </c>
      <c r="U10" s="144"/>
    </row>
    <row r="11" spans="1:21" s="115" customFormat="1" ht="9">
      <c r="A11" s="110" t="s">
        <v>251</v>
      </c>
      <c r="B11" s="37">
        <v>20</v>
      </c>
      <c r="C11" s="37"/>
      <c r="D11" s="44">
        <v>18292</v>
      </c>
      <c r="E11" s="44">
        <v>0</v>
      </c>
      <c r="F11" s="44">
        <v>0</v>
      </c>
      <c r="G11" s="37">
        <v>1</v>
      </c>
      <c r="H11" s="37">
        <f>B11*G11</f>
        <v>20</v>
      </c>
      <c r="I11" s="72">
        <f>ROUND('Testing Costs'!$C$23*(SUM('Base Data'!$H$43:$H$45)/2),0)</f>
        <v>31</v>
      </c>
      <c r="J11" s="73">
        <f>H11*I11</f>
        <v>620</v>
      </c>
      <c r="K11" s="73">
        <f t="shared" si="0"/>
        <v>62</v>
      </c>
      <c r="L11" s="73">
        <f>J11*0.05</f>
        <v>31</v>
      </c>
      <c r="M11" s="74">
        <f>C11*G11*I11</f>
        <v>0</v>
      </c>
      <c r="N11" s="44">
        <f>(J11*'Base Data'!$C$5)+(K11*'Base Data'!$C$6)+(L11*'Base Data'!$C$7)</f>
        <v>67442.05</v>
      </c>
      <c r="O11" s="44">
        <f>(D11+E11+F11)*G11*I11</f>
        <v>567052</v>
      </c>
      <c r="P11" s="73">
        <v>0</v>
      </c>
      <c r="Q11" s="75" t="s">
        <v>391</v>
      </c>
      <c r="U11" s="144"/>
    </row>
    <row r="12" spans="1:21" s="115" customFormat="1" ht="9">
      <c r="A12" s="111" t="s">
        <v>311</v>
      </c>
      <c r="B12" s="37">
        <v>12</v>
      </c>
      <c r="C12" s="37"/>
      <c r="D12" s="44">
        <v>0</v>
      </c>
      <c r="E12" s="44">
        <f>'Testing Costs'!$B$13</f>
        <v>5000</v>
      </c>
      <c r="F12" s="44">
        <v>0</v>
      </c>
      <c r="G12" s="37">
        <v>1</v>
      </c>
      <c r="H12" s="37">
        <f t="shared" ref="H12:H22" si="1">B12*G12</f>
        <v>12</v>
      </c>
      <c r="I12" s="72">
        <f>ROUND(SUM('Base Data'!$D$43:$D$45)/2,0)</f>
        <v>294</v>
      </c>
      <c r="J12" s="73">
        <f t="shared" ref="J12:J22" si="2">H12*I12</f>
        <v>3528</v>
      </c>
      <c r="K12" s="73">
        <f t="shared" si="0"/>
        <v>352.8</v>
      </c>
      <c r="L12" s="73">
        <f t="shared" ref="L12:L22" si="3">J12*0.05</f>
        <v>176.4</v>
      </c>
      <c r="M12" s="74"/>
      <c r="N12" s="44">
        <f>(J12*'Base Data'!$C$5)+(K12*'Base Data'!$C$6)+(L12*'Base Data'!$C$7)</f>
        <v>383767.02000000008</v>
      </c>
      <c r="O12" s="44">
        <f t="shared" ref="O12:O22" si="4">(D12+E12+F12)*G12*I12</f>
        <v>1470000</v>
      </c>
      <c r="P12" s="73">
        <v>0</v>
      </c>
      <c r="Q12" s="75" t="s">
        <v>90</v>
      </c>
      <c r="U12" s="144"/>
    </row>
    <row r="13" spans="1:21" s="115" customFormat="1" ht="9">
      <c r="A13" s="111" t="s">
        <v>312</v>
      </c>
      <c r="B13" s="37">
        <v>12</v>
      </c>
      <c r="C13" s="37"/>
      <c r="D13" s="44">
        <v>0</v>
      </c>
      <c r="E13" s="44">
        <f>'Testing Costs'!$B$17</f>
        <v>8000</v>
      </c>
      <c r="F13" s="44">
        <v>0</v>
      </c>
      <c r="G13" s="37">
        <v>1</v>
      </c>
      <c r="H13" s="37">
        <f t="shared" si="1"/>
        <v>12</v>
      </c>
      <c r="I13" s="72">
        <v>0</v>
      </c>
      <c r="J13" s="73">
        <f t="shared" si="2"/>
        <v>0</v>
      </c>
      <c r="K13" s="73">
        <f t="shared" si="0"/>
        <v>0</v>
      </c>
      <c r="L13" s="73">
        <f t="shared" si="3"/>
        <v>0</v>
      </c>
      <c r="M13" s="74"/>
      <c r="N13" s="44">
        <f>(J13*'Base Data'!$C$5)+(K13*'Base Data'!$C$6)+(L13*'Base Data'!$C$7)</f>
        <v>0</v>
      </c>
      <c r="O13" s="44">
        <f t="shared" si="4"/>
        <v>0</v>
      </c>
      <c r="P13" s="73">
        <v>0</v>
      </c>
      <c r="Q13" s="75" t="s">
        <v>339</v>
      </c>
      <c r="U13" s="144"/>
    </row>
    <row r="14" spans="1:21" s="115" customFormat="1" ht="9">
      <c r="A14" s="111" t="s">
        <v>313</v>
      </c>
      <c r="B14" s="37">
        <v>12</v>
      </c>
      <c r="C14" s="37"/>
      <c r="D14" s="44">
        <v>0</v>
      </c>
      <c r="E14" s="44">
        <f>'Testing Costs'!$B$15</f>
        <v>8000</v>
      </c>
      <c r="F14" s="44">
        <v>0</v>
      </c>
      <c r="G14" s="37">
        <v>1</v>
      </c>
      <c r="H14" s="37">
        <f t="shared" si="1"/>
        <v>12</v>
      </c>
      <c r="I14" s="72">
        <v>0</v>
      </c>
      <c r="J14" s="73">
        <f t="shared" si="2"/>
        <v>0</v>
      </c>
      <c r="K14" s="73">
        <f t="shared" si="0"/>
        <v>0</v>
      </c>
      <c r="L14" s="73">
        <f t="shared" si="3"/>
        <v>0</v>
      </c>
      <c r="M14" s="74"/>
      <c r="N14" s="44">
        <f>(J14*'Base Data'!$C$5)+(K14*'Base Data'!$C$6)+(L14*'Base Data'!$C$7)</f>
        <v>0</v>
      </c>
      <c r="O14" s="44">
        <f t="shared" si="4"/>
        <v>0</v>
      </c>
      <c r="P14" s="73">
        <v>0</v>
      </c>
      <c r="Q14" s="75" t="s">
        <v>339</v>
      </c>
      <c r="U14" s="144"/>
    </row>
    <row r="15" spans="1:21" s="115" customFormat="1" ht="9">
      <c r="A15" s="111" t="s">
        <v>185</v>
      </c>
      <c r="B15" s="37">
        <v>12</v>
      </c>
      <c r="C15" s="37"/>
      <c r="D15" s="44">
        <v>0</v>
      </c>
      <c r="E15" s="44">
        <f>'Testing Costs'!$B$14</f>
        <v>7000</v>
      </c>
      <c r="F15" s="44">
        <v>0</v>
      </c>
      <c r="G15" s="37">
        <v>1</v>
      </c>
      <c r="H15" s="37">
        <f t="shared" si="1"/>
        <v>12</v>
      </c>
      <c r="I15" s="72">
        <f>ROUND(SUM('Base Data'!$D$43:$D$45)/2,0)</f>
        <v>294</v>
      </c>
      <c r="J15" s="73">
        <f t="shared" si="2"/>
        <v>3528</v>
      </c>
      <c r="K15" s="73">
        <f t="shared" si="0"/>
        <v>352.8</v>
      </c>
      <c r="L15" s="73">
        <f t="shared" si="3"/>
        <v>176.4</v>
      </c>
      <c r="M15" s="74"/>
      <c r="N15" s="44">
        <f>(J15*'Base Data'!$C$5)+(K15*'Base Data'!$C$6)+(L15*'Base Data'!$C$7)</f>
        <v>383767.02000000008</v>
      </c>
      <c r="O15" s="44">
        <f t="shared" si="4"/>
        <v>2058000</v>
      </c>
      <c r="P15" s="73">
        <v>0</v>
      </c>
      <c r="Q15" s="75" t="s">
        <v>319</v>
      </c>
      <c r="U15" s="144"/>
    </row>
    <row r="16" spans="1:21" s="115" customFormat="1" ht="9" customHeight="1">
      <c r="A16" s="111" t="s">
        <v>137</v>
      </c>
      <c r="B16" s="37">
        <v>12</v>
      </c>
      <c r="C16" s="37"/>
      <c r="D16" s="44">
        <v>0</v>
      </c>
      <c r="E16" s="44">
        <f>'Testing Costs'!$B$13</f>
        <v>5000</v>
      </c>
      <c r="F16" s="44">
        <v>0</v>
      </c>
      <c r="G16" s="37">
        <v>1</v>
      </c>
      <c r="H16" s="37">
        <f t="shared" si="1"/>
        <v>12</v>
      </c>
      <c r="I16" s="72">
        <v>0</v>
      </c>
      <c r="J16" s="73">
        <f t="shared" si="2"/>
        <v>0</v>
      </c>
      <c r="K16" s="73">
        <f t="shared" si="0"/>
        <v>0</v>
      </c>
      <c r="L16" s="73">
        <f t="shared" si="3"/>
        <v>0</v>
      </c>
      <c r="M16" s="74"/>
      <c r="N16" s="44">
        <f>(J16*'Base Data'!$C$5)+(K16*'Base Data'!$C$6)+(L16*'Base Data'!$C$7)</f>
        <v>0</v>
      </c>
      <c r="O16" s="44">
        <f t="shared" si="4"/>
        <v>0</v>
      </c>
      <c r="P16" s="73">
        <v>0</v>
      </c>
      <c r="Q16" s="75" t="s">
        <v>477</v>
      </c>
      <c r="U16" s="144"/>
    </row>
    <row r="17" spans="1:21" s="115" customFormat="1" ht="9">
      <c r="A17" s="111" t="s">
        <v>138</v>
      </c>
      <c r="B17" s="37">
        <v>12</v>
      </c>
      <c r="C17" s="37"/>
      <c r="D17" s="44">
        <v>0</v>
      </c>
      <c r="E17" s="44">
        <f>'Testing Costs'!$B$17</f>
        <v>8000</v>
      </c>
      <c r="F17" s="44">
        <v>0</v>
      </c>
      <c r="G17" s="37">
        <v>1</v>
      </c>
      <c r="H17" s="37">
        <f t="shared" si="1"/>
        <v>12</v>
      </c>
      <c r="I17" s="72">
        <v>0</v>
      </c>
      <c r="J17" s="73">
        <f t="shared" si="2"/>
        <v>0</v>
      </c>
      <c r="K17" s="73">
        <f t="shared" si="0"/>
        <v>0</v>
      </c>
      <c r="L17" s="73">
        <f t="shared" si="3"/>
        <v>0</v>
      </c>
      <c r="M17" s="74"/>
      <c r="N17" s="44">
        <f>(J17*'Base Data'!$C$5)+(K17*'Base Data'!$C$6)+(L17*'Base Data'!$C$7)</f>
        <v>0</v>
      </c>
      <c r="O17" s="44">
        <f t="shared" si="4"/>
        <v>0</v>
      </c>
      <c r="P17" s="73">
        <v>0</v>
      </c>
      <c r="Q17" s="75" t="s">
        <v>323</v>
      </c>
      <c r="U17" s="144"/>
    </row>
    <row r="18" spans="1:21" s="115" customFormat="1" ht="9">
      <c r="A18" s="111" t="s">
        <v>139</v>
      </c>
      <c r="B18" s="37">
        <v>12</v>
      </c>
      <c r="C18" s="37"/>
      <c r="D18" s="44">
        <v>0</v>
      </c>
      <c r="E18" s="44">
        <f>'Testing Costs'!$B$15</f>
        <v>8000</v>
      </c>
      <c r="F18" s="44">
        <v>0</v>
      </c>
      <c r="G18" s="37">
        <v>1</v>
      </c>
      <c r="H18" s="37">
        <f t="shared" si="1"/>
        <v>12</v>
      </c>
      <c r="I18" s="72">
        <v>0</v>
      </c>
      <c r="J18" s="73">
        <f t="shared" si="2"/>
        <v>0</v>
      </c>
      <c r="K18" s="73">
        <f t="shared" si="0"/>
        <v>0</v>
      </c>
      <c r="L18" s="73">
        <f t="shared" si="3"/>
        <v>0</v>
      </c>
      <c r="M18" s="74"/>
      <c r="N18" s="44">
        <f>(J18*'Base Data'!$C$5)+(K18*'Base Data'!$C$6)+(L18*'Base Data'!$C$7)</f>
        <v>0</v>
      </c>
      <c r="O18" s="44">
        <f t="shared" si="4"/>
        <v>0</v>
      </c>
      <c r="P18" s="73">
        <v>0</v>
      </c>
      <c r="Q18" s="75" t="s">
        <v>323</v>
      </c>
      <c r="U18" s="144"/>
    </row>
    <row r="19" spans="1:21" s="115" customFormat="1" ht="9">
      <c r="A19" s="111" t="s">
        <v>140</v>
      </c>
      <c r="B19" s="37">
        <v>12</v>
      </c>
      <c r="C19" s="37"/>
      <c r="D19" s="44">
        <v>0</v>
      </c>
      <c r="E19" s="44">
        <f>'Testing Costs'!$B$14</f>
        <v>7000</v>
      </c>
      <c r="F19" s="44">
        <v>0</v>
      </c>
      <c r="G19" s="37">
        <v>1</v>
      </c>
      <c r="H19" s="37">
        <f t="shared" si="1"/>
        <v>12</v>
      </c>
      <c r="I19" s="72">
        <v>0</v>
      </c>
      <c r="J19" s="73">
        <f t="shared" si="2"/>
        <v>0</v>
      </c>
      <c r="K19" s="73">
        <f t="shared" si="0"/>
        <v>0</v>
      </c>
      <c r="L19" s="73">
        <f t="shared" si="3"/>
        <v>0</v>
      </c>
      <c r="M19" s="74"/>
      <c r="N19" s="44">
        <f>(J19*'Base Data'!$C$5)+(K19*'Base Data'!$C$6)+(L19*'Base Data'!$C$7)</f>
        <v>0</v>
      </c>
      <c r="O19" s="44">
        <f t="shared" si="4"/>
        <v>0</v>
      </c>
      <c r="P19" s="73">
        <v>0</v>
      </c>
      <c r="Q19" s="75" t="s">
        <v>323</v>
      </c>
      <c r="U19" s="144"/>
    </row>
    <row r="20" spans="1:21" s="115" customFormat="1" ht="18.75" customHeight="1">
      <c r="A20" s="259" t="s">
        <v>524</v>
      </c>
      <c r="B20" s="37">
        <v>24</v>
      </c>
      <c r="C20" s="258"/>
      <c r="D20" s="44">
        <v>0</v>
      </c>
      <c r="E20" s="44">
        <f>$E$13+$E$14</f>
        <v>16000</v>
      </c>
      <c r="F20" s="44">
        <v>0</v>
      </c>
      <c r="G20" s="37">
        <v>1</v>
      </c>
      <c r="H20" s="37">
        <f t="shared" si="1"/>
        <v>24</v>
      </c>
      <c r="I20" s="72">
        <v>0</v>
      </c>
      <c r="J20" s="73">
        <f t="shared" si="2"/>
        <v>0</v>
      </c>
      <c r="K20" s="73">
        <f t="shared" si="0"/>
        <v>0</v>
      </c>
      <c r="L20" s="73">
        <f t="shared" si="3"/>
        <v>0</v>
      </c>
      <c r="M20" s="74"/>
      <c r="N20" s="44">
        <f>(J20*'Base Data'!$C$5)+(K20*'Base Data'!$C$6)+(L20*'Base Data'!$C$7)</f>
        <v>0</v>
      </c>
      <c r="O20" s="44">
        <f t="shared" si="4"/>
        <v>0</v>
      </c>
      <c r="P20" s="73">
        <v>0</v>
      </c>
      <c r="Q20" s="75" t="s">
        <v>91</v>
      </c>
    </row>
    <row r="21" spans="1:21" s="115" customFormat="1" ht="9" customHeight="1">
      <c r="A21" s="111" t="s">
        <v>525</v>
      </c>
      <c r="B21" s="37">
        <v>5</v>
      </c>
      <c r="C21" s="37"/>
      <c r="D21" s="44">
        <v>0</v>
      </c>
      <c r="E21" s="44">
        <v>400</v>
      </c>
      <c r="F21" s="44">
        <v>0</v>
      </c>
      <c r="G21" s="37">
        <v>1</v>
      </c>
      <c r="H21" s="37">
        <f t="shared" si="1"/>
        <v>5</v>
      </c>
      <c r="I21" s="72">
        <f>ROUND(SUM('Base Data'!$D$43:$D$45)/2,0)</f>
        <v>294</v>
      </c>
      <c r="J21" s="73">
        <f t="shared" si="2"/>
        <v>1470</v>
      </c>
      <c r="K21" s="73">
        <f t="shared" si="0"/>
        <v>147</v>
      </c>
      <c r="L21" s="73">
        <f t="shared" si="3"/>
        <v>73.5</v>
      </c>
      <c r="M21" s="74"/>
      <c r="N21" s="44">
        <f>(J21*'Base Data'!$C$5)+(K21*'Base Data'!$C$6)+(L21*'Base Data'!$C$7)</f>
        <v>159902.92499999999</v>
      </c>
      <c r="O21" s="44">
        <f t="shared" si="4"/>
        <v>117600</v>
      </c>
      <c r="P21" s="73">
        <v>0</v>
      </c>
      <c r="Q21" s="75" t="s">
        <v>89</v>
      </c>
      <c r="U21" s="144"/>
    </row>
    <row r="22" spans="1:21" s="115" customFormat="1" ht="9" customHeight="1">
      <c r="A22" s="111" t="s">
        <v>526</v>
      </c>
      <c r="B22" s="37">
        <v>5</v>
      </c>
      <c r="C22" s="37"/>
      <c r="D22" s="44">
        <v>0</v>
      </c>
      <c r="E22" s="44">
        <v>400</v>
      </c>
      <c r="F22" s="44">
        <v>0</v>
      </c>
      <c r="G22" s="37">
        <v>12</v>
      </c>
      <c r="H22" s="37">
        <f t="shared" si="1"/>
        <v>60</v>
      </c>
      <c r="I22" s="72">
        <v>0</v>
      </c>
      <c r="J22" s="73">
        <f t="shared" si="2"/>
        <v>0</v>
      </c>
      <c r="K22" s="73">
        <f t="shared" si="0"/>
        <v>0</v>
      </c>
      <c r="L22" s="73">
        <f t="shared" si="3"/>
        <v>0</v>
      </c>
      <c r="M22" s="74"/>
      <c r="N22" s="44">
        <f>(J22*'Base Data'!$C$5)+(K22*'Base Data'!$C$6)+(L22*'Base Data'!$C$7)</f>
        <v>0</v>
      </c>
      <c r="O22" s="44">
        <f t="shared" si="4"/>
        <v>0</v>
      </c>
      <c r="P22" s="73">
        <v>0</v>
      </c>
      <c r="Q22" s="75" t="s">
        <v>89</v>
      </c>
      <c r="U22" s="144"/>
    </row>
    <row r="23" spans="1:21" s="115" customFormat="1" ht="9">
      <c r="A23" s="110" t="s">
        <v>528</v>
      </c>
      <c r="B23" s="37">
        <v>12</v>
      </c>
      <c r="C23" s="37"/>
      <c r="D23" s="44">
        <v>0</v>
      </c>
      <c r="E23" s="44">
        <v>2875</v>
      </c>
      <c r="F23" s="44">
        <v>0</v>
      </c>
      <c r="G23" s="37">
        <v>1</v>
      </c>
      <c r="H23" s="37">
        <f>B23*G23</f>
        <v>12</v>
      </c>
      <c r="I23" s="73">
        <f>ROUND(SUM('Base Data'!$D$43:$D$45)/2,0)</f>
        <v>294</v>
      </c>
      <c r="J23" s="72">
        <f>H23*I23</f>
        <v>3528</v>
      </c>
      <c r="K23" s="72">
        <f>J23*0.1</f>
        <v>352.8</v>
      </c>
      <c r="L23" s="72">
        <f>J23*0.05</f>
        <v>176.4</v>
      </c>
      <c r="M23" s="73"/>
      <c r="N23" s="44">
        <f>(J23*'Base Data'!$C$5)+(K23*'Base Data'!$C$6)+(L23*'Base Data'!$C$7)</f>
        <v>383767.02000000008</v>
      </c>
      <c r="O23" s="44">
        <f>(D23+E23+F23)*G23*I23</f>
        <v>845250</v>
      </c>
      <c r="P23" s="73">
        <v>0</v>
      </c>
      <c r="Q23" s="75" t="s">
        <v>493</v>
      </c>
      <c r="R23" s="342"/>
      <c r="T23" s="342"/>
    </row>
    <row r="24" spans="1:21" s="115" customFormat="1" ht="9">
      <c r="A24" s="111" t="s">
        <v>245</v>
      </c>
      <c r="B24" s="37"/>
      <c r="C24" s="37"/>
      <c r="D24" s="44"/>
      <c r="E24" s="44"/>
      <c r="F24" s="44"/>
      <c r="G24" s="37"/>
      <c r="H24" s="37"/>
      <c r="I24" s="73"/>
      <c r="J24" s="73"/>
      <c r="K24" s="73"/>
      <c r="L24" s="73"/>
      <c r="M24" s="74"/>
      <c r="N24" s="44"/>
      <c r="O24" s="44"/>
      <c r="P24" s="73"/>
      <c r="Q24" s="75" t="s">
        <v>508</v>
      </c>
      <c r="U24" s="144"/>
    </row>
    <row r="25" spans="1:21" s="115" customFormat="1" ht="9">
      <c r="A25" s="111" t="s">
        <v>383</v>
      </c>
      <c r="B25" s="37">
        <v>40</v>
      </c>
      <c r="C25" s="37"/>
      <c r="D25" s="44">
        <v>0</v>
      </c>
      <c r="E25" s="44"/>
      <c r="F25" s="44">
        <v>0</v>
      </c>
      <c r="G25" s="37">
        <v>1</v>
      </c>
      <c r="H25" s="37">
        <f>B25*G25</f>
        <v>40</v>
      </c>
      <c r="I25" s="72">
        <f>ROUND(SUM('Base Data'!$H$43:$H$45)/2,0)</f>
        <v>36</v>
      </c>
      <c r="J25" s="73">
        <f>H25*I25</f>
        <v>1440</v>
      </c>
      <c r="K25" s="73">
        <f>J25*0.1</f>
        <v>144</v>
      </c>
      <c r="L25" s="73">
        <f>J25*0.05</f>
        <v>72</v>
      </c>
      <c r="M25" s="74"/>
      <c r="N25" s="44">
        <f>(J25*'Base Data'!$C$5)+(K25*'Base Data'!$C$6)+(L25*'Base Data'!$C$7)</f>
        <v>156639.6</v>
      </c>
      <c r="O25" s="44">
        <f>(D25+E25+F25)*G25*I25</f>
        <v>0</v>
      </c>
      <c r="P25" s="73">
        <v>0</v>
      </c>
      <c r="Q25" s="75" t="s">
        <v>339</v>
      </c>
      <c r="U25" s="144"/>
    </row>
    <row r="26" spans="1:21" s="115" customFormat="1" ht="9">
      <c r="A26" s="110" t="s">
        <v>361</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43100</v>
      </c>
      <c r="G27" s="37">
        <v>1</v>
      </c>
      <c r="H27" s="37">
        <f>B27*G27</f>
        <v>10</v>
      </c>
      <c r="I27" s="72">
        <f>ROUND(Monitors!$C$8/2,0)</f>
        <v>27</v>
      </c>
      <c r="J27" s="73">
        <f>H27*I27</f>
        <v>270</v>
      </c>
      <c r="K27" s="73">
        <f>J27*0.1</f>
        <v>27</v>
      </c>
      <c r="L27" s="73">
        <f>J27*0.05</f>
        <v>13.5</v>
      </c>
      <c r="M27" s="74"/>
      <c r="N27" s="44">
        <f>(J27*'Base Data'!$C$5)+(K27*'Base Data'!$C$6)+(L27*'Base Data'!$C$7)</f>
        <v>29369.925000000003</v>
      </c>
      <c r="O27" s="44">
        <f>(D27+E27+F27)*G27*I27</f>
        <v>1163700</v>
      </c>
      <c r="P27" s="73">
        <v>0</v>
      </c>
      <c r="Q27" s="75" t="s">
        <v>339</v>
      </c>
      <c r="U27" s="144"/>
    </row>
    <row r="28" spans="1:21" s="115" customFormat="1" ht="9">
      <c r="A28" s="110" t="s">
        <v>365</v>
      </c>
      <c r="B28" s="37">
        <v>10</v>
      </c>
      <c r="C28" s="37"/>
      <c r="D28" s="44">
        <v>0</v>
      </c>
      <c r="E28" s="44">
        <v>0</v>
      </c>
      <c r="F28" s="44">
        <v>14700</v>
      </c>
      <c r="G28" s="37">
        <v>1</v>
      </c>
      <c r="H28" s="37">
        <f>B28*G28</f>
        <v>10</v>
      </c>
      <c r="I28" s="72">
        <f>ROUND(Monitors!$C$8/2,0)</f>
        <v>27</v>
      </c>
      <c r="J28" s="73">
        <f>H28*I28</f>
        <v>270</v>
      </c>
      <c r="K28" s="73">
        <f>J28*0.1</f>
        <v>27</v>
      </c>
      <c r="L28" s="73">
        <f>J28*0.05</f>
        <v>13.5</v>
      </c>
      <c r="M28" s="74"/>
      <c r="N28" s="44">
        <f>(J28*'Base Data'!$C$5)+(K28*'Base Data'!$C$6)+(L28*'Base Data'!$C$7)</f>
        <v>29369.925000000003</v>
      </c>
      <c r="O28" s="44">
        <f>(D28+E28+F28)*G28*I28</f>
        <v>396900</v>
      </c>
      <c r="P28" s="73">
        <v>0</v>
      </c>
      <c r="Q28" s="75" t="s">
        <v>339</v>
      </c>
      <c r="U28" s="144"/>
    </row>
    <row r="29" spans="1:21" s="115" customFormat="1" ht="9">
      <c r="A29" s="110" t="s">
        <v>310</v>
      </c>
      <c r="B29" s="37"/>
      <c r="C29" s="37"/>
      <c r="D29" s="44"/>
      <c r="E29" s="44"/>
      <c r="F29" s="44"/>
      <c r="G29" s="37"/>
      <c r="H29" s="37"/>
      <c r="I29" s="73"/>
      <c r="J29" s="73"/>
      <c r="K29" s="73"/>
      <c r="L29" s="73"/>
      <c r="M29" s="74"/>
      <c r="N29" s="44"/>
      <c r="O29" s="44"/>
      <c r="P29" s="73"/>
      <c r="Q29" s="75"/>
      <c r="U29" s="144"/>
    </row>
    <row r="30" spans="1:21" s="115" customFormat="1" ht="9">
      <c r="A30" s="110" t="s">
        <v>362</v>
      </c>
      <c r="B30" s="37">
        <v>10</v>
      </c>
      <c r="C30" s="37"/>
      <c r="D30" s="44">
        <v>0</v>
      </c>
      <c r="E30" s="44">
        <v>0</v>
      </c>
      <c r="F30" s="44">
        <v>158000</v>
      </c>
      <c r="G30" s="37">
        <v>1</v>
      </c>
      <c r="H30" s="37">
        <f>B30*G30</f>
        <v>10</v>
      </c>
      <c r="I30" s="72">
        <f>ROUNDUP(Monitors!$H$8/2,0)</f>
        <v>17</v>
      </c>
      <c r="J30" s="73">
        <f>H30*I30</f>
        <v>170</v>
      </c>
      <c r="K30" s="73">
        <f>J30*0.1</f>
        <v>17</v>
      </c>
      <c r="L30" s="73">
        <f>J30*0.05</f>
        <v>8.5</v>
      </c>
      <c r="M30" s="74"/>
      <c r="N30" s="44">
        <f>(J30*'Base Data'!$C$5)+(K30*'Base Data'!$C$6)+(L30*'Base Data'!$C$7)</f>
        <v>18492.174999999999</v>
      </c>
      <c r="O30" s="44">
        <f>(D30+E30+F30)*G30*I30</f>
        <v>2686000</v>
      </c>
      <c r="P30" s="73">
        <v>0</v>
      </c>
      <c r="Q30" s="75" t="s">
        <v>614</v>
      </c>
      <c r="R30" s="342"/>
      <c r="U30" s="144"/>
    </row>
    <row r="31" spans="1:21" s="115" customFormat="1" ht="9">
      <c r="A31" s="110" t="s">
        <v>365</v>
      </c>
      <c r="B31" s="37">
        <v>10</v>
      </c>
      <c r="C31" s="37"/>
      <c r="D31" s="44">
        <v>0</v>
      </c>
      <c r="E31" s="44">
        <v>0</v>
      </c>
      <c r="F31" s="44">
        <v>56100</v>
      </c>
      <c r="G31" s="37">
        <v>1</v>
      </c>
      <c r="H31" s="37">
        <f>B31*G31</f>
        <v>10</v>
      </c>
      <c r="I31" s="72">
        <f>ROUNDUP(Monitors!$H$8/2,0)</f>
        <v>17</v>
      </c>
      <c r="J31" s="73">
        <f>H31*I31</f>
        <v>170</v>
      </c>
      <c r="K31" s="73">
        <f>J31*0.1</f>
        <v>17</v>
      </c>
      <c r="L31" s="73">
        <f>J31*0.05</f>
        <v>8.5</v>
      </c>
      <c r="M31" s="74"/>
      <c r="N31" s="44">
        <f>(J31*'Base Data'!$C$5)+(K31*'Base Data'!$C$6)+(L31*'Base Data'!$C$7)</f>
        <v>18492.174999999999</v>
      </c>
      <c r="O31" s="44">
        <f>(D31+E31+F31)*G31*I31</f>
        <v>953700</v>
      </c>
      <c r="P31" s="73">
        <v>0</v>
      </c>
      <c r="Q31" s="75" t="s">
        <v>614</v>
      </c>
      <c r="R31" s="342"/>
      <c r="U31" s="144"/>
    </row>
    <row r="32" spans="1:21" s="115" customFormat="1" ht="9">
      <c r="A32" s="110" t="s">
        <v>461</v>
      </c>
      <c r="B32" s="37"/>
      <c r="C32" s="37"/>
      <c r="D32" s="44"/>
      <c r="E32" s="44"/>
      <c r="F32" s="44"/>
      <c r="G32" s="37"/>
      <c r="H32" s="37"/>
      <c r="I32" s="72"/>
      <c r="J32" s="73"/>
      <c r="K32" s="73"/>
      <c r="L32" s="73"/>
      <c r="M32" s="74"/>
      <c r="N32" s="44"/>
      <c r="O32" s="44"/>
      <c r="P32" s="73"/>
      <c r="Q32" s="75"/>
    </row>
    <row r="33" spans="1:21" s="115" customFormat="1" ht="9">
      <c r="A33" s="110" t="s">
        <v>362</v>
      </c>
      <c r="B33" s="37">
        <v>10</v>
      </c>
      <c r="C33" s="37"/>
      <c r="D33" s="44">
        <v>0</v>
      </c>
      <c r="E33" s="44">
        <v>0</v>
      </c>
      <c r="F33" s="44">
        <f>Monitors!$F$32</f>
        <v>8523</v>
      </c>
      <c r="G33" s="37">
        <v>1</v>
      </c>
      <c r="H33" s="37">
        <f t="shared" ref="H33:H34" si="5">B33*G33</f>
        <v>10</v>
      </c>
      <c r="I33" s="72">
        <f>ROUND(Monitors!$F$8/2,0)</f>
        <v>294</v>
      </c>
      <c r="J33" s="73">
        <f t="shared" ref="J33:J34" si="6">H33*I33</f>
        <v>2940</v>
      </c>
      <c r="K33" s="73">
        <f t="shared" ref="K33:K34" si="7">J33*0.1</f>
        <v>294</v>
      </c>
      <c r="L33" s="73">
        <f t="shared" ref="L33:L34" si="8">J33*0.05</f>
        <v>147</v>
      </c>
      <c r="M33" s="74"/>
      <c r="N33" s="44">
        <f>(J33*'Base Data'!$C$5)+(K33*'Base Data'!$C$6)+(L33*'Base Data'!$C$7)</f>
        <v>319805.84999999998</v>
      </c>
      <c r="O33" s="44">
        <f>(D33+E33+F33)*G33*I33</f>
        <v>2505762</v>
      </c>
      <c r="P33" s="73">
        <v>0</v>
      </c>
      <c r="Q33" s="75" t="s">
        <v>339</v>
      </c>
    </row>
    <row r="34" spans="1:21" s="115" customFormat="1" ht="9">
      <c r="A34" s="110" t="s">
        <v>365</v>
      </c>
      <c r="B34" s="37">
        <v>10</v>
      </c>
      <c r="C34" s="37"/>
      <c r="D34" s="44">
        <v>0</v>
      </c>
      <c r="E34" s="44">
        <v>0</v>
      </c>
      <c r="F34" s="44">
        <f>Monitors!$G$32</f>
        <v>1436</v>
      </c>
      <c r="G34" s="37">
        <v>1</v>
      </c>
      <c r="H34" s="37">
        <f t="shared" si="5"/>
        <v>10</v>
      </c>
      <c r="I34" s="72">
        <f>ROUND(Monitors!$F$8/2,0)</f>
        <v>294</v>
      </c>
      <c r="J34" s="73">
        <f t="shared" si="6"/>
        <v>2940</v>
      </c>
      <c r="K34" s="73">
        <f t="shared" si="7"/>
        <v>294</v>
      </c>
      <c r="L34" s="73">
        <f t="shared" si="8"/>
        <v>147</v>
      </c>
      <c r="M34" s="74"/>
      <c r="N34" s="44">
        <f>(J34*'Base Data'!$C$5)+(K34*'Base Data'!$C$6)+(L34*'Base Data'!$C$7)</f>
        <v>319805.84999999998</v>
      </c>
      <c r="O34" s="44">
        <f>(D34+E34+F34)*G34*I34</f>
        <v>422184</v>
      </c>
      <c r="P34" s="73">
        <v>0</v>
      </c>
      <c r="Q34" s="75" t="s">
        <v>339</v>
      </c>
    </row>
    <row r="35" spans="1:21" s="115" customFormat="1" ht="18">
      <c r="A35" s="111" t="s">
        <v>160</v>
      </c>
      <c r="B35" s="37"/>
      <c r="C35" s="37"/>
      <c r="D35" s="44"/>
      <c r="E35" s="44"/>
      <c r="F35" s="76"/>
      <c r="G35" s="37"/>
      <c r="H35" s="37"/>
      <c r="I35" s="77"/>
      <c r="J35" s="73"/>
      <c r="K35" s="73"/>
      <c r="L35" s="73"/>
      <c r="M35" s="74"/>
      <c r="N35" s="44"/>
      <c r="O35" s="44"/>
      <c r="P35" s="73"/>
      <c r="Q35" s="75"/>
      <c r="U35" s="144"/>
    </row>
    <row r="36" spans="1:21" s="115" customFormat="1" ht="9">
      <c r="A36" s="110" t="s">
        <v>362</v>
      </c>
      <c r="B36" s="37">
        <v>10</v>
      </c>
      <c r="C36" s="37"/>
      <c r="D36" s="44">
        <v>0</v>
      </c>
      <c r="E36" s="44">
        <v>0</v>
      </c>
      <c r="F36" s="44">
        <v>24300</v>
      </c>
      <c r="G36" s="37">
        <v>1</v>
      </c>
      <c r="H36" s="37">
        <f>B36*G36</f>
        <v>10</v>
      </c>
      <c r="I36" s="72">
        <f>ROUND(Monitors!$D$8/2,0)</f>
        <v>253</v>
      </c>
      <c r="J36" s="73">
        <f>H36*I36</f>
        <v>2530</v>
      </c>
      <c r="K36" s="73">
        <f>J36*0.1</f>
        <v>253</v>
      </c>
      <c r="L36" s="73">
        <f>J36*0.05</f>
        <v>126.5</v>
      </c>
      <c r="M36" s="74"/>
      <c r="N36" s="44">
        <f>(J36*'Base Data'!$C$5)+(K36*'Base Data'!$C$6)+(L36*'Base Data'!$C$7)</f>
        <v>275207.07500000001</v>
      </c>
      <c r="O36" s="44">
        <f>(D36+E36+F36)*G36*I36</f>
        <v>6147900</v>
      </c>
      <c r="P36" s="73">
        <v>0</v>
      </c>
      <c r="Q36" s="75" t="s">
        <v>339</v>
      </c>
      <c r="U36" s="144"/>
    </row>
    <row r="37" spans="1:21" s="115" customFormat="1" ht="9">
      <c r="A37" s="110" t="s">
        <v>365</v>
      </c>
      <c r="B37" s="37">
        <v>10</v>
      </c>
      <c r="C37" s="37"/>
      <c r="D37" s="44">
        <v>0</v>
      </c>
      <c r="E37" s="44">
        <v>0</v>
      </c>
      <c r="F37" s="44">
        <v>5600</v>
      </c>
      <c r="G37" s="37">
        <v>1</v>
      </c>
      <c r="H37" s="37">
        <f>B37*G37</f>
        <v>10</v>
      </c>
      <c r="I37" s="72">
        <f>ROUND(Monitors!$D$8/2,0)</f>
        <v>253</v>
      </c>
      <c r="J37" s="73">
        <f>H37*I37</f>
        <v>2530</v>
      </c>
      <c r="K37" s="73">
        <f>J37*0.1</f>
        <v>253</v>
      </c>
      <c r="L37" s="73">
        <f>J37*0.05</f>
        <v>126.5</v>
      </c>
      <c r="M37" s="74"/>
      <c r="N37" s="44">
        <f>(J37*'Base Data'!$C$5)+(K37*'Base Data'!$C$6)+(L37*'Base Data'!$C$7)</f>
        <v>275207.07500000001</v>
      </c>
      <c r="O37" s="44">
        <f>(D37+E37+F37)*G37*I37</f>
        <v>1416800</v>
      </c>
      <c r="P37" s="73">
        <v>0</v>
      </c>
      <c r="Q37" s="75" t="s">
        <v>339</v>
      </c>
      <c r="U37" s="144"/>
    </row>
    <row r="38" spans="1:21" s="115" customFormat="1" ht="18">
      <c r="A38" s="111" t="s">
        <v>425</v>
      </c>
      <c r="B38" s="37"/>
      <c r="C38" s="37"/>
      <c r="D38" s="44"/>
      <c r="E38" s="44"/>
      <c r="F38" s="44"/>
      <c r="G38" s="37"/>
      <c r="H38" s="37"/>
      <c r="I38" s="72"/>
      <c r="J38" s="73"/>
      <c r="K38" s="73"/>
      <c r="L38" s="73"/>
      <c r="M38" s="74"/>
      <c r="N38" s="44"/>
      <c r="O38" s="183"/>
      <c r="P38" s="73"/>
      <c r="Q38" s="75"/>
      <c r="U38" s="144"/>
    </row>
    <row r="39" spans="1:21" s="115" customFormat="1" ht="9">
      <c r="A39" s="110" t="s">
        <v>362</v>
      </c>
      <c r="B39" s="37">
        <v>10</v>
      </c>
      <c r="C39" s="37"/>
      <c r="D39" s="44">
        <v>0</v>
      </c>
      <c r="E39" s="44">
        <v>0</v>
      </c>
      <c r="F39" s="44">
        <f>25500</f>
        <v>25500</v>
      </c>
      <c r="G39" s="37">
        <v>1</v>
      </c>
      <c r="H39" s="37">
        <f>B39*G39</f>
        <v>10</v>
      </c>
      <c r="I39" s="72">
        <f>ROUND(Monitors!$B$8/2,0)</f>
        <v>1</v>
      </c>
      <c r="J39" s="73">
        <f>H39*I39</f>
        <v>10</v>
      </c>
      <c r="K39" s="73">
        <f>J39*0.1</f>
        <v>1</v>
      </c>
      <c r="L39" s="73">
        <f>J39*0.05</f>
        <v>0.5</v>
      </c>
      <c r="M39" s="74"/>
      <c r="N39" s="44">
        <f>(J39*'Base Data'!$C$5)+(K39*'Base Data'!$C$6)+(L39*'Base Data'!$C$7)</f>
        <v>1087.7749999999999</v>
      </c>
      <c r="O39" s="44">
        <f>(D39+E39+F39)*G39*I39</f>
        <v>25500</v>
      </c>
      <c r="P39" s="73">
        <v>0</v>
      </c>
      <c r="Q39" s="75" t="s">
        <v>339</v>
      </c>
      <c r="U39" s="144"/>
    </row>
    <row r="40" spans="1:21" s="115" customFormat="1" ht="9">
      <c r="A40" s="110" t="s">
        <v>365</v>
      </c>
      <c r="B40" s="37">
        <v>10</v>
      </c>
      <c r="C40" s="37"/>
      <c r="D40" s="44">
        <v>0</v>
      </c>
      <c r="E40" s="44">
        <v>0</v>
      </c>
      <c r="F40" s="44">
        <v>9700</v>
      </c>
      <c r="G40" s="37">
        <v>1</v>
      </c>
      <c r="H40" s="37">
        <f>B40*G40</f>
        <v>10</v>
      </c>
      <c r="I40" s="72">
        <f>ROUND(Monitors!$B$8/2,0)</f>
        <v>1</v>
      </c>
      <c r="J40" s="73">
        <f>H40*I40</f>
        <v>10</v>
      </c>
      <c r="K40" s="73">
        <f>J40*0.1</f>
        <v>1</v>
      </c>
      <c r="L40" s="73">
        <f>J40*0.05</f>
        <v>0.5</v>
      </c>
      <c r="M40" s="74"/>
      <c r="N40" s="44">
        <f>(J40*'Base Data'!$C$5)+(K40*'Base Data'!$C$6)+(L40*'Base Data'!$C$7)</f>
        <v>1087.7749999999999</v>
      </c>
      <c r="O40" s="44">
        <f>(D40+E40+F40)*G40*I40</f>
        <v>9700</v>
      </c>
      <c r="P40" s="73">
        <v>0</v>
      </c>
      <c r="Q40" s="75" t="s">
        <v>339</v>
      </c>
      <c r="U40" s="144"/>
    </row>
    <row r="41" spans="1:21" s="115" customFormat="1" ht="9">
      <c r="A41" s="111" t="s">
        <v>523</v>
      </c>
      <c r="B41" s="37"/>
      <c r="C41" s="37"/>
      <c r="D41" s="44"/>
      <c r="E41" s="44"/>
      <c r="F41" s="44"/>
      <c r="G41" s="37"/>
      <c r="H41" s="37"/>
      <c r="I41" s="72"/>
      <c r="J41" s="73"/>
      <c r="K41" s="73"/>
      <c r="L41" s="73"/>
      <c r="M41" s="74"/>
      <c r="N41" s="44"/>
      <c r="O41" s="183"/>
      <c r="P41" s="73"/>
      <c r="Q41" s="75"/>
    </row>
    <row r="42" spans="1:21" s="115" customFormat="1" ht="9">
      <c r="A42" s="110" t="s">
        <v>362</v>
      </c>
      <c r="B42" s="37">
        <v>10</v>
      </c>
      <c r="C42" s="37"/>
      <c r="D42" s="44">
        <v>0</v>
      </c>
      <c r="E42" s="44">
        <v>0</v>
      </c>
      <c r="F42" s="44">
        <v>43500</v>
      </c>
      <c r="G42" s="37">
        <v>1</v>
      </c>
      <c r="H42" s="37">
        <f>B42*G42</f>
        <v>10</v>
      </c>
      <c r="I42" s="72">
        <f>ROUNDUP(Monitors!$G$8/2,0)</f>
        <v>27</v>
      </c>
      <c r="J42" s="73">
        <f>H42*I42</f>
        <v>270</v>
      </c>
      <c r="K42" s="73">
        <f>J42*0.1</f>
        <v>27</v>
      </c>
      <c r="L42" s="73">
        <f>J42*0.05</f>
        <v>13.5</v>
      </c>
      <c r="M42" s="74"/>
      <c r="N42" s="44">
        <f>(J42*'Base Data'!$C$5)+(K42*'Base Data'!$C$6)+(L42*'Base Data'!$C$7)</f>
        <v>29369.925000000003</v>
      </c>
      <c r="O42" s="44">
        <f>(D42+E42+F42)*G42*I42</f>
        <v>1174500</v>
      </c>
      <c r="P42" s="73">
        <v>0</v>
      </c>
      <c r="Q42" s="75" t="s">
        <v>339</v>
      </c>
    </row>
    <row r="43" spans="1:21" s="115" customFormat="1" ht="9">
      <c r="A43" s="110" t="s">
        <v>365</v>
      </c>
      <c r="B43" s="37">
        <v>10</v>
      </c>
      <c r="C43" s="37"/>
      <c r="D43" s="44">
        <v>0</v>
      </c>
      <c r="E43" s="44">
        <v>0</v>
      </c>
      <c r="F43" s="44">
        <v>9700</v>
      </c>
      <c r="G43" s="37">
        <v>1</v>
      </c>
      <c r="H43" s="37">
        <f>B43*G43</f>
        <v>10</v>
      </c>
      <c r="I43" s="72">
        <f>ROUNDUP(Monitors!$G$8/2,0)</f>
        <v>27</v>
      </c>
      <c r="J43" s="73">
        <f>H43*I43</f>
        <v>270</v>
      </c>
      <c r="K43" s="73">
        <f>J43*0.1</f>
        <v>27</v>
      </c>
      <c r="L43" s="73">
        <f>J43*0.05</f>
        <v>13.5</v>
      </c>
      <c r="M43" s="74"/>
      <c r="N43" s="44">
        <f>(J43*'Base Data'!$C$5)+(K43*'Base Data'!$C$6)+(L43*'Base Data'!$C$7)</f>
        <v>29369.925000000003</v>
      </c>
      <c r="O43" s="44">
        <f>(D43+E43+F43)*G43*I43</f>
        <v>261900</v>
      </c>
      <c r="P43" s="73">
        <v>0</v>
      </c>
      <c r="Q43" s="75" t="s">
        <v>339</v>
      </c>
    </row>
    <row r="44" spans="1:21" s="115" customFormat="1" ht="18">
      <c r="A44" s="111" t="s">
        <v>161</v>
      </c>
      <c r="B44" s="37"/>
      <c r="C44" s="37"/>
      <c r="D44" s="44"/>
      <c r="E44" s="44"/>
      <c r="F44" s="44"/>
      <c r="G44" s="37"/>
      <c r="H44" s="37"/>
      <c r="I44" s="72"/>
      <c r="J44" s="73"/>
      <c r="K44" s="73"/>
      <c r="L44" s="73"/>
      <c r="M44" s="74"/>
      <c r="N44" s="44"/>
      <c r="O44" s="44"/>
      <c r="P44" s="73"/>
      <c r="Q44" s="75"/>
      <c r="U44" s="144"/>
    </row>
    <row r="45" spans="1:21" s="115" customFormat="1" ht="9">
      <c r="A45" s="110" t="s">
        <v>362</v>
      </c>
      <c r="B45" s="37">
        <v>10</v>
      </c>
      <c r="C45" s="37"/>
      <c r="D45" s="44">
        <v>0</v>
      </c>
      <c r="E45" s="44">
        <v>0</v>
      </c>
      <c r="F45" s="44">
        <v>115000</v>
      </c>
      <c r="G45" s="37">
        <v>1</v>
      </c>
      <c r="H45" s="37">
        <f>B45*G45</f>
        <v>10</v>
      </c>
      <c r="I45" s="72">
        <f>ROUND(Monitors!$E$8,0)</f>
        <v>0</v>
      </c>
      <c r="J45" s="73">
        <f>H45*I45</f>
        <v>0</v>
      </c>
      <c r="K45" s="73">
        <f>J45*0.1</f>
        <v>0</v>
      </c>
      <c r="L45" s="73">
        <f>J45*0.05</f>
        <v>0</v>
      </c>
      <c r="M45" s="74"/>
      <c r="N45" s="44">
        <f>(J45*'Base Data'!$C$5)+(K45*'Base Data'!$C$6)+(L45*'Base Data'!$C$7)</f>
        <v>0</v>
      </c>
      <c r="O45" s="44">
        <f>(D45+E45+F45)*G45*I45</f>
        <v>0</v>
      </c>
      <c r="P45" s="73">
        <v>0</v>
      </c>
      <c r="Q45" s="75" t="s">
        <v>339</v>
      </c>
      <c r="U45" s="144"/>
    </row>
    <row r="46" spans="1:21" s="115" customFormat="1" ht="9">
      <c r="A46" s="110" t="s">
        <v>365</v>
      </c>
      <c r="B46" s="37">
        <v>10</v>
      </c>
      <c r="C46" s="37"/>
      <c r="D46" s="44">
        <v>0</v>
      </c>
      <c r="E46" s="44">
        <v>0</v>
      </c>
      <c r="F46" s="44">
        <v>9700</v>
      </c>
      <c r="G46" s="37">
        <v>1</v>
      </c>
      <c r="H46" s="37">
        <f>B46*G46</f>
        <v>10</v>
      </c>
      <c r="I46" s="72">
        <f>ROUND(Monitors!$E$8,0)</f>
        <v>0</v>
      </c>
      <c r="J46" s="73">
        <f>H46*I46</f>
        <v>0</v>
      </c>
      <c r="K46" s="73">
        <f>J46*0.1</f>
        <v>0</v>
      </c>
      <c r="L46" s="73">
        <f>J46*0.05</f>
        <v>0</v>
      </c>
      <c r="M46" s="74"/>
      <c r="N46" s="44">
        <f>(J46*'Base Data'!$C$5)+(K46*'Base Data'!$C$6)+(L46*'Base Data'!$C$7)</f>
        <v>0</v>
      </c>
      <c r="O46" s="44">
        <f>(D46+E46+F46)*G46*I46</f>
        <v>0</v>
      </c>
      <c r="P46" s="73">
        <v>0</v>
      </c>
      <c r="Q46" s="75" t="s">
        <v>339</v>
      </c>
      <c r="U46" s="144"/>
    </row>
    <row r="47" spans="1:21" s="115" customFormat="1" ht="9">
      <c r="A47" s="110" t="s">
        <v>366</v>
      </c>
      <c r="B47" s="37" t="s">
        <v>384</v>
      </c>
      <c r="C47" s="37"/>
      <c r="D47" s="44"/>
      <c r="E47" s="44"/>
      <c r="F47" s="44"/>
      <c r="G47" s="37"/>
      <c r="H47" s="37"/>
      <c r="I47" s="73"/>
      <c r="J47" s="73"/>
      <c r="K47" s="73"/>
      <c r="L47" s="73"/>
      <c r="M47" s="37"/>
      <c r="N47" s="44"/>
      <c r="O47" s="44"/>
      <c r="P47" s="44"/>
      <c r="Q47" s="75"/>
      <c r="U47" s="144"/>
    </row>
    <row r="48" spans="1:21" s="115" customFormat="1" ht="9">
      <c r="A48" s="110" t="s">
        <v>367</v>
      </c>
      <c r="B48" s="37" t="s">
        <v>384</v>
      </c>
      <c r="C48" s="37"/>
      <c r="D48" s="44"/>
      <c r="E48" s="44"/>
      <c r="F48" s="44"/>
      <c r="G48" s="37"/>
      <c r="H48" s="37"/>
      <c r="I48" s="73"/>
      <c r="J48" s="73"/>
      <c r="K48" s="73"/>
      <c r="L48" s="73"/>
      <c r="M48" s="37"/>
      <c r="N48" s="44"/>
      <c r="O48" s="44"/>
      <c r="P48" s="44"/>
      <c r="Q48" s="75"/>
    </row>
    <row r="49" spans="1:19" s="115" customFormat="1" ht="9">
      <c r="A49" s="110" t="s">
        <v>368</v>
      </c>
      <c r="B49" s="37"/>
      <c r="C49" s="37"/>
      <c r="D49" s="44"/>
      <c r="E49" s="44"/>
      <c r="F49" s="44"/>
      <c r="G49" s="37"/>
      <c r="H49" s="37"/>
      <c r="I49" s="73"/>
      <c r="J49" s="73"/>
      <c r="K49" s="73"/>
      <c r="L49" s="73"/>
      <c r="M49" s="37"/>
      <c r="N49" s="44"/>
      <c r="O49" s="44"/>
      <c r="P49" s="44"/>
      <c r="Q49" s="75"/>
    </row>
    <row r="50" spans="1:19" s="115" customFormat="1" ht="9">
      <c r="A50" s="126" t="s">
        <v>386</v>
      </c>
      <c r="B50" s="37">
        <v>2</v>
      </c>
      <c r="C50" s="37"/>
      <c r="D50" s="44">
        <v>0</v>
      </c>
      <c r="E50" s="44">
        <v>0</v>
      </c>
      <c r="F50" s="44">
        <v>0</v>
      </c>
      <c r="G50" s="37">
        <v>1</v>
      </c>
      <c r="H50" s="37">
        <f>B50*G50</f>
        <v>2</v>
      </c>
      <c r="I50" s="72">
        <v>0</v>
      </c>
      <c r="J50" s="73">
        <f>H50*I50</f>
        <v>0</v>
      </c>
      <c r="K50" s="73">
        <f>J50*0.1</f>
        <v>0</v>
      </c>
      <c r="L50" s="73">
        <f>J50*0.05</f>
        <v>0</v>
      </c>
      <c r="M50" s="37">
        <f>C50*G50*I50</f>
        <v>0</v>
      </c>
      <c r="N50" s="44">
        <f>(J50*'Base Data'!$C$5)+(K50*'Base Data'!$C$6)+(L50*'Base Data'!$C$7)</f>
        <v>0</v>
      </c>
      <c r="O50" s="44">
        <f>(D50+E50+F50)*G50*I50</f>
        <v>0</v>
      </c>
      <c r="P50" s="73">
        <f>G50*I50</f>
        <v>0</v>
      </c>
      <c r="Q50" s="75" t="s">
        <v>338</v>
      </c>
    </row>
    <row r="51" spans="1:19" s="115" customFormat="1" ht="9" customHeight="1">
      <c r="A51" s="126" t="s">
        <v>328</v>
      </c>
      <c r="B51" s="37">
        <v>8</v>
      </c>
      <c r="C51" s="37"/>
      <c r="D51" s="44">
        <v>0</v>
      </c>
      <c r="E51" s="44">
        <v>0</v>
      </c>
      <c r="F51" s="44">
        <v>0</v>
      </c>
      <c r="G51" s="37">
        <v>1</v>
      </c>
      <c r="H51" s="37">
        <f>B51*G51</f>
        <v>8</v>
      </c>
      <c r="I51" s="72">
        <v>0</v>
      </c>
      <c r="J51" s="73">
        <f>H51*I51</f>
        <v>0</v>
      </c>
      <c r="K51" s="73">
        <f>J51*0.1</f>
        <v>0</v>
      </c>
      <c r="L51" s="73">
        <f>J51*0.05</f>
        <v>0</v>
      </c>
      <c r="M51" s="37">
        <f>C51*G51*I51</f>
        <v>0</v>
      </c>
      <c r="N51" s="44">
        <f>(J51*'Base Data'!$C$5)+(K51*'Base Data'!$C$6)+(L51*'Base Data'!$C$7)</f>
        <v>0</v>
      </c>
      <c r="O51" s="44">
        <f>(D51+E51+F51)*G51*I51</f>
        <v>0</v>
      </c>
      <c r="P51" s="73">
        <f>G51*I51</f>
        <v>0</v>
      </c>
      <c r="Q51" s="75" t="s">
        <v>339</v>
      </c>
    </row>
    <row r="52" spans="1:19" s="115" customFormat="1" ht="9">
      <c r="A52" s="126" t="s">
        <v>329</v>
      </c>
      <c r="B52" s="37">
        <v>5</v>
      </c>
      <c r="C52" s="37"/>
      <c r="D52" s="44">
        <v>0</v>
      </c>
      <c r="E52" s="44">
        <v>0</v>
      </c>
      <c r="F52" s="44">
        <v>0</v>
      </c>
      <c r="G52" s="37">
        <v>1</v>
      </c>
      <c r="H52" s="37">
        <f>B52*G52</f>
        <v>5</v>
      </c>
      <c r="I52" s="72">
        <v>0</v>
      </c>
      <c r="J52" s="73">
        <f>H52*I52</f>
        <v>0</v>
      </c>
      <c r="K52" s="73">
        <f>J52*0.1</f>
        <v>0</v>
      </c>
      <c r="L52" s="73">
        <f>J52*0.05</f>
        <v>0</v>
      </c>
      <c r="M52" s="37">
        <f>C52*G52*I52</f>
        <v>0</v>
      </c>
      <c r="N52" s="44">
        <f>(J52*'Base Data'!$C$5)+(K52*'Base Data'!$C$6)+(L52*'Base Data'!$C$7)</f>
        <v>0</v>
      </c>
      <c r="O52" s="44">
        <f>(D52+E52+F52)*G52*I52</f>
        <v>0</v>
      </c>
      <c r="P52" s="73">
        <f>G52*I52</f>
        <v>0</v>
      </c>
      <c r="Q52" s="75" t="s">
        <v>339</v>
      </c>
    </row>
    <row r="53" spans="1:19" s="115" customFormat="1" ht="9">
      <c r="A53" s="112" t="s">
        <v>407</v>
      </c>
      <c r="B53" s="37">
        <v>20</v>
      </c>
      <c r="C53" s="37">
        <v>0</v>
      </c>
      <c r="D53" s="44">
        <v>0</v>
      </c>
      <c r="E53" s="44">
        <v>0</v>
      </c>
      <c r="F53" s="44">
        <v>0</v>
      </c>
      <c r="G53" s="37">
        <v>2</v>
      </c>
      <c r="H53" s="37">
        <f>B53*G53</f>
        <v>40</v>
      </c>
      <c r="I53" s="72">
        <v>0</v>
      </c>
      <c r="J53" s="73">
        <f>H53*I53</f>
        <v>0</v>
      </c>
      <c r="K53" s="73">
        <f>J53*0.1</f>
        <v>0</v>
      </c>
      <c r="L53" s="73">
        <f>J53*0.05</f>
        <v>0</v>
      </c>
      <c r="M53" s="73">
        <f>C53*G53*I53</f>
        <v>0</v>
      </c>
      <c r="N53" s="44">
        <f>(J53*'Base Data'!$C$5)+(K53*'Base Data'!$C$6)+(L53*'Base Data'!$C$7)</f>
        <v>0</v>
      </c>
      <c r="O53" s="44">
        <f>(D53+E53+F53)*G53*I53</f>
        <v>0</v>
      </c>
      <c r="P53" s="73">
        <f>G53*I53</f>
        <v>0</v>
      </c>
      <c r="Q53" s="75" t="s">
        <v>339</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17</v>
      </c>
      <c r="R54" s="133"/>
    </row>
    <row r="55" spans="1:19" s="115" customFormat="1" ht="9">
      <c r="A55" s="113" t="s">
        <v>7</v>
      </c>
      <c r="B55" s="37"/>
      <c r="C55" s="37"/>
      <c r="D55" s="44"/>
      <c r="E55" s="44"/>
      <c r="F55" s="44"/>
      <c r="G55" s="37"/>
      <c r="H55" s="37"/>
      <c r="I55" s="72"/>
      <c r="J55" s="73">
        <f>SUM(J7:J53)</f>
        <v>26574</v>
      </c>
      <c r="K55" s="73">
        <f t="shared" ref="K55:O55" si="9">SUM(K7:K53)</f>
        <v>2657.4</v>
      </c>
      <c r="L55" s="73">
        <f t="shared" si="9"/>
        <v>1328.7</v>
      </c>
      <c r="M55" s="73">
        <f t="shared" si="9"/>
        <v>0</v>
      </c>
      <c r="N55" s="44">
        <f t="shared" si="9"/>
        <v>2890653.2850000001</v>
      </c>
      <c r="O55" s="44">
        <f t="shared" si="9"/>
        <v>22225864</v>
      </c>
      <c r="P55" s="73">
        <f>SUM(P50:P53)</f>
        <v>0</v>
      </c>
      <c r="Q55" s="75"/>
      <c r="R55" s="118">
        <f>SUM(O7,O10:O23,O28,O31,O34,O37,O40,O46,O43)</f>
        <v>8522502</v>
      </c>
      <c r="S55" s="117">
        <f>SUM(O27,O30,O33,O36,O39,O45,O42)</f>
        <v>13703362</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0">B61*G61</f>
        <v>20</v>
      </c>
      <c r="I61" s="72">
        <v>0</v>
      </c>
      <c r="J61" s="73">
        <f t="shared" ref="J61:J67" si="11">H61*I61</f>
        <v>0</v>
      </c>
      <c r="K61" s="73">
        <f t="shared" ref="K61:K67" si="12">J61*0.1</f>
        <v>0</v>
      </c>
      <c r="L61" s="73">
        <f t="shared" ref="L61:L67" si="13">J61*0.05</f>
        <v>0</v>
      </c>
      <c r="M61" s="37"/>
      <c r="N61" s="44">
        <f>(J61*'Base Data'!$C$5)+(K61*'Base Data'!$C$6)+(L61*'Base Data'!$C$7)</f>
        <v>0</v>
      </c>
      <c r="O61" s="44">
        <f t="shared" ref="O61:O67" si="14">(D61+E61+F61)*G61*I61</f>
        <v>0</v>
      </c>
      <c r="P61" s="73">
        <v>0</v>
      </c>
      <c r="Q61" s="75" t="s">
        <v>339</v>
      </c>
    </row>
    <row r="62" spans="1:19" s="115" customFormat="1" ht="9">
      <c r="A62" s="111" t="s">
        <v>376</v>
      </c>
      <c r="B62" s="37">
        <v>15</v>
      </c>
      <c r="C62" s="37">
        <v>0</v>
      </c>
      <c r="D62" s="44">
        <v>0</v>
      </c>
      <c r="E62" s="44">
        <v>0</v>
      </c>
      <c r="F62" s="44">
        <v>0</v>
      </c>
      <c r="G62" s="37">
        <v>1</v>
      </c>
      <c r="H62" s="37">
        <f t="shared" si="10"/>
        <v>15</v>
      </c>
      <c r="I62" s="72">
        <v>0</v>
      </c>
      <c r="J62" s="73">
        <f t="shared" si="11"/>
        <v>0</v>
      </c>
      <c r="K62" s="73">
        <f t="shared" si="12"/>
        <v>0</v>
      </c>
      <c r="L62" s="73">
        <f t="shared" si="13"/>
        <v>0</v>
      </c>
      <c r="M62" s="37">
        <f>C62*G62*I62</f>
        <v>0</v>
      </c>
      <c r="N62" s="44">
        <f>(J62*'Base Data'!$C$5)+(K62*'Base Data'!$C$6)+(L62*'Base Data'!$C$7)</f>
        <v>0</v>
      </c>
      <c r="O62" s="44">
        <f t="shared" si="14"/>
        <v>0</v>
      </c>
      <c r="P62" s="73">
        <v>0</v>
      </c>
      <c r="Q62" s="75" t="s">
        <v>339</v>
      </c>
    </row>
    <row r="63" spans="1:19" s="115" customFormat="1" ht="9.75" customHeight="1">
      <c r="A63" s="110" t="s">
        <v>377</v>
      </c>
      <c r="B63" s="37">
        <v>2</v>
      </c>
      <c r="C63" s="37"/>
      <c r="D63" s="44">
        <v>0</v>
      </c>
      <c r="E63" s="44">
        <v>0</v>
      </c>
      <c r="F63" s="44">
        <v>0</v>
      </c>
      <c r="G63" s="37">
        <v>1</v>
      </c>
      <c r="H63" s="37">
        <f t="shared" si="10"/>
        <v>2</v>
      </c>
      <c r="I63" s="72">
        <v>0</v>
      </c>
      <c r="J63" s="73">
        <f t="shared" si="11"/>
        <v>0</v>
      </c>
      <c r="K63" s="73">
        <f t="shared" si="12"/>
        <v>0</v>
      </c>
      <c r="L63" s="73">
        <f t="shared" si="13"/>
        <v>0</v>
      </c>
      <c r="M63" s="37"/>
      <c r="N63" s="44">
        <f>(J63*'Base Data'!$C$5)+(K63*'Base Data'!$C$6)+(L63*'Base Data'!$C$7)</f>
        <v>0</v>
      </c>
      <c r="O63" s="44">
        <f t="shared" si="14"/>
        <v>0</v>
      </c>
      <c r="P63" s="73">
        <v>0</v>
      </c>
      <c r="Q63" s="75" t="s">
        <v>339</v>
      </c>
    </row>
    <row r="64" spans="1:19" s="115" customFormat="1" ht="9">
      <c r="A64" s="111" t="s">
        <v>387</v>
      </c>
      <c r="B64" s="37">
        <v>2</v>
      </c>
      <c r="C64" s="37"/>
      <c r="D64" s="44">
        <v>0</v>
      </c>
      <c r="E64" s="44">
        <v>0</v>
      </c>
      <c r="F64" s="44">
        <v>0</v>
      </c>
      <c r="G64" s="37">
        <v>1</v>
      </c>
      <c r="H64" s="37">
        <f t="shared" si="10"/>
        <v>2</v>
      </c>
      <c r="I64" s="72">
        <v>0</v>
      </c>
      <c r="J64" s="73">
        <f t="shared" si="11"/>
        <v>0</v>
      </c>
      <c r="K64" s="73">
        <f t="shared" si="12"/>
        <v>0</v>
      </c>
      <c r="L64" s="73">
        <f t="shared" si="13"/>
        <v>0</v>
      </c>
      <c r="M64" s="37"/>
      <c r="N64" s="44">
        <f>(J64*'Base Data'!$C$5)+(K64*'Base Data'!$C$6)+(L64*'Base Data'!$C$7)</f>
        <v>0</v>
      </c>
      <c r="O64" s="44">
        <f t="shared" si="14"/>
        <v>0</v>
      </c>
      <c r="P64" s="73">
        <v>0</v>
      </c>
      <c r="Q64" s="75" t="s">
        <v>339</v>
      </c>
    </row>
    <row r="65" spans="1:18" s="115" customFormat="1" ht="9">
      <c r="A65" s="111" t="s">
        <v>388</v>
      </c>
      <c r="B65" s="37">
        <v>2</v>
      </c>
      <c r="C65" s="37">
        <v>0</v>
      </c>
      <c r="D65" s="44">
        <v>0</v>
      </c>
      <c r="E65" s="44">
        <v>0</v>
      </c>
      <c r="F65" s="44">
        <v>0</v>
      </c>
      <c r="G65" s="37">
        <v>2</v>
      </c>
      <c r="H65" s="37">
        <f t="shared" si="10"/>
        <v>4</v>
      </c>
      <c r="I65" s="72">
        <v>0</v>
      </c>
      <c r="J65" s="73">
        <f t="shared" si="11"/>
        <v>0</v>
      </c>
      <c r="K65" s="73">
        <f t="shared" si="12"/>
        <v>0</v>
      </c>
      <c r="L65" s="73">
        <f t="shared" si="13"/>
        <v>0</v>
      </c>
      <c r="M65" s="37">
        <f>C65*G65*I65</f>
        <v>0</v>
      </c>
      <c r="N65" s="44">
        <f>(J65*'Base Data'!$C$5)+(K65*'Base Data'!$C$6)+(L65*'Base Data'!$C$7)</f>
        <v>0</v>
      </c>
      <c r="O65" s="44">
        <f t="shared" si="14"/>
        <v>0</v>
      </c>
      <c r="P65" s="73">
        <v>0</v>
      </c>
      <c r="Q65" s="75" t="s">
        <v>339</v>
      </c>
    </row>
    <row r="66" spans="1:18" s="115" customFormat="1" ht="9">
      <c r="A66" s="111" t="s">
        <v>389</v>
      </c>
      <c r="B66" s="37">
        <v>0.5</v>
      </c>
      <c r="C66" s="37"/>
      <c r="D66" s="44">
        <v>0</v>
      </c>
      <c r="E66" s="44">
        <v>0</v>
      </c>
      <c r="F66" s="44">
        <v>0</v>
      </c>
      <c r="G66" s="37">
        <v>12</v>
      </c>
      <c r="H66" s="37">
        <f t="shared" si="10"/>
        <v>6</v>
      </c>
      <c r="I66" s="72">
        <v>0</v>
      </c>
      <c r="J66" s="73">
        <f t="shared" si="11"/>
        <v>0</v>
      </c>
      <c r="K66" s="73">
        <f t="shared" si="12"/>
        <v>0</v>
      </c>
      <c r="L66" s="73">
        <f t="shared" si="13"/>
        <v>0</v>
      </c>
      <c r="M66" s="37"/>
      <c r="N66" s="44">
        <f>(J66*'Base Data'!$C$5)+(K66*'Base Data'!$C$6)+(L66*'Base Data'!$C$7)</f>
        <v>0</v>
      </c>
      <c r="O66" s="44">
        <f t="shared" si="14"/>
        <v>0</v>
      </c>
      <c r="P66" s="73">
        <v>0</v>
      </c>
      <c r="Q66" s="75" t="s">
        <v>339</v>
      </c>
    </row>
    <row r="67" spans="1:18" s="115" customFormat="1" ht="9">
      <c r="A67" s="110" t="s">
        <v>378</v>
      </c>
      <c r="B67" s="37">
        <v>40</v>
      </c>
      <c r="C67" s="37"/>
      <c r="D67" s="44">
        <v>0</v>
      </c>
      <c r="E67" s="44">
        <v>0</v>
      </c>
      <c r="F67" s="44">
        <v>0</v>
      </c>
      <c r="G67" s="37">
        <v>1</v>
      </c>
      <c r="H67" s="37">
        <f t="shared" si="10"/>
        <v>40</v>
      </c>
      <c r="I67" s="72">
        <f>ROUND(SUM('Base Data'!$H$43:$H$45)/2,0)</f>
        <v>36</v>
      </c>
      <c r="J67" s="73">
        <f t="shared" si="11"/>
        <v>1440</v>
      </c>
      <c r="K67" s="73">
        <f t="shared" si="12"/>
        <v>144</v>
      </c>
      <c r="L67" s="73">
        <f t="shared" si="13"/>
        <v>72</v>
      </c>
      <c r="M67" s="37"/>
      <c r="N67" s="44">
        <f>(J67*'Base Data'!$C$5)+(K67*'Base Data'!$C$6)+(L67*'Base Data'!$C$7)</f>
        <v>156639.6</v>
      </c>
      <c r="O67" s="44">
        <f t="shared" si="14"/>
        <v>0</v>
      </c>
      <c r="P67" s="73">
        <v>0</v>
      </c>
      <c r="Q67" s="75" t="s">
        <v>490</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 t="shared" ref="J69:O69" si="15">SUM(J57:J68)</f>
        <v>1440</v>
      </c>
      <c r="K69" s="186">
        <f t="shared" si="15"/>
        <v>144</v>
      </c>
      <c r="L69" s="186">
        <f t="shared" si="15"/>
        <v>72</v>
      </c>
      <c r="M69" s="185">
        <f t="shared" si="15"/>
        <v>0</v>
      </c>
      <c r="N69" s="185">
        <f t="shared" si="15"/>
        <v>156639.6</v>
      </c>
      <c r="O69" s="185">
        <f t="shared" si="15"/>
        <v>0</v>
      </c>
      <c r="P69" s="186">
        <f t="shared" ref="P69" si="16">SUM(P57:P68)</f>
        <v>0</v>
      </c>
      <c r="Q69" s="187"/>
      <c r="R69" s="44">
        <f>SUM(R57:R68)</f>
        <v>0</v>
      </c>
    </row>
    <row r="70" spans="1:18" s="134" customFormat="1">
      <c r="A70" s="135" t="s">
        <v>351</v>
      </c>
      <c r="B70" s="136"/>
      <c r="C70" s="136"/>
      <c r="D70" s="136"/>
      <c r="E70" s="136"/>
      <c r="F70" s="137"/>
      <c r="G70" s="136"/>
      <c r="H70" s="136"/>
      <c r="I70" s="138"/>
      <c r="J70" s="139">
        <f t="shared" ref="J70:P70" si="17">J55+J69</f>
        <v>28014</v>
      </c>
      <c r="K70" s="139">
        <f t="shared" si="17"/>
        <v>2801.4</v>
      </c>
      <c r="L70" s="139">
        <f t="shared" si="17"/>
        <v>1400.7</v>
      </c>
      <c r="M70" s="140">
        <f t="shared" si="17"/>
        <v>0</v>
      </c>
      <c r="N70" s="140">
        <f t="shared" si="17"/>
        <v>3047292.8850000002</v>
      </c>
      <c r="O70" s="140">
        <f t="shared" si="17"/>
        <v>22225864</v>
      </c>
      <c r="P70" s="139">
        <f t="shared" si="17"/>
        <v>0</v>
      </c>
      <c r="Q70" s="141"/>
    </row>
    <row r="71" spans="1:18" ht="6" customHeight="1"/>
    <row r="72" spans="1:18" s="45" customFormat="1" ht="9">
      <c r="A72" s="45" t="s">
        <v>341</v>
      </c>
      <c r="B72" s="48"/>
      <c r="C72" s="48"/>
      <c r="D72" s="48"/>
      <c r="E72" s="48"/>
      <c r="F72" s="48"/>
      <c r="G72" s="48"/>
      <c r="H72" s="48"/>
      <c r="I72" s="49"/>
      <c r="J72" s="48"/>
      <c r="K72" s="48"/>
      <c r="L72" s="48"/>
      <c r="M72" s="48"/>
      <c r="N72" s="48"/>
      <c r="O72" s="146"/>
      <c r="P72" s="146"/>
      <c r="Q72" s="48"/>
    </row>
    <row r="73" spans="1:18" s="45" customFormat="1" ht="18" customHeight="1">
      <c r="A73" s="494" t="s">
        <v>152</v>
      </c>
      <c r="B73" s="494"/>
      <c r="C73" s="494"/>
      <c r="D73" s="494"/>
      <c r="E73" s="494"/>
      <c r="F73" s="494"/>
      <c r="G73" s="494"/>
      <c r="H73" s="494"/>
      <c r="I73" s="494"/>
      <c r="J73" s="494"/>
      <c r="K73" s="494"/>
      <c r="L73" s="494"/>
      <c r="M73" s="494"/>
      <c r="N73" s="494"/>
      <c r="O73" s="494"/>
      <c r="P73" s="459"/>
      <c r="Q73" s="48"/>
    </row>
    <row r="74" spans="1:18" s="45" customFormat="1" ht="26.25" customHeight="1">
      <c r="A74" s="494" t="s">
        <v>2</v>
      </c>
      <c r="B74" s="494"/>
      <c r="C74" s="494"/>
      <c r="D74" s="494"/>
      <c r="E74" s="494"/>
      <c r="F74" s="494"/>
      <c r="G74" s="494"/>
      <c r="H74" s="494"/>
      <c r="I74" s="494"/>
      <c r="J74" s="494"/>
      <c r="K74" s="494"/>
      <c r="L74" s="494"/>
      <c r="M74" s="494"/>
      <c r="N74" s="494"/>
      <c r="O74" s="494"/>
      <c r="P74" s="459"/>
      <c r="Q74" s="48"/>
    </row>
    <row r="75" spans="1:18" s="45" customFormat="1" ht="9"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392</v>
      </c>
      <c r="B76" s="48"/>
      <c r="C76" s="48"/>
      <c r="D76" s="48"/>
      <c r="E76" s="48"/>
      <c r="F76" s="48"/>
      <c r="G76" s="48"/>
      <c r="H76" s="48"/>
      <c r="I76" s="49"/>
      <c r="J76" s="48"/>
      <c r="K76" s="48"/>
      <c r="L76" s="48"/>
      <c r="M76" s="48"/>
      <c r="N76" s="48"/>
      <c r="O76" s="146"/>
      <c r="P76" s="146"/>
      <c r="Q76" s="48"/>
    </row>
    <row r="77" spans="1:18" s="45" customFormat="1" ht="9" customHeight="1">
      <c r="A77" s="45" t="s">
        <v>486</v>
      </c>
      <c r="B77" s="48"/>
      <c r="C77" s="48"/>
      <c r="D77" s="48"/>
      <c r="E77" s="48"/>
      <c r="F77" s="48"/>
      <c r="G77" s="48"/>
      <c r="H77" s="48"/>
      <c r="I77" s="49"/>
      <c r="J77" s="48"/>
      <c r="K77" s="48"/>
      <c r="L77" s="48"/>
      <c r="M77" s="48"/>
      <c r="N77" s="48"/>
      <c r="O77" s="146"/>
      <c r="P77" s="146"/>
      <c r="Q77" s="48"/>
    </row>
    <row r="78" spans="1:18" s="45" customFormat="1" ht="9">
      <c r="A78" s="45" t="s">
        <v>475</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19.5" customHeight="1">
      <c r="A80" s="494" t="s">
        <v>324</v>
      </c>
      <c r="B80" s="494"/>
      <c r="C80" s="494"/>
      <c r="D80" s="494"/>
      <c r="E80" s="494"/>
      <c r="F80" s="494"/>
      <c r="G80" s="494"/>
      <c r="H80" s="494"/>
      <c r="I80" s="494"/>
      <c r="J80" s="494"/>
      <c r="K80" s="494"/>
      <c r="L80" s="494"/>
      <c r="M80" s="494"/>
      <c r="N80" s="494"/>
      <c r="O80" s="494"/>
      <c r="P80" s="146"/>
      <c r="Q80" s="48"/>
    </row>
    <row r="81" spans="1:17" s="45" customFormat="1" ht="9" customHeight="1">
      <c r="A81" s="45" t="s">
        <v>489</v>
      </c>
      <c r="B81" s="48"/>
      <c r="C81" s="48"/>
      <c r="D81" s="48"/>
      <c r="E81" s="48"/>
      <c r="F81" s="48"/>
      <c r="G81" s="48"/>
      <c r="H81" s="48"/>
      <c r="I81" s="49"/>
      <c r="J81" s="48"/>
      <c r="K81" s="48"/>
      <c r="L81" s="48"/>
      <c r="M81" s="48"/>
      <c r="N81" s="48"/>
      <c r="O81" s="146"/>
      <c r="P81" s="146"/>
      <c r="Q81" s="48"/>
    </row>
    <row r="82" spans="1:17" s="45" customFormat="1" ht="9">
      <c r="A82" s="94" t="s">
        <v>514</v>
      </c>
      <c r="B82" s="48"/>
      <c r="C82" s="48"/>
      <c r="D82" s="48"/>
      <c r="E82" s="48"/>
      <c r="F82" s="48"/>
      <c r="G82" s="48"/>
      <c r="H82" s="48"/>
      <c r="I82" s="49"/>
      <c r="J82" s="48"/>
      <c r="K82" s="48"/>
      <c r="L82" s="48"/>
      <c r="M82" s="48"/>
      <c r="N82" s="48"/>
      <c r="O82" s="146"/>
      <c r="P82" s="146"/>
      <c r="Q82" s="48"/>
    </row>
    <row r="83" spans="1:17" s="45" customFormat="1" ht="9">
      <c r="A83" s="45" t="s">
        <v>558</v>
      </c>
      <c r="B83" s="48"/>
      <c r="C83" s="48"/>
      <c r="D83" s="48"/>
      <c r="E83" s="48"/>
      <c r="F83" s="48"/>
      <c r="G83" s="48"/>
      <c r="H83" s="48"/>
      <c r="I83" s="49"/>
      <c r="J83" s="48"/>
      <c r="K83" s="48"/>
      <c r="L83" s="48"/>
      <c r="M83" s="48"/>
      <c r="N83" s="48"/>
      <c r="O83" s="146"/>
      <c r="P83" s="146"/>
      <c r="Q83" s="48"/>
    </row>
    <row r="84" spans="1:17" s="45" customFormat="1" ht="9">
      <c r="A84" s="45" t="s">
        <v>616</v>
      </c>
      <c r="B84" s="48"/>
      <c r="C84" s="48"/>
      <c r="D84" s="48"/>
      <c r="E84" s="48"/>
      <c r="F84" s="48"/>
      <c r="G84" s="48"/>
      <c r="H84" s="48"/>
      <c r="I84" s="49"/>
      <c r="J84" s="48"/>
      <c r="K84" s="48"/>
      <c r="L84" s="48"/>
      <c r="M84" s="48"/>
      <c r="N84" s="48"/>
      <c r="O84" s="146"/>
      <c r="P84" s="146"/>
      <c r="Q84" s="48"/>
    </row>
    <row r="85" spans="1:17" s="45" customFormat="1" ht="9">
      <c r="A85" s="494" t="s">
        <v>664</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ht="9">
      <c r="B116" s="48"/>
      <c r="C116" s="48"/>
      <c r="D116" s="48"/>
      <c r="E116" s="48"/>
      <c r="F116" s="48"/>
      <c r="G116" s="48"/>
      <c r="H116" s="48"/>
      <c r="I116" s="49"/>
      <c r="J116" s="48"/>
      <c r="K116" s="48"/>
      <c r="L116" s="48"/>
      <c r="M116" s="48"/>
      <c r="N116" s="48"/>
      <c r="O116" s="146"/>
      <c r="P116" s="146"/>
      <c r="Q116" s="48"/>
    </row>
    <row r="117" spans="2:17" s="45" customFormat="1" ht="9">
      <c r="B117" s="48"/>
      <c r="C117" s="48"/>
      <c r="D117" s="48"/>
      <c r="E117" s="48"/>
      <c r="F117" s="48"/>
      <c r="G117" s="48"/>
      <c r="H117" s="48"/>
      <c r="I117" s="49"/>
      <c r="J117" s="48"/>
      <c r="K117" s="48"/>
      <c r="L117" s="48"/>
      <c r="M117" s="48"/>
      <c r="N117" s="48"/>
      <c r="O117" s="146"/>
      <c r="P117" s="146"/>
      <c r="Q117" s="48"/>
    </row>
    <row r="118" spans="2:17" s="45" customFormat="1" ht="9">
      <c r="B118" s="48"/>
      <c r="C118" s="48"/>
      <c r="D118" s="48"/>
      <c r="E118" s="48"/>
      <c r="F118" s="48"/>
      <c r="G118" s="48"/>
      <c r="H118" s="48"/>
      <c r="I118" s="49"/>
      <c r="J118" s="48"/>
      <c r="K118" s="48"/>
      <c r="L118" s="48"/>
      <c r="M118" s="48"/>
      <c r="N118" s="48"/>
      <c r="O118" s="146"/>
      <c r="P118" s="146"/>
      <c r="Q118" s="48"/>
    </row>
    <row r="119" spans="2:17" s="45" customFormat="1" ht="9">
      <c r="B119" s="48"/>
      <c r="C119" s="48"/>
      <c r="D119" s="48"/>
      <c r="E119" s="48"/>
      <c r="F119" s="48"/>
      <c r="G119" s="48"/>
      <c r="H119" s="48"/>
      <c r="I119" s="49"/>
      <c r="J119" s="48"/>
      <c r="K119" s="48"/>
      <c r="L119" s="48"/>
      <c r="M119" s="48"/>
      <c r="N119" s="48"/>
      <c r="O119" s="146"/>
      <c r="P119" s="146"/>
      <c r="Q119" s="48"/>
    </row>
    <row r="120" spans="2:17" s="45" customFormat="1" ht="9">
      <c r="B120" s="48"/>
      <c r="C120" s="48"/>
      <c r="D120" s="48"/>
      <c r="E120" s="48"/>
      <c r="F120" s="48"/>
      <c r="G120" s="48"/>
      <c r="H120" s="48"/>
      <c r="I120" s="49"/>
      <c r="J120" s="48"/>
      <c r="K120" s="48"/>
      <c r="L120" s="48"/>
      <c r="M120" s="48"/>
      <c r="N120" s="48"/>
      <c r="O120" s="146"/>
      <c r="P120" s="146"/>
      <c r="Q120" s="48"/>
    </row>
    <row r="121" spans="2:17" s="45" customFormat="1" ht="9">
      <c r="B121" s="48"/>
      <c r="C121" s="48"/>
      <c r="D121" s="48"/>
      <c r="E121" s="48"/>
      <c r="F121" s="48"/>
      <c r="G121" s="48"/>
      <c r="H121" s="48"/>
      <c r="I121" s="49"/>
      <c r="J121" s="48"/>
      <c r="K121" s="48"/>
      <c r="L121" s="48"/>
      <c r="M121" s="48"/>
      <c r="N121" s="48"/>
      <c r="O121" s="146"/>
      <c r="P121" s="146"/>
      <c r="Q121" s="48"/>
    </row>
    <row r="122" spans="2:17" s="45" customFormat="1" ht="9">
      <c r="B122" s="48"/>
      <c r="C122" s="48"/>
      <c r="D122" s="48"/>
      <c r="E122" s="48"/>
      <c r="F122" s="48"/>
      <c r="G122" s="48"/>
      <c r="H122" s="48"/>
      <c r="I122" s="49"/>
      <c r="J122" s="48"/>
      <c r="K122" s="48"/>
      <c r="L122" s="48"/>
      <c r="M122" s="48"/>
      <c r="N122" s="48"/>
      <c r="O122" s="146"/>
      <c r="P122" s="146"/>
      <c r="Q122" s="48"/>
    </row>
    <row r="123" spans="2:17" s="45" customFormat="1" ht="9">
      <c r="B123" s="48"/>
      <c r="C123" s="48"/>
      <c r="D123" s="48"/>
      <c r="E123" s="48"/>
      <c r="F123" s="48"/>
      <c r="G123" s="48"/>
      <c r="H123" s="48"/>
      <c r="I123" s="49"/>
      <c r="J123" s="48"/>
      <c r="K123" s="48"/>
      <c r="L123" s="48"/>
      <c r="M123" s="48"/>
      <c r="N123" s="48"/>
      <c r="O123" s="146"/>
      <c r="P123" s="146"/>
      <c r="Q123" s="48"/>
    </row>
    <row r="124" spans="2:17">
      <c r="P124" s="146"/>
    </row>
    <row r="125" spans="2:17">
      <c r="P125" s="146"/>
    </row>
  </sheetData>
  <mergeCells count="7">
    <mergeCell ref="A85:Q87"/>
    <mergeCell ref="A80:O80"/>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U125"/>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12" sqref="I12"/>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8554687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170</v>
      </c>
      <c r="B1" s="496"/>
      <c r="C1" s="496"/>
      <c r="D1" s="496"/>
      <c r="E1" s="496"/>
      <c r="F1" s="496"/>
      <c r="G1" s="496"/>
      <c r="H1" s="496"/>
      <c r="I1" s="496"/>
      <c r="J1" s="496"/>
      <c r="K1" s="496"/>
      <c r="L1" s="496"/>
      <c r="M1" s="496"/>
      <c r="N1" s="496"/>
      <c r="O1" s="496"/>
      <c r="P1" s="496"/>
      <c r="Q1" s="496"/>
    </row>
    <row r="2" spans="1:21">
      <c r="A2" s="497" t="s">
        <v>97</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f>G7*I7</f>
        <v>0</v>
      </c>
      <c r="Q7" s="75" t="s">
        <v>338</v>
      </c>
    </row>
    <row r="8" spans="1:21" s="115" customFormat="1" ht="9">
      <c r="A8" s="110" t="s">
        <v>360</v>
      </c>
      <c r="B8" s="37"/>
      <c r="C8" s="37"/>
      <c r="D8" s="44"/>
      <c r="E8" s="44"/>
      <c r="F8" s="44"/>
      <c r="G8" s="37"/>
      <c r="H8" s="37"/>
      <c r="I8" s="73"/>
      <c r="J8" s="73"/>
      <c r="K8" s="73"/>
      <c r="L8" s="73"/>
      <c r="M8" s="37"/>
      <c r="N8" s="44"/>
      <c r="O8" s="44"/>
      <c r="P8" s="44"/>
      <c r="Q8" s="75"/>
      <c r="U8" s="144"/>
    </row>
    <row r="9" spans="1:21" s="115" customFormat="1" ht="9">
      <c r="A9" s="111" t="s">
        <v>374</v>
      </c>
      <c r="B9" s="37"/>
      <c r="C9" s="37"/>
      <c r="D9" s="76"/>
      <c r="E9" s="44"/>
      <c r="F9" s="44"/>
      <c r="G9" s="37"/>
      <c r="H9" s="37"/>
      <c r="I9" s="72"/>
      <c r="J9" s="73"/>
      <c r="K9" s="73"/>
      <c r="L9" s="73"/>
      <c r="M9" s="74"/>
      <c r="N9" s="44"/>
      <c r="O9" s="44"/>
      <c r="P9" s="44"/>
      <c r="Q9" s="75"/>
      <c r="U9" s="144"/>
    </row>
    <row r="10" spans="1:21" s="115" customFormat="1" ht="9">
      <c r="A10" s="110" t="s">
        <v>249</v>
      </c>
      <c r="B10" s="37">
        <v>20</v>
      </c>
      <c r="C10" s="37"/>
      <c r="D10" s="44">
        <v>854</v>
      </c>
      <c r="E10" s="44">
        <v>0</v>
      </c>
      <c r="F10" s="44">
        <v>0</v>
      </c>
      <c r="G10" s="37">
        <v>1</v>
      </c>
      <c r="H10" s="37">
        <f>B10*G10</f>
        <v>20</v>
      </c>
      <c r="I10" s="72">
        <f>ROUND('Testing Costs'!$C$22*(SUM('Base Data'!$H$43:$H$45)/2),0)</f>
        <v>4</v>
      </c>
      <c r="J10" s="73">
        <f>H10*I10</f>
        <v>80</v>
      </c>
      <c r="K10" s="73">
        <f t="shared" ref="K10:K22" si="0">J10*0.1</f>
        <v>8</v>
      </c>
      <c r="L10" s="73">
        <f>J10*0.05</f>
        <v>4</v>
      </c>
      <c r="M10" s="74">
        <f>C10*G10*I10</f>
        <v>0</v>
      </c>
      <c r="N10" s="44">
        <f>(J10*'Base Data'!$C$5)+(K10*'Base Data'!$C$6)+(L10*'Base Data'!$C$7)</f>
        <v>8702.1999999999989</v>
      </c>
      <c r="O10" s="44">
        <f>(D10+E10+F10)*G10*I10</f>
        <v>3416</v>
      </c>
      <c r="P10" s="73">
        <v>0</v>
      </c>
      <c r="Q10" s="75" t="s">
        <v>391</v>
      </c>
      <c r="U10" s="144"/>
    </row>
    <row r="11" spans="1:21" s="115" customFormat="1" ht="9">
      <c r="A11" s="110" t="s">
        <v>251</v>
      </c>
      <c r="B11" s="37">
        <v>20</v>
      </c>
      <c r="C11" s="37"/>
      <c r="D11" s="44">
        <v>18292</v>
      </c>
      <c r="E11" s="44">
        <v>0</v>
      </c>
      <c r="F11" s="44">
        <v>0</v>
      </c>
      <c r="G11" s="37">
        <v>1</v>
      </c>
      <c r="H11" s="37">
        <f>B11*G11</f>
        <v>20</v>
      </c>
      <c r="I11" s="72">
        <f>ROUNDDOWN('Testing Costs'!$C$23*(SUM('Base Data'!$H$43:$H$45)/2),0)</f>
        <v>31</v>
      </c>
      <c r="J11" s="73">
        <f>H11*I11</f>
        <v>620</v>
      </c>
      <c r="K11" s="73">
        <f t="shared" si="0"/>
        <v>62</v>
      </c>
      <c r="L11" s="73">
        <f>J11*0.05</f>
        <v>31</v>
      </c>
      <c r="M11" s="74">
        <f>C11*G11*I11</f>
        <v>0</v>
      </c>
      <c r="N11" s="44">
        <f>(J11*'Base Data'!$C$5)+(K11*'Base Data'!$C$6)+(L11*'Base Data'!$C$7)</f>
        <v>67442.05</v>
      </c>
      <c r="O11" s="44">
        <f>(D11+E11+F11)*G11*I11</f>
        <v>567052</v>
      </c>
      <c r="P11" s="73">
        <v>0</v>
      </c>
      <c r="Q11" s="75" t="s">
        <v>391</v>
      </c>
      <c r="U11" s="144"/>
    </row>
    <row r="12" spans="1:21" s="115" customFormat="1" ht="9">
      <c r="A12" s="111" t="s">
        <v>311</v>
      </c>
      <c r="B12" s="37">
        <v>12</v>
      </c>
      <c r="C12" s="37"/>
      <c r="D12" s="44">
        <v>0</v>
      </c>
      <c r="E12" s="44">
        <f>'Testing Costs'!$B$13</f>
        <v>5000</v>
      </c>
      <c r="F12" s="44">
        <v>0</v>
      </c>
      <c r="G12" s="37">
        <v>1</v>
      </c>
      <c r="H12" s="37">
        <f t="shared" ref="H12:H22" si="1">B12*G12</f>
        <v>12</v>
      </c>
      <c r="I12" s="72">
        <f>ROUNDDOWN(SUM('Base Data'!$D$43:$D$45)/2,0)</f>
        <v>293</v>
      </c>
      <c r="J12" s="73">
        <f t="shared" ref="J12:J22" si="2">H12*I12</f>
        <v>3516</v>
      </c>
      <c r="K12" s="73">
        <f t="shared" si="0"/>
        <v>351.6</v>
      </c>
      <c r="L12" s="73">
        <f t="shared" ref="L12:L22" si="3">J12*0.05</f>
        <v>175.8</v>
      </c>
      <c r="M12" s="74"/>
      <c r="N12" s="44">
        <f>(J12*'Base Data'!$C$5)+(K12*'Base Data'!$C$6)+(L12*'Base Data'!$C$7)</f>
        <v>382461.69</v>
      </c>
      <c r="O12" s="44">
        <f t="shared" ref="O12:O22" si="4">(D12+E12+F12)*G12*I12</f>
        <v>1465000</v>
      </c>
      <c r="P12" s="73">
        <v>0</v>
      </c>
      <c r="Q12" s="75" t="s">
        <v>90</v>
      </c>
      <c r="U12" s="144"/>
    </row>
    <row r="13" spans="1:21" s="115" customFormat="1" ht="9">
      <c r="A13" s="111" t="s">
        <v>312</v>
      </c>
      <c r="B13" s="37">
        <v>12</v>
      </c>
      <c r="C13" s="37"/>
      <c r="D13" s="44">
        <v>0</v>
      </c>
      <c r="E13" s="44">
        <f>'Testing Costs'!$B$17</f>
        <v>8000</v>
      </c>
      <c r="F13" s="44">
        <v>0</v>
      </c>
      <c r="G13" s="37">
        <v>1</v>
      </c>
      <c r="H13" s="37">
        <f t="shared" si="1"/>
        <v>12</v>
      </c>
      <c r="I13" s="72">
        <v>0</v>
      </c>
      <c r="J13" s="73">
        <f t="shared" si="2"/>
        <v>0</v>
      </c>
      <c r="K13" s="73">
        <f t="shared" si="0"/>
        <v>0</v>
      </c>
      <c r="L13" s="73">
        <f t="shared" si="3"/>
        <v>0</v>
      </c>
      <c r="M13" s="74"/>
      <c r="N13" s="44">
        <f>(J13*'Base Data'!$C$5)+(K13*'Base Data'!$C$6)+(L13*'Base Data'!$C$7)</f>
        <v>0</v>
      </c>
      <c r="O13" s="44">
        <f t="shared" si="4"/>
        <v>0</v>
      </c>
      <c r="P13" s="73">
        <v>0</v>
      </c>
      <c r="Q13" s="75" t="s">
        <v>339</v>
      </c>
      <c r="U13" s="144"/>
    </row>
    <row r="14" spans="1:21" s="115" customFormat="1" ht="9">
      <c r="A14" s="111" t="s">
        <v>313</v>
      </c>
      <c r="B14" s="37">
        <v>12</v>
      </c>
      <c r="C14" s="37"/>
      <c r="D14" s="44">
        <v>0</v>
      </c>
      <c r="E14" s="44">
        <f>'Testing Costs'!$B$15</f>
        <v>8000</v>
      </c>
      <c r="F14" s="44">
        <v>0</v>
      </c>
      <c r="G14" s="37">
        <v>1</v>
      </c>
      <c r="H14" s="37">
        <f t="shared" si="1"/>
        <v>12</v>
      </c>
      <c r="I14" s="72">
        <v>0</v>
      </c>
      <c r="J14" s="73">
        <f t="shared" si="2"/>
        <v>0</v>
      </c>
      <c r="K14" s="73">
        <f t="shared" si="0"/>
        <v>0</v>
      </c>
      <c r="L14" s="73">
        <f t="shared" si="3"/>
        <v>0</v>
      </c>
      <c r="M14" s="74"/>
      <c r="N14" s="44">
        <f>(J14*'Base Data'!$C$5)+(K14*'Base Data'!$C$6)+(L14*'Base Data'!$C$7)</f>
        <v>0</v>
      </c>
      <c r="O14" s="44">
        <f t="shared" si="4"/>
        <v>0</v>
      </c>
      <c r="P14" s="73">
        <v>0</v>
      </c>
      <c r="Q14" s="75" t="s">
        <v>339</v>
      </c>
      <c r="U14" s="144"/>
    </row>
    <row r="15" spans="1:21" s="115" customFormat="1" ht="9">
      <c r="A15" s="111" t="s">
        <v>185</v>
      </c>
      <c r="B15" s="37">
        <v>12</v>
      </c>
      <c r="C15" s="37"/>
      <c r="D15" s="44">
        <v>0</v>
      </c>
      <c r="E15" s="44">
        <f>'Testing Costs'!$B$14</f>
        <v>7000</v>
      </c>
      <c r="F15" s="44">
        <v>0</v>
      </c>
      <c r="G15" s="37">
        <v>1</v>
      </c>
      <c r="H15" s="37">
        <f t="shared" si="1"/>
        <v>12</v>
      </c>
      <c r="I15" s="72">
        <f>ROUNDDOWN(SUM('Base Data'!$D$43:$D$45)/2,0)</f>
        <v>293</v>
      </c>
      <c r="J15" s="73">
        <f t="shared" si="2"/>
        <v>3516</v>
      </c>
      <c r="K15" s="73">
        <f t="shared" si="0"/>
        <v>351.6</v>
      </c>
      <c r="L15" s="73">
        <f t="shared" si="3"/>
        <v>175.8</v>
      </c>
      <c r="M15" s="74"/>
      <c r="N15" s="44">
        <f>(J15*'Base Data'!$C$5)+(K15*'Base Data'!$C$6)+(L15*'Base Data'!$C$7)</f>
        <v>382461.69</v>
      </c>
      <c r="O15" s="44">
        <f t="shared" si="4"/>
        <v>2051000</v>
      </c>
      <c r="P15" s="73">
        <v>0</v>
      </c>
      <c r="Q15" s="75" t="s">
        <v>319</v>
      </c>
      <c r="U15" s="144"/>
    </row>
    <row r="16" spans="1:21" s="115" customFormat="1" ht="9" customHeight="1">
      <c r="A16" s="111" t="s">
        <v>137</v>
      </c>
      <c r="B16" s="37">
        <v>12</v>
      </c>
      <c r="C16" s="37"/>
      <c r="D16" s="44">
        <v>0</v>
      </c>
      <c r="E16" s="44">
        <f>'Testing Costs'!$B$13</f>
        <v>5000</v>
      </c>
      <c r="F16" s="44">
        <v>0</v>
      </c>
      <c r="G16" s="37">
        <v>1</v>
      </c>
      <c r="H16" s="37">
        <f t="shared" si="1"/>
        <v>12</v>
      </c>
      <c r="I16" s="72">
        <f>'Fac-ExistLrgLiquid-Yr2'!I12</f>
        <v>294</v>
      </c>
      <c r="J16" s="73">
        <f t="shared" si="2"/>
        <v>3528</v>
      </c>
      <c r="K16" s="73">
        <f t="shared" si="0"/>
        <v>352.8</v>
      </c>
      <c r="L16" s="73">
        <f t="shared" si="3"/>
        <v>176.4</v>
      </c>
      <c r="M16" s="74"/>
      <c r="N16" s="44">
        <f>(J16*'Base Data'!$C$5)+(K16*'Base Data'!$C$6)+(L16*'Base Data'!$C$7)</f>
        <v>383767.02000000008</v>
      </c>
      <c r="O16" s="44">
        <f t="shared" si="4"/>
        <v>1470000</v>
      </c>
      <c r="P16" s="73">
        <v>0</v>
      </c>
      <c r="Q16" s="75" t="s">
        <v>477</v>
      </c>
      <c r="U16" s="144"/>
    </row>
    <row r="17" spans="1:21" s="115" customFormat="1" ht="9">
      <c r="A17" s="111" t="s">
        <v>138</v>
      </c>
      <c r="B17" s="37">
        <v>12</v>
      </c>
      <c r="C17" s="37"/>
      <c r="D17" s="44">
        <v>0</v>
      </c>
      <c r="E17" s="44">
        <f>'Testing Costs'!$B$17</f>
        <v>8000</v>
      </c>
      <c r="F17" s="44">
        <v>0</v>
      </c>
      <c r="G17" s="37">
        <v>1</v>
      </c>
      <c r="H17" s="37">
        <f t="shared" si="1"/>
        <v>12</v>
      </c>
      <c r="I17" s="72">
        <f>'Fac-ExistLrgLiquid-Yr2'!I13</f>
        <v>0</v>
      </c>
      <c r="J17" s="73">
        <f t="shared" si="2"/>
        <v>0</v>
      </c>
      <c r="K17" s="73">
        <f t="shared" si="0"/>
        <v>0</v>
      </c>
      <c r="L17" s="73">
        <f t="shared" si="3"/>
        <v>0</v>
      </c>
      <c r="M17" s="74"/>
      <c r="N17" s="44">
        <f>(J17*'Base Data'!$C$5)+(K17*'Base Data'!$C$6)+(L17*'Base Data'!$C$7)</f>
        <v>0</v>
      </c>
      <c r="O17" s="44">
        <f t="shared" si="4"/>
        <v>0</v>
      </c>
      <c r="P17" s="73">
        <v>0</v>
      </c>
      <c r="Q17" s="75" t="s">
        <v>323</v>
      </c>
      <c r="U17" s="144"/>
    </row>
    <row r="18" spans="1:21" s="115" customFormat="1" ht="9">
      <c r="A18" s="111" t="s">
        <v>139</v>
      </c>
      <c r="B18" s="37">
        <v>12</v>
      </c>
      <c r="C18" s="37"/>
      <c r="D18" s="44">
        <v>0</v>
      </c>
      <c r="E18" s="44">
        <f>'Testing Costs'!$B$15</f>
        <v>8000</v>
      </c>
      <c r="F18" s="44">
        <v>0</v>
      </c>
      <c r="G18" s="37">
        <v>1</v>
      </c>
      <c r="H18" s="37">
        <f t="shared" si="1"/>
        <v>12</v>
      </c>
      <c r="I18" s="72">
        <f>'Fac-ExistLrgLiquid-Yr2'!I14</f>
        <v>0</v>
      </c>
      <c r="J18" s="73">
        <f t="shared" si="2"/>
        <v>0</v>
      </c>
      <c r="K18" s="73">
        <f t="shared" si="0"/>
        <v>0</v>
      </c>
      <c r="L18" s="73">
        <f t="shared" si="3"/>
        <v>0</v>
      </c>
      <c r="M18" s="74"/>
      <c r="N18" s="44">
        <f>(J18*'Base Data'!$C$5)+(K18*'Base Data'!$C$6)+(L18*'Base Data'!$C$7)</f>
        <v>0</v>
      </c>
      <c r="O18" s="44">
        <f t="shared" si="4"/>
        <v>0</v>
      </c>
      <c r="P18" s="73">
        <v>0</v>
      </c>
      <c r="Q18" s="75" t="s">
        <v>323</v>
      </c>
      <c r="U18" s="144"/>
    </row>
    <row r="19" spans="1:21" s="115" customFormat="1" ht="9">
      <c r="A19" s="111" t="s">
        <v>140</v>
      </c>
      <c r="B19" s="37">
        <v>12</v>
      </c>
      <c r="C19" s="37"/>
      <c r="D19" s="44">
        <v>0</v>
      </c>
      <c r="E19" s="44">
        <f>'Testing Costs'!$B$14</f>
        <v>7000</v>
      </c>
      <c r="F19" s="44">
        <v>0</v>
      </c>
      <c r="G19" s="37">
        <v>1</v>
      </c>
      <c r="H19" s="37">
        <f t="shared" si="1"/>
        <v>12</v>
      </c>
      <c r="I19" s="72">
        <f>'Fac-ExistLrgLiquid-Yr2'!I15</f>
        <v>294</v>
      </c>
      <c r="J19" s="73">
        <f t="shared" si="2"/>
        <v>3528</v>
      </c>
      <c r="K19" s="73">
        <f t="shared" si="0"/>
        <v>352.8</v>
      </c>
      <c r="L19" s="73">
        <f t="shared" si="3"/>
        <v>176.4</v>
      </c>
      <c r="M19" s="74"/>
      <c r="N19" s="44">
        <f>(J19*'Base Data'!$C$5)+(K19*'Base Data'!$C$6)+(L19*'Base Data'!$C$7)</f>
        <v>383767.02000000008</v>
      </c>
      <c r="O19" s="44">
        <f t="shared" si="4"/>
        <v>2058000</v>
      </c>
      <c r="P19" s="73">
        <v>0</v>
      </c>
      <c r="Q19" s="75" t="s">
        <v>323</v>
      </c>
      <c r="U19" s="144"/>
    </row>
    <row r="20" spans="1:21" s="115" customFormat="1" ht="18.75" customHeight="1">
      <c r="A20" s="259" t="s">
        <v>524</v>
      </c>
      <c r="B20" s="37">
        <v>24</v>
      </c>
      <c r="C20" s="258"/>
      <c r="D20" s="44">
        <v>0</v>
      </c>
      <c r="E20" s="44">
        <f>$E$13+$E$14</f>
        <v>16000</v>
      </c>
      <c r="F20" s="44">
        <v>0</v>
      </c>
      <c r="G20" s="37">
        <v>1</v>
      </c>
      <c r="H20" s="37">
        <f t="shared" si="1"/>
        <v>24</v>
      </c>
      <c r="I20" s="72">
        <v>0</v>
      </c>
      <c r="J20" s="73">
        <f t="shared" si="2"/>
        <v>0</v>
      </c>
      <c r="K20" s="73">
        <f t="shared" si="0"/>
        <v>0</v>
      </c>
      <c r="L20" s="73">
        <f t="shared" si="3"/>
        <v>0</v>
      </c>
      <c r="M20" s="74"/>
      <c r="N20" s="44">
        <f>(J20*'Base Data'!$C$5)+(K20*'Base Data'!$C$6)+(L20*'Base Data'!$C$7)</f>
        <v>0</v>
      </c>
      <c r="O20" s="44">
        <f t="shared" si="4"/>
        <v>0</v>
      </c>
      <c r="P20" s="73">
        <v>0</v>
      </c>
      <c r="Q20" s="75" t="s">
        <v>91</v>
      </c>
    </row>
    <row r="21" spans="1:21" s="115" customFormat="1" ht="9" customHeight="1">
      <c r="A21" s="111" t="s">
        <v>525</v>
      </c>
      <c r="B21" s="37">
        <v>5</v>
      </c>
      <c r="C21" s="37"/>
      <c r="D21" s="44">
        <v>0</v>
      </c>
      <c r="E21" s="44">
        <v>400</v>
      </c>
      <c r="F21" s="44">
        <v>0</v>
      </c>
      <c r="G21" s="37">
        <v>1</v>
      </c>
      <c r="H21" s="37">
        <f t="shared" si="1"/>
        <v>5</v>
      </c>
      <c r="I21" s="72">
        <f>ROUNDDOWN(SUM('Base Data'!$D$43:$D$45)/2,0)</f>
        <v>293</v>
      </c>
      <c r="J21" s="73">
        <f t="shared" si="2"/>
        <v>1465</v>
      </c>
      <c r="K21" s="73">
        <f t="shared" si="0"/>
        <v>146.5</v>
      </c>
      <c r="L21" s="73">
        <f t="shared" si="3"/>
        <v>73.25</v>
      </c>
      <c r="M21" s="74"/>
      <c r="N21" s="44">
        <f>(J21*'Base Data'!$C$5)+(K21*'Base Data'!$C$6)+(L21*'Base Data'!$C$7)</f>
        <v>159359.03749999998</v>
      </c>
      <c r="O21" s="44">
        <f t="shared" si="4"/>
        <v>117200</v>
      </c>
      <c r="P21" s="73">
        <v>0</v>
      </c>
      <c r="Q21" s="75" t="s">
        <v>89</v>
      </c>
      <c r="U21" s="144"/>
    </row>
    <row r="22" spans="1:21" s="115" customFormat="1" ht="9" customHeight="1">
      <c r="A22" s="111" t="s">
        <v>526</v>
      </c>
      <c r="B22" s="37">
        <v>5</v>
      </c>
      <c r="C22" s="37"/>
      <c r="D22" s="44">
        <v>0</v>
      </c>
      <c r="E22" s="44">
        <v>400</v>
      </c>
      <c r="F22" s="44">
        <v>0</v>
      </c>
      <c r="G22" s="37">
        <v>12</v>
      </c>
      <c r="H22" s="37">
        <f t="shared" si="1"/>
        <v>60</v>
      </c>
      <c r="I22" s="72">
        <f>ROUND(SUM('Base Data'!$D$43:$D$45),0)</f>
        <v>587</v>
      </c>
      <c r="J22" s="73">
        <f t="shared" si="2"/>
        <v>35220</v>
      </c>
      <c r="K22" s="73">
        <f t="shared" si="0"/>
        <v>3522</v>
      </c>
      <c r="L22" s="73">
        <f t="shared" si="3"/>
        <v>1761</v>
      </c>
      <c r="M22" s="74"/>
      <c r="N22" s="44">
        <f>(J22*'Base Data'!$C$5)+(K22*'Base Data'!$C$6)+(L22*'Base Data'!$C$7)</f>
        <v>3831143.5500000003</v>
      </c>
      <c r="O22" s="44">
        <f t="shared" si="4"/>
        <v>2817600</v>
      </c>
      <c r="P22" s="73">
        <v>0</v>
      </c>
      <c r="Q22" s="75" t="s">
        <v>89</v>
      </c>
      <c r="U22" s="144"/>
    </row>
    <row r="23" spans="1:21" s="115" customFormat="1" ht="9">
      <c r="A23" s="110" t="s">
        <v>528</v>
      </c>
      <c r="B23" s="37">
        <v>12</v>
      </c>
      <c r="C23" s="37"/>
      <c r="D23" s="44">
        <v>0</v>
      </c>
      <c r="E23" s="44">
        <v>2875</v>
      </c>
      <c r="F23" s="44">
        <v>0</v>
      </c>
      <c r="G23" s="37">
        <v>1</v>
      </c>
      <c r="H23" s="37">
        <f>B23*G23</f>
        <v>12</v>
      </c>
      <c r="I23" s="73">
        <f>ROUNDDOWN(SUM('Base Data'!$D$43:$D$45)/2,0)</f>
        <v>293</v>
      </c>
      <c r="J23" s="72">
        <f>H23*I23</f>
        <v>3516</v>
      </c>
      <c r="K23" s="72">
        <f>J23*0.1</f>
        <v>351.6</v>
      </c>
      <c r="L23" s="72">
        <f>J23*0.05</f>
        <v>175.8</v>
      </c>
      <c r="M23" s="73"/>
      <c r="N23" s="44">
        <f>(J23*'Base Data'!$C$5)+(K23*'Base Data'!$C$6)+(L23*'Base Data'!$C$7)</f>
        <v>382461.69</v>
      </c>
      <c r="O23" s="44">
        <f>(D23+E23+F23)*G23*I23</f>
        <v>842375</v>
      </c>
      <c r="P23" s="73">
        <v>0</v>
      </c>
      <c r="Q23" s="75" t="s">
        <v>493</v>
      </c>
      <c r="R23" s="342"/>
      <c r="T23" s="342"/>
    </row>
    <row r="24" spans="1:21" s="115" customFormat="1" ht="9">
      <c r="A24" s="111" t="s">
        <v>245</v>
      </c>
      <c r="B24" s="37"/>
      <c r="C24" s="37"/>
      <c r="D24" s="44"/>
      <c r="E24" s="44"/>
      <c r="F24" s="44"/>
      <c r="G24" s="37"/>
      <c r="H24" s="37"/>
      <c r="I24" s="73"/>
      <c r="J24" s="73"/>
      <c r="K24" s="73"/>
      <c r="L24" s="73"/>
      <c r="M24" s="74"/>
      <c r="N24" s="44"/>
      <c r="O24" s="44"/>
      <c r="P24" s="73"/>
      <c r="Q24" s="75" t="s">
        <v>508</v>
      </c>
      <c r="U24" s="144"/>
    </row>
    <row r="25" spans="1:21" s="115" customFormat="1" ht="9">
      <c r="A25" s="111" t="s">
        <v>383</v>
      </c>
      <c r="B25" s="37">
        <v>40</v>
      </c>
      <c r="C25" s="37"/>
      <c r="D25" s="44">
        <v>0</v>
      </c>
      <c r="E25" s="44"/>
      <c r="F25" s="44">
        <v>0</v>
      </c>
      <c r="G25" s="37">
        <v>1</v>
      </c>
      <c r="H25" s="37">
        <f>B25*G25</f>
        <v>40</v>
      </c>
      <c r="I25" s="72">
        <f>ROUNDDOWN(SUM('Base Data'!$H$43:$H$45)/2,0)</f>
        <v>35</v>
      </c>
      <c r="J25" s="73">
        <f>H25*I25</f>
        <v>1400</v>
      </c>
      <c r="K25" s="73">
        <f>J25*0.1</f>
        <v>140</v>
      </c>
      <c r="L25" s="73">
        <f>J25*0.05</f>
        <v>70</v>
      </c>
      <c r="M25" s="74"/>
      <c r="N25" s="44">
        <f>(J25*'Base Data'!$C$5)+(K25*'Base Data'!$C$6)+(L25*'Base Data'!$C$7)</f>
        <v>152288.5</v>
      </c>
      <c r="O25" s="44">
        <f>(D25+E25+F25)*G25*I25</f>
        <v>0</v>
      </c>
      <c r="P25" s="73">
        <v>0</v>
      </c>
      <c r="Q25" s="75" t="s">
        <v>339</v>
      </c>
      <c r="U25" s="144"/>
    </row>
    <row r="26" spans="1:21" s="115" customFormat="1" ht="9">
      <c r="A26" s="110" t="s">
        <v>361</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43100</v>
      </c>
      <c r="G27" s="37">
        <v>1</v>
      </c>
      <c r="H27" s="37">
        <f>B27*G27</f>
        <v>10</v>
      </c>
      <c r="I27" s="72">
        <f>ROUNDDOWN(Monitors!$C$8/2,0)</f>
        <v>26</v>
      </c>
      <c r="J27" s="73">
        <f>H27*I27</f>
        <v>260</v>
      </c>
      <c r="K27" s="73">
        <f>J27*0.1</f>
        <v>26</v>
      </c>
      <c r="L27" s="73">
        <f>J27*0.05</f>
        <v>13</v>
      </c>
      <c r="M27" s="74"/>
      <c r="N27" s="44">
        <f>(J27*'Base Data'!$C$5)+(K27*'Base Data'!$C$6)+(L27*'Base Data'!$C$7)</f>
        <v>28282.149999999998</v>
      </c>
      <c r="O27" s="44">
        <f>(D27+E27+F27)*G27*I27</f>
        <v>1120600</v>
      </c>
      <c r="P27" s="73">
        <v>0</v>
      </c>
      <c r="Q27" s="75" t="s">
        <v>339</v>
      </c>
      <c r="U27" s="144"/>
    </row>
    <row r="28" spans="1:21" s="115" customFormat="1" ht="9">
      <c r="A28" s="110" t="s">
        <v>365</v>
      </c>
      <c r="B28" s="37">
        <v>10</v>
      </c>
      <c r="C28" s="37"/>
      <c r="D28" s="44">
        <v>0</v>
      </c>
      <c r="E28" s="44">
        <v>0</v>
      </c>
      <c r="F28" s="44">
        <v>14700</v>
      </c>
      <c r="G28" s="37">
        <v>1</v>
      </c>
      <c r="H28" s="37">
        <f>B28*G28</f>
        <v>10</v>
      </c>
      <c r="I28" s="72">
        <f>ROUNDDOWN(Monitors!$C$8/2,0)</f>
        <v>26</v>
      </c>
      <c r="J28" s="73">
        <f>H28*I28</f>
        <v>260</v>
      </c>
      <c r="K28" s="73">
        <f>J28*0.1</f>
        <v>26</v>
      </c>
      <c r="L28" s="73">
        <f>J28*0.05</f>
        <v>13</v>
      </c>
      <c r="M28" s="74"/>
      <c r="N28" s="44">
        <f>(J28*'Base Data'!$C$5)+(K28*'Base Data'!$C$6)+(L28*'Base Data'!$C$7)</f>
        <v>28282.149999999998</v>
      </c>
      <c r="O28" s="44">
        <f>(D28+E28+F28)*G28*I28</f>
        <v>382200</v>
      </c>
      <c r="P28" s="73">
        <v>0</v>
      </c>
      <c r="Q28" s="75" t="s">
        <v>339</v>
      </c>
      <c r="U28" s="144"/>
    </row>
    <row r="29" spans="1:21" s="115" customFormat="1" ht="9">
      <c r="A29" s="110" t="s">
        <v>310</v>
      </c>
      <c r="B29" s="37"/>
      <c r="C29" s="37"/>
      <c r="D29" s="44"/>
      <c r="E29" s="44"/>
      <c r="F29" s="44"/>
      <c r="G29" s="37"/>
      <c r="H29" s="37"/>
      <c r="I29" s="73"/>
      <c r="J29" s="73"/>
      <c r="K29" s="73"/>
      <c r="L29" s="73"/>
      <c r="M29" s="74"/>
      <c r="N29" s="44"/>
      <c r="O29" s="44"/>
      <c r="P29" s="73"/>
      <c r="Q29" s="75"/>
      <c r="U29" s="144"/>
    </row>
    <row r="30" spans="1:21" s="115" customFormat="1" ht="9">
      <c r="A30" s="110" t="s">
        <v>362</v>
      </c>
      <c r="B30" s="37">
        <v>10</v>
      </c>
      <c r="C30" s="37"/>
      <c r="D30" s="44">
        <v>0</v>
      </c>
      <c r="E30" s="44">
        <v>0</v>
      </c>
      <c r="F30" s="44">
        <v>158000</v>
      </c>
      <c r="G30" s="37">
        <v>1</v>
      </c>
      <c r="H30" s="37">
        <f>B30*G30</f>
        <v>10</v>
      </c>
      <c r="I30" s="72">
        <f>ROUNDUP(Monitors!$H$8/2,0)</f>
        <v>17</v>
      </c>
      <c r="J30" s="73">
        <f>H30*I30</f>
        <v>170</v>
      </c>
      <c r="K30" s="73">
        <f>J30*0.1</f>
        <v>17</v>
      </c>
      <c r="L30" s="73">
        <f>J30*0.05</f>
        <v>8.5</v>
      </c>
      <c r="M30" s="74"/>
      <c r="N30" s="44">
        <f>(J30*'Base Data'!$C$5)+(K30*'Base Data'!$C$6)+(L30*'Base Data'!$C$7)</f>
        <v>18492.174999999999</v>
      </c>
      <c r="O30" s="44">
        <f>(D30+E30+F30)*G30*I30</f>
        <v>2686000</v>
      </c>
      <c r="P30" s="73">
        <v>0</v>
      </c>
      <c r="Q30" s="75" t="s">
        <v>614</v>
      </c>
      <c r="R30" s="342"/>
      <c r="U30" s="144"/>
    </row>
    <row r="31" spans="1:21" s="115" customFormat="1" ht="9">
      <c r="A31" s="110" t="s">
        <v>365</v>
      </c>
      <c r="B31" s="37">
        <v>10</v>
      </c>
      <c r="C31" s="37"/>
      <c r="D31" s="44">
        <v>0</v>
      </c>
      <c r="E31" s="44">
        <v>0</v>
      </c>
      <c r="F31" s="44">
        <v>56100</v>
      </c>
      <c r="G31" s="37">
        <v>1</v>
      </c>
      <c r="H31" s="37">
        <f>B31*G31</f>
        <v>10</v>
      </c>
      <c r="I31" s="72">
        <f>ROUNDUP(Monitors!$H$8/2,0)</f>
        <v>17</v>
      </c>
      <c r="J31" s="73">
        <f>H31*I31</f>
        <v>170</v>
      </c>
      <c r="K31" s="73">
        <f>J31*0.1</f>
        <v>17</v>
      </c>
      <c r="L31" s="73">
        <f>J31*0.05</f>
        <v>8.5</v>
      </c>
      <c r="M31" s="74"/>
      <c r="N31" s="44">
        <f>(J31*'Base Data'!$C$5)+(K31*'Base Data'!$C$6)+(L31*'Base Data'!$C$7)</f>
        <v>18492.174999999999</v>
      </c>
      <c r="O31" s="44">
        <f>(D31+E31+F31)*G31*I31</f>
        <v>953700</v>
      </c>
      <c r="P31" s="73">
        <v>0</v>
      </c>
      <c r="Q31" s="75" t="s">
        <v>614</v>
      </c>
      <c r="R31" s="342"/>
      <c r="U31" s="144"/>
    </row>
    <row r="32" spans="1:21" s="115" customFormat="1" ht="9">
      <c r="A32" s="110" t="s">
        <v>461</v>
      </c>
      <c r="B32" s="37"/>
      <c r="C32" s="37"/>
      <c r="D32" s="44"/>
      <c r="E32" s="44"/>
      <c r="F32" s="44"/>
      <c r="G32" s="37"/>
      <c r="H32" s="37"/>
      <c r="I32" s="72"/>
      <c r="J32" s="73"/>
      <c r="K32" s="73"/>
      <c r="L32" s="73"/>
      <c r="M32" s="74"/>
      <c r="N32" s="44"/>
      <c r="O32" s="44"/>
      <c r="P32" s="73"/>
      <c r="Q32" s="75"/>
    </row>
    <row r="33" spans="1:21" s="115" customFormat="1" ht="9">
      <c r="A33" s="110" t="s">
        <v>362</v>
      </c>
      <c r="B33" s="37">
        <v>10</v>
      </c>
      <c r="C33" s="37"/>
      <c r="D33" s="44">
        <v>0</v>
      </c>
      <c r="E33" s="44">
        <v>0</v>
      </c>
      <c r="F33" s="44">
        <f>Monitors!$F$32</f>
        <v>8523</v>
      </c>
      <c r="G33" s="37">
        <v>1</v>
      </c>
      <c r="H33" s="37">
        <f t="shared" ref="H33:H34" si="5">B33*G33</f>
        <v>10</v>
      </c>
      <c r="I33" s="72">
        <f>ROUNDDOWN(Monitors!$F$8/2,0)</f>
        <v>293</v>
      </c>
      <c r="J33" s="73">
        <f t="shared" ref="J33:J34" si="6">H33*I33</f>
        <v>2930</v>
      </c>
      <c r="K33" s="73">
        <f t="shared" ref="K33:K34" si="7">J33*0.1</f>
        <v>293</v>
      </c>
      <c r="L33" s="73">
        <f t="shared" ref="L33:L34" si="8">J33*0.05</f>
        <v>146.5</v>
      </c>
      <c r="M33" s="74"/>
      <c r="N33" s="44">
        <f>(J33*'Base Data'!$C$5)+(K33*'Base Data'!$C$6)+(L33*'Base Data'!$C$7)</f>
        <v>318718.07499999995</v>
      </c>
      <c r="O33" s="44">
        <f>(D33+E33+F33)*G33*I33</f>
        <v>2497239</v>
      </c>
      <c r="P33" s="73">
        <v>0</v>
      </c>
      <c r="Q33" s="75" t="s">
        <v>339</v>
      </c>
    </row>
    <row r="34" spans="1:21" s="115" customFormat="1" ht="9">
      <c r="A34" s="110" t="s">
        <v>365</v>
      </c>
      <c r="B34" s="37">
        <v>10</v>
      </c>
      <c r="C34" s="37"/>
      <c r="D34" s="44">
        <v>0</v>
      </c>
      <c r="E34" s="44">
        <v>0</v>
      </c>
      <c r="F34" s="44">
        <f>Monitors!$G$32</f>
        <v>1436</v>
      </c>
      <c r="G34" s="37">
        <v>1</v>
      </c>
      <c r="H34" s="37">
        <f t="shared" si="5"/>
        <v>10</v>
      </c>
      <c r="I34" s="72">
        <f>ROUNDDOWN(Monitors!$F$8/2,0)</f>
        <v>293</v>
      </c>
      <c r="J34" s="73">
        <f t="shared" si="6"/>
        <v>2930</v>
      </c>
      <c r="K34" s="73">
        <f t="shared" si="7"/>
        <v>293</v>
      </c>
      <c r="L34" s="73">
        <f t="shared" si="8"/>
        <v>146.5</v>
      </c>
      <c r="M34" s="74"/>
      <c r="N34" s="44">
        <f>(J34*'Base Data'!$C$5)+(K34*'Base Data'!$C$6)+(L34*'Base Data'!$C$7)</f>
        <v>318718.07499999995</v>
      </c>
      <c r="O34" s="44">
        <f>(D34+E34+F34)*G34*I34</f>
        <v>420748</v>
      </c>
      <c r="P34" s="73">
        <v>0</v>
      </c>
      <c r="Q34" s="75" t="s">
        <v>339</v>
      </c>
    </row>
    <row r="35" spans="1:21" s="115" customFormat="1" ht="18">
      <c r="A35" s="111" t="s">
        <v>160</v>
      </c>
      <c r="B35" s="37"/>
      <c r="C35" s="37"/>
      <c r="D35" s="44"/>
      <c r="E35" s="44"/>
      <c r="F35" s="76"/>
      <c r="G35" s="37"/>
      <c r="H35" s="37"/>
      <c r="I35" s="77"/>
      <c r="J35" s="73"/>
      <c r="K35" s="73"/>
      <c r="L35" s="73"/>
      <c r="M35" s="74"/>
      <c r="N35" s="44"/>
      <c r="O35" s="44"/>
      <c r="P35" s="73"/>
      <c r="Q35" s="75"/>
      <c r="U35" s="144"/>
    </row>
    <row r="36" spans="1:21" s="115" customFormat="1" ht="9">
      <c r="A36" s="110" t="s">
        <v>362</v>
      </c>
      <c r="B36" s="37">
        <v>10</v>
      </c>
      <c r="C36" s="37"/>
      <c r="D36" s="44">
        <v>0</v>
      </c>
      <c r="E36" s="44">
        <v>0</v>
      </c>
      <c r="F36" s="44">
        <v>24300</v>
      </c>
      <c r="G36" s="37">
        <v>1</v>
      </c>
      <c r="H36" s="37">
        <f>B36*G36</f>
        <v>10</v>
      </c>
      <c r="I36" s="72">
        <f>ROUNDDOWN(Monitors!$D$8/2,0)</f>
        <v>252</v>
      </c>
      <c r="J36" s="73">
        <f>H36*I36</f>
        <v>2520</v>
      </c>
      <c r="K36" s="73">
        <f>J36*0.1</f>
        <v>252</v>
      </c>
      <c r="L36" s="73">
        <f>J36*0.05</f>
        <v>126</v>
      </c>
      <c r="M36" s="74"/>
      <c r="N36" s="44">
        <f>(J36*'Base Data'!$C$5)+(K36*'Base Data'!$C$6)+(L36*'Base Data'!$C$7)</f>
        <v>274119.3</v>
      </c>
      <c r="O36" s="44">
        <f>(D36+E36+F36)*G36*I36</f>
        <v>6123600</v>
      </c>
      <c r="P36" s="73">
        <v>0</v>
      </c>
      <c r="Q36" s="75" t="s">
        <v>339</v>
      </c>
      <c r="U36" s="144"/>
    </row>
    <row r="37" spans="1:21" s="115" customFormat="1" ht="9">
      <c r="A37" s="110" t="s">
        <v>365</v>
      </c>
      <c r="B37" s="37">
        <v>10</v>
      </c>
      <c r="C37" s="37"/>
      <c r="D37" s="44">
        <v>0</v>
      </c>
      <c r="E37" s="44">
        <v>0</v>
      </c>
      <c r="F37" s="44">
        <v>5600</v>
      </c>
      <c r="G37" s="37">
        <v>1</v>
      </c>
      <c r="H37" s="37">
        <f>B37*G37</f>
        <v>10</v>
      </c>
      <c r="I37" s="72">
        <f>ROUNDDOWN(Monitors!$D$8/2,0)</f>
        <v>252</v>
      </c>
      <c r="J37" s="73">
        <f>H37*I37</f>
        <v>2520</v>
      </c>
      <c r="K37" s="73">
        <f>J37*0.1</f>
        <v>252</v>
      </c>
      <c r="L37" s="73">
        <f>J37*0.05</f>
        <v>126</v>
      </c>
      <c r="M37" s="74"/>
      <c r="N37" s="44">
        <f>(J37*'Base Data'!$C$5)+(K37*'Base Data'!$C$6)+(L37*'Base Data'!$C$7)</f>
        <v>274119.3</v>
      </c>
      <c r="O37" s="44">
        <f>(D37+E37+F37)*G37*I37</f>
        <v>1411200</v>
      </c>
      <c r="P37" s="73">
        <v>0</v>
      </c>
      <c r="Q37" s="75" t="s">
        <v>339</v>
      </c>
      <c r="U37" s="144"/>
    </row>
    <row r="38" spans="1:21" s="115" customFormat="1" ht="18">
      <c r="A38" s="111" t="s">
        <v>425</v>
      </c>
      <c r="B38" s="37"/>
      <c r="C38" s="37"/>
      <c r="D38" s="44"/>
      <c r="E38" s="44"/>
      <c r="F38" s="44"/>
      <c r="G38" s="37"/>
      <c r="H38" s="37"/>
      <c r="I38" s="72"/>
      <c r="J38" s="73"/>
      <c r="K38" s="73"/>
      <c r="L38" s="73"/>
      <c r="M38" s="74"/>
      <c r="N38" s="44"/>
      <c r="O38" s="183"/>
      <c r="P38" s="73"/>
      <c r="Q38" s="75"/>
      <c r="U38" s="144"/>
    </row>
    <row r="39" spans="1:21" s="115" customFormat="1" ht="9">
      <c r="A39" s="110" t="s">
        <v>362</v>
      </c>
      <c r="B39" s="37">
        <v>10</v>
      </c>
      <c r="C39" s="37"/>
      <c r="D39" s="44">
        <v>0</v>
      </c>
      <c r="E39" s="44">
        <v>0</v>
      </c>
      <c r="F39" s="44">
        <f>25500</f>
        <v>25500</v>
      </c>
      <c r="G39" s="37">
        <v>1</v>
      </c>
      <c r="H39" s="37">
        <f>B39*G39</f>
        <v>10</v>
      </c>
      <c r="I39" s="72">
        <f>ROUNDDOWN(Monitors!$B$8/2,0)</f>
        <v>0</v>
      </c>
      <c r="J39" s="73">
        <f>H39*I39</f>
        <v>0</v>
      </c>
      <c r="K39" s="73">
        <f>J39*0.1</f>
        <v>0</v>
      </c>
      <c r="L39" s="73">
        <f>J39*0.05</f>
        <v>0</v>
      </c>
      <c r="M39" s="74"/>
      <c r="N39" s="44">
        <f>(J39*'Base Data'!$C$5)+(K39*'Base Data'!$C$6)+(L39*'Base Data'!$C$7)</f>
        <v>0</v>
      </c>
      <c r="O39" s="44">
        <f>(D39+E39+F39)*G39*I39</f>
        <v>0</v>
      </c>
      <c r="P39" s="73">
        <v>0</v>
      </c>
      <c r="Q39" s="75" t="s">
        <v>339</v>
      </c>
      <c r="U39" s="144"/>
    </row>
    <row r="40" spans="1:21" s="115" customFormat="1" ht="9">
      <c r="A40" s="110" t="s">
        <v>365</v>
      </c>
      <c r="B40" s="37">
        <v>10</v>
      </c>
      <c r="C40" s="37"/>
      <c r="D40" s="44">
        <v>0</v>
      </c>
      <c r="E40" s="44">
        <v>0</v>
      </c>
      <c r="F40" s="44">
        <v>9700</v>
      </c>
      <c r="G40" s="37">
        <v>1</v>
      </c>
      <c r="H40" s="37">
        <f>B40*G40</f>
        <v>10</v>
      </c>
      <c r="I40" s="72">
        <f>ROUNDDOWN(Monitors!$B$8/2,0)</f>
        <v>0</v>
      </c>
      <c r="J40" s="73">
        <f>H40*I40</f>
        <v>0</v>
      </c>
      <c r="K40" s="73">
        <f>J40*0.1</f>
        <v>0</v>
      </c>
      <c r="L40" s="73">
        <f>J40*0.05</f>
        <v>0</v>
      </c>
      <c r="M40" s="74"/>
      <c r="N40" s="44">
        <f>(J40*'Base Data'!$C$5)+(K40*'Base Data'!$C$6)+(L40*'Base Data'!$C$7)</f>
        <v>0</v>
      </c>
      <c r="O40" s="44">
        <f>(D40+E40+F40)*G40*I40</f>
        <v>0</v>
      </c>
      <c r="P40" s="73">
        <v>0</v>
      </c>
      <c r="Q40" s="75" t="s">
        <v>339</v>
      </c>
      <c r="U40" s="144"/>
    </row>
    <row r="41" spans="1:21" s="115" customFormat="1" ht="9">
      <c r="A41" s="111" t="s">
        <v>523</v>
      </c>
      <c r="B41" s="37"/>
      <c r="C41" s="37"/>
      <c r="D41" s="44"/>
      <c r="E41" s="44"/>
      <c r="F41" s="44"/>
      <c r="G41" s="37"/>
      <c r="H41" s="37"/>
      <c r="I41" s="72"/>
      <c r="J41" s="73"/>
      <c r="K41" s="73"/>
      <c r="L41" s="73"/>
      <c r="M41" s="74"/>
      <c r="N41" s="44"/>
      <c r="O41" s="183"/>
      <c r="P41" s="73"/>
      <c r="Q41" s="75"/>
    </row>
    <row r="42" spans="1:21" s="115" customFormat="1" ht="9">
      <c r="A42" s="110" t="s">
        <v>362</v>
      </c>
      <c r="B42" s="37">
        <v>10</v>
      </c>
      <c r="C42" s="37"/>
      <c r="D42" s="44">
        <v>0</v>
      </c>
      <c r="E42" s="44">
        <v>0</v>
      </c>
      <c r="F42" s="44">
        <v>43500</v>
      </c>
      <c r="G42" s="37">
        <v>1</v>
      </c>
      <c r="H42" s="37">
        <f>B42*G42</f>
        <v>10</v>
      </c>
      <c r="I42" s="72">
        <f>ROUNDUP(Monitors!$G$8/2,0)</f>
        <v>27</v>
      </c>
      <c r="J42" s="73">
        <f>H42*I42</f>
        <v>270</v>
      </c>
      <c r="K42" s="73">
        <f>J42*0.1</f>
        <v>27</v>
      </c>
      <c r="L42" s="73">
        <f>J42*0.05</f>
        <v>13.5</v>
      </c>
      <c r="M42" s="74"/>
      <c r="N42" s="44">
        <f>(J42*'Base Data'!$C$5)+(K42*'Base Data'!$C$6)+(L42*'Base Data'!$C$7)</f>
        <v>29369.925000000003</v>
      </c>
      <c r="O42" s="44">
        <f>(D42+E42+F42)*G42*I42</f>
        <v>1174500</v>
      </c>
      <c r="P42" s="73">
        <v>0</v>
      </c>
      <c r="Q42" s="75" t="s">
        <v>339</v>
      </c>
    </row>
    <row r="43" spans="1:21" s="115" customFormat="1" ht="9">
      <c r="A43" s="110" t="s">
        <v>365</v>
      </c>
      <c r="B43" s="37">
        <v>10</v>
      </c>
      <c r="C43" s="37"/>
      <c r="D43" s="44">
        <v>0</v>
      </c>
      <c r="E43" s="44">
        <v>0</v>
      </c>
      <c r="F43" s="44">
        <v>9700</v>
      </c>
      <c r="G43" s="37">
        <v>1</v>
      </c>
      <c r="H43" s="37">
        <f>B43*G43</f>
        <v>10</v>
      </c>
      <c r="I43" s="72">
        <f>ROUNDUP(Monitors!$G$8/2,0)</f>
        <v>27</v>
      </c>
      <c r="J43" s="73">
        <f>H43*I43</f>
        <v>270</v>
      </c>
      <c r="K43" s="73">
        <f>J43*0.1</f>
        <v>27</v>
      </c>
      <c r="L43" s="73">
        <f>J43*0.05</f>
        <v>13.5</v>
      </c>
      <c r="M43" s="74"/>
      <c r="N43" s="44">
        <f>(J43*'Base Data'!$C$5)+(K43*'Base Data'!$C$6)+(L43*'Base Data'!$C$7)</f>
        <v>29369.925000000003</v>
      </c>
      <c r="O43" s="44">
        <f>(D43+E43+F43)*G43*I43</f>
        <v>261900</v>
      </c>
      <c r="P43" s="73">
        <v>0</v>
      </c>
      <c r="Q43" s="75" t="s">
        <v>339</v>
      </c>
    </row>
    <row r="44" spans="1:21" s="115" customFormat="1" ht="18">
      <c r="A44" s="111" t="s">
        <v>161</v>
      </c>
      <c r="B44" s="37"/>
      <c r="C44" s="37"/>
      <c r="D44" s="44"/>
      <c r="E44" s="44"/>
      <c r="F44" s="44"/>
      <c r="G44" s="37"/>
      <c r="H44" s="37"/>
      <c r="I44" s="72"/>
      <c r="J44" s="73"/>
      <c r="K44" s="73"/>
      <c r="L44" s="73"/>
      <c r="M44" s="74"/>
      <c r="N44" s="44"/>
      <c r="O44" s="44"/>
      <c r="P44" s="73"/>
      <c r="Q44" s="75"/>
      <c r="U44" s="144"/>
    </row>
    <row r="45" spans="1:21" s="115" customFormat="1" ht="9">
      <c r="A45" s="110" t="s">
        <v>362</v>
      </c>
      <c r="B45" s="37">
        <v>10</v>
      </c>
      <c r="C45" s="37"/>
      <c r="D45" s="44">
        <v>0</v>
      </c>
      <c r="E45" s="44">
        <v>0</v>
      </c>
      <c r="F45" s="44">
        <v>115000</v>
      </c>
      <c r="G45" s="37">
        <v>1</v>
      </c>
      <c r="H45" s="37">
        <f>B45*G45</f>
        <v>10</v>
      </c>
      <c r="I45" s="72">
        <f>ROUND(Monitors!$E$8,0)</f>
        <v>0</v>
      </c>
      <c r="J45" s="73">
        <f>H45*I45</f>
        <v>0</v>
      </c>
      <c r="K45" s="73">
        <f>J45*0.1</f>
        <v>0</v>
      </c>
      <c r="L45" s="73">
        <f>J45*0.05</f>
        <v>0</v>
      </c>
      <c r="M45" s="74"/>
      <c r="N45" s="44">
        <f>(J45*'Base Data'!$C$5)+(K45*'Base Data'!$C$6)+(L45*'Base Data'!$C$7)</f>
        <v>0</v>
      </c>
      <c r="O45" s="44">
        <f>(D45+E45+F45)*G45*I45</f>
        <v>0</v>
      </c>
      <c r="P45" s="73">
        <v>0</v>
      </c>
      <c r="Q45" s="75" t="s">
        <v>339</v>
      </c>
      <c r="U45" s="144"/>
    </row>
    <row r="46" spans="1:21" s="115" customFormat="1" ht="9">
      <c r="A46" s="110" t="s">
        <v>365</v>
      </c>
      <c r="B46" s="37">
        <v>10</v>
      </c>
      <c r="C46" s="37"/>
      <c r="D46" s="44">
        <v>0</v>
      </c>
      <c r="E46" s="44">
        <v>0</v>
      </c>
      <c r="F46" s="44">
        <v>9700</v>
      </c>
      <c r="G46" s="37">
        <v>1</v>
      </c>
      <c r="H46" s="37">
        <f>B46*G46</f>
        <v>10</v>
      </c>
      <c r="I46" s="72">
        <f>ROUND(Monitors!$E$8,0)</f>
        <v>0</v>
      </c>
      <c r="J46" s="73">
        <f>H46*I46</f>
        <v>0</v>
      </c>
      <c r="K46" s="73">
        <f>J46*0.1</f>
        <v>0</v>
      </c>
      <c r="L46" s="73">
        <f>J46*0.05</f>
        <v>0</v>
      </c>
      <c r="M46" s="74"/>
      <c r="N46" s="44">
        <f>(J46*'Base Data'!$C$5)+(K46*'Base Data'!$C$6)+(L46*'Base Data'!$C$7)</f>
        <v>0</v>
      </c>
      <c r="O46" s="44">
        <f>(D46+E46+F46)*G46*I46</f>
        <v>0</v>
      </c>
      <c r="P46" s="73">
        <v>0</v>
      </c>
      <c r="Q46" s="75" t="s">
        <v>339</v>
      </c>
      <c r="U46" s="144"/>
    </row>
    <row r="47" spans="1:21" s="115" customFormat="1" ht="9">
      <c r="A47" s="110" t="s">
        <v>366</v>
      </c>
      <c r="B47" s="37" t="s">
        <v>384</v>
      </c>
      <c r="C47" s="37"/>
      <c r="D47" s="44"/>
      <c r="E47" s="44"/>
      <c r="F47" s="44"/>
      <c r="G47" s="37"/>
      <c r="H47" s="37"/>
      <c r="I47" s="73"/>
      <c r="J47" s="73"/>
      <c r="K47" s="73"/>
      <c r="L47" s="73"/>
      <c r="M47" s="37"/>
      <c r="N47" s="44"/>
      <c r="O47" s="44"/>
      <c r="P47" s="44"/>
      <c r="Q47" s="75"/>
      <c r="U47" s="144"/>
    </row>
    <row r="48" spans="1:21" s="115" customFormat="1" ht="9">
      <c r="A48" s="110" t="s">
        <v>367</v>
      </c>
      <c r="B48" s="37" t="s">
        <v>384</v>
      </c>
      <c r="C48" s="37"/>
      <c r="D48" s="44"/>
      <c r="E48" s="44"/>
      <c r="F48" s="44"/>
      <c r="G48" s="37"/>
      <c r="H48" s="37"/>
      <c r="I48" s="73"/>
      <c r="J48" s="73"/>
      <c r="K48" s="73"/>
      <c r="L48" s="73"/>
      <c r="M48" s="37"/>
      <c r="N48" s="44"/>
      <c r="O48" s="44"/>
      <c r="P48" s="44"/>
      <c r="Q48" s="75"/>
    </row>
    <row r="49" spans="1:19" s="115" customFormat="1" ht="9">
      <c r="A49" s="110" t="s">
        <v>368</v>
      </c>
      <c r="B49" s="37"/>
      <c r="C49" s="37"/>
      <c r="D49" s="44"/>
      <c r="E49" s="44"/>
      <c r="F49" s="44"/>
      <c r="G49" s="37"/>
      <c r="H49" s="37"/>
      <c r="I49" s="73"/>
      <c r="J49" s="73"/>
      <c r="K49" s="73"/>
      <c r="L49" s="73"/>
      <c r="M49" s="37"/>
      <c r="N49" s="44"/>
      <c r="O49" s="44"/>
      <c r="P49" s="44"/>
      <c r="Q49" s="75"/>
    </row>
    <row r="50" spans="1:19" s="115" customFormat="1" ht="9">
      <c r="A50" s="126" t="s">
        <v>386</v>
      </c>
      <c r="B50" s="37">
        <v>2</v>
      </c>
      <c r="C50" s="37"/>
      <c r="D50" s="44">
        <v>0</v>
      </c>
      <c r="E50" s="44">
        <v>0</v>
      </c>
      <c r="F50" s="44">
        <v>0</v>
      </c>
      <c r="G50" s="37">
        <v>1</v>
      </c>
      <c r="H50" s="37">
        <f>B50*G50</f>
        <v>2</v>
      </c>
      <c r="I50" s="72">
        <v>0</v>
      </c>
      <c r="J50" s="73">
        <f>H50*I50</f>
        <v>0</v>
      </c>
      <c r="K50" s="73">
        <f>J50*0.1</f>
        <v>0</v>
      </c>
      <c r="L50" s="73">
        <f>J50*0.05</f>
        <v>0</v>
      </c>
      <c r="M50" s="37">
        <f>C50*G50*I50</f>
        <v>0</v>
      </c>
      <c r="N50" s="44">
        <f>(J50*'Base Data'!$C$5)+(K50*'Base Data'!$C$6)+(L50*'Base Data'!$C$7)</f>
        <v>0</v>
      </c>
      <c r="O50" s="44">
        <f>(D50+E50+F50)*G50*I50</f>
        <v>0</v>
      </c>
      <c r="P50" s="73">
        <f>G50*I50</f>
        <v>0</v>
      </c>
      <c r="Q50" s="75" t="s">
        <v>338</v>
      </c>
    </row>
    <row r="51" spans="1:19" s="115" customFormat="1" ht="9" customHeight="1">
      <c r="A51" s="126" t="s">
        <v>328</v>
      </c>
      <c r="B51" s="37">
        <v>8</v>
      </c>
      <c r="C51" s="37"/>
      <c r="D51" s="44">
        <v>0</v>
      </c>
      <c r="E51" s="44">
        <v>0</v>
      </c>
      <c r="F51" s="44">
        <v>0</v>
      </c>
      <c r="G51" s="37">
        <v>1</v>
      </c>
      <c r="H51" s="37">
        <f>B51*G51</f>
        <v>8</v>
      </c>
      <c r="I51" s="72">
        <f>ROUND(SUM('Base Data'!$H$43:$H$45),0)</f>
        <v>71</v>
      </c>
      <c r="J51" s="73">
        <f>H51*I51</f>
        <v>568</v>
      </c>
      <c r="K51" s="73">
        <f>J51*0.1</f>
        <v>56.800000000000004</v>
      </c>
      <c r="L51" s="73">
        <f>J51*0.05</f>
        <v>28.400000000000002</v>
      </c>
      <c r="M51" s="37">
        <f>C51*G51*I51</f>
        <v>0</v>
      </c>
      <c r="N51" s="44">
        <f>(J51*'Base Data'!$C$5)+(K51*'Base Data'!$C$6)+(L51*'Base Data'!$C$7)</f>
        <v>61785.62</v>
      </c>
      <c r="O51" s="44">
        <f>(D51+E51+F51)*G51*I51</f>
        <v>0</v>
      </c>
      <c r="P51" s="73">
        <f>G51*I51</f>
        <v>71</v>
      </c>
      <c r="Q51" s="75" t="s">
        <v>339</v>
      </c>
    </row>
    <row r="52" spans="1:19" s="115" customFormat="1" ht="9">
      <c r="A52" s="126" t="s">
        <v>329</v>
      </c>
      <c r="B52" s="37">
        <v>5</v>
      </c>
      <c r="C52" s="37"/>
      <c r="D52" s="44">
        <v>0</v>
      </c>
      <c r="E52" s="44">
        <v>0</v>
      </c>
      <c r="F52" s="44">
        <v>0</v>
      </c>
      <c r="G52" s="37">
        <v>1</v>
      </c>
      <c r="H52" s="37">
        <f>B52*G52</f>
        <v>5</v>
      </c>
      <c r="I52" s="72">
        <f>ROUND(SUM('Base Data'!$H$43:$H$45),0)</f>
        <v>71</v>
      </c>
      <c r="J52" s="73">
        <f>H52*I52</f>
        <v>355</v>
      </c>
      <c r="K52" s="73">
        <f>J52*0.1</f>
        <v>35.5</v>
      </c>
      <c r="L52" s="73">
        <f>J52*0.05</f>
        <v>17.75</v>
      </c>
      <c r="M52" s="37">
        <f>C52*G52*I52</f>
        <v>0</v>
      </c>
      <c r="N52" s="44">
        <f>(J52*'Base Data'!$C$5)+(K52*'Base Data'!$C$6)+(L52*'Base Data'!$C$7)</f>
        <v>38616.012500000004</v>
      </c>
      <c r="O52" s="44">
        <f>(D52+E52+F52)*G52*I52</f>
        <v>0</v>
      </c>
      <c r="P52" s="73">
        <f>G52*I52</f>
        <v>71</v>
      </c>
      <c r="Q52" s="75" t="s">
        <v>339</v>
      </c>
    </row>
    <row r="53" spans="1:19" s="115" customFormat="1" ht="9">
      <c r="A53" s="112" t="s">
        <v>407</v>
      </c>
      <c r="B53" s="37">
        <v>20</v>
      </c>
      <c r="C53" s="37">
        <v>0</v>
      </c>
      <c r="D53" s="44">
        <v>0</v>
      </c>
      <c r="E53" s="44">
        <v>0</v>
      </c>
      <c r="F53" s="44">
        <v>0</v>
      </c>
      <c r="G53" s="37">
        <v>2</v>
      </c>
      <c r="H53" s="37">
        <f>B53*G53</f>
        <v>40</v>
      </c>
      <c r="I53" s="72">
        <f>ROUND(SUM('Base Data'!$H$43:$H$45),0)</f>
        <v>71</v>
      </c>
      <c r="J53" s="73">
        <f>H53*I53</f>
        <v>2840</v>
      </c>
      <c r="K53" s="73">
        <f>J53*0.1</f>
        <v>284</v>
      </c>
      <c r="L53" s="73">
        <f>J53*0.05</f>
        <v>142</v>
      </c>
      <c r="M53" s="73">
        <f>C53*G53*I53</f>
        <v>0</v>
      </c>
      <c r="N53" s="44">
        <f>(J53*'Base Data'!$C$5)+(K53*'Base Data'!$C$6)+(L53*'Base Data'!$C$7)</f>
        <v>308928.10000000003</v>
      </c>
      <c r="O53" s="44">
        <f>(D53+E53+F53)*G53*I53</f>
        <v>0</v>
      </c>
      <c r="P53" s="73">
        <f>G53*I53</f>
        <v>142</v>
      </c>
      <c r="Q53" s="75" t="s">
        <v>339</v>
      </c>
      <c r="R53" s="133"/>
    </row>
    <row r="54" spans="1:19" s="115" customFormat="1" ht="9">
      <c r="A54" s="112" t="s">
        <v>507</v>
      </c>
      <c r="B54" s="37">
        <v>30</v>
      </c>
      <c r="C54" s="37"/>
      <c r="D54" s="44">
        <v>0</v>
      </c>
      <c r="E54" s="44">
        <v>0</v>
      </c>
      <c r="F54" s="44">
        <v>0</v>
      </c>
      <c r="G54" s="37">
        <v>1</v>
      </c>
      <c r="H54" s="37">
        <f>B54*G54</f>
        <v>30</v>
      </c>
      <c r="I54" s="72">
        <v>0</v>
      </c>
      <c r="J54" s="73">
        <f>H54*I54</f>
        <v>0</v>
      </c>
      <c r="K54" s="73">
        <f>J54*0.1</f>
        <v>0</v>
      </c>
      <c r="L54" s="73">
        <f>J54*0.05</f>
        <v>0</v>
      </c>
      <c r="M54" s="73">
        <f>C54*G54*I54</f>
        <v>0</v>
      </c>
      <c r="N54" s="44">
        <f>(J54*'Base Data'!$C$5)+(K54*'Base Data'!$C$6)+(L54*'Base Data'!$C$7)</f>
        <v>0</v>
      </c>
      <c r="O54" s="44">
        <f>(D54+E54+F54)*G54*I54</f>
        <v>0</v>
      </c>
      <c r="P54" s="73">
        <f>G54*I54</f>
        <v>0</v>
      </c>
      <c r="Q54" s="75" t="s">
        <v>17</v>
      </c>
      <c r="R54" s="133"/>
    </row>
    <row r="55" spans="1:19" s="115" customFormat="1" ht="9">
      <c r="A55" s="113" t="s">
        <v>7</v>
      </c>
      <c r="B55" s="37"/>
      <c r="C55" s="37"/>
      <c r="D55" s="44"/>
      <c r="E55" s="44"/>
      <c r="F55" s="44"/>
      <c r="G55" s="37"/>
      <c r="H55" s="37"/>
      <c r="I55" s="72"/>
      <c r="J55" s="73">
        <f t="shared" ref="J55:O55" si="9">SUM(J7:J53)</f>
        <v>72452</v>
      </c>
      <c r="K55" s="73">
        <f t="shared" si="9"/>
        <v>7245.2000000000007</v>
      </c>
      <c r="L55" s="73">
        <f t="shared" si="9"/>
        <v>3622.6000000000004</v>
      </c>
      <c r="M55" s="73">
        <f t="shared" si="9"/>
        <v>0</v>
      </c>
      <c r="N55" s="44">
        <f t="shared" si="9"/>
        <v>7881147.4300000006</v>
      </c>
      <c r="O55" s="44">
        <f t="shared" si="9"/>
        <v>28423330</v>
      </c>
      <c r="P55" s="73">
        <f>SUM(P50:P53)</f>
        <v>284</v>
      </c>
      <c r="Q55" s="75"/>
      <c r="R55" s="118">
        <f>SUM(O7,O10:O23,O28,O31,O34,O37,O40,O46,O43)</f>
        <v>14821391</v>
      </c>
      <c r="S55" s="117">
        <f>SUM(O27,O30,O33,O36,O39,O45,O42)</f>
        <v>13601939</v>
      </c>
    </row>
    <row r="56" spans="1:19" s="115" customFormat="1" ht="9">
      <c r="A56" s="110" t="s">
        <v>382</v>
      </c>
      <c r="B56" s="37"/>
      <c r="C56" s="37"/>
      <c r="D56" s="44"/>
      <c r="E56" s="44"/>
      <c r="F56" s="44"/>
      <c r="G56" s="37"/>
      <c r="H56" s="37"/>
      <c r="I56" s="73"/>
      <c r="J56" s="73"/>
      <c r="K56" s="73"/>
      <c r="L56" s="73"/>
      <c r="M56" s="37"/>
      <c r="N56" s="44"/>
      <c r="O56" s="44"/>
      <c r="P56" s="44"/>
      <c r="Q56" s="75"/>
    </row>
    <row r="57" spans="1:19" s="115" customFormat="1" ht="9">
      <c r="A57" s="110" t="s">
        <v>369</v>
      </c>
      <c r="B57" s="37" t="s">
        <v>373</v>
      </c>
      <c r="C57" s="37"/>
      <c r="D57" s="44"/>
      <c r="E57" s="44"/>
      <c r="F57" s="44"/>
      <c r="G57" s="37"/>
      <c r="H57" s="37"/>
      <c r="I57" s="73"/>
      <c r="J57" s="73"/>
      <c r="K57" s="73"/>
      <c r="L57" s="73"/>
      <c r="M57" s="37"/>
      <c r="N57" s="44"/>
      <c r="O57" s="44"/>
      <c r="P57" s="44"/>
      <c r="Q57" s="75"/>
    </row>
    <row r="58" spans="1:19" s="115" customFormat="1" ht="9">
      <c r="A58" s="110" t="s">
        <v>370</v>
      </c>
      <c r="B58" s="37" t="s">
        <v>384</v>
      </c>
      <c r="C58" s="37"/>
      <c r="D58" s="44"/>
      <c r="E58" s="44"/>
      <c r="F58" s="44"/>
      <c r="G58" s="37"/>
      <c r="H58" s="37"/>
      <c r="I58" s="73"/>
      <c r="J58" s="73"/>
      <c r="K58" s="73"/>
      <c r="L58" s="73"/>
      <c r="M58" s="37"/>
      <c r="N58" s="44"/>
      <c r="O58" s="44"/>
      <c r="P58" s="44"/>
      <c r="Q58" s="75"/>
    </row>
    <row r="59" spans="1:19" s="115" customFormat="1" ht="9">
      <c r="A59" s="110" t="s">
        <v>371</v>
      </c>
      <c r="B59" s="37" t="s">
        <v>384</v>
      </c>
      <c r="C59" s="37"/>
      <c r="D59" s="44"/>
      <c r="E59" s="44"/>
      <c r="F59" s="44"/>
      <c r="G59" s="37"/>
      <c r="H59" s="37"/>
      <c r="I59" s="73"/>
      <c r="J59" s="73"/>
      <c r="K59" s="73"/>
      <c r="L59" s="73"/>
      <c r="M59" s="37"/>
      <c r="N59" s="44"/>
      <c r="O59" s="44"/>
      <c r="P59" s="44"/>
      <c r="Q59" s="75" t="s">
        <v>340</v>
      </c>
    </row>
    <row r="60" spans="1:19" s="115" customFormat="1" ht="9">
      <c r="A60" s="110" t="s">
        <v>372</v>
      </c>
      <c r="B60" s="37"/>
      <c r="C60" s="37"/>
      <c r="D60" s="44"/>
      <c r="E60" s="44"/>
      <c r="F60" s="44"/>
      <c r="G60" s="37"/>
      <c r="H60" s="37"/>
      <c r="I60" s="73"/>
      <c r="J60" s="73"/>
      <c r="K60" s="73"/>
      <c r="L60" s="73"/>
      <c r="M60" s="37"/>
      <c r="N60" s="44"/>
      <c r="O60" s="44"/>
      <c r="P60" s="44"/>
      <c r="Q60" s="75"/>
    </row>
    <row r="61" spans="1:19" s="115" customFormat="1" ht="9.75" customHeight="1">
      <c r="A61" s="110" t="s">
        <v>380</v>
      </c>
      <c r="B61" s="37">
        <v>20</v>
      </c>
      <c r="C61" s="37"/>
      <c r="D61" s="44">
        <v>0</v>
      </c>
      <c r="E61" s="44">
        <v>0</v>
      </c>
      <c r="F61" s="44">
        <v>0</v>
      </c>
      <c r="G61" s="37">
        <v>1</v>
      </c>
      <c r="H61" s="37">
        <f t="shared" ref="H61:H67" si="10">B61*G61</f>
        <v>20</v>
      </c>
      <c r="I61" s="72">
        <f>SUM('Base Data'!$D$43:$D$45)</f>
        <v>587</v>
      </c>
      <c r="J61" s="73">
        <f t="shared" ref="J61:J67" si="11">H61*I61</f>
        <v>11740</v>
      </c>
      <c r="K61" s="73">
        <f t="shared" ref="K61:K67" si="12">J61*0.1</f>
        <v>1174</v>
      </c>
      <c r="L61" s="73">
        <f t="shared" ref="L61:L67" si="13">J61*0.05</f>
        <v>587</v>
      </c>
      <c r="M61" s="37"/>
      <c r="N61" s="44">
        <f>(J61*'Base Data'!$C$5)+(K61*'Base Data'!$C$6)+(L61*'Base Data'!$C$7)</f>
        <v>1277047.8499999999</v>
      </c>
      <c r="O61" s="44">
        <f t="shared" ref="O61:O67" si="14">(D61+E61+F61)*G61*I61</f>
        <v>0</v>
      </c>
      <c r="P61" s="73">
        <v>0</v>
      </c>
      <c r="Q61" s="75" t="s">
        <v>339</v>
      </c>
    </row>
    <row r="62" spans="1:19" s="115" customFormat="1" ht="9">
      <c r="A62" s="111" t="s">
        <v>376</v>
      </c>
      <c r="B62" s="37">
        <v>15</v>
      </c>
      <c r="C62" s="37">
        <v>0</v>
      </c>
      <c r="D62" s="44">
        <v>0</v>
      </c>
      <c r="E62" s="44">
        <v>0</v>
      </c>
      <c r="F62" s="44">
        <v>0</v>
      </c>
      <c r="G62" s="37">
        <v>1</v>
      </c>
      <c r="H62" s="37">
        <f t="shared" si="10"/>
        <v>15</v>
      </c>
      <c r="I62" s="72">
        <f>SUM('Base Data'!$D$43:$D$45)</f>
        <v>587</v>
      </c>
      <c r="J62" s="73">
        <f t="shared" si="11"/>
        <v>8805</v>
      </c>
      <c r="K62" s="73">
        <f t="shared" si="12"/>
        <v>880.5</v>
      </c>
      <c r="L62" s="73">
        <f t="shared" si="13"/>
        <v>440.25</v>
      </c>
      <c r="M62" s="37">
        <f>C62*G62*I62</f>
        <v>0</v>
      </c>
      <c r="N62" s="44">
        <f>(J62*'Base Data'!$C$5)+(K62*'Base Data'!$C$6)+(L62*'Base Data'!$C$7)</f>
        <v>957785.88750000007</v>
      </c>
      <c r="O62" s="44">
        <f t="shared" si="14"/>
        <v>0</v>
      </c>
      <c r="P62" s="73">
        <v>0</v>
      </c>
      <c r="Q62" s="75" t="s">
        <v>339</v>
      </c>
    </row>
    <row r="63" spans="1:19" s="115" customFormat="1" ht="9.75" customHeight="1">
      <c r="A63" s="110" t="s">
        <v>377</v>
      </c>
      <c r="B63" s="37">
        <v>2</v>
      </c>
      <c r="C63" s="37"/>
      <c r="D63" s="44">
        <v>0</v>
      </c>
      <c r="E63" s="44">
        <v>0</v>
      </c>
      <c r="F63" s="44">
        <v>0</v>
      </c>
      <c r="G63" s="37">
        <v>1</v>
      </c>
      <c r="H63" s="37">
        <f t="shared" si="10"/>
        <v>2</v>
      </c>
      <c r="I63" s="72">
        <f>SUM('Base Data'!$D$43:$D$45)</f>
        <v>587</v>
      </c>
      <c r="J63" s="73">
        <f t="shared" si="11"/>
        <v>1174</v>
      </c>
      <c r="K63" s="73">
        <f t="shared" si="12"/>
        <v>117.4</v>
      </c>
      <c r="L63" s="73">
        <f t="shared" si="13"/>
        <v>58.7</v>
      </c>
      <c r="M63" s="37"/>
      <c r="N63" s="44">
        <f>(J63*'Base Data'!$C$5)+(K63*'Base Data'!$C$6)+(L63*'Base Data'!$C$7)</f>
        <v>127704.785</v>
      </c>
      <c r="O63" s="44">
        <f t="shared" si="14"/>
        <v>0</v>
      </c>
      <c r="P63" s="73">
        <v>0</v>
      </c>
      <c r="Q63" s="75" t="s">
        <v>339</v>
      </c>
    </row>
    <row r="64" spans="1:19" s="115" customFormat="1" ht="9">
      <c r="A64" s="111" t="s">
        <v>387</v>
      </c>
      <c r="B64" s="37">
        <v>2</v>
      </c>
      <c r="C64" s="37"/>
      <c r="D64" s="44">
        <v>0</v>
      </c>
      <c r="E64" s="44">
        <v>0</v>
      </c>
      <c r="F64" s="44">
        <v>0</v>
      </c>
      <c r="G64" s="37">
        <v>1</v>
      </c>
      <c r="H64" s="37">
        <f t="shared" si="10"/>
        <v>2</v>
      </c>
      <c r="I64" s="72">
        <f>SUM('Base Data'!$D$43:$D$45)</f>
        <v>587</v>
      </c>
      <c r="J64" s="73">
        <f t="shared" si="11"/>
        <v>1174</v>
      </c>
      <c r="K64" s="73">
        <f t="shared" si="12"/>
        <v>117.4</v>
      </c>
      <c r="L64" s="73">
        <f t="shared" si="13"/>
        <v>58.7</v>
      </c>
      <c r="M64" s="37"/>
      <c r="N64" s="44">
        <f>(J64*'Base Data'!$C$5)+(K64*'Base Data'!$C$6)+(L64*'Base Data'!$C$7)</f>
        <v>127704.785</v>
      </c>
      <c r="O64" s="44">
        <f t="shared" si="14"/>
        <v>0</v>
      </c>
      <c r="P64" s="73">
        <v>0</v>
      </c>
      <c r="Q64" s="75" t="s">
        <v>339</v>
      </c>
    </row>
    <row r="65" spans="1:18" s="115" customFormat="1" ht="9">
      <c r="A65" s="111" t="s">
        <v>388</v>
      </c>
      <c r="B65" s="37">
        <v>2</v>
      </c>
      <c r="C65" s="37">
        <v>0</v>
      </c>
      <c r="D65" s="44">
        <v>0</v>
      </c>
      <c r="E65" s="44">
        <v>0</v>
      </c>
      <c r="F65" s="44">
        <v>0</v>
      </c>
      <c r="G65" s="37">
        <v>2</v>
      </c>
      <c r="H65" s="37">
        <f t="shared" si="10"/>
        <v>4</v>
      </c>
      <c r="I65" s="72">
        <f>SUM('Base Data'!$D$43:$D$45)</f>
        <v>587</v>
      </c>
      <c r="J65" s="73">
        <f t="shared" si="11"/>
        <v>2348</v>
      </c>
      <c r="K65" s="73">
        <f t="shared" si="12"/>
        <v>234.8</v>
      </c>
      <c r="L65" s="73">
        <f t="shared" si="13"/>
        <v>117.4</v>
      </c>
      <c r="M65" s="37">
        <f>C65*G65*I65</f>
        <v>0</v>
      </c>
      <c r="N65" s="44">
        <f>(J65*'Base Data'!$C$5)+(K65*'Base Data'!$C$6)+(L65*'Base Data'!$C$7)</f>
        <v>255409.57</v>
      </c>
      <c r="O65" s="44">
        <f t="shared" si="14"/>
        <v>0</v>
      </c>
      <c r="P65" s="73">
        <v>0</v>
      </c>
      <c r="Q65" s="75" t="s">
        <v>339</v>
      </c>
    </row>
    <row r="66" spans="1:18" s="115" customFormat="1" ht="9">
      <c r="A66" s="111" t="s">
        <v>389</v>
      </c>
      <c r="B66" s="37">
        <v>0.5</v>
      </c>
      <c r="C66" s="37"/>
      <c r="D66" s="44">
        <v>0</v>
      </c>
      <c r="E66" s="44">
        <v>0</v>
      </c>
      <c r="F66" s="44">
        <v>0</v>
      </c>
      <c r="G66" s="37">
        <v>12</v>
      </c>
      <c r="H66" s="37">
        <f t="shared" si="10"/>
        <v>6</v>
      </c>
      <c r="I66" s="72">
        <f>SUM('Base Data'!$D$43:$D$45)</f>
        <v>587</v>
      </c>
      <c r="J66" s="73">
        <f t="shared" si="11"/>
        <v>3522</v>
      </c>
      <c r="K66" s="73">
        <f t="shared" si="12"/>
        <v>352.20000000000005</v>
      </c>
      <c r="L66" s="73">
        <f t="shared" si="13"/>
        <v>176.10000000000002</v>
      </c>
      <c r="M66" s="37"/>
      <c r="N66" s="44">
        <f>(J66*'Base Data'!$C$5)+(K66*'Base Data'!$C$6)+(L66*'Base Data'!$C$7)</f>
        <v>383114.35500000004</v>
      </c>
      <c r="O66" s="44">
        <f t="shared" si="14"/>
        <v>0</v>
      </c>
      <c r="P66" s="73">
        <v>0</v>
      </c>
      <c r="Q66" s="75" t="s">
        <v>339</v>
      </c>
    </row>
    <row r="67" spans="1:18" s="115" customFormat="1" ht="9">
      <c r="A67" s="110" t="s">
        <v>378</v>
      </c>
      <c r="B67" s="37">
        <v>40</v>
      </c>
      <c r="C67" s="37"/>
      <c r="D67" s="44">
        <v>0</v>
      </c>
      <c r="E67" s="44">
        <v>0</v>
      </c>
      <c r="F67" s="44">
        <v>0</v>
      </c>
      <c r="G67" s="37">
        <v>1</v>
      </c>
      <c r="H67" s="37">
        <f t="shared" si="10"/>
        <v>40</v>
      </c>
      <c r="I67" s="72">
        <f>ROUNDDOWN(SUM('Base Data'!$H$43:$H$45)/2,0)</f>
        <v>35</v>
      </c>
      <c r="J67" s="73">
        <f t="shared" si="11"/>
        <v>1400</v>
      </c>
      <c r="K67" s="73">
        <f t="shared" si="12"/>
        <v>140</v>
      </c>
      <c r="L67" s="73">
        <f t="shared" si="13"/>
        <v>70</v>
      </c>
      <c r="M67" s="37"/>
      <c r="N67" s="44">
        <f>(J67*'Base Data'!$C$5)+(K67*'Base Data'!$C$6)+(L67*'Base Data'!$C$7)</f>
        <v>152288.5</v>
      </c>
      <c r="O67" s="44">
        <f t="shared" si="14"/>
        <v>0</v>
      </c>
      <c r="P67" s="73">
        <v>0</v>
      </c>
      <c r="Q67" s="75" t="s">
        <v>490</v>
      </c>
    </row>
    <row r="68" spans="1:18" s="115" customFormat="1" ht="9">
      <c r="A68" s="114" t="s">
        <v>379</v>
      </c>
      <c r="B68" s="37" t="s">
        <v>384</v>
      </c>
      <c r="C68" s="37"/>
      <c r="D68" s="44"/>
      <c r="E68" s="44"/>
      <c r="F68" s="44"/>
      <c r="G68" s="37"/>
      <c r="H68" s="37"/>
      <c r="I68" s="73"/>
      <c r="J68" s="73"/>
      <c r="K68" s="73"/>
      <c r="L68" s="73"/>
      <c r="M68" s="37"/>
      <c r="N68" s="44"/>
      <c r="O68" s="44"/>
      <c r="P68" s="44"/>
      <c r="Q68" s="75"/>
    </row>
    <row r="69" spans="1:18" s="115" customFormat="1" ht="9">
      <c r="A69" s="129" t="s">
        <v>26</v>
      </c>
      <c r="B69" s="184"/>
      <c r="C69" s="184"/>
      <c r="D69" s="185"/>
      <c r="E69" s="185"/>
      <c r="F69" s="185"/>
      <c r="G69" s="184"/>
      <c r="H69" s="184"/>
      <c r="I69" s="186"/>
      <c r="J69" s="186">
        <f t="shared" ref="J69:O69" si="15">SUM(J57:J68)</f>
        <v>30163</v>
      </c>
      <c r="K69" s="186">
        <f t="shared" si="15"/>
        <v>3016.3</v>
      </c>
      <c r="L69" s="186">
        <f t="shared" si="15"/>
        <v>1508.15</v>
      </c>
      <c r="M69" s="185">
        <f t="shared" si="15"/>
        <v>0</v>
      </c>
      <c r="N69" s="185">
        <f t="shared" si="15"/>
        <v>3281055.7324999999</v>
      </c>
      <c r="O69" s="185">
        <f t="shared" si="15"/>
        <v>0</v>
      </c>
      <c r="P69" s="186">
        <f t="shared" ref="P69" si="16">SUM(P57:P68)</f>
        <v>0</v>
      </c>
      <c r="Q69" s="187"/>
      <c r="R69" s="44">
        <f>SUM(R57:R68)</f>
        <v>0</v>
      </c>
    </row>
    <row r="70" spans="1:18" s="134" customFormat="1">
      <c r="A70" s="135" t="s">
        <v>351</v>
      </c>
      <c r="B70" s="136"/>
      <c r="C70" s="136"/>
      <c r="D70" s="136"/>
      <c r="E70" s="136"/>
      <c r="F70" s="137"/>
      <c r="G70" s="136"/>
      <c r="H70" s="136"/>
      <c r="I70" s="138"/>
      <c r="J70" s="139">
        <f t="shared" ref="J70:P70" si="17">J55+J69</f>
        <v>102615</v>
      </c>
      <c r="K70" s="139">
        <f t="shared" si="17"/>
        <v>10261.5</v>
      </c>
      <c r="L70" s="139">
        <f t="shared" si="17"/>
        <v>5130.75</v>
      </c>
      <c r="M70" s="140">
        <f t="shared" si="17"/>
        <v>0</v>
      </c>
      <c r="N70" s="140">
        <f t="shared" si="17"/>
        <v>11162203.162500001</v>
      </c>
      <c r="O70" s="140">
        <f t="shared" si="17"/>
        <v>28423330</v>
      </c>
      <c r="P70" s="139">
        <f t="shared" si="17"/>
        <v>284</v>
      </c>
      <c r="Q70" s="141"/>
    </row>
    <row r="71" spans="1:18" ht="6" customHeight="1"/>
    <row r="72" spans="1:18" s="45" customFormat="1" ht="9">
      <c r="A72" s="45" t="s">
        <v>341</v>
      </c>
      <c r="B72" s="48"/>
      <c r="C72" s="48"/>
      <c r="D72" s="48"/>
      <c r="E72" s="48"/>
      <c r="F72" s="48"/>
      <c r="G72" s="48"/>
      <c r="H72" s="48"/>
      <c r="I72" s="49"/>
      <c r="J72" s="48"/>
      <c r="K72" s="48"/>
      <c r="L72" s="48"/>
      <c r="M72" s="48"/>
      <c r="N72" s="48"/>
      <c r="O72" s="146"/>
      <c r="P72" s="146"/>
      <c r="Q72" s="48"/>
    </row>
    <row r="73" spans="1:18" s="45" customFormat="1" ht="18" customHeight="1">
      <c r="A73" s="494" t="s">
        <v>547</v>
      </c>
      <c r="B73" s="494"/>
      <c r="C73" s="494"/>
      <c r="D73" s="494"/>
      <c r="E73" s="494"/>
      <c r="F73" s="494"/>
      <c r="G73" s="494"/>
      <c r="H73" s="494"/>
      <c r="I73" s="494"/>
      <c r="J73" s="494"/>
      <c r="K73" s="494"/>
      <c r="L73" s="494"/>
      <c r="M73" s="494"/>
      <c r="N73" s="494"/>
      <c r="O73" s="494"/>
      <c r="P73" s="459"/>
      <c r="Q73" s="48"/>
    </row>
    <row r="74" spans="1:18" s="45" customFormat="1" ht="26.25" customHeight="1">
      <c r="A74" s="494" t="s">
        <v>2</v>
      </c>
      <c r="B74" s="494"/>
      <c r="C74" s="494"/>
      <c r="D74" s="494"/>
      <c r="E74" s="494"/>
      <c r="F74" s="494"/>
      <c r="G74" s="494"/>
      <c r="H74" s="494"/>
      <c r="I74" s="494"/>
      <c r="J74" s="494"/>
      <c r="K74" s="494"/>
      <c r="L74" s="494"/>
      <c r="M74" s="494"/>
      <c r="N74" s="494"/>
      <c r="O74" s="494"/>
      <c r="P74" s="459"/>
      <c r="Q74" s="48"/>
    </row>
    <row r="75" spans="1:18" s="45" customFormat="1" ht="18" customHeight="1">
      <c r="A75" s="494" t="s">
        <v>94</v>
      </c>
      <c r="B75" s="494"/>
      <c r="C75" s="494"/>
      <c r="D75" s="494"/>
      <c r="E75" s="494"/>
      <c r="F75" s="494"/>
      <c r="G75" s="494"/>
      <c r="H75" s="494"/>
      <c r="I75" s="494"/>
      <c r="J75" s="494"/>
      <c r="K75" s="494"/>
      <c r="L75" s="494"/>
      <c r="M75" s="494"/>
      <c r="N75" s="494"/>
      <c r="O75" s="494"/>
      <c r="P75" s="494"/>
      <c r="Q75" s="494"/>
    </row>
    <row r="76" spans="1:18" s="45" customFormat="1" ht="9" customHeight="1">
      <c r="A76" s="45" t="s">
        <v>392</v>
      </c>
      <c r="B76" s="48"/>
      <c r="C76" s="48"/>
      <c r="D76" s="48"/>
      <c r="E76" s="48"/>
      <c r="F76" s="48"/>
      <c r="G76" s="48"/>
      <c r="H76" s="48"/>
      <c r="I76" s="49"/>
      <c r="J76" s="48"/>
      <c r="K76" s="48"/>
      <c r="L76" s="48"/>
      <c r="M76" s="48"/>
      <c r="N76" s="48"/>
      <c r="O76" s="146"/>
      <c r="P76" s="146"/>
      <c r="Q76" s="48"/>
    </row>
    <row r="77" spans="1:18" s="45" customFormat="1" ht="9" customHeight="1">
      <c r="A77" s="494" t="s">
        <v>486</v>
      </c>
      <c r="B77" s="494"/>
      <c r="C77" s="494"/>
      <c r="D77" s="494"/>
      <c r="E77" s="494"/>
      <c r="F77" s="494"/>
      <c r="G77" s="494"/>
      <c r="H77" s="494"/>
      <c r="I77" s="494"/>
      <c r="J77" s="494"/>
      <c r="K77" s="494"/>
      <c r="L77" s="494"/>
      <c r="M77" s="494"/>
      <c r="N77" s="48"/>
      <c r="O77" s="146"/>
      <c r="P77" s="146"/>
      <c r="Q77" s="48"/>
    </row>
    <row r="78" spans="1:18" s="45" customFormat="1" ht="9">
      <c r="A78" s="45" t="s">
        <v>475</v>
      </c>
      <c r="B78" s="48"/>
      <c r="C78" s="48"/>
      <c r="D78" s="48"/>
      <c r="E78" s="48"/>
      <c r="F78" s="48"/>
      <c r="G78" s="48"/>
      <c r="H78" s="48"/>
      <c r="I78" s="49"/>
      <c r="J78" s="48"/>
      <c r="K78" s="48"/>
      <c r="L78" s="48"/>
      <c r="M78" s="48"/>
      <c r="N78" s="48"/>
      <c r="O78" s="146"/>
      <c r="P78" s="146"/>
      <c r="Q78" s="48"/>
    </row>
    <row r="79" spans="1:18" s="45" customFormat="1" ht="9">
      <c r="A79" s="45" t="s">
        <v>607</v>
      </c>
      <c r="B79" s="48"/>
      <c r="C79" s="48"/>
      <c r="D79" s="48"/>
      <c r="E79" s="48"/>
      <c r="F79" s="48"/>
      <c r="G79" s="48"/>
      <c r="H79" s="48"/>
      <c r="I79" s="49"/>
      <c r="J79" s="48"/>
      <c r="K79" s="48"/>
      <c r="L79" s="48"/>
      <c r="M79" s="48"/>
      <c r="N79" s="48"/>
      <c r="O79" s="146"/>
      <c r="P79" s="146"/>
      <c r="Q79" s="48"/>
    </row>
    <row r="80" spans="1:18" s="45" customFormat="1" ht="19.5" customHeight="1">
      <c r="A80" s="494" t="s">
        <v>324</v>
      </c>
      <c r="B80" s="494"/>
      <c r="C80" s="494"/>
      <c r="D80" s="494"/>
      <c r="E80" s="494"/>
      <c r="F80" s="494"/>
      <c r="G80" s="494"/>
      <c r="H80" s="494"/>
      <c r="I80" s="494"/>
      <c r="J80" s="494"/>
      <c r="K80" s="494"/>
      <c r="L80" s="494"/>
      <c r="M80" s="494"/>
      <c r="N80" s="494"/>
      <c r="O80" s="494"/>
      <c r="P80" s="146"/>
      <c r="Q80" s="48"/>
    </row>
    <row r="81" spans="1:17" s="45" customFormat="1" ht="9">
      <c r="A81" s="45" t="s">
        <v>489</v>
      </c>
      <c r="B81" s="48"/>
      <c r="C81" s="48"/>
      <c r="D81" s="48"/>
      <c r="E81" s="48"/>
      <c r="F81" s="48"/>
      <c r="G81" s="48"/>
      <c r="H81" s="48"/>
      <c r="I81" s="49"/>
      <c r="J81" s="48"/>
      <c r="K81" s="48"/>
      <c r="L81" s="48"/>
      <c r="M81" s="48"/>
      <c r="N81" s="48"/>
      <c r="O81" s="146"/>
      <c r="P81" s="146"/>
      <c r="Q81" s="48"/>
    </row>
    <row r="82" spans="1:17" s="45" customFormat="1" ht="9">
      <c r="A82" s="94" t="s">
        <v>514</v>
      </c>
      <c r="B82" s="48"/>
      <c r="C82" s="48"/>
      <c r="D82" s="48"/>
      <c r="E82" s="48"/>
      <c r="F82" s="48"/>
      <c r="G82" s="48"/>
      <c r="H82" s="48"/>
      <c r="I82" s="49"/>
      <c r="J82" s="48"/>
      <c r="K82" s="48"/>
      <c r="L82" s="48"/>
      <c r="M82" s="48"/>
      <c r="N82" s="48"/>
      <c r="O82" s="146"/>
      <c r="P82" s="146"/>
      <c r="Q82" s="48"/>
    </row>
    <row r="83" spans="1:17" s="45" customFormat="1" ht="9">
      <c r="A83" s="45" t="s">
        <v>558</v>
      </c>
      <c r="B83" s="48"/>
      <c r="C83" s="48"/>
      <c r="D83" s="48"/>
      <c r="E83" s="48"/>
      <c r="F83" s="48"/>
      <c r="G83" s="48"/>
      <c r="H83" s="48"/>
      <c r="I83" s="49"/>
      <c r="J83" s="48"/>
      <c r="K83" s="48"/>
      <c r="L83" s="48"/>
      <c r="M83" s="48"/>
      <c r="N83" s="48"/>
      <c r="O83" s="146"/>
      <c r="P83" s="146"/>
      <c r="Q83" s="48"/>
    </row>
    <row r="84" spans="1:17" s="45" customFormat="1" ht="9">
      <c r="A84" s="45" t="s">
        <v>616</v>
      </c>
      <c r="B84" s="48"/>
      <c r="C84" s="48"/>
      <c r="D84" s="48"/>
      <c r="E84" s="48"/>
      <c r="F84" s="48"/>
      <c r="G84" s="48"/>
      <c r="H84" s="48"/>
      <c r="I84" s="49"/>
      <c r="J84" s="48"/>
      <c r="K84" s="48"/>
      <c r="L84" s="48"/>
      <c r="M84" s="48"/>
      <c r="N84" s="48"/>
      <c r="O84" s="146"/>
      <c r="P84" s="146"/>
      <c r="Q84" s="48"/>
    </row>
    <row r="85" spans="1:17" s="45" customFormat="1" ht="9">
      <c r="A85" s="494" t="s">
        <v>664</v>
      </c>
      <c r="B85" s="494"/>
      <c r="C85" s="494"/>
      <c r="D85" s="494"/>
      <c r="E85" s="494"/>
      <c r="F85" s="494"/>
      <c r="G85" s="494"/>
      <c r="H85" s="494"/>
      <c r="I85" s="494"/>
      <c r="J85" s="494"/>
      <c r="K85" s="494"/>
      <c r="L85" s="494"/>
      <c r="M85" s="494"/>
      <c r="N85" s="494"/>
      <c r="O85" s="494"/>
      <c r="P85" s="494"/>
      <c r="Q85" s="494"/>
    </row>
    <row r="86" spans="1:17" s="45" customFormat="1" ht="9">
      <c r="A86" s="494"/>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B88" s="48"/>
      <c r="C88" s="48"/>
      <c r="D88" s="48"/>
      <c r="E88" s="48"/>
      <c r="F88" s="48"/>
      <c r="G88" s="48"/>
      <c r="H88" s="48"/>
      <c r="I88" s="49"/>
      <c r="J88" s="48"/>
      <c r="K88" s="48"/>
      <c r="L88" s="48"/>
      <c r="M88" s="48"/>
      <c r="N88" s="48"/>
      <c r="O88" s="146"/>
      <c r="P88" s="146"/>
      <c r="Q88" s="48"/>
    </row>
    <row r="89" spans="1:17" s="45" customFormat="1" ht="9">
      <c r="B89" s="48"/>
      <c r="C89" s="48"/>
      <c r="D89" s="48"/>
      <c r="E89" s="48"/>
      <c r="F89" s="48"/>
      <c r="G89" s="48"/>
      <c r="H89" s="48"/>
      <c r="I89" s="49"/>
      <c r="J89" s="48"/>
      <c r="K89" s="48"/>
      <c r="L89" s="48"/>
      <c r="M89" s="48"/>
      <c r="N89" s="48"/>
      <c r="O89" s="146"/>
      <c r="P89" s="146"/>
      <c r="Q89" s="48"/>
    </row>
    <row r="90" spans="1:17" s="45" customFormat="1" ht="9">
      <c r="B90" s="48"/>
      <c r="C90" s="48"/>
      <c r="D90" s="48"/>
      <c r="E90" s="48"/>
      <c r="F90" s="48"/>
      <c r="G90" s="48"/>
      <c r="H90" s="48"/>
      <c r="I90" s="49"/>
      <c r="J90" s="48"/>
      <c r="K90" s="48"/>
      <c r="L90" s="48"/>
      <c r="M90" s="48"/>
      <c r="N90" s="48"/>
      <c r="O90" s="146"/>
      <c r="P90" s="146"/>
      <c r="Q90" s="48"/>
    </row>
    <row r="91" spans="1:17" s="45" customFormat="1" ht="9">
      <c r="B91" s="48"/>
      <c r="C91" s="48"/>
      <c r="D91" s="48"/>
      <c r="E91" s="48"/>
      <c r="F91" s="48"/>
      <c r="G91" s="48"/>
      <c r="H91" s="48"/>
      <c r="I91" s="49"/>
      <c r="J91" s="48"/>
      <c r="K91" s="48"/>
      <c r="L91" s="48"/>
      <c r="M91" s="48"/>
      <c r="N91" s="48"/>
      <c r="O91" s="146"/>
      <c r="P91" s="146"/>
      <c r="Q91" s="48"/>
    </row>
    <row r="92" spans="1:17" s="45" customFormat="1" ht="9">
      <c r="B92" s="48"/>
      <c r="C92" s="48"/>
      <c r="D92" s="48"/>
      <c r="E92" s="48"/>
      <c r="F92" s="48"/>
      <c r="G92" s="48"/>
      <c r="H92" s="48"/>
      <c r="I92" s="49"/>
      <c r="J92" s="48"/>
      <c r="K92" s="48"/>
      <c r="L92" s="48"/>
      <c r="M92" s="48"/>
      <c r="N92" s="48"/>
      <c r="O92" s="146"/>
      <c r="P92" s="146"/>
      <c r="Q92" s="48"/>
    </row>
    <row r="93" spans="1:17" s="45" customFormat="1" ht="9">
      <c r="B93" s="48"/>
      <c r="C93" s="48"/>
      <c r="D93" s="48"/>
      <c r="E93" s="48"/>
      <c r="F93" s="48"/>
      <c r="G93" s="48"/>
      <c r="H93" s="48"/>
      <c r="I93" s="49"/>
      <c r="J93" s="48"/>
      <c r="K93" s="48"/>
      <c r="L93" s="48"/>
      <c r="M93" s="48"/>
      <c r="N93" s="48"/>
      <c r="O93" s="146"/>
      <c r="P93" s="146"/>
      <c r="Q93" s="48"/>
    </row>
    <row r="94" spans="1:17" s="45" customFormat="1" ht="9">
      <c r="B94" s="48"/>
      <c r="C94" s="48"/>
      <c r="D94" s="48"/>
      <c r="E94" s="48"/>
      <c r="F94" s="48"/>
      <c r="G94" s="48"/>
      <c r="H94" s="48"/>
      <c r="I94" s="49"/>
      <c r="J94" s="48"/>
      <c r="K94" s="48"/>
      <c r="L94" s="48"/>
      <c r="M94" s="48"/>
      <c r="N94" s="48"/>
      <c r="O94" s="146"/>
      <c r="P94" s="146"/>
      <c r="Q94" s="48"/>
    </row>
    <row r="95" spans="1:17" s="45" customFormat="1" ht="9">
      <c r="B95" s="48"/>
      <c r="C95" s="48"/>
      <c r="D95" s="48"/>
      <c r="E95" s="48"/>
      <c r="F95" s="48"/>
      <c r="G95" s="48"/>
      <c r="H95" s="48"/>
      <c r="I95" s="49"/>
      <c r="J95" s="48"/>
      <c r="K95" s="48"/>
      <c r="L95" s="48"/>
      <c r="M95" s="48"/>
      <c r="N95" s="48"/>
      <c r="O95" s="146"/>
      <c r="P95" s="146"/>
      <c r="Q95" s="48"/>
    </row>
    <row r="96" spans="1: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ht="9">
      <c r="B116" s="48"/>
      <c r="C116" s="48"/>
      <c r="D116" s="48"/>
      <c r="E116" s="48"/>
      <c r="F116" s="48"/>
      <c r="G116" s="48"/>
      <c r="H116" s="48"/>
      <c r="I116" s="49"/>
      <c r="J116" s="48"/>
      <c r="K116" s="48"/>
      <c r="L116" s="48"/>
      <c r="M116" s="48"/>
      <c r="N116" s="48"/>
      <c r="O116" s="146"/>
      <c r="P116" s="146"/>
      <c r="Q116" s="48"/>
    </row>
    <row r="117" spans="2:17" s="45" customFormat="1" ht="9">
      <c r="B117" s="48"/>
      <c r="C117" s="48"/>
      <c r="D117" s="48"/>
      <c r="E117" s="48"/>
      <c r="F117" s="48"/>
      <c r="G117" s="48"/>
      <c r="H117" s="48"/>
      <c r="I117" s="49"/>
      <c r="J117" s="48"/>
      <c r="K117" s="48"/>
      <c r="L117" s="48"/>
      <c r="M117" s="48"/>
      <c r="N117" s="48"/>
      <c r="O117" s="146"/>
      <c r="P117" s="146"/>
      <c r="Q117" s="48"/>
    </row>
    <row r="118" spans="2:17" s="45" customFormat="1" ht="9">
      <c r="B118" s="48"/>
      <c r="C118" s="48"/>
      <c r="D118" s="48"/>
      <c r="E118" s="48"/>
      <c r="F118" s="48"/>
      <c r="G118" s="48"/>
      <c r="H118" s="48"/>
      <c r="I118" s="49"/>
      <c r="J118" s="48"/>
      <c r="K118" s="48"/>
      <c r="L118" s="48"/>
      <c r="M118" s="48"/>
      <c r="N118" s="48"/>
      <c r="O118" s="146"/>
      <c r="P118" s="146"/>
      <c r="Q118" s="48"/>
    </row>
    <row r="119" spans="2:17" s="45" customFormat="1" ht="9">
      <c r="B119" s="48"/>
      <c r="C119" s="48"/>
      <c r="D119" s="48"/>
      <c r="E119" s="48"/>
      <c r="F119" s="48"/>
      <c r="G119" s="48"/>
      <c r="H119" s="48"/>
      <c r="I119" s="49"/>
      <c r="J119" s="48"/>
      <c r="K119" s="48"/>
      <c r="L119" s="48"/>
      <c r="M119" s="48"/>
      <c r="N119" s="48"/>
      <c r="O119" s="146"/>
      <c r="P119" s="146"/>
      <c r="Q119" s="48"/>
    </row>
    <row r="120" spans="2:17" s="45" customFormat="1" ht="9">
      <c r="B120" s="48"/>
      <c r="C120" s="48"/>
      <c r="D120" s="48"/>
      <c r="E120" s="48"/>
      <c r="F120" s="48"/>
      <c r="G120" s="48"/>
      <c r="H120" s="48"/>
      <c r="I120" s="49"/>
      <c r="J120" s="48"/>
      <c r="K120" s="48"/>
      <c r="L120" s="48"/>
      <c r="M120" s="48"/>
      <c r="N120" s="48"/>
      <c r="O120" s="146"/>
      <c r="P120" s="146"/>
      <c r="Q120" s="48"/>
    </row>
    <row r="121" spans="2:17" s="45" customFormat="1" ht="9">
      <c r="B121" s="48"/>
      <c r="C121" s="48"/>
      <c r="D121" s="48"/>
      <c r="E121" s="48"/>
      <c r="F121" s="48"/>
      <c r="G121" s="48"/>
      <c r="H121" s="48"/>
      <c r="I121" s="49"/>
      <c r="J121" s="48"/>
      <c r="K121" s="48"/>
      <c r="L121" s="48"/>
      <c r="M121" s="48"/>
      <c r="N121" s="48"/>
      <c r="O121" s="146"/>
      <c r="P121" s="146"/>
      <c r="Q121" s="48"/>
    </row>
    <row r="122" spans="2:17" s="45" customFormat="1" ht="9">
      <c r="B122" s="48"/>
      <c r="C122" s="48"/>
      <c r="D122" s="48"/>
      <c r="E122" s="48"/>
      <c r="F122" s="48"/>
      <c r="G122" s="48"/>
      <c r="H122" s="48"/>
      <c r="I122" s="49"/>
      <c r="J122" s="48"/>
      <c r="K122" s="48"/>
      <c r="L122" s="48"/>
      <c r="M122" s="48"/>
      <c r="N122" s="48"/>
      <c r="O122" s="146"/>
      <c r="P122" s="146"/>
      <c r="Q122" s="48"/>
    </row>
    <row r="123" spans="2:17" s="45" customFormat="1" ht="9">
      <c r="B123" s="48"/>
      <c r="C123" s="48"/>
      <c r="D123" s="48"/>
      <c r="E123" s="48"/>
      <c r="F123" s="48"/>
      <c r="G123" s="48"/>
      <c r="H123" s="48"/>
      <c r="I123" s="49"/>
      <c r="J123" s="48"/>
      <c r="K123" s="48"/>
      <c r="L123" s="48"/>
      <c r="M123" s="48"/>
      <c r="N123" s="48"/>
      <c r="O123" s="146"/>
      <c r="P123" s="146"/>
      <c r="Q123" s="48"/>
    </row>
    <row r="124" spans="2:17">
      <c r="P124" s="146"/>
    </row>
    <row r="125" spans="2:17">
      <c r="P125" s="146"/>
    </row>
  </sheetData>
  <mergeCells count="8">
    <mergeCell ref="A85:Q87"/>
    <mergeCell ref="A80:O80"/>
    <mergeCell ref="A77:M77"/>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ignoredErrors>
    <ignoredError sqref="I22" formula="1"/>
  </ignoredErrors>
</worksheet>
</file>

<file path=xl/worksheets/sheet16.xml><?xml version="1.0" encoding="utf-8"?>
<worksheet xmlns="http://schemas.openxmlformats.org/spreadsheetml/2006/main" xmlns:r="http://schemas.openxmlformats.org/officeDocument/2006/relationships">
  <sheetPr>
    <pageSetUpPr fitToPage="1"/>
  </sheetPr>
  <dimension ref="A1:S13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D14" sqref="D14"/>
    </sheetView>
  </sheetViews>
  <sheetFormatPr defaultRowHeight="11.25"/>
  <cols>
    <col min="1" max="1" width="37.42578125" style="88" customWidth="1"/>
    <col min="2" max="2" width="8.85546875" style="46" bestFit="1" customWidth="1"/>
    <col min="3" max="3" width="8" style="46" hidden="1" customWidth="1"/>
    <col min="4" max="4" width="8.42578125" style="46" bestFit="1" customWidth="1"/>
    <col min="5" max="5" width="8.85546875" style="46" bestFit="1" customWidth="1"/>
    <col min="6" max="6" width="7.85546875" style="46" customWidth="1"/>
    <col min="7" max="7" width="9.28515625" style="46" bestFit="1" customWidth="1"/>
    <col min="8" max="8" width="8.28515625" style="46" customWidth="1"/>
    <col min="9" max="9" width="9.42578125" style="47" bestFit="1" customWidth="1"/>
    <col min="10" max="11" width="6.85546875" style="46" bestFit="1" customWidth="1"/>
    <col min="12" max="12" width="8.8554687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9.140625" style="88" hidden="1" customWidth="1"/>
    <col min="20" max="16384" width="9.140625" style="88"/>
  </cols>
  <sheetData>
    <row r="1" spans="1:19">
      <c r="A1" s="496" t="s">
        <v>171</v>
      </c>
      <c r="B1" s="496"/>
      <c r="C1" s="496"/>
      <c r="D1" s="496"/>
      <c r="E1" s="496"/>
      <c r="F1" s="496"/>
      <c r="G1" s="496"/>
      <c r="H1" s="496"/>
      <c r="I1" s="496"/>
      <c r="J1" s="496"/>
      <c r="K1" s="496"/>
      <c r="L1" s="496"/>
      <c r="M1" s="496"/>
      <c r="N1" s="496"/>
      <c r="O1" s="496"/>
      <c r="P1" s="496"/>
      <c r="Q1" s="496"/>
    </row>
    <row r="2" spans="1:19">
      <c r="A2" s="497" t="s">
        <v>98</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19" s="115" customFormat="1" ht="9">
      <c r="A4" s="127" t="s">
        <v>356</v>
      </c>
      <c r="B4" s="128" t="s">
        <v>384</v>
      </c>
      <c r="C4" s="128"/>
      <c r="D4" s="130"/>
      <c r="E4" s="130"/>
      <c r="F4" s="130"/>
      <c r="G4" s="128"/>
      <c r="H4" s="128"/>
      <c r="I4" s="132"/>
      <c r="J4" s="132"/>
      <c r="K4" s="132"/>
      <c r="L4" s="132"/>
      <c r="M4" s="128"/>
      <c r="N4" s="130"/>
      <c r="O4" s="130"/>
      <c r="P4" s="130"/>
      <c r="Q4" s="188"/>
    </row>
    <row r="5" spans="1:19" s="115" customFormat="1" ht="9">
      <c r="A5" s="110" t="s">
        <v>357</v>
      </c>
      <c r="B5" s="37" t="s">
        <v>384</v>
      </c>
      <c r="C5" s="37"/>
      <c r="D5" s="44"/>
      <c r="E5" s="44"/>
      <c r="F5" s="44"/>
      <c r="G5" s="37"/>
      <c r="H5" s="37"/>
      <c r="I5" s="73"/>
      <c r="J5" s="73"/>
      <c r="K5" s="73"/>
      <c r="L5" s="73"/>
      <c r="M5" s="37"/>
      <c r="N5" s="44"/>
      <c r="O5" s="44"/>
      <c r="P5" s="44"/>
      <c r="Q5" s="75"/>
    </row>
    <row r="6" spans="1:19" s="115" customFormat="1" ht="9">
      <c r="A6" s="110" t="s">
        <v>358</v>
      </c>
      <c r="B6" s="37"/>
      <c r="C6" s="37"/>
      <c r="D6" s="44"/>
      <c r="E6" s="44"/>
      <c r="F6" s="44"/>
      <c r="G6" s="37"/>
      <c r="H6" s="37"/>
      <c r="I6" s="73"/>
      <c r="J6" s="73"/>
      <c r="K6" s="73"/>
      <c r="L6" s="73"/>
      <c r="M6" s="37"/>
      <c r="N6" s="44"/>
      <c r="O6" s="44"/>
      <c r="P6" s="44"/>
      <c r="Q6" s="75"/>
    </row>
    <row r="7" spans="1:19" s="115" customFormat="1" ht="9">
      <c r="A7" s="111" t="s">
        <v>359</v>
      </c>
      <c r="B7" s="37">
        <v>40</v>
      </c>
      <c r="C7" s="37"/>
      <c r="D7" s="44">
        <v>0</v>
      </c>
      <c r="E7" s="44">
        <v>0</v>
      </c>
      <c r="F7" s="44">
        <v>0</v>
      </c>
      <c r="G7" s="37">
        <v>1</v>
      </c>
      <c r="H7" s="37">
        <f>B7*G7</f>
        <v>40</v>
      </c>
      <c r="I7" s="72">
        <f>ROUND(SUM('Base Data'!$H$28:$H$30,'Base Data'!$H$33:$H$35,'Base Data'!$H$38:$H$40),0)</f>
        <v>549</v>
      </c>
      <c r="J7" s="73">
        <f>H7*I7</f>
        <v>21960</v>
      </c>
      <c r="K7" s="73">
        <f>J7*0.1</f>
        <v>2196</v>
      </c>
      <c r="L7" s="72">
        <f>J7*0.05</f>
        <v>1098</v>
      </c>
      <c r="M7" s="37">
        <f>C7*G7*I7</f>
        <v>0</v>
      </c>
      <c r="N7" s="44">
        <f>(J7*'Base Data'!$C$5)+(K7*'Base Data'!$C$6)+(L7*'Base Data'!$C$7)</f>
        <v>2388753.9</v>
      </c>
      <c r="O7" s="44">
        <f>(D7+E7+F7)*G7*I7</f>
        <v>0</v>
      </c>
      <c r="P7" s="73">
        <v>0</v>
      </c>
      <c r="Q7" s="75" t="s">
        <v>338</v>
      </c>
    </row>
    <row r="8" spans="1:19" s="115" customFormat="1" ht="9">
      <c r="A8" s="110" t="s">
        <v>360</v>
      </c>
      <c r="B8" s="37"/>
      <c r="C8" s="37"/>
      <c r="D8" s="44"/>
      <c r="E8" s="44"/>
      <c r="F8" s="44"/>
      <c r="G8" s="37"/>
      <c r="H8" s="37"/>
      <c r="I8" s="73"/>
      <c r="J8" s="73"/>
      <c r="K8" s="73"/>
      <c r="L8" s="73"/>
      <c r="M8" s="37"/>
      <c r="N8" s="44"/>
      <c r="O8" s="44"/>
      <c r="P8" s="73"/>
      <c r="Q8" s="75"/>
    </row>
    <row r="9" spans="1:19" s="115" customFormat="1" ht="9">
      <c r="A9" s="111" t="s">
        <v>374</v>
      </c>
      <c r="B9" s="37"/>
      <c r="C9" s="37"/>
      <c r="D9" s="76"/>
      <c r="E9" s="44"/>
      <c r="F9" s="44"/>
      <c r="G9" s="37"/>
      <c r="H9" s="37"/>
      <c r="I9" s="72"/>
      <c r="J9" s="73"/>
      <c r="K9" s="73"/>
      <c r="L9" s="73"/>
      <c r="M9" s="74"/>
      <c r="N9" s="44"/>
      <c r="O9" s="44"/>
      <c r="P9" s="73"/>
      <c r="Q9" s="75"/>
    </row>
    <row r="10" spans="1:19" s="115" customFormat="1" ht="9">
      <c r="A10" s="110" t="s">
        <v>249</v>
      </c>
      <c r="B10" s="37">
        <v>20</v>
      </c>
      <c r="C10" s="37"/>
      <c r="D10" s="44">
        <v>854</v>
      </c>
      <c r="E10" s="44">
        <v>0</v>
      </c>
      <c r="F10" s="44">
        <v>0</v>
      </c>
      <c r="G10" s="37">
        <v>1</v>
      </c>
      <c r="H10" s="37">
        <f>B10*G10</f>
        <v>20</v>
      </c>
      <c r="I10" s="72">
        <v>0</v>
      </c>
      <c r="J10" s="73">
        <f>H10*I10</f>
        <v>0</v>
      </c>
      <c r="K10" s="73">
        <f t="shared" ref="K10:K22" si="0">J10*0.1</f>
        <v>0</v>
      </c>
      <c r="L10" s="73">
        <f>J10*0.05</f>
        <v>0</v>
      </c>
      <c r="M10" s="74">
        <f>C10*G10*I10</f>
        <v>0</v>
      </c>
      <c r="N10" s="44">
        <f>(J10*'Base Data'!$C$5)+(K10*'Base Data'!$C$6)+(L10*'Base Data'!$C$7)</f>
        <v>0</v>
      </c>
      <c r="O10" s="44">
        <f>(D10+E10+F10)*G10*I10</f>
        <v>0</v>
      </c>
      <c r="P10" s="73">
        <v>0</v>
      </c>
      <c r="Q10" s="75" t="s">
        <v>391</v>
      </c>
    </row>
    <row r="11" spans="1:19" s="115" customFormat="1" ht="9">
      <c r="A11" s="110" t="s">
        <v>251</v>
      </c>
      <c r="B11" s="37">
        <v>20</v>
      </c>
      <c r="C11" s="37"/>
      <c r="D11" s="44">
        <v>18292</v>
      </c>
      <c r="E11" s="44">
        <v>0</v>
      </c>
      <c r="F11" s="44">
        <v>0</v>
      </c>
      <c r="G11" s="37">
        <v>1</v>
      </c>
      <c r="H11" s="37">
        <f>B11*G11</f>
        <v>20</v>
      </c>
      <c r="I11" s="72">
        <v>0</v>
      </c>
      <c r="J11" s="73">
        <f>H11*I11</f>
        <v>0</v>
      </c>
      <c r="K11" s="73">
        <f t="shared" si="0"/>
        <v>0</v>
      </c>
      <c r="L11" s="73">
        <f>J11*0.05</f>
        <v>0</v>
      </c>
      <c r="M11" s="74">
        <f>C11*G11*I11</f>
        <v>0</v>
      </c>
      <c r="N11" s="44">
        <f>(J11*'Base Data'!$C$5)+(K11*'Base Data'!$C$6)+(L11*'Base Data'!$C$7)</f>
        <v>0</v>
      </c>
      <c r="O11" s="44">
        <f>(D11+E11+F11)*G11*I11</f>
        <v>0</v>
      </c>
      <c r="P11" s="73">
        <v>0</v>
      </c>
      <c r="Q11" s="75" t="s">
        <v>391</v>
      </c>
    </row>
    <row r="12" spans="1:19" s="115" customFormat="1" ht="9">
      <c r="A12" s="111" t="s">
        <v>311</v>
      </c>
      <c r="B12" s="37">
        <v>12</v>
      </c>
      <c r="C12" s="37"/>
      <c r="D12" s="44">
        <v>0</v>
      </c>
      <c r="E12" s="44">
        <f>'Testing Costs'!$B$13</f>
        <v>5000</v>
      </c>
      <c r="F12" s="44">
        <v>0</v>
      </c>
      <c r="G12" s="37">
        <v>1</v>
      </c>
      <c r="H12" s="37">
        <f t="shared" ref="H12:H22" si="1">B12*G12</f>
        <v>12</v>
      </c>
      <c r="I12" s="72">
        <v>0</v>
      </c>
      <c r="J12" s="73">
        <f t="shared" ref="J12:J22" si="2">H12*I12</f>
        <v>0</v>
      </c>
      <c r="K12" s="73">
        <f t="shared" si="0"/>
        <v>0</v>
      </c>
      <c r="L12" s="73">
        <f t="shared" ref="L12:L22" si="3">J12*0.05</f>
        <v>0</v>
      </c>
      <c r="M12" s="74"/>
      <c r="N12" s="44">
        <f>(J12*'Base Data'!$C$5)+(K12*'Base Data'!$C$6)+(L12*'Base Data'!$C$7)</f>
        <v>0</v>
      </c>
      <c r="O12" s="44">
        <f t="shared" ref="O12:O22" si="4">(D12+E12+F12)*G12*I12</f>
        <v>0</v>
      </c>
      <c r="P12" s="73">
        <v>0</v>
      </c>
      <c r="Q12" s="75" t="s">
        <v>241</v>
      </c>
    </row>
    <row r="13" spans="1:19" s="115" customFormat="1" ht="9">
      <c r="A13" s="111" t="s">
        <v>312</v>
      </c>
      <c r="B13" s="37">
        <v>12</v>
      </c>
      <c r="C13" s="37"/>
      <c r="D13" s="44">
        <v>0</v>
      </c>
      <c r="E13" s="44">
        <f>'Testing Costs'!$B$17</f>
        <v>8000</v>
      </c>
      <c r="F13" s="44">
        <v>0</v>
      </c>
      <c r="G13" s="37">
        <v>1</v>
      </c>
      <c r="H13" s="37">
        <f t="shared" si="1"/>
        <v>12</v>
      </c>
      <c r="I13" s="72">
        <v>0</v>
      </c>
      <c r="J13" s="73">
        <f t="shared" si="2"/>
        <v>0</v>
      </c>
      <c r="K13" s="73">
        <f t="shared" si="0"/>
        <v>0</v>
      </c>
      <c r="L13" s="73">
        <f t="shared" si="3"/>
        <v>0</v>
      </c>
      <c r="M13" s="74"/>
      <c r="N13" s="44">
        <f>(J13*'Base Data'!$C$5)+(K13*'Base Data'!$C$6)+(L13*'Base Data'!$C$7)</f>
        <v>0</v>
      </c>
      <c r="O13" s="44">
        <f t="shared" si="4"/>
        <v>0</v>
      </c>
      <c r="P13" s="73">
        <v>0</v>
      </c>
      <c r="Q13" s="75" t="s">
        <v>241</v>
      </c>
    </row>
    <row r="14" spans="1:19" s="115" customFormat="1" ht="9">
      <c r="A14" s="111" t="s">
        <v>313</v>
      </c>
      <c r="B14" s="37">
        <v>12</v>
      </c>
      <c r="C14" s="37"/>
      <c r="D14" s="44">
        <v>0</v>
      </c>
      <c r="E14" s="44">
        <f>'Testing Costs'!$B$15</f>
        <v>8000</v>
      </c>
      <c r="F14" s="44">
        <v>0</v>
      </c>
      <c r="G14" s="37">
        <v>1</v>
      </c>
      <c r="H14" s="37">
        <f t="shared" si="1"/>
        <v>12</v>
      </c>
      <c r="I14" s="72">
        <v>0</v>
      </c>
      <c r="J14" s="73">
        <f t="shared" si="2"/>
        <v>0</v>
      </c>
      <c r="K14" s="73">
        <f t="shared" si="0"/>
        <v>0</v>
      </c>
      <c r="L14" s="73">
        <f t="shared" si="3"/>
        <v>0</v>
      </c>
      <c r="M14" s="74"/>
      <c r="N14" s="44">
        <f>(J14*'Base Data'!$C$5)+(K14*'Base Data'!$C$6)+(L14*'Base Data'!$C$7)</f>
        <v>0</v>
      </c>
      <c r="O14" s="44">
        <f t="shared" si="4"/>
        <v>0</v>
      </c>
      <c r="P14" s="73">
        <v>0</v>
      </c>
      <c r="Q14" s="75" t="s">
        <v>241</v>
      </c>
    </row>
    <row r="15" spans="1:19" s="115" customFormat="1" ht="9">
      <c r="A15" s="111" t="s">
        <v>185</v>
      </c>
      <c r="B15" s="37">
        <v>12</v>
      </c>
      <c r="C15" s="37"/>
      <c r="D15" s="44">
        <v>0</v>
      </c>
      <c r="E15" s="44">
        <f>'Testing Costs'!$B$14</f>
        <v>7000</v>
      </c>
      <c r="F15" s="44">
        <v>0</v>
      </c>
      <c r="G15" s="37">
        <v>1</v>
      </c>
      <c r="H15" s="37">
        <f t="shared" si="1"/>
        <v>12</v>
      </c>
      <c r="I15" s="72">
        <v>0</v>
      </c>
      <c r="J15" s="73">
        <f t="shared" si="2"/>
        <v>0</v>
      </c>
      <c r="K15" s="73">
        <f t="shared" si="0"/>
        <v>0</v>
      </c>
      <c r="L15" s="73">
        <f t="shared" si="3"/>
        <v>0</v>
      </c>
      <c r="M15" s="74"/>
      <c r="N15" s="44">
        <f>(J15*'Base Data'!$C$5)+(K15*'Base Data'!$C$6)+(L15*'Base Data'!$C$7)</f>
        <v>0</v>
      </c>
      <c r="O15" s="44">
        <f t="shared" si="4"/>
        <v>0</v>
      </c>
      <c r="P15" s="73">
        <v>0</v>
      </c>
      <c r="Q15" s="75" t="s">
        <v>241</v>
      </c>
    </row>
    <row r="16" spans="1:19" s="115" customFormat="1" ht="9" customHeight="1">
      <c r="A16" s="111" t="s">
        <v>137</v>
      </c>
      <c r="B16" s="37">
        <v>12</v>
      </c>
      <c r="C16" s="37"/>
      <c r="D16" s="44">
        <v>0</v>
      </c>
      <c r="E16" s="44">
        <f>'Testing Costs'!$B$13</f>
        <v>5000</v>
      </c>
      <c r="F16" s="44">
        <v>0</v>
      </c>
      <c r="G16" s="37">
        <v>1</v>
      </c>
      <c r="H16" s="37">
        <f t="shared" si="1"/>
        <v>12</v>
      </c>
      <c r="I16" s="72">
        <v>0</v>
      </c>
      <c r="J16" s="73">
        <f t="shared" si="2"/>
        <v>0</v>
      </c>
      <c r="K16" s="73">
        <f t="shared" si="0"/>
        <v>0</v>
      </c>
      <c r="L16" s="73">
        <f t="shared" si="3"/>
        <v>0</v>
      </c>
      <c r="M16" s="74"/>
      <c r="N16" s="44">
        <f>(J16*'Base Data'!$C$5)+(K16*'Base Data'!$C$6)+(L16*'Base Data'!$C$7)</f>
        <v>0</v>
      </c>
      <c r="O16" s="44">
        <f t="shared" si="4"/>
        <v>0</v>
      </c>
      <c r="P16" s="73">
        <v>0</v>
      </c>
      <c r="Q16" s="75" t="s">
        <v>241</v>
      </c>
    </row>
    <row r="17" spans="1:17" s="115" customFormat="1" ht="9">
      <c r="A17" s="111" t="s">
        <v>138</v>
      </c>
      <c r="B17" s="37">
        <v>12</v>
      </c>
      <c r="C17" s="37"/>
      <c r="D17" s="44">
        <v>0</v>
      </c>
      <c r="E17" s="44">
        <f>'Testing Costs'!$B$17</f>
        <v>8000</v>
      </c>
      <c r="F17" s="44">
        <v>0</v>
      </c>
      <c r="G17" s="37">
        <v>1</v>
      </c>
      <c r="H17" s="37">
        <f t="shared" si="1"/>
        <v>12</v>
      </c>
      <c r="I17" s="72">
        <v>0</v>
      </c>
      <c r="J17" s="73">
        <f t="shared" si="2"/>
        <v>0</v>
      </c>
      <c r="K17" s="73">
        <f t="shared" si="0"/>
        <v>0</v>
      </c>
      <c r="L17" s="73">
        <f t="shared" si="3"/>
        <v>0</v>
      </c>
      <c r="M17" s="74"/>
      <c r="N17" s="44">
        <f>(J17*'Base Data'!$C$5)+(K17*'Base Data'!$C$6)+(L17*'Base Data'!$C$7)</f>
        <v>0</v>
      </c>
      <c r="O17" s="44">
        <f t="shared" si="4"/>
        <v>0</v>
      </c>
      <c r="P17" s="73">
        <v>0</v>
      </c>
      <c r="Q17" s="75" t="s">
        <v>241</v>
      </c>
    </row>
    <row r="18" spans="1:17" s="115" customFormat="1" ht="9">
      <c r="A18" s="111" t="s">
        <v>139</v>
      </c>
      <c r="B18" s="37">
        <v>12</v>
      </c>
      <c r="C18" s="37"/>
      <c r="D18" s="44">
        <v>0</v>
      </c>
      <c r="E18" s="44">
        <f>'Testing Costs'!$B$15</f>
        <v>8000</v>
      </c>
      <c r="F18" s="44">
        <v>0</v>
      </c>
      <c r="G18" s="37">
        <v>1</v>
      </c>
      <c r="H18" s="37">
        <f t="shared" si="1"/>
        <v>12</v>
      </c>
      <c r="I18" s="72">
        <v>0</v>
      </c>
      <c r="J18" s="73">
        <f t="shared" si="2"/>
        <v>0</v>
      </c>
      <c r="K18" s="73">
        <f t="shared" si="0"/>
        <v>0</v>
      </c>
      <c r="L18" s="73">
        <f t="shared" si="3"/>
        <v>0</v>
      </c>
      <c r="M18" s="74"/>
      <c r="N18" s="44">
        <f>(J18*'Base Data'!$C$5)+(K18*'Base Data'!$C$6)+(L18*'Base Data'!$C$7)</f>
        <v>0</v>
      </c>
      <c r="O18" s="44">
        <f t="shared" si="4"/>
        <v>0</v>
      </c>
      <c r="P18" s="73">
        <v>0</v>
      </c>
      <c r="Q18" s="75" t="s">
        <v>241</v>
      </c>
    </row>
    <row r="19" spans="1:17" s="115" customFormat="1" ht="9">
      <c r="A19" s="111" t="s">
        <v>140</v>
      </c>
      <c r="B19" s="37">
        <v>12</v>
      </c>
      <c r="C19" s="37"/>
      <c r="D19" s="44">
        <v>0</v>
      </c>
      <c r="E19" s="44">
        <f>'Testing Costs'!$B$14</f>
        <v>7000</v>
      </c>
      <c r="F19" s="44">
        <v>0</v>
      </c>
      <c r="G19" s="37">
        <v>1</v>
      </c>
      <c r="H19" s="37">
        <f t="shared" si="1"/>
        <v>12</v>
      </c>
      <c r="I19" s="72">
        <v>0</v>
      </c>
      <c r="J19" s="73">
        <f t="shared" si="2"/>
        <v>0</v>
      </c>
      <c r="K19" s="73">
        <f t="shared" si="0"/>
        <v>0</v>
      </c>
      <c r="L19" s="73">
        <f t="shared" si="3"/>
        <v>0</v>
      </c>
      <c r="M19" s="74"/>
      <c r="N19" s="44">
        <f>(J19*'Base Data'!$C$5)+(K19*'Base Data'!$C$6)+(L19*'Base Data'!$C$7)</f>
        <v>0</v>
      </c>
      <c r="O19" s="44">
        <f t="shared" si="4"/>
        <v>0</v>
      </c>
      <c r="P19" s="73">
        <v>0</v>
      </c>
      <c r="Q19" s="75" t="s">
        <v>241</v>
      </c>
    </row>
    <row r="20" spans="1:17" s="115" customFormat="1" ht="18.75" customHeight="1">
      <c r="A20" s="259" t="s">
        <v>524</v>
      </c>
      <c r="B20" s="37">
        <v>24</v>
      </c>
      <c r="C20" s="258"/>
      <c r="D20" s="44">
        <v>0</v>
      </c>
      <c r="E20" s="44">
        <f>$E$13+$E$14</f>
        <v>16000</v>
      </c>
      <c r="F20" s="44">
        <v>0</v>
      </c>
      <c r="G20" s="37">
        <v>1</v>
      </c>
      <c r="H20" s="37">
        <f t="shared" si="1"/>
        <v>24</v>
      </c>
      <c r="I20" s="72">
        <v>0</v>
      </c>
      <c r="J20" s="73">
        <f t="shared" si="2"/>
        <v>0</v>
      </c>
      <c r="K20" s="73">
        <f t="shared" si="0"/>
        <v>0</v>
      </c>
      <c r="L20" s="73">
        <f t="shared" si="3"/>
        <v>0</v>
      </c>
      <c r="M20" s="74"/>
      <c r="N20" s="44">
        <f>(J20*'Base Data'!$C$5)+(K20*'Base Data'!$C$6)+(L20*'Base Data'!$C$7)</f>
        <v>0</v>
      </c>
      <c r="O20" s="44">
        <f t="shared" si="4"/>
        <v>0</v>
      </c>
      <c r="P20" s="73">
        <v>0</v>
      </c>
      <c r="Q20" s="75" t="s">
        <v>91</v>
      </c>
    </row>
    <row r="21" spans="1:17" s="115" customFormat="1" ht="9" customHeight="1">
      <c r="A21" s="111" t="s">
        <v>525</v>
      </c>
      <c r="B21" s="37">
        <v>5</v>
      </c>
      <c r="C21" s="37"/>
      <c r="D21" s="44">
        <v>0</v>
      </c>
      <c r="E21" s="44">
        <v>400</v>
      </c>
      <c r="F21" s="44">
        <v>0</v>
      </c>
      <c r="G21" s="37">
        <v>1</v>
      </c>
      <c r="H21" s="37">
        <f t="shared" si="1"/>
        <v>5</v>
      </c>
      <c r="I21" s="72">
        <v>0</v>
      </c>
      <c r="J21" s="73">
        <f t="shared" si="2"/>
        <v>0</v>
      </c>
      <c r="K21" s="73">
        <f t="shared" si="0"/>
        <v>0</v>
      </c>
      <c r="L21" s="73">
        <f t="shared" si="3"/>
        <v>0</v>
      </c>
      <c r="M21" s="74"/>
      <c r="N21" s="44">
        <f>(J21*'Base Data'!$C$5)+(K21*'Base Data'!$C$6)+(L21*'Base Data'!$C$7)</f>
        <v>0</v>
      </c>
      <c r="O21" s="44">
        <f t="shared" si="4"/>
        <v>0</v>
      </c>
      <c r="P21" s="73">
        <v>0</v>
      </c>
      <c r="Q21" s="75" t="s">
        <v>89</v>
      </c>
    </row>
    <row r="22" spans="1:17" s="115" customFormat="1" ht="9" customHeight="1">
      <c r="A22" s="111" t="s">
        <v>526</v>
      </c>
      <c r="B22" s="37">
        <v>5</v>
      </c>
      <c r="C22" s="37"/>
      <c r="D22" s="44">
        <v>0</v>
      </c>
      <c r="E22" s="44">
        <v>400</v>
      </c>
      <c r="F22" s="44">
        <v>0</v>
      </c>
      <c r="G22" s="37">
        <v>12</v>
      </c>
      <c r="H22" s="37">
        <f t="shared" si="1"/>
        <v>60</v>
      </c>
      <c r="I22" s="72">
        <v>0</v>
      </c>
      <c r="J22" s="73">
        <f t="shared" si="2"/>
        <v>0</v>
      </c>
      <c r="K22" s="73">
        <f t="shared" si="0"/>
        <v>0</v>
      </c>
      <c r="L22" s="73">
        <f t="shared" si="3"/>
        <v>0</v>
      </c>
      <c r="M22" s="74"/>
      <c r="N22" s="44">
        <f>(J22*'Base Data'!$C$5)+(K22*'Base Data'!$C$6)+(L22*'Base Data'!$C$7)</f>
        <v>0</v>
      </c>
      <c r="O22" s="44">
        <f t="shared" si="4"/>
        <v>0</v>
      </c>
      <c r="P22" s="73">
        <v>0</v>
      </c>
      <c r="Q22" s="75" t="s">
        <v>89</v>
      </c>
    </row>
    <row r="23" spans="1:17" s="115" customFormat="1" ht="9">
      <c r="A23" s="111" t="s">
        <v>527</v>
      </c>
      <c r="B23" s="37"/>
      <c r="C23" s="37"/>
      <c r="D23" s="44"/>
      <c r="E23" s="44"/>
      <c r="F23" s="44"/>
      <c r="G23" s="37"/>
      <c r="H23" s="37"/>
      <c r="I23" s="73"/>
      <c r="J23" s="73"/>
      <c r="K23" s="73"/>
      <c r="L23" s="73"/>
      <c r="M23" s="74"/>
      <c r="N23" s="44"/>
      <c r="O23" s="44"/>
      <c r="P23" s="73"/>
      <c r="Q23" s="75" t="s">
        <v>651</v>
      </c>
    </row>
    <row r="24" spans="1:17" s="115" customFormat="1" ht="9">
      <c r="A24" s="111" t="s">
        <v>383</v>
      </c>
      <c r="B24" s="37">
        <v>40</v>
      </c>
      <c r="C24" s="37"/>
      <c r="D24" s="44">
        <v>0</v>
      </c>
      <c r="E24" s="44"/>
      <c r="F24" s="44">
        <v>0</v>
      </c>
      <c r="G24" s="37">
        <v>1</v>
      </c>
      <c r="H24" s="37">
        <f>B24*G24</f>
        <v>40</v>
      </c>
      <c r="I24" s="72">
        <v>0</v>
      </c>
      <c r="J24" s="73">
        <f>H24*I24</f>
        <v>0</v>
      </c>
      <c r="K24" s="73">
        <f>J24*0.1</f>
        <v>0</v>
      </c>
      <c r="L24" s="73">
        <f>J24*0.05</f>
        <v>0</v>
      </c>
      <c r="M24" s="74"/>
      <c r="N24" s="44">
        <f>(J24*'Base Data'!$C$5)+(K24*'Base Data'!$C$6)+(L24*'Base Data'!$C$7)</f>
        <v>0</v>
      </c>
      <c r="O24" s="44">
        <f>(D24+E24+F24)*G24*I24</f>
        <v>0</v>
      </c>
      <c r="P24" s="73">
        <v>0</v>
      </c>
      <c r="Q24" s="75" t="s">
        <v>339</v>
      </c>
    </row>
    <row r="25" spans="1:17" s="115" customFormat="1" ht="9">
      <c r="A25" s="110" t="s">
        <v>361</v>
      </c>
      <c r="B25" s="37"/>
      <c r="C25" s="37"/>
      <c r="D25" s="44"/>
      <c r="E25" s="44"/>
      <c r="F25" s="44"/>
      <c r="G25" s="37"/>
      <c r="H25" s="37"/>
      <c r="I25" s="73"/>
      <c r="J25" s="73"/>
      <c r="K25" s="73"/>
      <c r="L25" s="73"/>
      <c r="M25" s="74"/>
      <c r="N25" s="44"/>
      <c r="O25" s="44"/>
      <c r="P25" s="73"/>
      <c r="Q25" s="75"/>
    </row>
    <row r="26" spans="1:17" s="115" customFormat="1" ht="9">
      <c r="A26" s="110" t="s">
        <v>362</v>
      </c>
      <c r="B26" s="37">
        <v>10</v>
      </c>
      <c r="C26" s="37"/>
      <c r="D26" s="44">
        <v>0</v>
      </c>
      <c r="E26" s="44">
        <v>0</v>
      </c>
      <c r="F26" s="44">
        <v>43100</v>
      </c>
      <c r="G26" s="37">
        <v>1</v>
      </c>
      <c r="H26" s="37">
        <f>B26*G26</f>
        <v>10</v>
      </c>
      <c r="I26" s="72">
        <v>0</v>
      </c>
      <c r="J26" s="73">
        <f>H26*I26</f>
        <v>0</v>
      </c>
      <c r="K26" s="73">
        <f>J26*0.1</f>
        <v>0</v>
      </c>
      <c r="L26" s="73">
        <f>J26*0.05</f>
        <v>0</v>
      </c>
      <c r="M26" s="74"/>
      <c r="N26" s="44">
        <f>(J26*'Base Data'!$C$5)+(K26*'Base Data'!$C$6)+(L26*'Base Data'!$C$7)</f>
        <v>0</v>
      </c>
      <c r="O26" s="44">
        <f>(D26+E26+F26)*G26*I26</f>
        <v>0</v>
      </c>
      <c r="P26" s="73">
        <v>0</v>
      </c>
      <c r="Q26" s="75" t="s">
        <v>90</v>
      </c>
    </row>
    <row r="27" spans="1:17" s="115" customFormat="1" ht="9">
      <c r="A27" s="110" t="s">
        <v>365</v>
      </c>
      <c r="B27" s="37">
        <v>10</v>
      </c>
      <c r="C27" s="37"/>
      <c r="D27" s="44">
        <v>0</v>
      </c>
      <c r="E27" s="44">
        <v>0</v>
      </c>
      <c r="F27" s="44">
        <v>14700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90</v>
      </c>
    </row>
    <row r="28" spans="1:17" s="115" customFormat="1" ht="9">
      <c r="A28" s="110" t="s">
        <v>310</v>
      </c>
      <c r="B28" s="37"/>
      <c r="C28" s="37"/>
      <c r="D28" s="44"/>
      <c r="E28" s="44"/>
      <c r="F28" s="44"/>
      <c r="G28" s="37"/>
      <c r="H28" s="37"/>
      <c r="I28" s="73"/>
      <c r="J28" s="73"/>
      <c r="K28" s="73"/>
      <c r="L28" s="73"/>
      <c r="M28" s="74"/>
      <c r="N28" s="44"/>
      <c r="O28" s="44"/>
      <c r="P28" s="73"/>
      <c r="Q28" s="75"/>
    </row>
    <row r="29" spans="1:17" s="115" customFormat="1" ht="9">
      <c r="A29" s="110" t="s">
        <v>362</v>
      </c>
      <c r="B29" s="37">
        <v>10</v>
      </c>
      <c r="C29" s="37"/>
      <c r="D29" s="44">
        <v>0</v>
      </c>
      <c r="E29" s="44">
        <v>0</v>
      </c>
      <c r="F29" s="44">
        <v>158000</v>
      </c>
      <c r="G29" s="37">
        <v>1</v>
      </c>
      <c r="H29" s="37">
        <f>B29*G29</f>
        <v>10</v>
      </c>
      <c r="I29" s="72">
        <v>0</v>
      </c>
      <c r="J29" s="73">
        <f>H29*I29</f>
        <v>0</v>
      </c>
      <c r="K29" s="73">
        <f>J29*0.1</f>
        <v>0</v>
      </c>
      <c r="L29" s="73">
        <f>J29*0.05</f>
        <v>0</v>
      </c>
      <c r="M29" s="74"/>
      <c r="N29" s="44">
        <f>(J29*'Base Data'!$C$5)+(K29*'Base Data'!$C$6)+(L29*'Base Data'!$C$7)</f>
        <v>0</v>
      </c>
      <c r="O29" s="44">
        <f>(D29+E29+F29)*G29*I29</f>
        <v>0</v>
      </c>
      <c r="P29" s="73">
        <v>0</v>
      </c>
      <c r="Q29" s="75" t="s">
        <v>90</v>
      </c>
    </row>
    <row r="30" spans="1:17" s="115" customFormat="1" ht="9">
      <c r="A30" s="110" t="s">
        <v>365</v>
      </c>
      <c r="B30" s="37">
        <v>10</v>
      </c>
      <c r="C30" s="37"/>
      <c r="D30" s="44">
        <v>0</v>
      </c>
      <c r="E30" s="44">
        <v>0</v>
      </c>
      <c r="F30" s="44">
        <v>56100</v>
      </c>
      <c r="G30" s="37">
        <v>1</v>
      </c>
      <c r="H30" s="37">
        <f>B30*G30</f>
        <v>10</v>
      </c>
      <c r="I30" s="72">
        <v>0</v>
      </c>
      <c r="J30" s="73">
        <f>H30*I30</f>
        <v>0</v>
      </c>
      <c r="K30" s="73">
        <f>J30*0.1</f>
        <v>0</v>
      </c>
      <c r="L30" s="73">
        <f>J30*0.05</f>
        <v>0</v>
      </c>
      <c r="M30" s="74"/>
      <c r="N30" s="44">
        <f>(J30*'Base Data'!$C$5)+(K30*'Base Data'!$C$6)+(L30*'Base Data'!$C$7)</f>
        <v>0</v>
      </c>
      <c r="O30" s="44">
        <f>(D30+E30+F30)*G30*I30</f>
        <v>0</v>
      </c>
      <c r="P30" s="73">
        <v>0</v>
      </c>
      <c r="Q30" s="75" t="s">
        <v>90</v>
      </c>
    </row>
    <row r="31" spans="1:17" s="115" customFormat="1" ht="9">
      <c r="A31" s="110" t="s">
        <v>461</v>
      </c>
      <c r="B31" s="37"/>
      <c r="C31" s="37"/>
      <c r="D31" s="44"/>
      <c r="E31" s="44"/>
      <c r="F31" s="44"/>
      <c r="G31" s="37"/>
      <c r="H31" s="37"/>
      <c r="I31" s="72"/>
      <c r="J31" s="73"/>
      <c r="K31" s="73"/>
      <c r="L31" s="73"/>
      <c r="M31" s="74"/>
      <c r="N31" s="44"/>
      <c r="O31" s="44"/>
      <c r="P31" s="73"/>
      <c r="Q31" s="75"/>
    </row>
    <row r="32" spans="1:17" s="115" customFormat="1" ht="9">
      <c r="A32" s="110" t="s">
        <v>362</v>
      </c>
      <c r="B32" s="37">
        <v>10</v>
      </c>
      <c r="C32" s="37"/>
      <c r="D32" s="44">
        <v>0</v>
      </c>
      <c r="E32" s="44">
        <v>0</v>
      </c>
      <c r="F32" s="44">
        <f>Monitors!$F$32</f>
        <v>8523</v>
      </c>
      <c r="G32" s="37">
        <v>1</v>
      </c>
      <c r="H32" s="37">
        <f t="shared" ref="H32:H33" si="5">B32*G32</f>
        <v>10</v>
      </c>
      <c r="I32" s="72">
        <v>0</v>
      </c>
      <c r="J32" s="73">
        <f t="shared" ref="J32:J33" si="6">H32*I32</f>
        <v>0</v>
      </c>
      <c r="K32" s="73">
        <f t="shared" ref="K32:K33" si="7">J32*0.1</f>
        <v>0</v>
      </c>
      <c r="L32" s="73">
        <f t="shared" ref="L32:L33" si="8">J32*0.05</f>
        <v>0</v>
      </c>
      <c r="M32" s="74"/>
      <c r="N32" s="44">
        <f>(J32*'Base Data'!$C$5)+(K32*'Base Data'!$C$6)+(L32*'Base Data'!$C$7)</f>
        <v>0</v>
      </c>
      <c r="O32" s="44">
        <f>(D32+E32+F32)*G32*I32</f>
        <v>0</v>
      </c>
      <c r="P32" s="73">
        <v>0</v>
      </c>
      <c r="Q32" s="75" t="s">
        <v>339</v>
      </c>
    </row>
    <row r="33" spans="1:18" s="115" customFormat="1" ht="9">
      <c r="A33" s="110" t="s">
        <v>365</v>
      </c>
      <c r="B33" s="37">
        <v>10</v>
      </c>
      <c r="C33" s="37"/>
      <c r="D33" s="44">
        <v>0</v>
      </c>
      <c r="E33" s="44">
        <v>0</v>
      </c>
      <c r="F33" s="44">
        <f>Monitors!$G$32</f>
        <v>1436</v>
      </c>
      <c r="G33" s="37">
        <v>1</v>
      </c>
      <c r="H33" s="37">
        <f t="shared" si="5"/>
        <v>10</v>
      </c>
      <c r="I33" s="72">
        <v>0</v>
      </c>
      <c r="J33" s="73">
        <f t="shared" si="6"/>
        <v>0</v>
      </c>
      <c r="K33" s="73">
        <f t="shared" si="7"/>
        <v>0</v>
      </c>
      <c r="L33" s="73">
        <f t="shared" si="8"/>
        <v>0</v>
      </c>
      <c r="M33" s="74"/>
      <c r="N33" s="44">
        <f>(J33*'Base Data'!$C$5)+(K33*'Base Data'!$C$6)+(L33*'Base Data'!$C$7)</f>
        <v>0</v>
      </c>
      <c r="O33" s="44">
        <f>(D33+E33+F33)*G33*I33</f>
        <v>0</v>
      </c>
      <c r="P33" s="73">
        <v>0</v>
      </c>
      <c r="Q33" s="75" t="s">
        <v>339</v>
      </c>
    </row>
    <row r="34" spans="1:18" s="115" customFormat="1" ht="18">
      <c r="A34" s="111" t="s">
        <v>160</v>
      </c>
      <c r="B34" s="37"/>
      <c r="C34" s="37"/>
      <c r="D34" s="44"/>
      <c r="E34" s="44"/>
      <c r="F34" s="76"/>
      <c r="G34" s="37"/>
      <c r="H34" s="37"/>
      <c r="I34" s="72"/>
      <c r="J34" s="73"/>
      <c r="K34" s="73"/>
      <c r="L34" s="73"/>
      <c r="M34" s="74"/>
      <c r="N34" s="44"/>
      <c r="O34" s="44"/>
      <c r="P34" s="73"/>
      <c r="Q34" s="75"/>
    </row>
    <row r="35" spans="1:18" s="115" customFormat="1" ht="9">
      <c r="A35" s="110" t="s">
        <v>362</v>
      </c>
      <c r="B35" s="37">
        <v>10</v>
      </c>
      <c r="C35" s="37"/>
      <c r="D35" s="44">
        <v>0</v>
      </c>
      <c r="E35" s="44">
        <v>0</v>
      </c>
      <c r="F35" s="44">
        <v>24300</v>
      </c>
      <c r="G35" s="37">
        <v>1</v>
      </c>
      <c r="H35" s="37">
        <f>B35*G35</f>
        <v>10</v>
      </c>
      <c r="I35" s="72">
        <v>0</v>
      </c>
      <c r="J35" s="73">
        <f>H35*I35</f>
        <v>0</v>
      </c>
      <c r="K35" s="73">
        <f>J35*0.1</f>
        <v>0</v>
      </c>
      <c r="L35" s="73">
        <f>J35*0.05</f>
        <v>0</v>
      </c>
      <c r="M35" s="74"/>
      <c r="N35" s="44">
        <f>(J35*'Base Data'!$C$5)+(K35*'Base Data'!$C$6)+(L35*'Base Data'!$C$7)</f>
        <v>0</v>
      </c>
      <c r="O35" s="44">
        <f>(D35+E35+F35)*G35*I35</f>
        <v>0</v>
      </c>
      <c r="P35" s="73">
        <v>0</v>
      </c>
      <c r="Q35" s="75" t="s">
        <v>339</v>
      </c>
    </row>
    <row r="36" spans="1:18" s="115" customFormat="1" ht="9">
      <c r="A36" s="110" t="s">
        <v>365</v>
      </c>
      <c r="B36" s="37">
        <v>10</v>
      </c>
      <c r="C36" s="37"/>
      <c r="D36" s="44">
        <v>0</v>
      </c>
      <c r="E36" s="44">
        <v>0</v>
      </c>
      <c r="F36" s="44">
        <v>5600</v>
      </c>
      <c r="G36" s="37">
        <v>1</v>
      </c>
      <c r="H36" s="37">
        <f>B36*G36</f>
        <v>10</v>
      </c>
      <c r="I36" s="72">
        <v>0</v>
      </c>
      <c r="J36" s="73">
        <f>H36*I36</f>
        <v>0</v>
      </c>
      <c r="K36" s="73">
        <f>J36*0.1</f>
        <v>0</v>
      </c>
      <c r="L36" s="73">
        <f>J36*0.05</f>
        <v>0</v>
      </c>
      <c r="M36" s="74"/>
      <c r="N36" s="44">
        <f>(J36*'Base Data'!$C$5)+(K36*'Base Data'!$C$6)+(L36*'Base Data'!$C$7)</f>
        <v>0</v>
      </c>
      <c r="O36" s="44">
        <f>(D36+E36+F36)*G36*I36</f>
        <v>0</v>
      </c>
      <c r="P36" s="73">
        <v>0</v>
      </c>
      <c r="Q36" s="75" t="s">
        <v>339</v>
      </c>
    </row>
    <row r="37" spans="1:18" s="115" customFormat="1" ht="18">
      <c r="A37" s="111" t="s">
        <v>425</v>
      </c>
      <c r="B37" s="37"/>
      <c r="C37" s="37"/>
      <c r="D37" s="44"/>
      <c r="E37" s="44"/>
      <c r="F37" s="44"/>
      <c r="G37" s="37"/>
      <c r="H37" s="37"/>
      <c r="I37" s="72"/>
      <c r="J37" s="73"/>
      <c r="K37" s="73"/>
      <c r="L37" s="73"/>
      <c r="M37" s="74"/>
      <c r="N37" s="44"/>
      <c r="O37" s="183"/>
      <c r="P37" s="73"/>
      <c r="Q37" s="75"/>
    </row>
    <row r="38" spans="1:18" s="115" customFormat="1" ht="9">
      <c r="A38" s="110" t="s">
        <v>362</v>
      </c>
      <c r="B38" s="37">
        <v>10</v>
      </c>
      <c r="C38" s="37"/>
      <c r="D38" s="44">
        <v>0</v>
      </c>
      <c r="E38" s="44">
        <v>0</v>
      </c>
      <c r="F38" s="44">
        <f>25500</f>
        <v>25500</v>
      </c>
      <c r="G38" s="37">
        <v>1</v>
      </c>
      <c r="H38" s="37">
        <f>B38*G38</f>
        <v>10</v>
      </c>
      <c r="I38" s="72">
        <v>0</v>
      </c>
      <c r="J38" s="73">
        <f>H38*I38</f>
        <v>0</v>
      </c>
      <c r="K38" s="73">
        <f>J38*0.1</f>
        <v>0</v>
      </c>
      <c r="L38" s="73">
        <f>J38*0.05</f>
        <v>0</v>
      </c>
      <c r="M38" s="74"/>
      <c r="N38" s="44">
        <f>(J38*'Base Data'!$C$5)+(K38*'Base Data'!$C$6)+(L38*'Base Data'!$C$7)</f>
        <v>0</v>
      </c>
      <c r="O38" s="44">
        <f>(D38+E38+F38)*G38*I38</f>
        <v>0</v>
      </c>
      <c r="P38" s="73">
        <v>0</v>
      </c>
      <c r="Q38" s="75" t="s">
        <v>339</v>
      </c>
    </row>
    <row r="39" spans="1:18" s="115" customFormat="1" ht="9">
      <c r="A39" s="110" t="s">
        <v>365</v>
      </c>
      <c r="B39" s="37">
        <v>10</v>
      </c>
      <c r="C39" s="37"/>
      <c r="D39" s="44">
        <v>0</v>
      </c>
      <c r="E39" s="44">
        <v>0</v>
      </c>
      <c r="F39" s="44">
        <v>9700</v>
      </c>
      <c r="G39" s="37">
        <v>1</v>
      </c>
      <c r="H39" s="37">
        <f>B39*G39</f>
        <v>10</v>
      </c>
      <c r="I39" s="72">
        <v>0</v>
      </c>
      <c r="J39" s="73">
        <f>H39*I39</f>
        <v>0</v>
      </c>
      <c r="K39" s="73">
        <f>J39*0.1</f>
        <v>0</v>
      </c>
      <c r="L39" s="73">
        <f>J39*0.05</f>
        <v>0</v>
      </c>
      <c r="M39" s="74"/>
      <c r="N39" s="44">
        <f>(J39*'Base Data'!$C$5)+(K39*'Base Data'!$C$6)+(L39*'Base Data'!$C$7)</f>
        <v>0</v>
      </c>
      <c r="O39" s="44">
        <f>(D39+E39+F39)*G39*I39</f>
        <v>0</v>
      </c>
      <c r="P39" s="73">
        <v>0</v>
      </c>
      <c r="Q39" s="75" t="s">
        <v>339</v>
      </c>
    </row>
    <row r="40" spans="1:18" s="115" customFormat="1" ht="9">
      <c r="A40" s="110" t="s">
        <v>533</v>
      </c>
      <c r="B40" s="37">
        <v>12</v>
      </c>
      <c r="C40" s="37"/>
      <c r="D40" s="44">
        <v>0</v>
      </c>
      <c r="E40" s="44">
        <v>2875</v>
      </c>
      <c r="F40" s="44">
        <v>0</v>
      </c>
      <c r="G40" s="37">
        <v>1</v>
      </c>
      <c r="H40" s="37">
        <f>B40*G40</f>
        <v>12</v>
      </c>
      <c r="I40" s="73">
        <v>0</v>
      </c>
      <c r="J40" s="72">
        <f>H40*I40</f>
        <v>0</v>
      </c>
      <c r="K40" s="72">
        <f>J40*0.1</f>
        <v>0</v>
      </c>
      <c r="L40" s="72">
        <f>J40*0.05</f>
        <v>0</v>
      </c>
      <c r="M40" s="73"/>
      <c r="N40" s="44">
        <f>(J40*'Base Data'!$C$5)+(K40*'Base Data'!$C$6)+(L40*'Base Data'!$C$7)</f>
        <v>0</v>
      </c>
      <c r="O40" s="44">
        <f>(D40+E40+F40)*G40*I40</f>
        <v>0</v>
      </c>
      <c r="P40" s="73">
        <v>0</v>
      </c>
      <c r="Q40" s="75" t="s">
        <v>339</v>
      </c>
    </row>
    <row r="41" spans="1:18" s="115" customFormat="1" ht="9">
      <c r="A41" s="110" t="s">
        <v>534</v>
      </c>
      <c r="B41" s="37">
        <v>5</v>
      </c>
      <c r="C41" s="37"/>
      <c r="D41" s="44">
        <v>0</v>
      </c>
      <c r="E41" s="44">
        <v>200</v>
      </c>
      <c r="F41" s="44">
        <v>0</v>
      </c>
      <c r="G41" s="37">
        <v>12</v>
      </c>
      <c r="H41" s="37">
        <f>B41*G41</f>
        <v>60</v>
      </c>
      <c r="I41" s="73">
        <v>0</v>
      </c>
      <c r="J41" s="72">
        <f>H41*I41</f>
        <v>0</v>
      </c>
      <c r="K41" s="72">
        <f>J41*0.1</f>
        <v>0</v>
      </c>
      <c r="L41" s="72">
        <f>J41*0.05</f>
        <v>0</v>
      </c>
      <c r="M41" s="73"/>
      <c r="N41" s="44">
        <f>(J41*'Base Data'!$C$5)+(K41*'Base Data'!$C$6)+(L41*'Base Data'!$C$7)</f>
        <v>0</v>
      </c>
      <c r="O41" s="44">
        <f>(D41+E41+F41)*G41*I41</f>
        <v>0</v>
      </c>
      <c r="P41" s="73">
        <v>0</v>
      </c>
      <c r="Q41" s="75" t="s">
        <v>319</v>
      </c>
    </row>
    <row r="42" spans="1:18" s="115" customFormat="1" ht="9">
      <c r="A42" s="110" t="s">
        <v>366</v>
      </c>
      <c r="B42" s="37" t="s">
        <v>384</v>
      </c>
      <c r="C42" s="37"/>
      <c r="D42" s="44"/>
      <c r="E42" s="44"/>
      <c r="F42" s="44"/>
      <c r="G42" s="37"/>
      <c r="H42" s="37"/>
      <c r="I42" s="73"/>
      <c r="J42" s="73"/>
      <c r="K42" s="73"/>
      <c r="L42" s="73"/>
      <c r="M42" s="37"/>
      <c r="N42" s="44"/>
      <c r="O42" s="44"/>
      <c r="P42" s="73"/>
      <c r="Q42" s="75"/>
    </row>
    <row r="43" spans="1:18" s="115" customFormat="1" ht="9">
      <c r="A43" s="110" t="s">
        <v>367</v>
      </c>
      <c r="B43" s="37" t="s">
        <v>384</v>
      </c>
      <c r="C43" s="37"/>
      <c r="D43" s="44"/>
      <c r="E43" s="44"/>
      <c r="F43" s="44"/>
      <c r="G43" s="37"/>
      <c r="H43" s="37"/>
      <c r="I43" s="73"/>
      <c r="J43" s="73"/>
      <c r="K43" s="73"/>
      <c r="L43" s="73"/>
      <c r="M43" s="37"/>
      <c r="N43" s="44"/>
      <c r="O43" s="44"/>
      <c r="P43" s="73"/>
      <c r="Q43" s="75"/>
    </row>
    <row r="44" spans="1:18" s="115" customFormat="1" ht="9">
      <c r="A44" s="110" t="s">
        <v>368</v>
      </c>
      <c r="B44" s="37"/>
      <c r="C44" s="37"/>
      <c r="D44" s="44"/>
      <c r="E44" s="44"/>
      <c r="F44" s="44"/>
      <c r="G44" s="37"/>
      <c r="H44" s="37"/>
      <c r="I44" s="73"/>
      <c r="J44" s="73"/>
      <c r="K44" s="73"/>
      <c r="L44" s="73"/>
      <c r="M44" s="37"/>
      <c r="N44" s="44"/>
      <c r="O44" s="44"/>
      <c r="P44" s="73"/>
      <c r="Q44" s="75"/>
    </row>
    <row r="45" spans="1:18" s="115" customFormat="1" ht="9">
      <c r="A45" s="126" t="s">
        <v>386</v>
      </c>
      <c r="B45" s="37">
        <v>2</v>
      </c>
      <c r="C45" s="37"/>
      <c r="D45" s="44">
        <v>0</v>
      </c>
      <c r="E45" s="44">
        <v>0</v>
      </c>
      <c r="F45" s="44">
        <v>0</v>
      </c>
      <c r="G45" s="37">
        <v>1</v>
      </c>
      <c r="H45" s="37">
        <f t="shared" ref="H45:H50" si="9">B45*G45</f>
        <v>2</v>
      </c>
      <c r="I45" s="72">
        <f>ROUND(SUM('Base Data'!$H$28:$H$30,'Base Data'!$H$33:$H$35,'Base Data'!$H$38:$H$40),0)</f>
        <v>549</v>
      </c>
      <c r="J45" s="73">
        <f t="shared" ref="J45:J50" si="10">H45*I45</f>
        <v>1098</v>
      </c>
      <c r="K45" s="73">
        <f t="shared" ref="K45:K50" si="11">J45*0.1</f>
        <v>109.80000000000001</v>
      </c>
      <c r="L45" s="73">
        <f t="shared" ref="L45:L50" si="12">J45*0.05</f>
        <v>54.900000000000006</v>
      </c>
      <c r="M45" s="37">
        <f t="shared" ref="M45:M50" si="13">C45*G45*I45</f>
        <v>0</v>
      </c>
      <c r="N45" s="44">
        <f>(J45*'Base Data'!$C$5)+(K45*'Base Data'!$C$6)+(L45*'Base Data'!$C$7)</f>
        <v>119437.69500000001</v>
      </c>
      <c r="O45" s="44">
        <f t="shared" ref="O45:O50" si="14">(D45+E45+F45)*G45*I45</f>
        <v>0</v>
      </c>
      <c r="P45" s="73">
        <f t="shared" ref="P45:P50" si="15">G45*I45</f>
        <v>549</v>
      </c>
      <c r="Q45" s="75" t="s">
        <v>338</v>
      </c>
    </row>
    <row r="46" spans="1:18" s="115" customFormat="1" ht="9" customHeight="1">
      <c r="A46" s="126" t="s">
        <v>328</v>
      </c>
      <c r="B46" s="37">
        <v>8</v>
      </c>
      <c r="C46" s="37"/>
      <c r="D46" s="44">
        <v>0</v>
      </c>
      <c r="E46" s="44">
        <v>0</v>
      </c>
      <c r="F46" s="44">
        <v>0</v>
      </c>
      <c r="G46" s="37">
        <v>1</v>
      </c>
      <c r="H46" s="37">
        <f t="shared" si="9"/>
        <v>8</v>
      </c>
      <c r="I46" s="72">
        <v>0</v>
      </c>
      <c r="J46" s="73">
        <f t="shared" si="10"/>
        <v>0</v>
      </c>
      <c r="K46" s="73">
        <f t="shared" si="11"/>
        <v>0</v>
      </c>
      <c r="L46" s="73">
        <f t="shared" si="12"/>
        <v>0</v>
      </c>
      <c r="M46" s="37">
        <f t="shared" si="13"/>
        <v>0</v>
      </c>
      <c r="N46" s="44">
        <f>(J46*'Base Data'!$C$5)+(K46*'Base Data'!$C$6)+(L46*'Base Data'!$C$7)</f>
        <v>0</v>
      </c>
      <c r="O46" s="44">
        <f t="shared" si="14"/>
        <v>0</v>
      </c>
      <c r="P46" s="73">
        <f t="shared" si="15"/>
        <v>0</v>
      </c>
      <c r="Q46" s="75" t="s">
        <v>339</v>
      </c>
    </row>
    <row r="47" spans="1:18" s="115" customFormat="1" ht="9">
      <c r="A47" s="126" t="s">
        <v>329</v>
      </c>
      <c r="B47" s="37">
        <v>5</v>
      </c>
      <c r="C47" s="37"/>
      <c r="D47" s="44">
        <v>0</v>
      </c>
      <c r="E47" s="44">
        <v>0</v>
      </c>
      <c r="F47" s="44">
        <v>0</v>
      </c>
      <c r="G47" s="37">
        <v>1</v>
      </c>
      <c r="H47" s="37">
        <f t="shared" si="9"/>
        <v>5</v>
      </c>
      <c r="I47" s="72">
        <v>0</v>
      </c>
      <c r="J47" s="73">
        <f t="shared" si="10"/>
        <v>0</v>
      </c>
      <c r="K47" s="73">
        <f t="shared" si="11"/>
        <v>0</v>
      </c>
      <c r="L47" s="73">
        <f t="shared" si="12"/>
        <v>0</v>
      </c>
      <c r="M47" s="37">
        <f t="shared" si="13"/>
        <v>0</v>
      </c>
      <c r="N47" s="44">
        <f>(J47*'Base Data'!$C$5)+(K47*'Base Data'!$C$6)+(L47*'Base Data'!$C$7)</f>
        <v>0</v>
      </c>
      <c r="O47" s="44">
        <f t="shared" si="14"/>
        <v>0</v>
      </c>
      <c r="P47" s="73">
        <f t="shared" si="15"/>
        <v>0</v>
      </c>
      <c r="Q47" s="75" t="s">
        <v>339</v>
      </c>
      <c r="R47" s="133"/>
    </row>
    <row r="48" spans="1:18" s="115" customFormat="1" ht="9">
      <c r="A48" s="112" t="s">
        <v>226</v>
      </c>
      <c r="B48" s="37">
        <v>20</v>
      </c>
      <c r="C48" s="37">
        <v>0</v>
      </c>
      <c r="D48" s="44">
        <v>0</v>
      </c>
      <c r="E48" s="44">
        <v>0</v>
      </c>
      <c r="F48" s="44">
        <v>0</v>
      </c>
      <c r="G48" s="37">
        <v>1</v>
      </c>
      <c r="H48" s="37">
        <f t="shared" si="9"/>
        <v>20</v>
      </c>
      <c r="I48" s="72">
        <v>0</v>
      </c>
      <c r="J48" s="73">
        <f t="shared" si="10"/>
        <v>0</v>
      </c>
      <c r="K48" s="73">
        <f t="shared" si="11"/>
        <v>0</v>
      </c>
      <c r="L48" s="73">
        <f t="shared" si="12"/>
        <v>0</v>
      </c>
      <c r="M48" s="73">
        <f t="shared" si="13"/>
        <v>0</v>
      </c>
      <c r="N48" s="44">
        <f>(J48*'Base Data'!$C$5)+(K48*'Base Data'!$C$6)+(L48*'Base Data'!$C$7)</f>
        <v>0</v>
      </c>
      <c r="O48" s="44">
        <f t="shared" si="14"/>
        <v>0</v>
      </c>
      <c r="P48" s="73">
        <f>G48*I48</f>
        <v>0</v>
      </c>
      <c r="Q48" s="75" t="s">
        <v>492</v>
      </c>
      <c r="R48" s="133"/>
    </row>
    <row r="49" spans="1:19" s="115" customFormat="1" ht="9">
      <c r="A49" s="112" t="s">
        <v>225</v>
      </c>
      <c r="B49" s="37">
        <v>20</v>
      </c>
      <c r="C49" s="37">
        <v>0</v>
      </c>
      <c r="D49" s="44">
        <v>0</v>
      </c>
      <c r="E49" s="44">
        <v>0</v>
      </c>
      <c r="F49" s="44">
        <v>0</v>
      </c>
      <c r="G49" s="37">
        <v>2</v>
      </c>
      <c r="H49" s="37">
        <f t="shared" si="9"/>
        <v>40</v>
      </c>
      <c r="I49" s="72">
        <v>0</v>
      </c>
      <c r="J49" s="73">
        <f t="shared" si="10"/>
        <v>0</v>
      </c>
      <c r="K49" s="73">
        <f t="shared" si="11"/>
        <v>0</v>
      </c>
      <c r="L49" s="73">
        <f t="shared" si="12"/>
        <v>0</v>
      </c>
      <c r="M49" s="73">
        <f t="shared" si="13"/>
        <v>0</v>
      </c>
      <c r="N49" s="44">
        <f>(J49*'Base Data'!$C$5)+(K49*'Base Data'!$C$6)+(L49*'Base Data'!$C$7)</f>
        <v>0</v>
      </c>
      <c r="O49" s="44">
        <f t="shared" si="14"/>
        <v>0</v>
      </c>
      <c r="P49" s="73">
        <f t="shared" si="15"/>
        <v>0</v>
      </c>
      <c r="Q49" s="75" t="s">
        <v>492</v>
      </c>
    </row>
    <row r="50" spans="1:19" s="115" customFormat="1" ht="9">
      <c r="A50" s="112" t="s">
        <v>422</v>
      </c>
      <c r="B50" s="37">
        <v>5</v>
      </c>
      <c r="C50" s="37"/>
      <c r="D50" s="44">
        <v>0</v>
      </c>
      <c r="E50" s="44">
        <v>0</v>
      </c>
      <c r="F50" s="44">
        <v>0</v>
      </c>
      <c r="G50" s="37">
        <v>1</v>
      </c>
      <c r="H50" s="37">
        <f t="shared" si="9"/>
        <v>5</v>
      </c>
      <c r="I50" s="72">
        <v>0</v>
      </c>
      <c r="J50" s="73">
        <f t="shared" si="10"/>
        <v>0</v>
      </c>
      <c r="K50" s="73">
        <f t="shared" si="11"/>
        <v>0</v>
      </c>
      <c r="L50" s="73">
        <f t="shared" si="12"/>
        <v>0</v>
      </c>
      <c r="M50" s="73">
        <f t="shared" si="13"/>
        <v>0</v>
      </c>
      <c r="N50" s="44">
        <f>(J50*'Base Data'!$C$5)+(K50*'Base Data'!$C$6)+(L50*'Base Data'!$C$7)</f>
        <v>0</v>
      </c>
      <c r="O50" s="44">
        <f t="shared" si="14"/>
        <v>0</v>
      </c>
      <c r="P50" s="73">
        <f t="shared" si="15"/>
        <v>0</v>
      </c>
      <c r="Q50" s="75" t="s">
        <v>493</v>
      </c>
    </row>
    <row r="51" spans="1:19" s="115" customFormat="1" ht="9">
      <c r="A51" s="112" t="s">
        <v>509</v>
      </c>
      <c r="B51" s="37">
        <v>30</v>
      </c>
      <c r="C51" s="37"/>
      <c r="D51" s="44">
        <v>0</v>
      </c>
      <c r="E51" s="44">
        <v>0</v>
      </c>
      <c r="F51" s="44">
        <v>0</v>
      </c>
      <c r="G51" s="37">
        <v>1</v>
      </c>
      <c r="H51" s="37">
        <f>B51*G51</f>
        <v>30</v>
      </c>
      <c r="I51" s="72">
        <v>0</v>
      </c>
      <c r="J51" s="73">
        <f>H51*I51</f>
        <v>0</v>
      </c>
      <c r="K51" s="73">
        <f>J51*0.1</f>
        <v>0</v>
      </c>
      <c r="L51" s="73">
        <f>J51*0.05</f>
        <v>0</v>
      </c>
      <c r="M51" s="73">
        <f>C51*G51*I51</f>
        <v>0</v>
      </c>
      <c r="N51" s="44">
        <f>(J51*'Base Data'!$C$5)+(K51*'Base Data'!$C$6)+(L51*'Base Data'!$C$7)</f>
        <v>0</v>
      </c>
      <c r="O51" s="44">
        <f>(D51+E51+F51)*G51*I51</f>
        <v>0</v>
      </c>
      <c r="P51" s="73">
        <f>G51*I51</f>
        <v>0</v>
      </c>
      <c r="Q51" s="75" t="s">
        <v>508</v>
      </c>
      <c r="R51" s="133"/>
    </row>
    <row r="52" spans="1:19" s="115" customFormat="1" ht="9">
      <c r="A52" s="113" t="s">
        <v>7</v>
      </c>
      <c r="B52" s="37"/>
      <c r="C52" s="37"/>
      <c r="D52" s="44"/>
      <c r="E52" s="44"/>
      <c r="F52" s="44"/>
      <c r="G52" s="37"/>
      <c r="H52" s="37"/>
      <c r="I52" s="72"/>
      <c r="J52" s="73">
        <f t="shared" ref="J52:O52" si="16">SUM(J7:J49)</f>
        <v>23058</v>
      </c>
      <c r="K52" s="73">
        <f t="shared" si="16"/>
        <v>2305.8000000000002</v>
      </c>
      <c r="L52" s="73">
        <f t="shared" si="16"/>
        <v>1152.9000000000001</v>
      </c>
      <c r="M52" s="73">
        <f t="shared" si="16"/>
        <v>0</v>
      </c>
      <c r="N52" s="44">
        <f t="shared" si="16"/>
        <v>2508191.5949999997</v>
      </c>
      <c r="O52" s="44">
        <f t="shared" si="16"/>
        <v>0</v>
      </c>
      <c r="P52" s="73">
        <f>SUM(P45:P49)</f>
        <v>549</v>
      </c>
      <c r="Q52" s="75"/>
      <c r="R52" s="118">
        <f>SUM(O7,O10:O22,O27,O30,O33,O36,O39,O40:O41)</f>
        <v>0</v>
      </c>
      <c r="S52" s="117">
        <f>SUM(O26,O29,O32,O35,O38)</f>
        <v>0</v>
      </c>
    </row>
    <row r="53" spans="1:19" s="115" customFormat="1" ht="9">
      <c r="A53" s="110" t="s">
        <v>382</v>
      </c>
      <c r="B53" s="37"/>
      <c r="C53" s="37"/>
      <c r="D53" s="44"/>
      <c r="E53" s="44"/>
      <c r="F53" s="44"/>
      <c r="G53" s="37"/>
      <c r="H53" s="37"/>
      <c r="I53" s="73"/>
      <c r="J53" s="73"/>
      <c r="K53" s="73"/>
      <c r="L53" s="73"/>
      <c r="M53" s="37"/>
      <c r="N53" s="44"/>
      <c r="O53" s="44"/>
      <c r="P53" s="73"/>
      <c r="Q53" s="75"/>
    </row>
    <row r="54" spans="1:19" s="115" customFormat="1" ht="9">
      <c r="A54" s="110" t="s">
        <v>369</v>
      </c>
      <c r="B54" s="37" t="s">
        <v>373</v>
      </c>
      <c r="C54" s="37"/>
      <c r="D54" s="44"/>
      <c r="E54" s="44"/>
      <c r="F54" s="44"/>
      <c r="G54" s="37"/>
      <c r="H54" s="37"/>
      <c r="I54" s="73"/>
      <c r="J54" s="73"/>
      <c r="K54" s="73"/>
      <c r="L54" s="73"/>
      <c r="M54" s="37"/>
      <c r="N54" s="44"/>
      <c r="O54" s="44"/>
      <c r="P54" s="73"/>
      <c r="Q54" s="75"/>
    </row>
    <row r="55" spans="1:19" s="115" customFormat="1" ht="9">
      <c r="A55" s="110" t="s">
        <v>370</v>
      </c>
      <c r="B55" s="37" t="s">
        <v>384</v>
      </c>
      <c r="C55" s="37"/>
      <c r="D55" s="44"/>
      <c r="E55" s="44"/>
      <c r="F55" s="44"/>
      <c r="G55" s="37"/>
      <c r="H55" s="37"/>
      <c r="I55" s="73"/>
      <c r="J55" s="73"/>
      <c r="K55" s="73"/>
      <c r="L55" s="73"/>
      <c r="M55" s="37"/>
      <c r="N55" s="44"/>
      <c r="O55" s="44"/>
      <c r="P55" s="73"/>
      <c r="Q55" s="75"/>
    </row>
    <row r="56" spans="1:19" s="115" customFormat="1" ht="9">
      <c r="A56" s="110" t="s">
        <v>371</v>
      </c>
      <c r="B56" s="37" t="s">
        <v>384</v>
      </c>
      <c r="C56" s="37"/>
      <c r="D56" s="44"/>
      <c r="E56" s="44"/>
      <c r="F56" s="44"/>
      <c r="G56" s="37"/>
      <c r="H56" s="37"/>
      <c r="I56" s="73"/>
      <c r="J56" s="73"/>
      <c r="K56" s="73"/>
      <c r="L56" s="73"/>
      <c r="M56" s="37"/>
      <c r="N56" s="44"/>
      <c r="O56" s="44"/>
      <c r="P56" s="73"/>
      <c r="Q56" s="75" t="s">
        <v>340</v>
      </c>
    </row>
    <row r="57" spans="1:19" s="115" customFormat="1" ht="9">
      <c r="A57" s="110" t="s">
        <v>372</v>
      </c>
      <c r="B57" s="37"/>
      <c r="C57" s="37"/>
      <c r="D57" s="44"/>
      <c r="E57" s="44"/>
      <c r="F57" s="44"/>
      <c r="G57" s="37"/>
      <c r="H57" s="37"/>
      <c r="I57" s="73"/>
      <c r="J57" s="73"/>
      <c r="K57" s="73"/>
      <c r="L57" s="73"/>
      <c r="M57" s="37"/>
      <c r="N57" s="44"/>
      <c r="O57" s="44"/>
      <c r="P57" s="73"/>
      <c r="Q57" s="75"/>
    </row>
    <row r="58" spans="1:19" s="115" customFormat="1" ht="9.75" customHeight="1">
      <c r="A58" s="110" t="s">
        <v>380</v>
      </c>
      <c r="B58" s="37">
        <v>20</v>
      </c>
      <c r="C58" s="37"/>
      <c r="D58" s="44">
        <v>0</v>
      </c>
      <c r="E58" s="44">
        <v>0</v>
      </c>
      <c r="F58" s="44">
        <v>0</v>
      </c>
      <c r="G58" s="37">
        <v>1</v>
      </c>
      <c r="H58" s="37">
        <f t="shared" ref="H58:H64" si="17">B58*G58</f>
        <v>20</v>
      </c>
      <c r="I58" s="72">
        <v>0</v>
      </c>
      <c r="J58" s="73">
        <f t="shared" ref="J58:J64" si="18">H58*I58</f>
        <v>0</v>
      </c>
      <c r="K58" s="73">
        <f t="shared" ref="K58:K64" si="19">J58*0.1</f>
        <v>0</v>
      </c>
      <c r="L58" s="73">
        <f t="shared" ref="L58:L64" si="20">J58*0.05</f>
        <v>0</v>
      </c>
      <c r="M58" s="37"/>
      <c r="N58" s="44">
        <f>(J58*'Base Data'!$C$5)+(K58*'Base Data'!$C$6)+(L58*'Base Data'!$C$7)</f>
        <v>0</v>
      </c>
      <c r="O58" s="44">
        <f t="shared" ref="O58:O64" si="21">(D58+E58+F58)*G58*I58</f>
        <v>0</v>
      </c>
      <c r="P58" s="73">
        <v>0</v>
      </c>
      <c r="Q58" s="75" t="s">
        <v>339</v>
      </c>
    </row>
    <row r="59" spans="1:19" s="115" customFormat="1" ht="9">
      <c r="A59" s="111" t="s">
        <v>376</v>
      </c>
      <c r="B59" s="37">
        <v>15</v>
      </c>
      <c r="C59" s="37">
        <v>0</v>
      </c>
      <c r="D59" s="44">
        <v>0</v>
      </c>
      <c r="E59" s="44">
        <v>0</v>
      </c>
      <c r="F59" s="44">
        <v>0</v>
      </c>
      <c r="G59" s="37">
        <v>1</v>
      </c>
      <c r="H59" s="37">
        <f t="shared" si="17"/>
        <v>15</v>
      </c>
      <c r="I59" s="72">
        <v>0</v>
      </c>
      <c r="J59" s="73">
        <f t="shared" si="18"/>
        <v>0</v>
      </c>
      <c r="K59" s="73">
        <f t="shared" si="19"/>
        <v>0</v>
      </c>
      <c r="L59" s="73">
        <f t="shared" si="20"/>
        <v>0</v>
      </c>
      <c r="M59" s="37">
        <f>C59*G59*I59</f>
        <v>0</v>
      </c>
      <c r="N59" s="44">
        <f>(J59*'Base Data'!$C$5)+(K59*'Base Data'!$C$6)+(L59*'Base Data'!$C$7)</f>
        <v>0</v>
      </c>
      <c r="O59" s="44">
        <f t="shared" si="21"/>
        <v>0</v>
      </c>
      <c r="P59" s="73">
        <v>0</v>
      </c>
      <c r="Q59" s="75" t="s">
        <v>339</v>
      </c>
    </row>
    <row r="60" spans="1:19" s="115" customFormat="1" ht="9.75" customHeight="1">
      <c r="A60" s="110" t="s">
        <v>377</v>
      </c>
      <c r="B60" s="37">
        <v>2</v>
      </c>
      <c r="C60" s="37"/>
      <c r="D60" s="44">
        <v>0</v>
      </c>
      <c r="E60" s="44">
        <v>0</v>
      </c>
      <c r="F60" s="44">
        <v>0</v>
      </c>
      <c r="G60" s="37">
        <v>1</v>
      </c>
      <c r="H60" s="37">
        <f t="shared" si="17"/>
        <v>2</v>
      </c>
      <c r="I60" s="72">
        <v>0</v>
      </c>
      <c r="J60" s="73">
        <f t="shared" si="18"/>
        <v>0</v>
      </c>
      <c r="K60" s="73">
        <f t="shared" si="19"/>
        <v>0</v>
      </c>
      <c r="L60" s="73">
        <f t="shared" si="20"/>
        <v>0</v>
      </c>
      <c r="M60" s="37"/>
      <c r="N60" s="44">
        <f>(J60*'Base Data'!$C$5)+(K60*'Base Data'!$C$6)+(L60*'Base Data'!$C$7)</f>
        <v>0</v>
      </c>
      <c r="O60" s="44">
        <f t="shared" si="21"/>
        <v>0</v>
      </c>
      <c r="P60" s="73">
        <v>0</v>
      </c>
      <c r="Q60" s="75" t="s">
        <v>339</v>
      </c>
    </row>
    <row r="61" spans="1:19" s="115" customFormat="1" ht="9">
      <c r="A61" s="111" t="s">
        <v>387</v>
      </c>
      <c r="B61" s="37">
        <v>2</v>
      </c>
      <c r="C61" s="37"/>
      <c r="D61" s="44">
        <v>0</v>
      </c>
      <c r="E61" s="44">
        <v>0</v>
      </c>
      <c r="F61" s="44">
        <v>0</v>
      </c>
      <c r="G61" s="37">
        <v>1</v>
      </c>
      <c r="H61" s="37">
        <f t="shared" si="17"/>
        <v>2</v>
      </c>
      <c r="I61" s="72">
        <v>0</v>
      </c>
      <c r="J61" s="73">
        <f t="shared" si="18"/>
        <v>0</v>
      </c>
      <c r="K61" s="73">
        <f t="shared" si="19"/>
        <v>0</v>
      </c>
      <c r="L61" s="73">
        <f t="shared" si="20"/>
        <v>0</v>
      </c>
      <c r="M61" s="37"/>
      <c r="N61" s="44">
        <f>(J61*'Base Data'!$C$5)+(K61*'Base Data'!$C$6)+(L61*'Base Data'!$C$7)</f>
        <v>0</v>
      </c>
      <c r="O61" s="44">
        <f t="shared" si="21"/>
        <v>0</v>
      </c>
      <c r="P61" s="73">
        <v>0</v>
      </c>
      <c r="Q61" s="75" t="s">
        <v>339</v>
      </c>
    </row>
    <row r="62" spans="1:19" s="115" customFormat="1" ht="9" customHeight="1">
      <c r="A62" s="111" t="s">
        <v>227</v>
      </c>
      <c r="B62" s="37">
        <v>2</v>
      </c>
      <c r="C62" s="37">
        <v>0</v>
      </c>
      <c r="D62" s="44">
        <v>0</v>
      </c>
      <c r="E62" s="44">
        <v>0</v>
      </c>
      <c r="F62" s="44">
        <v>0</v>
      </c>
      <c r="G62" s="37">
        <v>1</v>
      </c>
      <c r="H62" s="37">
        <f>B62*G62</f>
        <v>2</v>
      </c>
      <c r="I62" s="72">
        <v>0</v>
      </c>
      <c r="J62" s="73">
        <f>H62*I62</f>
        <v>0</v>
      </c>
      <c r="K62" s="73">
        <f t="shared" si="19"/>
        <v>0</v>
      </c>
      <c r="L62" s="73">
        <f>J62*0.05</f>
        <v>0</v>
      </c>
      <c r="M62" s="37">
        <f>C62*G62*I62</f>
        <v>0</v>
      </c>
      <c r="N62" s="44">
        <f>(J62*'Base Data'!$C$5)+(K62*'Base Data'!$C$6)+(L62*'Base Data'!$C$7)</f>
        <v>0</v>
      </c>
      <c r="O62" s="44">
        <f>(D62+E62+F62)*G62*I62</f>
        <v>0</v>
      </c>
      <c r="P62" s="73">
        <v>0</v>
      </c>
      <c r="Q62" s="75" t="s">
        <v>240</v>
      </c>
    </row>
    <row r="63" spans="1:19" s="115" customFormat="1" ht="18">
      <c r="A63" s="111" t="s">
        <v>432</v>
      </c>
      <c r="B63" s="37">
        <v>2</v>
      </c>
      <c r="C63" s="37">
        <v>0</v>
      </c>
      <c r="D63" s="44">
        <v>0</v>
      </c>
      <c r="E63" s="44">
        <v>0</v>
      </c>
      <c r="F63" s="44">
        <v>0</v>
      </c>
      <c r="G63" s="37">
        <v>2</v>
      </c>
      <c r="H63" s="37">
        <f t="shared" ref="H63" si="22">B63*G63</f>
        <v>4</v>
      </c>
      <c r="I63" s="72">
        <v>0</v>
      </c>
      <c r="J63" s="73">
        <f t="shared" ref="J63" si="23">H63*I63</f>
        <v>0</v>
      </c>
      <c r="K63" s="73">
        <f t="shared" si="19"/>
        <v>0</v>
      </c>
      <c r="L63" s="73">
        <f t="shared" ref="L63" si="24">J63*0.05</f>
        <v>0</v>
      </c>
      <c r="M63" s="37">
        <f>C63*G63*I63</f>
        <v>0</v>
      </c>
      <c r="N63" s="44">
        <f>(J63*'Base Data'!$C$5)+(K63*'Base Data'!$C$6)+(L63*'Base Data'!$C$7)</f>
        <v>0</v>
      </c>
      <c r="O63" s="44">
        <f t="shared" ref="O63" si="25">(D63+E63+F63)*G63*I63</f>
        <v>0</v>
      </c>
      <c r="P63" s="73">
        <v>0</v>
      </c>
      <c r="Q63" s="75" t="s">
        <v>240</v>
      </c>
    </row>
    <row r="64" spans="1:19" s="115" customFormat="1" ht="9">
      <c r="A64" s="111" t="s">
        <v>231</v>
      </c>
      <c r="B64" s="37">
        <v>0.5</v>
      </c>
      <c r="C64" s="37"/>
      <c r="D64" s="44">
        <v>0</v>
      </c>
      <c r="E64" s="44">
        <v>0</v>
      </c>
      <c r="F64" s="44">
        <v>0</v>
      </c>
      <c r="G64" s="37">
        <v>12</v>
      </c>
      <c r="H64" s="37">
        <f t="shared" si="17"/>
        <v>6</v>
      </c>
      <c r="I64" s="72">
        <v>0</v>
      </c>
      <c r="J64" s="73">
        <f t="shared" si="18"/>
        <v>0</v>
      </c>
      <c r="K64" s="73">
        <f t="shared" si="19"/>
        <v>0</v>
      </c>
      <c r="L64" s="73">
        <f t="shared" si="20"/>
        <v>0</v>
      </c>
      <c r="M64" s="37"/>
      <c r="N64" s="44">
        <f>(J64*'Base Data'!$C$5)+(K64*'Base Data'!$C$6)+(L64*'Base Data'!$C$7)</f>
        <v>0</v>
      </c>
      <c r="O64" s="44">
        <f t="shared" si="21"/>
        <v>0</v>
      </c>
      <c r="P64" s="73">
        <v>0</v>
      </c>
      <c r="Q64" s="75" t="s">
        <v>89</v>
      </c>
    </row>
    <row r="65" spans="1:19" s="115" customFormat="1" ht="9">
      <c r="A65" s="260" t="s">
        <v>433</v>
      </c>
      <c r="B65" s="37">
        <v>0.25</v>
      </c>
      <c r="C65" s="37"/>
      <c r="D65" s="44">
        <v>0</v>
      </c>
      <c r="E65" s="44">
        <v>0</v>
      </c>
      <c r="F65" s="44">
        <v>0</v>
      </c>
      <c r="G65" s="37">
        <v>1</v>
      </c>
      <c r="H65" s="37">
        <f>B65*G65</f>
        <v>0.25</v>
      </c>
      <c r="I65" s="73">
        <v>0</v>
      </c>
      <c r="J65" s="72">
        <f>H65*I65</f>
        <v>0</v>
      </c>
      <c r="K65" s="72">
        <f>J65*0.1</f>
        <v>0</v>
      </c>
      <c r="L65" s="72">
        <f>J65*0.05</f>
        <v>0</v>
      </c>
      <c r="M65" s="37">
        <f>C65*G65*I65</f>
        <v>0</v>
      </c>
      <c r="N65" s="44">
        <f>(J65*'Base Data'!$C$5)+(K65*'Base Data'!$C$6)+(L65*'Base Data'!$C$7)</f>
        <v>0</v>
      </c>
      <c r="O65" s="44">
        <f>(D65+E65+F65)*G65*I65</f>
        <v>0</v>
      </c>
      <c r="P65" s="73">
        <v>0</v>
      </c>
      <c r="Q65" s="75" t="s">
        <v>339</v>
      </c>
    </row>
    <row r="66" spans="1:19" s="115" customFormat="1" ht="9">
      <c r="A66" s="110" t="s">
        <v>378</v>
      </c>
      <c r="B66" s="37">
        <v>40</v>
      </c>
      <c r="C66" s="37"/>
      <c r="D66" s="44">
        <v>0</v>
      </c>
      <c r="E66" s="44">
        <v>0</v>
      </c>
      <c r="F66" s="44">
        <v>0</v>
      </c>
      <c r="G66" s="37">
        <v>1</v>
      </c>
      <c r="H66" s="37">
        <f t="shared" ref="H66" si="26">B66*G66</f>
        <v>40</v>
      </c>
      <c r="I66" s="72">
        <v>0</v>
      </c>
      <c r="J66" s="73">
        <f t="shared" ref="J66" si="27">H66*I66</f>
        <v>0</v>
      </c>
      <c r="K66" s="73">
        <f t="shared" ref="K66" si="28">J66*0.1</f>
        <v>0</v>
      </c>
      <c r="L66" s="73">
        <f t="shared" ref="L66" si="29">J66*0.05</f>
        <v>0</v>
      </c>
      <c r="M66" s="37"/>
      <c r="N66" s="44">
        <f>(J66*'Base Data'!$C$5)+(K66*'Base Data'!$C$6)+(L66*'Base Data'!$C$7)</f>
        <v>0</v>
      </c>
      <c r="O66" s="44">
        <f t="shared" ref="O66" si="30">(D66+E66+F66)*G66*I66</f>
        <v>0</v>
      </c>
      <c r="P66" s="73">
        <v>0</v>
      </c>
      <c r="Q66" s="75" t="s">
        <v>496</v>
      </c>
    </row>
    <row r="67" spans="1:19" s="115" customFormat="1">
      <c r="A67" s="114" t="s">
        <v>379</v>
      </c>
      <c r="B67" s="37" t="s">
        <v>384</v>
      </c>
      <c r="C67" s="37"/>
      <c r="D67" s="44"/>
      <c r="E67" s="44"/>
      <c r="F67" s="44"/>
      <c r="G67" s="37"/>
      <c r="H67" s="37"/>
      <c r="I67" s="73"/>
      <c r="J67" s="73"/>
      <c r="K67" s="73"/>
      <c r="L67" s="73"/>
      <c r="M67" s="37"/>
      <c r="N67" s="44"/>
      <c r="O67" s="44"/>
      <c r="P67" s="73"/>
      <c r="Q67" s="75"/>
      <c r="R67" s="134"/>
    </row>
    <row r="68" spans="1:19" s="115" customFormat="1">
      <c r="A68" s="129" t="s">
        <v>26</v>
      </c>
      <c r="B68" s="184"/>
      <c r="C68" s="184"/>
      <c r="D68" s="185"/>
      <c r="E68" s="185"/>
      <c r="F68" s="185"/>
      <c r="G68" s="184"/>
      <c r="H68" s="184"/>
      <c r="I68" s="186"/>
      <c r="J68" s="186">
        <f t="shared" ref="J68:P68" si="31">SUM(J54:J67)</f>
        <v>0</v>
      </c>
      <c r="K68" s="186">
        <f t="shared" si="31"/>
        <v>0</v>
      </c>
      <c r="L68" s="186">
        <f t="shared" si="31"/>
        <v>0</v>
      </c>
      <c r="M68" s="185">
        <f t="shared" si="31"/>
        <v>0</v>
      </c>
      <c r="N68" s="185">
        <f t="shared" si="31"/>
        <v>0</v>
      </c>
      <c r="O68" s="185">
        <f t="shared" si="31"/>
        <v>0</v>
      </c>
      <c r="P68" s="186">
        <f t="shared" si="31"/>
        <v>0</v>
      </c>
      <c r="Q68" s="187"/>
      <c r="R68" s="88"/>
    </row>
    <row r="69" spans="1:19" s="134" customFormat="1">
      <c r="A69" s="135" t="s">
        <v>351</v>
      </c>
      <c r="B69" s="136"/>
      <c r="C69" s="136"/>
      <c r="D69" s="136"/>
      <c r="E69" s="136"/>
      <c r="F69" s="137"/>
      <c r="G69" s="136"/>
      <c r="H69" s="136"/>
      <c r="I69" s="138"/>
      <c r="J69" s="139">
        <f t="shared" ref="J69:P69" si="32">J52+J68</f>
        <v>23058</v>
      </c>
      <c r="K69" s="139">
        <f t="shared" si="32"/>
        <v>2305.8000000000002</v>
      </c>
      <c r="L69" s="139">
        <f t="shared" si="32"/>
        <v>1152.9000000000001</v>
      </c>
      <c r="M69" s="140">
        <f t="shared" si="32"/>
        <v>0</v>
      </c>
      <c r="N69" s="140">
        <f t="shared" si="32"/>
        <v>2508191.5949999997</v>
      </c>
      <c r="O69" s="140">
        <f t="shared" si="32"/>
        <v>0</v>
      </c>
      <c r="P69" s="139">
        <f t="shared" si="32"/>
        <v>549</v>
      </c>
      <c r="Q69" s="141"/>
      <c r="R69" s="45"/>
    </row>
    <row r="70" spans="1:19" ht="6" customHeight="1">
      <c r="R70" s="45"/>
    </row>
    <row r="71" spans="1:19" s="45" customFormat="1" ht="9">
      <c r="A71" s="45" t="s">
        <v>550</v>
      </c>
      <c r="B71" s="48"/>
      <c r="C71" s="48"/>
      <c r="D71" s="48"/>
      <c r="E71" s="48"/>
      <c r="F71" s="48"/>
      <c r="G71" s="48"/>
      <c r="H71" s="48"/>
      <c r="I71" s="49"/>
      <c r="J71" s="48"/>
      <c r="K71" s="48"/>
      <c r="L71" s="48"/>
      <c r="M71" s="48"/>
      <c r="N71" s="48"/>
      <c r="O71" s="146"/>
      <c r="P71" s="146"/>
      <c r="Q71" s="48"/>
      <c r="S71" s="48"/>
    </row>
    <row r="72" spans="1:19" s="45" customFormat="1" ht="19.5" customHeight="1">
      <c r="A72" s="494" t="s">
        <v>547</v>
      </c>
      <c r="B72" s="494"/>
      <c r="C72" s="494"/>
      <c r="D72" s="494"/>
      <c r="E72" s="494"/>
      <c r="F72" s="494"/>
      <c r="G72" s="494"/>
      <c r="H72" s="494"/>
      <c r="I72" s="494"/>
      <c r="J72" s="494"/>
      <c r="K72" s="494"/>
      <c r="L72" s="494"/>
      <c r="M72" s="494"/>
      <c r="N72" s="494"/>
      <c r="O72" s="494"/>
      <c r="P72" s="459"/>
      <c r="Q72" s="48"/>
      <c r="R72" s="494"/>
      <c r="S72" s="494"/>
    </row>
    <row r="73" spans="1:19" s="45" customFormat="1" ht="9" customHeight="1">
      <c r="A73" s="494" t="s">
        <v>325</v>
      </c>
      <c r="B73" s="494"/>
      <c r="C73" s="494"/>
      <c r="D73" s="494"/>
      <c r="E73" s="494"/>
      <c r="F73" s="494"/>
      <c r="G73" s="494"/>
      <c r="H73" s="494"/>
      <c r="I73" s="494"/>
      <c r="J73" s="494"/>
      <c r="K73" s="494"/>
      <c r="L73" s="494"/>
      <c r="M73" s="494"/>
      <c r="N73" s="494"/>
      <c r="O73" s="494"/>
      <c r="P73" s="459"/>
      <c r="Q73" s="48"/>
      <c r="R73" s="494"/>
      <c r="S73" s="494"/>
    </row>
    <row r="74" spans="1:19" s="45" customFormat="1" ht="20.25" customHeight="1">
      <c r="A74" s="494" t="s">
        <v>94</v>
      </c>
      <c r="B74" s="494"/>
      <c r="C74" s="494"/>
      <c r="D74" s="494"/>
      <c r="E74" s="494"/>
      <c r="F74" s="494"/>
      <c r="G74" s="494"/>
      <c r="H74" s="494"/>
      <c r="I74" s="494"/>
      <c r="J74" s="494"/>
      <c r="K74" s="494"/>
      <c r="L74" s="494"/>
      <c r="M74" s="494"/>
      <c r="N74" s="494"/>
      <c r="O74" s="494"/>
      <c r="P74" s="494"/>
      <c r="Q74" s="494"/>
      <c r="R74" s="494"/>
      <c r="S74" s="494"/>
    </row>
    <row r="75" spans="1:19" s="45" customFormat="1" ht="9" customHeight="1">
      <c r="A75" s="45" t="s">
        <v>392</v>
      </c>
      <c r="B75" s="48"/>
      <c r="C75" s="48"/>
      <c r="D75" s="48"/>
      <c r="E75" s="48"/>
      <c r="F75" s="48"/>
      <c r="G75" s="48"/>
      <c r="H75" s="48"/>
      <c r="I75" s="49"/>
      <c r="J75" s="48"/>
      <c r="K75" s="48"/>
      <c r="L75" s="48"/>
      <c r="M75" s="48"/>
      <c r="N75" s="48"/>
      <c r="O75" s="146"/>
      <c r="P75" s="146"/>
      <c r="Q75" s="48"/>
      <c r="S75" s="48"/>
    </row>
    <row r="76" spans="1:19" s="45" customFormat="1" ht="9">
      <c r="A76" s="494" t="s">
        <v>486</v>
      </c>
      <c r="B76" s="494"/>
      <c r="C76" s="494"/>
      <c r="D76" s="494"/>
      <c r="E76" s="494"/>
      <c r="F76" s="494"/>
      <c r="G76" s="494"/>
      <c r="H76" s="494"/>
      <c r="I76" s="494"/>
      <c r="J76" s="494"/>
      <c r="K76" s="494"/>
      <c r="L76" s="494"/>
      <c r="M76" s="494"/>
      <c r="N76" s="48"/>
      <c r="O76" s="146"/>
      <c r="P76" s="146"/>
      <c r="Q76" s="48"/>
      <c r="S76" s="48"/>
    </row>
    <row r="77" spans="1:19" s="45" customFormat="1" ht="9">
      <c r="A77" s="45" t="s">
        <v>223</v>
      </c>
      <c r="B77" s="48"/>
      <c r="C77" s="48"/>
      <c r="D77" s="48"/>
      <c r="E77" s="48"/>
      <c r="F77" s="48"/>
      <c r="G77" s="48"/>
      <c r="H77" s="48"/>
      <c r="I77" s="49"/>
      <c r="J77" s="48"/>
      <c r="K77" s="48"/>
      <c r="L77" s="48"/>
      <c r="M77" s="48"/>
      <c r="N77" s="48"/>
      <c r="O77" s="146"/>
      <c r="P77" s="146"/>
      <c r="Q77" s="48"/>
      <c r="S77" s="48"/>
    </row>
    <row r="78" spans="1:19" s="45" customFormat="1" ht="9">
      <c r="A78" s="45" t="s">
        <v>608</v>
      </c>
      <c r="B78" s="48"/>
      <c r="C78" s="48"/>
      <c r="D78" s="48"/>
      <c r="E78" s="48"/>
      <c r="F78" s="48"/>
      <c r="G78" s="48"/>
      <c r="H78" s="48"/>
      <c r="I78" s="49"/>
      <c r="J78" s="48"/>
      <c r="K78" s="48"/>
      <c r="L78" s="48"/>
      <c r="M78" s="48"/>
      <c r="N78" s="48"/>
      <c r="O78" s="146"/>
      <c r="P78" s="146"/>
      <c r="Q78" s="48"/>
      <c r="S78" s="48"/>
    </row>
    <row r="79" spans="1:19" s="45" customFormat="1" ht="9">
      <c r="A79" s="45" t="s">
        <v>491</v>
      </c>
      <c r="B79" s="48"/>
      <c r="C79" s="48"/>
      <c r="D79" s="48"/>
      <c r="E79" s="48"/>
      <c r="F79" s="48"/>
      <c r="G79" s="48"/>
      <c r="H79" s="48"/>
      <c r="I79" s="49"/>
      <c r="J79" s="48"/>
      <c r="K79" s="48"/>
      <c r="L79" s="48"/>
      <c r="M79" s="48"/>
      <c r="N79" s="48"/>
      <c r="O79" s="146"/>
      <c r="P79" s="146"/>
      <c r="Q79" s="48"/>
      <c r="S79" s="48"/>
    </row>
    <row r="80" spans="1:19" s="45" customFormat="1" ht="9" customHeight="1">
      <c r="A80" s="494" t="s">
        <v>551</v>
      </c>
      <c r="B80" s="494"/>
      <c r="C80" s="494"/>
      <c r="D80" s="494"/>
      <c r="E80" s="494"/>
      <c r="F80" s="494"/>
      <c r="G80" s="494"/>
      <c r="H80" s="494"/>
      <c r="I80" s="494"/>
      <c r="J80" s="494"/>
      <c r="K80" s="494"/>
      <c r="L80" s="494"/>
      <c r="M80" s="494"/>
      <c r="N80" s="494"/>
      <c r="O80" s="494"/>
      <c r="P80" s="494"/>
      <c r="Q80" s="494"/>
      <c r="R80" s="494"/>
      <c r="S80" s="494"/>
    </row>
    <row r="81" spans="1:19" s="45" customFormat="1" ht="9">
      <c r="A81" s="78" t="s">
        <v>228</v>
      </c>
      <c r="B81" s="48"/>
      <c r="C81" s="48"/>
      <c r="D81" s="48"/>
      <c r="E81" s="48"/>
      <c r="F81" s="48"/>
      <c r="G81" s="48"/>
      <c r="H81" s="48"/>
      <c r="I81" s="49"/>
      <c r="J81" s="48"/>
      <c r="K81" s="48"/>
      <c r="L81" s="48"/>
      <c r="M81" s="48"/>
      <c r="N81" s="48"/>
      <c r="O81" s="146"/>
      <c r="P81" s="146"/>
      <c r="Q81" s="48"/>
      <c r="R81" s="78"/>
      <c r="S81" s="48"/>
    </row>
    <row r="82" spans="1:19" s="45" customFormat="1" ht="9">
      <c r="A82" s="285" t="s">
        <v>230</v>
      </c>
      <c r="B82" s="48"/>
      <c r="C82" s="48"/>
      <c r="D82" s="48"/>
      <c r="E82" s="48"/>
      <c r="F82" s="48"/>
      <c r="G82" s="48"/>
      <c r="H82" s="48"/>
      <c r="I82" s="49"/>
      <c r="J82" s="48"/>
      <c r="K82" s="48"/>
      <c r="L82" s="48"/>
      <c r="M82" s="48"/>
      <c r="N82" s="48"/>
      <c r="O82" s="146"/>
      <c r="P82" s="146"/>
      <c r="Q82" s="48"/>
    </row>
    <row r="83" spans="1:19" s="107" customFormat="1" ht="9">
      <c r="A83" s="107" t="s">
        <v>494</v>
      </c>
      <c r="N83" s="85"/>
      <c r="O83" s="109"/>
      <c r="P83" s="109"/>
      <c r="Q83" s="85"/>
    </row>
    <row r="84" spans="1:19" s="107" customFormat="1" ht="9">
      <c r="A84" s="45" t="s">
        <v>495</v>
      </c>
      <c r="B84" s="85"/>
      <c r="C84" s="85"/>
      <c r="D84" s="85"/>
      <c r="E84" s="85"/>
      <c r="F84" s="85"/>
      <c r="G84" s="85"/>
      <c r="H84" s="85"/>
      <c r="I84" s="108"/>
      <c r="J84" s="85"/>
      <c r="K84" s="85"/>
      <c r="L84" s="85"/>
      <c r="M84" s="85"/>
      <c r="N84" s="85"/>
      <c r="O84" s="109"/>
      <c r="P84" s="109"/>
      <c r="Q84" s="85"/>
    </row>
    <row r="85" spans="1:19" s="107" customFormat="1" ht="9">
      <c r="A85" s="94" t="s">
        <v>515</v>
      </c>
      <c r="N85" s="85"/>
      <c r="O85" s="109"/>
      <c r="P85" s="109"/>
      <c r="Q85" s="85"/>
    </row>
    <row r="86" spans="1:19" s="45" customFormat="1" ht="9">
      <c r="A86" s="494" t="s">
        <v>665</v>
      </c>
      <c r="B86" s="494"/>
      <c r="C86" s="494"/>
      <c r="D86" s="494"/>
      <c r="E86" s="494"/>
      <c r="F86" s="494"/>
      <c r="G86" s="494"/>
      <c r="H86" s="494"/>
      <c r="I86" s="494"/>
      <c r="J86" s="494"/>
      <c r="K86" s="494"/>
      <c r="L86" s="494"/>
      <c r="M86" s="494"/>
      <c r="N86" s="494"/>
      <c r="O86" s="494"/>
      <c r="P86" s="494"/>
      <c r="Q86" s="494"/>
    </row>
    <row r="87" spans="1:19" s="45" customFormat="1" ht="9">
      <c r="A87" s="494"/>
      <c r="B87" s="494"/>
      <c r="C87" s="494"/>
      <c r="D87" s="494"/>
      <c r="E87" s="494"/>
      <c r="F87" s="494"/>
      <c r="G87" s="494"/>
      <c r="H87" s="494"/>
      <c r="I87" s="494"/>
      <c r="J87" s="494"/>
      <c r="K87" s="494"/>
      <c r="L87" s="494"/>
      <c r="M87" s="494"/>
      <c r="N87" s="494"/>
      <c r="O87" s="494"/>
      <c r="P87" s="494"/>
      <c r="Q87" s="494"/>
    </row>
    <row r="88" spans="1:19" s="45" customFormat="1" ht="9">
      <c r="A88" s="494"/>
      <c r="B88" s="494"/>
      <c r="C88" s="494"/>
      <c r="D88" s="494"/>
      <c r="E88" s="494"/>
      <c r="F88" s="494"/>
      <c r="G88" s="494"/>
      <c r="H88" s="494"/>
      <c r="I88" s="494"/>
      <c r="J88" s="494"/>
      <c r="K88" s="494"/>
      <c r="L88" s="494"/>
      <c r="M88" s="494"/>
      <c r="N88" s="494"/>
      <c r="O88" s="494"/>
      <c r="P88" s="494"/>
      <c r="Q88" s="494"/>
    </row>
    <row r="89" spans="1:19" s="45" customFormat="1" ht="9">
      <c r="B89" s="48"/>
      <c r="C89" s="48"/>
      <c r="D89" s="48"/>
      <c r="E89" s="48"/>
      <c r="F89" s="48"/>
      <c r="G89" s="48"/>
      <c r="H89" s="48"/>
      <c r="I89" s="49"/>
      <c r="J89" s="48"/>
      <c r="K89" s="48"/>
      <c r="L89" s="48"/>
      <c r="M89" s="48"/>
      <c r="N89" s="48"/>
      <c r="O89" s="146"/>
      <c r="P89" s="146"/>
      <c r="Q89" s="48"/>
    </row>
    <row r="90" spans="1:19" s="45" customFormat="1" ht="9">
      <c r="B90" s="48"/>
      <c r="C90" s="48"/>
      <c r="D90" s="48"/>
      <c r="E90" s="48"/>
      <c r="F90" s="48"/>
      <c r="G90" s="48"/>
      <c r="H90" s="48"/>
      <c r="I90" s="49"/>
      <c r="J90" s="48"/>
      <c r="K90" s="48"/>
      <c r="L90" s="48"/>
      <c r="M90" s="48"/>
      <c r="N90" s="48"/>
      <c r="O90" s="146"/>
      <c r="P90" s="146"/>
      <c r="Q90" s="48"/>
    </row>
    <row r="91" spans="1:19" s="45" customFormat="1" ht="9">
      <c r="B91" s="48"/>
      <c r="C91" s="48"/>
      <c r="D91" s="48"/>
      <c r="E91" s="48"/>
      <c r="F91" s="48"/>
      <c r="G91" s="48"/>
      <c r="H91" s="48"/>
      <c r="I91" s="49"/>
      <c r="J91" s="48"/>
      <c r="K91" s="48"/>
      <c r="L91" s="48"/>
      <c r="M91" s="48"/>
      <c r="N91" s="48"/>
      <c r="O91" s="146"/>
      <c r="P91" s="146"/>
      <c r="Q91" s="48"/>
    </row>
    <row r="92" spans="1:19" s="45" customFormat="1" ht="9">
      <c r="B92" s="48"/>
      <c r="C92" s="48"/>
      <c r="D92" s="48"/>
      <c r="E92" s="48"/>
      <c r="F92" s="48"/>
      <c r="G92" s="48"/>
      <c r="H92" s="48"/>
      <c r="I92" s="49"/>
      <c r="J92" s="48"/>
      <c r="K92" s="48"/>
      <c r="L92" s="48"/>
      <c r="M92" s="48"/>
      <c r="N92" s="48"/>
      <c r="O92" s="146"/>
      <c r="P92" s="146"/>
      <c r="Q92" s="48"/>
    </row>
    <row r="93" spans="1:19" s="45" customFormat="1" ht="9">
      <c r="B93" s="48"/>
      <c r="C93" s="48"/>
      <c r="D93" s="48"/>
      <c r="E93" s="48"/>
      <c r="F93" s="48"/>
      <c r="G93" s="48"/>
      <c r="H93" s="48"/>
      <c r="I93" s="49"/>
      <c r="J93" s="48"/>
      <c r="K93" s="48"/>
      <c r="L93" s="48"/>
      <c r="M93" s="48"/>
      <c r="N93" s="48"/>
      <c r="O93" s="146"/>
      <c r="P93" s="146"/>
      <c r="Q93" s="48"/>
    </row>
    <row r="94" spans="1:19" s="45" customFormat="1" ht="9">
      <c r="B94" s="48"/>
      <c r="C94" s="48"/>
      <c r="D94" s="48"/>
      <c r="E94" s="48"/>
      <c r="F94" s="48"/>
      <c r="G94" s="48"/>
      <c r="H94" s="48"/>
      <c r="I94" s="49"/>
      <c r="J94" s="48"/>
      <c r="K94" s="48"/>
      <c r="L94" s="48"/>
      <c r="M94" s="48"/>
      <c r="N94" s="48"/>
      <c r="O94" s="146"/>
      <c r="P94" s="146"/>
      <c r="Q94" s="48"/>
    </row>
    <row r="95" spans="1:19" s="45" customFormat="1" ht="9">
      <c r="B95" s="48"/>
      <c r="C95" s="48"/>
      <c r="D95" s="48"/>
      <c r="E95" s="48"/>
      <c r="F95" s="48"/>
      <c r="G95" s="48"/>
      <c r="H95" s="48"/>
      <c r="I95" s="49"/>
      <c r="J95" s="48"/>
      <c r="K95" s="48"/>
      <c r="L95" s="48"/>
      <c r="M95" s="48"/>
      <c r="N95" s="48"/>
      <c r="O95" s="146"/>
      <c r="P95" s="146"/>
      <c r="Q95" s="48"/>
    </row>
    <row r="96" spans="1:19"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8" s="45" customFormat="1" ht="9">
      <c r="B113" s="48"/>
      <c r="C113" s="48"/>
      <c r="D113" s="48"/>
      <c r="E113" s="48"/>
      <c r="F113" s="48"/>
      <c r="G113" s="48"/>
      <c r="H113" s="48"/>
      <c r="I113" s="49"/>
      <c r="J113" s="48"/>
      <c r="K113" s="48"/>
      <c r="L113" s="48"/>
      <c r="M113" s="48"/>
      <c r="N113" s="48"/>
      <c r="O113" s="146"/>
      <c r="P113" s="146"/>
      <c r="Q113" s="48"/>
    </row>
    <row r="114" spans="2:18" s="45" customFormat="1" ht="9">
      <c r="B114" s="48"/>
      <c r="C114" s="48"/>
      <c r="D114" s="48"/>
      <c r="E114" s="48"/>
      <c r="F114" s="48"/>
      <c r="G114" s="48"/>
      <c r="H114" s="48"/>
      <c r="I114" s="49"/>
      <c r="J114" s="48"/>
      <c r="K114" s="48"/>
      <c r="L114" s="48"/>
      <c r="M114" s="48"/>
      <c r="N114" s="48"/>
      <c r="O114" s="146"/>
      <c r="P114" s="146"/>
      <c r="Q114" s="48"/>
    </row>
    <row r="115" spans="2:18" s="45" customFormat="1" ht="9">
      <c r="B115" s="48"/>
      <c r="C115" s="48"/>
      <c r="D115" s="48"/>
      <c r="E115" s="48"/>
      <c r="F115" s="48"/>
      <c r="G115" s="48"/>
      <c r="H115" s="48"/>
      <c r="I115" s="49"/>
      <c r="J115" s="48"/>
      <c r="K115" s="48"/>
      <c r="L115" s="48"/>
      <c r="M115" s="48"/>
      <c r="N115" s="48"/>
      <c r="O115" s="146"/>
      <c r="P115" s="146"/>
      <c r="Q115" s="48"/>
    </row>
    <row r="116" spans="2:18" s="45" customFormat="1" ht="9">
      <c r="B116" s="48"/>
      <c r="C116" s="48"/>
      <c r="D116" s="48"/>
      <c r="E116" s="48"/>
      <c r="F116" s="48"/>
      <c r="G116" s="48"/>
      <c r="H116" s="48"/>
      <c r="I116" s="49"/>
      <c r="J116" s="48"/>
      <c r="K116" s="48"/>
      <c r="L116" s="48"/>
      <c r="M116" s="48"/>
      <c r="N116" s="48"/>
      <c r="O116" s="146"/>
      <c r="P116" s="146"/>
      <c r="Q116" s="48"/>
    </row>
    <row r="117" spans="2:18" s="45" customFormat="1" ht="9">
      <c r="B117" s="48"/>
      <c r="C117" s="48"/>
      <c r="D117" s="48"/>
      <c r="E117" s="48"/>
      <c r="F117" s="48"/>
      <c r="G117" s="48"/>
      <c r="H117" s="48"/>
      <c r="I117" s="49"/>
      <c r="J117" s="48"/>
      <c r="K117" s="48"/>
      <c r="L117" s="48"/>
      <c r="M117" s="48"/>
      <c r="N117" s="48"/>
      <c r="O117" s="146"/>
      <c r="P117" s="146"/>
      <c r="Q117" s="48"/>
    </row>
    <row r="118" spans="2:18" s="45" customFormat="1" ht="9">
      <c r="B118" s="48"/>
      <c r="C118" s="48"/>
      <c r="D118" s="48"/>
      <c r="E118" s="48"/>
      <c r="F118" s="48"/>
      <c r="G118" s="48"/>
      <c r="H118" s="48"/>
      <c r="I118" s="49"/>
      <c r="J118" s="48"/>
      <c r="K118" s="48"/>
      <c r="L118" s="48"/>
      <c r="M118" s="48"/>
      <c r="N118" s="48"/>
      <c r="O118" s="146"/>
      <c r="P118" s="146"/>
      <c r="Q118" s="48"/>
    </row>
    <row r="119" spans="2:18" s="45" customFormat="1" ht="9">
      <c r="B119" s="48"/>
      <c r="C119" s="48"/>
      <c r="D119" s="48"/>
      <c r="E119" s="48"/>
      <c r="F119" s="48"/>
      <c r="G119" s="48"/>
      <c r="H119" s="48"/>
      <c r="I119" s="49"/>
      <c r="J119" s="48"/>
      <c r="K119" s="48"/>
      <c r="L119" s="48"/>
      <c r="M119" s="48"/>
      <c r="N119" s="48"/>
      <c r="O119" s="146"/>
      <c r="P119" s="146"/>
      <c r="Q119" s="48"/>
    </row>
    <row r="120" spans="2:18" s="45" customFormat="1" ht="9">
      <c r="B120" s="48"/>
      <c r="C120" s="48"/>
      <c r="D120" s="48"/>
      <c r="E120" s="48"/>
      <c r="F120" s="48"/>
      <c r="G120" s="48"/>
      <c r="H120" s="48"/>
      <c r="I120" s="49"/>
      <c r="J120" s="48"/>
      <c r="K120" s="48"/>
      <c r="L120" s="48"/>
      <c r="M120" s="48"/>
      <c r="N120" s="48"/>
      <c r="O120" s="146"/>
      <c r="P120" s="146"/>
      <c r="Q120" s="48"/>
    </row>
    <row r="121" spans="2:18" s="45" customFormat="1" ht="9">
      <c r="B121" s="48"/>
      <c r="C121" s="48"/>
      <c r="D121" s="48"/>
      <c r="E121" s="48"/>
      <c r="F121" s="48"/>
      <c r="G121" s="48"/>
      <c r="H121" s="48"/>
      <c r="I121" s="49"/>
      <c r="J121" s="48"/>
      <c r="K121" s="48"/>
      <c r="L121" s="48"/>
      <c r="M121" s="48"/>
      <c r="N121" s="48"/>
      <c r="O121" s="146"/>
      <c r="P121" s="146"/>
      <c r="Q121" s="48"/>
    </row>
    <row r="122" spans="2:18" s="45" customFormat="1" ht="9">
      <c r="B122" s="48"/>
      <c r="C122" s="48"/>
      <c r="D122" s="48"/>
      <c r="E122" s="48"/>
      <c r="F122" s="48"/>
      <c r="G122" s="48"/>
      <c r="H122" s="48"/>
      <c r="I122" s="49"/>
      <c r="J122" s="48"/>
      <c r="K122" s="48"/>
      <c r="L122" s="48"/>
      <c r="M122" s="48"/>
      <c r="N122" s="48"/>
      <c r="O122" s="146"/>
      <c r="P122" s="146"/>
      <c r="Q122" s="48"/>
    </row>
    <row r="123" spans="2:18" s="45" customFormat="1" ht="9">
      <c r="B123" s="48"/>
      <c r="C123" s="48"/>
      <c r="D123" s="48"/>
      <c r="E123" s="48"/>
      <c r="F123" s="48"/>
      <c r="G123" s="48"/>
      <c r="H123" s="48"/>
      <c r="I123" s="49"/>
      <c r="J123" s="48"/>
      <c r="K123" s="48"/>
      <c r="L123" s="48"/>
      <c r="M123" s="48"/>
      <c r="N123" s="48"/>
      <c r="O123" s="146"/>
      <c r="P123" s="146"/>
      <c r="Q123" s="48"/>
    </row>
    <row r="124" spans="2:18" s="45" customFormat="1" ht="9">
      <c r="B124" s="48"/>
      <c r="C124" s="48"/>
      <c r="D124" s="48"/>
      <c r="E124" s="48"/>
      <c r="F124" s="48"/>
      <c r="G124" s="48"/>
      <c r="H124" s="48"/>
      <c r="I124" s="49"/>
      <c r="J124" s="48"/>
      <c r="K124" s="48"/>
      <c r="L124" s="48"/>
      <c r="M124" s="48"/>
      <c r="N124" s="48"/>
      <c r="O124" s="146"/>
      <c r="P124" s="146"/>
      <c r="Q124" s="48"/>
    </row>
    <row r="125" spans="2:18" s="45" customFormat="1" ht="9">
      <c r="B125" s="48"/>
      <c r="C125" s="48"/>
      <c r="D125" s="48"/>
      <c r="E125" s="48"/>
      <c r="F125" s="48"/>
      <c r="G125" s="48"/>
      <c r="H125" s="48"/>
      <c r="I125" s="49"/>
      <c r="J125" s="48"/>
      <c r="K125" s="48"/>
      <c r="L125" s="48"/>
      <c r="M125" s="48"/>
      <c r="N125" s="48"/>
      <c r="O125" s="146"/>
      <c r="P125" s="146"/>
      <c r="Q125" s="48"/>
    </row>
    <row r="126" spans="2:18" s="45" customFormat="1" ht="9">
      <c r="B126" s="48"/>
      <c r="C126" s="48"/>
      <c r="D126" s="48"/>
      <c r="E126" s="48"/>
      <c r="F126" s="48"/>
      <c r="G126" s="48"/>
      <c r="H126" s="48"/>
      <c r="I126" s="49"/>
      <c r="J126" s="48"/>
      <c r="K126" s="48"/>
      <c r="L126" s="48"/>
      <c r="M126" s="48"/>
      <c r="N126" s="48"/>
      <c r="O126" s="146"/>
      <c r="P126" s="146"/>
      <c r="Q126" s="48"/>
    </row>
    <row r="127" spans="2:18" s="45" customFormat="1" ht="9">
      <c r="B127" s="48"/>
      <c r="C127" s="48"/>
      <c r="D127" s="48"/>
      <c r="E127" s="48"/>
      <c r="F127" s="48"/>
      <c r="G127" s="48"/>
      <c r="H127" s="48"/>
      <c r="I127" s="49"/>
      <c r="J127" s="48"/>
      <c r="K127" s="48"/>
      <c r="L127" s="48"/>
      <c r="M127" s="48"/>
      <c r="N127" s="48"/>
      <c r="O127" s="146"/>
      <c r="P127" s="146"/>
      <c r="Q127" s="48"/>
    </row>
    <row r="128" spans="2:18" s="45" customFormat="1">
      <c r="B128" s="48"/>
      <c r="C128" s="48"/>
      <c r="D128" s="48"/>
      <c r="E128" s="48"/>
      <c r="F128" s="48"/>
      <c r="G128" s="48"/>
      <c r="H128" s="48"/>
      <c r="I128" s="49"/>
      <c r="J128" s="48"/>
      <c r="K128" s="48"/>
      <c r="L128" s="48"/>
      <c r="M128" s="48"/>
      <c r="N128" s="48"/>
      <c r="O128" s="146"/>
      <c r="P128" s="146"/>
      <c r="Q128" s="48"/>
      <c r="R128" s="88"/>
    </row>
    <row r="129" spans="2:18" s="45" customFormat="1">
      <c r="B129" s="48"/>
      <c r="C129" s="48"/>
      <c r="D129" s="48"/>
      <c r="E129" s="48"/>
      <c r="F129" s="48"/>
      <c r="G129" s="48"/>
      <c r="H129" s="48"/>
      <c r="I129" s="49"/>
      <c r="J129" s="48"/>
      <c r="K129" s="48"/>
      <c r="L129" s="48"/>
      <c r="M129" s="48"/>
      <c r="N129" s="48"/>
      <c r="O129" s="146"/>
      <c r="P129" s="146"/>
      <c r="Q129" s="48"/>
      <c r="R129" s="88"/>
    </row>
    <row r="130" spans="2:18">
      <c r="P130" s="146"/>
    </row>
    <row r="131" spans="2:18">
      <c r="P131" s="146"/>
    </row>
  </sheetData>
  <mergeCells count="12">
    <mergeCell ref="R80:S80"/>
    <mergeCell ref="R72:S72"/>
    <mergeCell ref="R73:S73"/>
    <mergeCell ref="R74:S74"/>
    <mergeCell ref="A76:M76"/>
    <mergeCell ref="A86:Q88"/>
    <mergeCell ref="A1:Q1"/>
    <mergeCell ref="A2:Q2"/>
    <mergeCell ref="A74:Q74"/>
    <mergeCell ref="A72:O72"/>
    <mergeCell ref="A73:O73"/>
    <mergeCell ref="A80:Q80"/>
  </mergeCells>
  <phoneticPr fontId="9" type="noConversion"/>
  <pageMargins left="0.25" right="0.25" top="0.5" bottom="0.5" header="0.5" footer="0.5"/>
  <pageSetup scale="65" orientation="portrait"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S12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D3" sqref="D3"/>
    </sheetView>
  </sheetViews>
  <sheetFormatPr defaultRowHeight="11.25"/>
  <cols>
    <col min="1" max="1" width="38.28515625" style="88" customWidth="1"/>
    <col min="2" max="2" width="8.85546875" style="46" bestFit="1" customWidth="1"/>
    <col min="3" max="3" width="8" style="46" hidden="1" customWidth="1"/>
    <col min="4" max="4" width="8.42578125" style="46" bestFit="1" customWidth="1"/>
    <col min="5" max="5" width="8.85546875" style="46" bestFit="1" customWidth="1"/>
    <col min="6" max="6" width="8" style="46" customWidth="1"/>
    <col min="7" max="7" width="9.28515625" style="46" bestFit="1" customWidth="1"/>
    <col min="8" max="8" width="8.140625" style="46" customWidth="1"/>
    <col min="9" max="9" width="9.42578125" style="47" bestFit="1" customWidth="1"/>
    <col min="10" max="11" width="6.85546875" style="46" bestFit="1" customWidth="1"/>
    <col min="12" max="12" width="8.5703125" style="46" customWidth="1"/>
    <col min="13" max="13" width="7.85546875" style="46" hidden="1" customWidth="1"/>
    <col min="14" max="14" width="10.140625" style="46" customWidth="1"/>
    <col min="15" max="15" width="10.140625" style="145" bestFit="1" customWidth="1"/>
    <col min="16" max="16" width="10" style="145" bestFit="1" customWidth="1"/>
    <col min="17" max="17" width="4.28515625" style="46" bestFit="1" customWidth="1"/>
    <col min="18" max="19" width="9.140625" style="88" hidden="1" customWidth="1"/>
    <col min="20" max="16384" width="9.140625" style="88"/>
  </cols>
  <sheetData>
    <row r="1" spans="1:19">
      <c r="A1" s="496" t="s">
        <v>172</v>
      </c>
      <c r="B1" s="496"/>
      <c r="C1" s="496"/>
      <c r="D1" s="496"/>
      <c r="E1" s="496"/>
      <c r="F1" s="496"/>
      <c r="G1" s="496"/>
      <c r="H1" s="496"/>
      <c r="I1" s="496"/>
      <c r="J1" s="496"/>
      <c r="K1" s="496"/>
      <c r="L1" s="496"/>
      <c r="M1" s="496"/>
      <c r="N1" s="496"/>
      <c r="O1" s="496"/>
      <c r="P1" s="496"/>
      <c r="Q1" s="496"/>
    </row>
    <row r="2" spans="1:19">
      <c r="A2" s="497" t="s">
        <v>99</v>
      </c>
      <c r="B2" s="497"/>
      <c r="C2" s="497"/>
      <c r="D2" s="497"/>
      <c r="E2" s="497"/>
      <c r="F2" s="497"/>
      <c r="G2" s="497"/>
      <c r="H2" s="497"/>
      <c r="I2" s="497"/>
      <c r="J2" s="497"/>
      <c r="K2" s="497"/>
      <c r="L2" s="497"/>
      <c r="M2" s="497"/>
      <c r="N2" s="497"/>
      <c r="O2" s="497"/>
      <c r="P2" s="497"/>
      <c r="Q2" s="497"/>
    </row>
    <row r="3" spans="1:19" s="142" customFormat="1" ht="63">
      <c r="A3" s="189"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19" s="115" customFormat="1" ht="9">
      <c r="A4" s="127" t="s">
        <v>356</v>
      </c>
      <c r="B4" s="128" t="s">
        <v>384</v>
      </c>
      <c r="C4" s="128"/>
      <c r="D4" s="130"/>
      <c r="E4" s="130"/>
      <c r="F4" s="130"/>
      <c r="G4" s="128"/>
      <c r="H4" s="128"/>
      <c r="I4" s="132"/>
      <c r="J4" s="132"/>
      <c r="K4" s="132"/>
      <c r="L4" s="132"/>
      <c r="M4" s="128"/>
      <c r="N4" s="130"/>
      <c r="O4" s="130"/>
      <c r="P4" s="130"/>
      <c r="Q4" s="188"/>
    </row>
    <row r="5" spans="1:19" s="115" customFormat="1" ht="9">
      <c r="A5" s="110" t="s">
        <v>357</v>
      </c>
      <c r="B5" s="37" t="s">
        <v>384</v>
      </c>
      <c r="C5" s="37"/>
      <c r="D5" s="44"/>
      <c r="E5" s="44"/>
      <c r="F5" s="44"/>
      <c r="G5" s="37"/>
      <c r="H5" s="37"/>
      <c r="I5" s="73"/>
      <c r="J5" s="73"/>
      <c r="K5" s="73"/>
      <c r="L5" s="73"/>
      <c r="M5" s="37"/>
      <c r="N5" s="44"/>
      <c r="O5" s="44"/>
      <c r="P5" s="44"/>
      <c r="Q5" s="75"/>
    </row>
    <row r="6" spans="1:19" s="115" customFormat="1" ht="9">
      <c r="A6" s="110" t="s">
        <v>358</v>
      </c>
      <c r="B6" s="37"/>
      <c r="C6" s="37"/>
      <c r="D6" s="44"/>
      <c r="E6" s="44"/>
      <c r="F6" s="44"/>
      <c r="G6" s="37"/>
      <c r="H6" s="37"/>
      <c r="I6" s="73"/>
      <c r="J6" s="73"/>
      <c r="K6" s="73"/>
      <c r="L6" s="73"/>
      <c r="M6" s="37"/>
      <c r="N6" s="44"/>
      <c r="O6" s="44"/>
      <c r="P6" s="44"/>
      <c r="Q6" s="75"/>
    </row>
    <row r="7" spans="1:19" s="115"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v>0</v>
      </c>
      <c r="Q7" s="75" t="s">
        <v>338</v>
      </c>
    </row>
    <row r="8" spans="1:19" s="115" customFormat="1" ht="9">
      <c r="A8" s="110" t="s">
        <v>360</v>
      </c>
      <c r="B8" s="37"/>
      <c r="C8" s="37"/>
      <c r="D8" s="44"/>
      <c r="E8" s="44"/>
      <c r="F8" s="44"/>
      <c r="G8" s="37"/>
      <c r="H8" s="37"/>
      <c r="I8" s="73"/>
      <c r="J8" s="73"/>
      <c r="K8" s="73"/>
      <c r="L8" s="73"/>
      <c r="M8" s="37"/>
      <c r="N8" s="44"/>
      <c r="O8" s="44"/>
      <c r="P8" s="73"/>
      <c r="Q8" s="75"/>
    </row>
    <row r="9" spans="1:19" s="115" customFormat="1" ht="9">
      <c r="A9" s="111" t="s">
        <v>374</v>
      </c>
      <c r="B9" s="37"/>
      <c r="C9" s="37"/>
      <c r="D9" s="76"/>
      <c r="E9" s="44"/>
      <c r="F9" s="44"/>
      <c r="G9" s="37"/>
      <c r="H9" s="37"/>
      <c r="I9" s="72"/>
      <c r="J9" s="73"/>
      <c r="K9" s="73"/>
      <c r="L9" s="73"/>
      <c r="M9" s="74"/>
      <c r="N9" s="44"/>
      <c r="O9" s="44"/>
      <c r="P9" s="73"/>
      <c r="Q9" s="75"/>
    </row>
    <row r="10" spans="1:19" s="115" customFormat="1" ht="9">
      <c r="A10" s="110" t="s">
        <v>249</v>
      </c>
      <c r="B10" s="37">
        <v>20</v>
      </c>
      <c r="C10" s="37"/>
      <c r="D10" s="44">
        <v>854</v>
      </c>
      <c r="E10" s="44">
        <v>0</v>
      </c>
      <c r="F10" s="44">
        <v>0</v>
      </c>
      <c r="G10" s="37">
        <v>1</v>
      </c>
      <c r="H10" s="37">
        <f>B10*G10</f>
        <v>20</v>
      </c>
      <c r="I10" s="72">
        <f>ROUND('Testing Costs'!$C$22*(SUM('Base Data'!$H$28:$H$30,'Base Data'!$H$33:$H$35,'Base Data'!$H$38:$H$40)/2),0)</f>
        <v>33</v>
      </c>
      <c r="J10" s="73">
        <f>H10*I10</f>
        <v>660</v>
      </c>
      <c r="K10" s="73">
        <f t="shared" ref="K10:K22" si="0">J10*0.1</f>
        <v>66</v>
      </c>
      <c r="L10" s="73">
        <f>J10*0.05</f>
        <v>33</v>
      </c>
      <c r="M10" s="74">
        <f>C10*G10*I10</f>
        <v>0</v>
      </c>
      <c r="N10" s="44">
        <f>(J10*'Base Data'!$C$5)+(K10*'Base Data'!$C$6)+(L10*'Base Data'!$C$7)</f>
        <v>71793.149999999994</v>
      </c>
      <c r="O10" s="44">
        <f>(D10+E10+F10)*G10*I10</f>
        <v>28182</v>
      </c>
      <c r="P10" s="73">
        <v>0</v>
      </c>
      <c r="Q10" s="75" t="s">
        <v>391</v>
      </c>
    </row>
    <row r="11" spans="1:19" s="115" customFormat="1" ht="9">
      <c r="A11" s="110" t="s">
        <v>251</v>
      </c>
      <c r="B11" s="37">
        <v>20</v>
      </c>
      <c r="C11" s="37"/>
      <c r="D11" s="44">
        <v>18292</v>
      </c>
      <c r="E11" s="44">
        <v>0</v>
      </c>
      <c r="F11" s="44">
        <v>0</v>
      </c>
      <c r="G11" s="37">
        <v>1</v>
      </c>
      <c r="H11" s="37">
        <f>B11*G11</f>
        <v>20</v>
      </c>
      <c r="I11" s="72">
        <f>ROUND('Testing Costs'!$C$23*(SUM('Base Data'!$H$28:$H$30,'Base Data'!$H$33:$H$35,'Base Data'!$H$38:$H$40)/2),0)</f>
        <v>242</v>
      </c>
      <c r="J11" s="73">
        <f>H11*I11</f>
        <v>4840</v>
      </c>
      <c r="K11" s="73">
        <f t="shared" si="0"/>
        <v>484</v>
      </c>
      <c r="L11" s="73">
        <f>J11*0.05</f>
        <v>242</v>
      </c>
      <c r="M11" s="74">
        <f>C11*G11*I11</f>
        <v>0</v>
      </c>
      <c r="N11" s="44">
        <f>(J11*'Base Data'!$C$5)+(K11*'Base Data'!$C$6)+(L11*'Base Data'!$C$7)</f>
        <v>526483.1</v>
      </c>
      <c r="O11" s="44">
        <f>(D11+E11+F11)*G11*I11</f>
        <v>4426664</v>
      </c>
      <c r="P11" s="73">
        <v>0</v>
      </c>
      <c r="Q11" s="75" t="s">
        <v>391</v>
      </c>
    </row>
    <row r="12" spans="1:19" s="115" customFormat="1" ht="9">
      <c r="A12" s="111" t="s">
        <v>311</v>
      </c>
      <c r="B12" s="37">
        <v>12</v>
      </c>
      <c r="C12" s="37"/>
      <c r="D12" s="44">
        <v>0</v>
      </c>
      <c r="E12" s="44">
        <f>'Testing Costs'!$B$13</f>
        <v>5000</v>
      </c>
      <c r="F12" s="44">
        <v>0</v>
      </c>
      <c r="G12" s="37">
        <v>1</v>
      </c>
      <c r="H12" s="37">
        <f t="shared" ref="H12:H22" si="1">B12*G12</f>
        <v>12</v>
      </c>
      <c r="I12" s="72">
        <f>ROUND(SUM('Base Data'!$D$38:$D$40)/2,0)</f>
        <v>39</v>
      </c>
      <c r="J12" s="73">
        <f t="shared" ref="J12:J22" si="2">H12*I12</f>
        <v>468</v>
      </c>
      <c r="K12" s="73">
        <f t="shared" si="0"/>
        <v>46.800000000000004</v>
      </c>
      <c r="L12" s="73">
        <f t="shared" ref="L12:L22" si="3">J12*0.05</f>
        <v>23.400000000000002</v>
      </c>
      <c r="M12" s="74"/>
      <c r="N12" s="44">
        <f>(J12*'Base Data'!$C$5)+(K12*'Base Data'!$C$6)+(L12*'Base Data'!$C$7)</f>
        <v>50907.869999999995</v>
      </c>
      <c r="O12" s="44">
        <f t="shared" ref="O12:O22" si="4">(D12+E12+F12)*G12*I12</f>
        <v>195000</v>
      </c>
      <c r="P12" s="73">
        <v>0</v>
      </c>
      <c r="Q12" s="75" t="s">
        <v>241</v>
      </c>
    </row>
    <row r="13" spans="1:19" s="115" customFormat="1" ht="9">
      <c r="A13" s="111" t="s">
        <v>312</v>
      </c>
      <c r="B13" s="37">
        <v>12</v>
      </c>
      <c r="C13" s="37"/>
      <c r="D13" s="44">
        <v>0</v>
      </c>
      <c r="E13" s="44">
        <f>'Testing Costs'!$B$17</f>
        <v>8000</v>
      </c>
      <c r="F13" s="44">
        <v>0</v>
      </c>
      <c r="G13" s="37">
        <v>1</v>
      </c>
      <c r="H13" s="37">
        <f t="shared" si="1"/>
        <v>12</v>
      </c>
      <c r="I13" s="72">
        <f>ROUND(SUM('Base Data'!$D$38:$D$40)/2,0)</f>
        <v>39</v>
      </c>
      <c r="J13" s="73">
        <f t="shared" si="2"/>
        <v>468</v>
      </c>
      <c r="K13" s="73">
        <f t="shared" si="0"/>
        <v>46.800000000000004</v>
      </c>
      <c r="L13" s="73">
        <f t="shared" si="3"/>
        <v>23.400000000000002</v>
      </c>
      <c r="M13" s="74"/>
      <c r="N13" s="44">
        <f>(J13*'Base Data'!$C$5)+(K13*'Base Data'!$C$6)+(L13*'Base Data'!$C$7)</f>
        <v>50907.869999999995</v>
      </c>
      <c r="O13" s="44">
        <f t="shared" si="4"/>
        <v>312000</v>
      </c>
      <c r="P13" s="73">
        <v>0</v>
      </c>
      <c r="Q13" s="75" t="s">
        <v>241</v>
      </c>
    </row>
    <row r="14" spans="1:19" s="115" customFormat="1" ht="9">
      <c r="A14" s="111" t="s">
        <v>313</v>
      </c>
      <c r="B14" s="37">
        <v>12</v>
      </c>
      <c r="C14" s="37"/>
      <c r="D14" s="44">
        <v>0</v>
      </c>
      <c r="E14" s="44">
        <f>'Testing Costs'!$B$15</f>
        <v>8000</v>
      </c>
      <c r="F14" s="44">
        <v>0</v>
      </c>
      <c r="G14" s="37">
        <v>1</v>
      </c>
      <c r="H14" s="37">
        <f t="shared" si="1"/>
        <v>12</v>
      </c>
      <c r="I14" s="72">
        <f>ROUND(SUM('Base Data'!$D$38:$D$40)/2,0)</f>
        <v>39</v>
      </c>
      <c r="J14" s="73">
        <f t="shared" si="2"/>
        <v>468</v>
      </c>
      <c r="K14" s="73">
        <f t="shared" si="0"/>
        <v>46.800000000000004</v>
      </c>
      <c r="L14" s="73">
        <f t="shared" si="3"/>
        <v>23.400000000000002</v>
      </c>
      <c r="M14" s="74"/>
      <c r="N14" s="44">
        <f>(J14*'Base Data'!$C$5)+(K14*'Base Data'!$C$6)+(L14*'Base Data'!$C$7)</f>
        <v>50907.869999999995</v>
      </c>
      <c r="O14" s="44">
        <f t="shared" si="4"/>
        <v>312000</v>
      </c>
      <c r="P14" s="73">
        <v>0</v>
      </c>
      <c r="Q14" s="75" t="s">
        <v>241</v>
      </c>
    </row>
    <row r="15" spans="1:19" s="115" customFormat="1" ht="9">
      <c r="A15" s="111" t="s">
        <v>185</v>
      </c>
      <c r="B15" s="37">
        <v>12</v>
      </c>
      <c r="C15" s="37"/>
      <c r="D15" s="44">
        <v>0</v>
      </c>
      <c r="E15" s="44">
        <f>'Testing Costs'!$B$14</f>
        <v>7000</v>
      </c>
      <c r="F15" s="44">
        <v>0</v>
      </c>
      <c r="G15" s="37">
        <v>1</v>
      </c>
      <c r="H15" s="37">
        <f t="shared" si="1"/>
        <v>12</v>
      </c>
      <c r="I15" s="72">
        <f>ROUND(SUM('Base Data'!$D$38:$D$40)/2,0)</f>
        <v>39</v>
      </c>
      <c r="J15" s="73">
        <f t="shared" si="2"/>
        <v>468</v>
      </c>
      <c r="K15" s="73">
        <f t="shared" si="0"/>
        <v>46.800000000000004</v>
      </c>
      <c r="L15" s="73">
        <f t="shared" si="3"/>
        <v>23.400000000000002</v>
      </c>
      <c r="M15" s="74"/>
      <c r="N15" s="44">
        <f>(J15*'Base Data'!$C$5)+(K15*'Base Data'!$C$6)+(L15*'Base Data'!$C$7)</f>
        <v>50907.869999999995</v>
      </c>
      <c r="O15" s="44">
        <f t="shared" si="4"/>
        <v>273000</v>
      </c>
      <c r="P15" s="73">
        <v>0</v>
      </c>
      <c r="Q15" s="75" t="s">
        <v>241</v>
      </c>
    </row>
    <row r="16" spans="1:19" s="115" customFormat="1" ht="9" customHeight="1">
      <c r="A16" s="111" t="s">
        <v>137</v>
      </c>
      <c r="B16" s="37">
        <v>12</v>
      </c>
      <c r="C16" s="37"/>
      <c r="D16" s="44">
        <v>0</v>
      </c>
      <c r="E16" s="44">
        <f>'Testing Costs'!$B$13</f>
        <v>5000</v>
      </c>
      <c r="F16" s="44">
        <v>0</v>
      </c>
      <c r="G16" s="37">
        <v>1</v>
      </c>
      <c r="H16" s="37">
        <f t="shared" si="1"/>
        <v>12</v>
      </c>
      <c r="I16" s="72">
        <v>0</v>
      </c>
      <c r="J16" s="73">
        <f t="shared" si="2"/>
        <v>0</v>
      </c>
      <c r="K16" s="73">
        <f t="shared" si="0"/>
        <v>0</v>
      </c>
      <c r="L16" s="73">
        <f t="shared" si="3"/>
        <v>0</v>
      </c>
      <c r="M16" s="74"/>
      <c r="N16" s="44">
        <f>(J16*'Base Data'!$C$5)+(K16*'Base Data'!$C$6)+(L16*'Base Data'!$C$7)</f>
        <v>0</v>
      </c>
      <c r="O16" s="44">
        <f t="shared" si="4"/>
        <v>0</v>
      </c>
      <c r="P16" s="73">
        <v>0</v>
      </c>
      <c r="Q16" s="75" t="s">
        <v>241</v>
      </c>
    </row>
    <row r="17" spans="1:17" s="115" customFormat="1" ht="9">
      <c r="A17" s="111" t="s">
        <v>138</v>
      </c>
      <c r="B17" s="37">
        <v>12</v>
      </c>
      <c r="C17" s="37"/>
      <c r="D17" s="44">
        <v>0</v>
      </c>
      <c r="E17" s="44">
        <f>'Testing Costs'!$B$17</f>
        <v>8000</v>
      </c>
      <c r="F17" s="44">
        <v>0</v>
      </c>
      <c r="G17" s="37">
        <v>1</v>
      </c>
      <c r="H17" s="37">
        <f t="shared" si="1"/>
        <v>12</v>
      </c>
      <c r="I17" s="72">
        <v>0</v>
      </c>
      <c r="J17" s="73">
        <f t="shared" si="2"/>
        <v>0</v>
      </c>
      <c r="K17" s="73">
        <f t="shared" si="0"/>
        <v>0</v>
      </c>
      <c r="L17" s="73">
        <f t="shared" si="3"/>
        <v>0</v>
      </c>
      <c r="M17" s="74"/>
      <c r="N17" s="44">
        <f>(J17*'Base Data'!$C$5)+(K17*'Base Data'!$C$6)+(L17*'Base Data'!$C$7)</f>
        <v>0</v>
      </c>
      <c r="O17" s="44">
        <f t="shared" si="4"/>
        <v>0</v>
      </c>
      <c r="P17" s="73">
        <v>0</v>
      </c>
      <c r="Q17" s="75" t="s">
        <v>241</v>
      </c>
    </row>
    <row r="18" spans="1:17" s="115" customFormat="1" ht="9">
      <c r="A18" s="111" t="s">
        <v>139</v>
      </c>
      <c r="B18" s="37">
        <v>12</v>
      </c>
      <c r="C18" s="37"/>
      <c r="D18" s="44">
        <v>0</v>
      </c>
      <c r="E18" s="44">
        <f>'Testing Costs'!$B$15</f>
        <v>8000</v>
      </c>
      <c r="F18" s="44">
        <v>0</v>
      </c>
      <c r="G18" s="37">
        <v>1</v>
      </c>
      <c r="H18" s="37">
        <f t="shared" si="1"/>
        <v>12</v>
      </c>
      <c r="I18" s="72">
        <v>0</v>
      </c>
      <c r="J18" s="73">
        <f t="shared" si="2"/>
        <v>0</v>
      </c>
      <c r="K18" s="73">
        <f t="shared" si="0"/>
        <v>0</v>
      </c>
      <c r="L18" s="73">
        <f t="shared" si="3"/>
        <v>0</v>
      </c>
      <c r="M18" s="74"/>
      <c r="N18" s="44">
        <f>(J18*'Base Data'!$C$5)+(K18*'Base Data'!$C$6)+(L18*'Base Data'!$C$7)</f>
        <v>0</v>
      </c>
      <c r="O18" s="44">
        <f t="shared" si="4"/>
        <v>0</v>
      </c>
      <c r="P18" s="73">
        <v>0</v>
      </c>
      <c r="Q18" s="75" t="s">
        <v>241</v>
      </c>
    </row>
    <row r="19" spans="1:17" s="115" customFormat="1" ht="9">
      <c r="A19" s="111" t="s">
        <v>140</v>
      </c>
      <c r="B19" s="37">
        <v>12</v>
      </c>
      <c r="C19" s="37"/>
      <c r="D19" s="44">
        <v>0</v>
      </c>
      <c r="E19" s="44">
        <f>'Testing Costs'!$B$14</f>
        <v>7000</v>
      </c>
      <c r="F19" s="44">
        <v>0</v>
      </c>
      <c r="G19" s="37">
        <v>1</v>
      </c>
      <c r="H19" s="37">
        <f t="shared" si="1"/>
        <v>12</v>
      </c>
      <c r="I19" s="72">
        <v>0</v>
      </c>
      <c r="J19" s="73">
        <f t="shared" si="2"/>
        <v>0</v>
      </c>
      <c r="K19" s="73">
        <f t="shared" si="0"/>
        <v>0</v>
      </c>
      <c r="L19" s="73">
        <f t="shared" si="3"/>
        <v>0</v>
      </c>
      <c r="M19" s="74"/>
      <c r="N19" s="44">
        <f>(J19*'Base Data'!$C$5)+(K19*'Base Data'!$C$6)+(L19*'Base Data'!$C$7)</f>
        <v>0</v>
      </c>
      <c r="O19" s="44">
        <f t="shared" si="4"/>
        <v>0</v>
      </c>
      <c r="P19" s="73">
        <v>0</v>
      </c>
      <c r="Q19" s="75" t="s">
        <v>241</v>
      </c>
    </row>
    <row r="20" spans="1:17" s="115" customFormat="1" ht="18.75" customHeight="1">
      <c r="A20" s="259" t="s">
        <v>524</v>
      </c>
      <c r="B20" s="37">
        <v>24</v>
      </c>
      <c r="C20" s="258"/>
      <c r="D20" s="44">
        <v>0</v>
      </c>
      <c r="E20" s="44">
        <f>$E$13+$E$14</f>
        <v>16000</v>
      </c>
      <c r="F20" s="44">
        <v>0</v>
      </c>
      <c r="G20" s="37">
        <v>1</v>
      </c>
      <c r="H20" s="37">
        <f t="shared" si="1"/>
        <v>24</v>
      </c>
      <c r="I20" s="72">
        <v>0</v>
      </c>
      <c r="J20" s="73">
        <f t="shared" si="2"/>
        <v>0</v>
      </c>
      <c r="K20" s="73">
        <f t="shared" si="0"/>
        <v>0</v>
      </c>
      <c r="L20" s="73">
        <f t="shared" si="3"/>
        <v>0</v>
      </c>
      <c r="M20" s="74"/>
      <c r="N20" s="44">
        <f>(J20*'Base Data'!$C$5)+(K20*'Base Data'!$C$6)+(L20*'Base Data'!$C$7)</f>
        <v>0</v>
      </c>
      <c r="O20" s="44">
        <f t="shared" si="4"/>
        <v>0</v>
      </c>
      <c r="P20" s="73">
        <v>0</v>
      </c>
      <c r="Q20" s="75" t="s">
        <v>91</v>
      </c>
    </row>
    <row r="21" spans="1:17" s="115" customFormat="1" ht="9" customHeight="1">
      <c r="A21" s="111" t="s">
        <v>525</v>
      </c>
      <c r="B21" s="37">
        <v>5</v>
      </c>
      <c r="C21" s="37"/>
      <c r="D21" s="44">
        <v>0</v>
      </c>
      <c r="E21" s="44">
        <v>400</v>
      </c>
      <c r="F21" s="44">
        <v>0</v>
      </c>
      <c r="G21" s="37">
        <v>1</v>
      </c>
      <c r="H21" s="37">
        <f t="shared" si="1"/>
        <v>5</v>
      </c>
      <c r="I21" s="72">
        <v>0</v>
      </c>
      <c r="J21" s="73">
        <f t="shared" si="2"/>
        <v>0</v>
      </c>
      <c r="K21" s="73">
        <f t="shared" si="0"/>
        <v>0</v>
      </c>
      <c r="L21" s="73">
        <f t="shared" si="3"/>
        <v>0</v>
      </c>
      <c r="M21" s="74"/>
      <c r="N21" s="44">
        <f>(J21*'Base Data'!$C$5)+(K21*'Base Data'!$C$6)+(L21*'Base Data'!$C$7)</f>
        <v>0</v>
      </c>
      <c r="O21" s="44">
        <f t="shared" si="4"/>
        <v>0</v>
      </c>
      <c r="P21" s="73">
        <v>0</v>
      </c>
      <c r="Q21" s="75" t="s">
        <v>89</v>
      </c>
    </row>
    <row r="22" spans="1:17" s="115" customFormat="1" ht="9" customHeight="1">
      <c r="A22" s="111" t="s">
        <v>526</v>
      </c>
      <c r="B22" s="37">
        <v>5</v>
      </c>
      <c r="C22" s="37"/>
      <c r="D22" s="44">
        <v>0</v>
      </c>
      <c r="E22" s="44">
        <v>400</v>
      </c>
      <c r="F22" s="44">
        <v>0</v>
      </c>
      <c r="G22" s="37">
        <v>12</v>
      </c>
      <c r="H22" s="37">
        <f t="shared" si="1"/>
        <v>60</v>
      </c>
      <c r="I22" s="72">
        <v>0</v>
      </c>
      <c r="J22" s="73">
        <f t="shared" si="2"/>
        <v>0</v>
      </c>
      <c r="K22" s="73">
        <f t="shared" si="0"/>
        <v>0</v>
      </c>
      <c r="L22" s="73">
        <f t="shared" si="3"/>
        <v>0</v>
      </c>
      <c r="M22" s="74"/>
      <c r="N22" s="44">
        <f>(J22*'Base Data'!$C$5)+(K22*'Base Data'!$C$6)+(L22*'Base Data'!$C$7)</f>
        <v>0</v>
      </c>
      <c r="O22" s="44">
        <f t="shared" si="4"/>
        <v>0</v>
      </c>
      <c r="P22" s="73">
        <v>0</v>
      </c>
      <c r="Q22" s="75" t="s">
        <v>89</v>
      </c>
    </row>
    <row r="23" spans="1:17" s="115" customFormat="1" ht="9">
      <c r="A23" s="111" t="s">
        <v>527</v>
      </c>
      <c r="B23" s="37"/>
      <c r="C23" s="37"/>
      <c r="D23" s="44"/>
      <c r="E23" s="44"/>
      <c r="F23" s="44"/>
      <c r="G23" s="37"/>
      <c r="H23" s="37"/>
      <c r="I23" s="73"/>
      <c r="J23" s="73"/>
      <c r="K23" s="73"/>
      <c r="L23" s="73"/>
      <c r="M23" s="74"/>
      <c r="N23" s="44"/>
      <c r="O23" s="44"/>
      <c r="P23" s="73"/>
      <c r="Q23" s="75" t="s">
        <v>651</v>
      </c>
    </row>
    <row r="24" spans="1:17" s="115" customFormat="1" ht="9">
      <c r="A24" s="111" t="s">
        <v>383</v>
      </c>
      <c r="B24" s="37">
        <v>40</v>
      </c>
      <c r="C24" s="37"/>
      <c r="D24" s="44">
        <v>0</v>
      </c>
      <c r="E24" s="44"/>
      <c r="F24" s="44">
        <v>0</v>
      </c>
      <c r="G24" s="37">
        <v>1</v>
      </c>
      <c r="H24" s="37">
        <f>B24*G24</f>
        <v>40</v>
      </c>
      <c r="I24" s="72">
        <f>ROUND(SUM('Base Data'!$H$38:$H$40)/2,0)</f>
        <v>5</v>
      </c>
      <c r="J24" s="73">
        <f>H24*I24</f>
        <v>200</v>
      </c>
      <c r="K24" s="73">
        <f>J24*0.1</f>
        <v>20</v>
      </c>
      <c r="L24" s="73">
        <f>J24*0.05</f>
        <v>10</v>
      </c>
      <c r="M24" s="74"/>
      <c r="N24" s="44">
        <f>(J24*'Base Data'!$C$5)+(K24*'Base Data'!$C$6)+(L24*'Base Data'!$C$7)</f>
        <v>21755.5</v>
      </c>
      <c r="O24" s="44">
        <f>(D24+E24+F24)*G24*I24</f>
        <v>0</v>
      </c>
      <c r="P24" s="73">
        <v>0</v>
      </c>
      <c r="Q24" s="75" t="s">
        <v>339</v>
      </c>
    </row>
    <row r="25" spans="1:17" s="115" customFormat="1" ht="9">
      <c r="A25" s="110" t="s">
        <v>361</v>
      </c>
      <c r="B25" s="37"/>
      <c r="C25" s="37"/>
      <c r="D25" s="44"/>
      <c r="E25" s="44"/>
      <c r="F25" s="44"/>
      <c r="G25" s="37"/>
      <c r="H25" s="37"/>
      <c r="I25" s="73"/>
      <c r="J25" s="73"/>
      <c r="K25" s="73"/>
      <c r="L25" s="73"/>
      <c r="M25" s="74"/>
      <c r="N25" s="44"/>
      <c r="O25" s="44"/>
      <c r="P25" s="73"/>
      <c r="Q25" s="75"/>
    </row>
    <row r="26" spans="1:17" s="115" customFormat="1" ht="9">
      <c r="A26" s="110" t="s">
        <v>362</v>
      </c>
      <c r="B26" s="37">
        <v>10</v>
      </c>
      <c r="C26" s="37"/>
      <c r="D26" s="44">
        <v>0</v>
      </c>
      <c r="E26" s="44">
        <v>0</v>
      </c>
      <c r="F26" s="44">
        <v>43100</v>
      </c>
      <c r="G26" s="37">
        <v>1</v>
      </c>
      <c r="H26" s="37">
        <f>B26*G26</f>
        <v>10</v>
      </c>
      <c r="I26" s="72">
        <f>ROUND(Monitors!$C$12/2,0)</f>
        <v>0</v>
      </c>
      <c r="J26" s="73">
        <f>H26*I26</f>
        <v>0</v>
      </c>
      <c r="K26" s="73">
        <f>J26*0.1</f>
        <v>0</v>
      </c>
      <c r="L26" s="73">
        <f>J26*0.05</f>
        <v>0</v>
      </c>
      <c r="M26" s="74"/>
      <c r="N26" s="44">
        <f>(J26*'Base Data'!$C$5)+(K26*'Base Data'!$C$6)+(L26*'Base Data'!$C$7)</f>
        <v>0</v>
      </c>
      <c r="O26" s="44">
        <f>(D26+E26+F26)*G26*I26</f>
        <v>0</v>
      </c>
      <c r="P26" s="73">
        <v>0</v>
      </c>
      <c r="Q26" s="75" t="s">
        <v>90</v>
      </c>
    </row>
    <row r="27" spans="1:17" s="115" customFormat="1" ht="9">
      <c r="A27" s="110" t="s">
        <v>365</v>
      </c>
      <c r="B27" s="37">
        <v>10</v>
      </c>
      <c r="C27" s="37"/>
      <c r="D27" s="44">
        <v>0</v>
      </c>
      <c r="E27" s="44">
        <v>0</v>
      </c>
      <c r="F27" s="44">
        <v>14700</v>
      </c>
      <c r="G27" s="37">
        <v>1</v>
      </c>
      <c r="H27" s="37">
        <f>B27*G27</f>
        <v>10</v>
      </c>
      <c r="I27" s="72">
        <f>ROUND(Monitors!$C$12/2,0)</f>
        <v>0</v>
      </c>
      <c r="J27" s="73">
        <f>H27*I27</f>
        <v>0</v>
      </c>
      <c r="K27" s="73">
        <f>J27*0.1</f>
        <v>0</v>
      </c>
      <c r="L27" s="73">
        <f>J27*0.05</f>
        <v>0</v>
      </c>
      <c r="M27" s="74"/>
      <c r="N27" s="44">
        <f>(J27*'Base Data'!$C$5)+(K27*'Base Data'!$C$6)+(L27*'Base Data'!$C$7)</f>
        <v>0</v>
      </c>
      <c r="O27" s="44">
        <f>(D27+E27+F27)*G27*I27</f>
        <v>0</v>
      </c>
      <c r="P27" s="73">
        <v>0</v>
      </c>
      <c r="Q27" s="75" t="s">
        <v>90</v>
      </c>
    </row>
    <row r="28" spans="1:17" s="115" customFormat="1" ht="9">
      <c r="A28" s="110" t="s">
        <v>310</v>
      </c>
      <c r="B28" s="37"/>
      <c r="C28" s="37"/>
      <c r="D28" s="44"/>
      <c r="E28" s="44"/>
      <c r="F28" s="44"/>
      <c r="G28" s="37"/>
      <c r="H28" s="37"/>
      <c r="I28" s="73"/>
      <c r="J28" s="73"/>
      <c r="K28" s="73"/>
      <c r="L28" s="73"/>
      <c r="M28" s="74"/>
      <c r="N28" s="44"/>
      <c r="O28" s="44"/>
      <c r="P28" s="73"/>
      <c r="Q28" s="75"/>
    </row>
    <row r="29" spans="1:17" s="115" customFormat="1" ht="9">
      <c r="A29" s="110" t="s">
        <v>362</v>
      </c>
      <c r="B29" s="37">
        <v>10</v>
      </c>
      <c r="C29" s="37"/>
      <c r="D29" s="44">
        <v>0</v>
      </c>
      <c r="E29" s="44">
        <v>0</v>
      </c>
      <c r="F29" s="44">
        <v>158000</v>
      </c>
      <c r="G29" s="37">
        <v>1</v>
      </c>
      <c r="H29" s="37">
        <f>B29*G29</f>
        <v>10</v>
      </c>
      <c r="I29" s="72">
        <v>0</v>
      </c>
      <c r="J29" s="73">
        <f>H29*I29</f>
        <v>0</v>
      </c>
      <c r="K29" s="73">
        <f>J29*0.1</f>
        <v>0</v>
      </c>
      <c r="L29" s="73">
        <f>J29*0.05</f>
        <v>0</v>
      </c>
      <c r="M29" s="74"/>
      <c r="N29" s="44">
        <f>(J29*'Base Data'!$C$5)+(K29*'Base Data'!$C$6)+(L29*'Base Data'!$C$7)</f>
        <v>0</v>
      </c>
      <c r="O29" s="44">
        <f>(D29+E29+F29)*G29*I29</f>
        <v>0</v>
      </c>
      <c r="P29" s="73">
        <v>0</v>
      </c>
      <c r="Q29" s="75" t="s">
        <v>90</v>
      </c>
    </row>
    <row r="30" spans="1:17" s="115" customFormat="1" ht="9">
      <c r="A30" s="110" t="s">
        <v>365</v>
      </c>
      <c r="B30" s="37">
        <v>10</v>
      </c>
      <c r="C30" s="37"/>
      <c r="D30" s="44">
        <v>0</v>
      </c>
      <c r="E30" s="44">
        <v>0</v>
      </c>
      <c r="F30" s="44">
        <v>56100</v>
      </c>
      <c r="G30" s="37">
        <v>1</v>
      </c>
      <c r="H30" s="37">
        <f>B30*G30</f>
        <v>10</v>
      </c>
      <c r="I30" s="72">
        <v>0</v>
      </c>
      <c r="J30" s="73">
        <f>H30*I30</f>
        <v>0</v>
      </c>
      <c r="K30" s="73">
        <f>J30*0.1</f>
        <v>0</v>
      </c>
      <c r="L30" s="73">
        <f>J30*0.05</f>
        <v>0</v>
      </c>
      <c r="M30" s="74"/>
      <c r="N30" s="44">
        <f>(J30*'Base Data'!$C$5)+(K30*'Base Data'!$C$6)+(L30*'Base Data'!$C$7)</f>
        <v>0</v>
      </c>
      <c r="O30" s="44">
        <f>(D30+E30+F30)*G30*I30</f>
        <v>0</v>
      </c>
      <c r="P30" s="73">
        <v>0</v>
      </c>
      <c r="Q30" s="75" t="s">
        <v>90</v>
      </c>
    </row>
    <row r="31" spans="1:17" s="115" customFormat="1" ht="9">
      <c r="A31" s="110" t="s">
        <v>461</v>
      </c>
      <c r="B31" s="37"/>
      <c r="C31" s="37"/>
      <c r="D31" s="44"/>
      <c r="E31" s="44"/>
      <c r="F31" s="44"/>
      <c r="G31" s="37"/>
      <c r="H31" s="37"/>
      <c r="I31" s="72"/>
      <c r="J31" s="73"/>
      <c r="K31" s="73"/>
      <c r="L31" s="73"/>
      <c r="M31" s="74"/>
      <c r="N31" s="44"/>
      <c r="O31" s="44"/>
      <c r="P31" s="73"/>
      <c r="Q31" s="75"/>
    </row>
    <row r="32" spans="1:17" s="115" customFormat="1" ht="9">
      <c r="A32" s="110" t="s">
        <v>362</v>
      </c>
      <c r="B32" s="37">
        <v>10</v>
      </c>
      <c r="C32" s="37"/>
      <c r="D32" s="44">
        <v>0</v>
      </c>
      <c r="E32" s="44">
        <v>0</v>
      </c>
      <c r="F32" s="44">
        <f>Monitors!$F$32</f>
        <v>8523</v>
      </c>
      <c r="G32" s="37">
        <v>1</v>
      </c>
      <c r="H32" s="37">
        <f t="shared" ref="H32:H33" si="5">B32*G32</f>
        <v>10</v>
      </c>
      <c r="I32" s="72">
        <f>ROUND(Monitors!$F$12/2,0)</f>
        <v>39</v>
      </c>
      <c r="J32" s="73">
        <f t="shared" ref="J32:J33" si="6">H32*I32</f>
        <v>390</v>
      </c>
      <c r="K32" s="73">
        <f t="shared" ref="K32:K33" si="7">J32*0.1</f>
        <v>39</v>
      </c>
      <c r="L32" s="73">
        <f t="shared" ref="L32:L33" si="8">J32*0.05</f>
        <v>19.5</v>
      </c>
      <c r="M32" s="74"/>
      <c r="N32" s="44">
        <f>(J32*'Base Data'!$C$5)+(K32*'Base Data'!$C$6)+(L32*'Base Data'!$C$7)</f>
        <v>42423.224999999999</v>
      </c>
      <c r="O32" s="44">
        <f>(D32+E32+F32)*G32*I32</f>
        <v>332397</v>
      </c>
      <c r="P32" s="73">
        <v>0</v>
      </c>
      <c r="Q32" s="75" t="s">
        <v>339</v>
      </c>
    </row>
    <row r="33" spans="1:18" s="115" customFormat="1" ht="9">
      <c r="A33" s="110" t="s">
        <v>365</v>
      </c>
      <c r="B33" s="37">
        <v>10</v>
      </c>
      <c r="C33" s="37"/>
      <c r="D33" s="44">
        <v>0</v>
      </c>
      <c r="E33" s="44">
        <v>0</v>
      </c>
      <c r="F33" s="44">
        <f>Monitors!$G$32</f>
        <v>1436</v>
      </c>
      <c r="G33" s="37">
        <v>1</v>
      </c>
      <c r="H33" s="37">
        <f t="shared" si="5"/>
        <v>10</v>
      </c>
      <c r="I33" s="72">
        <f>ROUND(Monitors!$F$12/2,0)</f>
        <v>39</v>
      </c>
      <c r="J33" s="73">
        <f t="shared" si="6"/>
        <v>390</v>
      </c>
      <c r="K33" s="73">
        <f t="shared" si="7"/>
        <v>39</v>
      </c>
      <c r="L33" s="73">
        <f t="shared" si="8"/>
        <v>19.5</v>
      </c>
      <c r="M33" s="74"/>
      <c r="N33" s="44">
        <f>(J33*'Base Data'!$C$5)+(K33*'Base Data'!$C$6)+(L33*'Base Data'!$C$7)</f>
        <v>42423.224999999999</v>
      </c>
      <c r="O33" s="44">
        <f>(D33+E33+F33)*G33*I33</f>
        <v>56004</v>
      </c>
      <c r="P33" s="73">
        <v>0</v>
      </c>
      <c r="Q33" s="75" t="s">
        <v>339</v>
      </c>
    </row>
    <row r="34" spans="1:18" s="115" customFormat="1" ht="18">
      <c r="A34" s="111" t="s">
        <v>160</v>
      </c>
      <c r="B34" s="37"/>
      <c r="C34" s="37"/>
      <c r="D34" s="44"/>
      <c r="E34" s="44"/>
      <c r="F34" s="76"/>
      <c r="G34" s="37"/>
      <c r="H34" s="37"/>
      <c r="I34" s="77"/>
      <c r="J34" s="73"/>
      <c r="K34" s="73"/>
      <c r="L34" s="73"/>
      <c r="M34" s="74"/>
      <c r="N34" s="44"/>
      <c r="O34" s="44"/>
      <c r="P34" s="73"/>
      <c r="Q34" s="75"/>
    </row>
    <row r="35" spans="1:18" s="115" customFormat="1" ht="9">
      <c r="A35" s="110" t="s">
        <v>362</v>
      </c>
      <c r="B35" s="37">
        <v>10</v>
      </c>
      <c r="C35" s="37"/>
      <c r="D35" s="44">
        <v>0</v>
      </c>
      <c r="E35" s="44">
        <v>0</v>
      </c>
      <c r="F35" s="44">
        <v>24300</v>
      </c>
      <c r="G35" s="37">
        <v>1</v>
      </c>
      <c r="H35" s="37">
        <f>B35*G35</f>
        <v>10</v>
      </c>
      <c r="I35" s="72">
        <f>ROUND(Monitors!$D$12/2,0)</f>
        <v>3</v>
      </c>
      <c r="J35" s="73">
        <f>H35*I35</f>
        <v>30</v>
      </c>
      <c r="K35" s="73">
        <f>J35*0.1</f>
        <v>3</v>
      </c>
      <c r="L35" s="73">
        <f>J35*0.05</f>
        <v>1.5</v>
      </c>
      <c r="M35" s="74"/>
      <c r="N35" s="44">
        <f>(J35*'Base Data'!$C$5)+(K35*'Base Data'!$C$6)+(L35*'Base Data'!$C$7)</f>
        <v>3263.3250000000003</v>
      </c>
      <c r="O35" s="44">
        <f>(D35+E35+F35)*G35*I35</f>
        <v>72900</v>
      </c>
      <c r="P35" s="73">
        <v>0</v>
      </c>
      <c r="Q35" s="75" t="s">
        <v>339</v>
      </c>
    </row>
    <row r="36" spans="1:18" s="115" customFormat="1" ht="9">
      <c r="A36" s="110" t="s">
        <v>365</v>
      </c>
      <c r="B36" s="37">
        <v>10</v>
      </c>
      <c r="C36" s="37"/>
      <c r="D36" s="44">
        <v>0</v>
      </c>
      <c r="E36" s="44">
        <v>0</v>
      </c>
      <c r="F36" s="44">
        <v>5600</v>
      </c>
      <c r="G36" s="37">
        <v>1</v>
      </c>
      <c r="H36" s="37">
        <f>B36*G36</f>
        <v>10</v>
      </c>
      <c r="I36" s="72">
        <f>ROUND(Monitors!$D$12/2,0)</f>
        <v>3</v>
      </c>
      <c r="J36" s="73">
        <f>H36*I36</f>
        <v>30</v>
      </c>
      <c r="K36" s="73">
        <f>J36*0.1</f>
        <v>3</v>
      </c>
      <c r="L36" s="73">
        <f>J36*0.05</f>
        <v>1.5</v>
      </c>
      <c r="M36" s="74"/>
      <c r="N36" s="44">
        <f>(J36*'Base Data'!$C$5)+(K36*'Base Data'!$C$6)+(L36*'Base Data'!$C$7)</f>
        <v>3263.3250000000003</v>
      </c>
      <c r="O36" s="44">
        <f>(D36+E36+F36)*G36*I36</f>
        <v>16800</v>
      </c>
      <c r="P36" s="73">
        <v>0</v>
      </c>
      <c r="Q36" s="75" t="s">
        <v>339</v>
      </c>
    </row>
    <row r="37" spans="1:18" s="115" customFormat="1" ht="18">
      <c r="A37" s="111" t="s">
        <v>425</v>
      </c>
      <c r="B37" s="37"/>
      <c r="C37" s="37"/>
      <c r="D37" s="44"/>
      <c r="E37" s="44"/>
      <c r="F37" s="44"/>
      <c r="G37" s="37"/>
      <c r="H37" s="37"/>
      <c r="I37" s="77"/>
      <c r="J37" s="73"/>
      <c r="K37" s="73"/>
      <c r="L37" s="73"/>
      <c r="M37" s="74"/>
      <c r="N37" s="44"/>
      <c r="O37" s="183"/>
      <c r="P37" s="73"/>
      <c r="Q37" s="75"/>
    </row>
    <row r="38" spans="1:18" s="115" customFormat="1" ht="9">
      <c r="A38" s="110" t="s">
        <v>362</v>
      </c>
      <c r="B38" s="37">
        <v>10</v>
      </c>
      <c r="C38" s="37"/>
      <c r="D38" s="44">
        <v>0</v>
      </c>
      <c r="E38" s="44">
        <v>0</v>
      </c>
      <c r="F38" s="44">
        <f>25500</f>
        <v>25500</v>
      </c>
      <c r="G38" s="37">
        <v>1</v>
      </c>
      <c r="H38" s="37">
        <f>B38*G38</f>
        <v>10</v>
      </c>
      <c r="I38" s="72">
        <f>ROUND(Monitors!$B$12/2,0)</f>
        <v>0</v>
      </c>
      <c r="J38" s="73">
        <f>H38*I38</f>
        <v>0</v>
      </c>
      <c r="K38" s="73">
        <f>J38*0.1</f>
        <v>0</v>
      </c>
      <c r="L38" s="73">
        <f>J38*0.05</f>
        <v>0</v>
      </c>
      <c r="M38" s="74"/>
      <c r="N38" s="44">
        <f>(J38*'Base Data'!$C$5)+(K38*'Base Data'!$C$6)+(L38*'Base Data'!$C$7)</f>
        <v>0</v>
      </c>
      <c r="O38" s="44">
        <f>(D38+E38+F38)*G38*I38</f>
        <v>0</v>
      </c>
      <c r="P38" s="73">
        <v>0</v>
      </c>
      <c r="Q38" s="75" t="s">
        <v>339</v>
      </c>
    </row>
    <row r="39" spans="1:18" s="115" customFormat="1" ht="9">
      <c r="A39" s="110" t="s">
        <v>365</v>
      </c>
      <c r="B39" s="37">
        <v>10</v>
      </c>
      <c r="C39" s="37"/>
      <c r="D39" s="44">
        <v>0</v>
      </c>
      <c r="E39" s="44">
        <v>0</v>
      </c>
      <c r="F39" s="44">
        <v>9700</v>
      </c>
      <c r="G39" s="37">
        <v>1</v>
      </c>
      <c r="H39" s="37">
        <f>B39*G39</f>
        <v>10</v>
      </c>
      <c r="I39" s="72">
        <f>ROUND(Monitors!$B$12/2,0)</f>
        <v>0</v>
      </c>
      <c r="J39" s="73">
        <f>H39*I39</f>
        <v>0</v>
      </c>
      <c r="K39" s="73">
        <f>J39*0.1</f>
        <v>0</v>
      </c>
      <c r="L39" s="73">
        <f>J39*0.05</f>
        <v>0</v>
      </c>
      <c r="M39" s="74"/>
      <c r="N39" s="44">
        <f>(J39*'Base Data'!$C$5)+(K39*'Base Data'!$C$6)+(L39*'Base Data'!$C$7)</f>
        <v>0</v>
      </c>
      <c r="O39" s="44">
        <f>(D39+E39+F39)*G39*I39</f>
        <v>0</v>
      </c>
      <c r="P39" s="73">
        <v>0</v>
      </c>
      <c r="Q39" s="75" t="s">
        <v>339</v>
      </c>
    </row>
    <row r="40" spans="1:18" s="115" customFormat="1" ht="9">
      <c r="A40" s="110" t="s">
        <v>533</v>
      </c>
      <c r="B40" s="37">
        <v>12</v>
      </c>
      <c r="C40" s="37"/>
      <c r="D40" s="44">
        <v>0</v>
      </c>
      <c r="E40" s="44">
        <v>2875</v>
      </c>
      <c r="F40" s="44">
        <v>0</v>
      </c>
      <c r="G40" s="37">
        <v>1</v>
      </c>
      <c r="H40" s="37">
        <f>B40*G40</f>
        <v>12</v>
      </c>
      <c r="I40" s="73">
        <f>ROUND(SUM('Base Data'!$D$28:$D$30,'Base Data'!$D$33:$D$35)/2,0)</f>
        <v>2236</v>
      </c>
      <c r="J40" s="72">
        <f>H40*I40</f>
        <v>26832</v>
      </c>
      <c r="K40" s="72">
        <f>J40*0.1</f>
        <v>2683.2000000000003</v>
      </c>
      <c r="L40" s="72">
        <f>J40*0.05</f>
        <v>1341.6000000000001</v>
      </c>
      <c r="M40" s="73"/>
      <c r="N40" s="44">
        <f>(J40*'Base Data'!$C$5)+(K40*'Base Data'!$C$6)+(L40*'Base Data'!$C$7)</f>
        <v>2918717.88</v>
      </c>
      <c r="O40" s="44">
        <f>(D40+E40+F40)*G40*I40</f>
        <v>6428500</v>
      </c>
      <c r="P40" s="73">
        <v>0</v>
      </c>
      <c r="Q40" s="75" t="s">
        <v>169</v>
      </c>
    </row>
    <row r="41" spans="1:18" s="115" customFormat="1" ht="9">
      <c r="A41" s="110" t="s">
        <v>534</v>
      </c>
      <c r="B41" s="37">
        <v>5</v>
      </c>
      <c r="C41" s="37"/>
      <c r="D41" s="44">
        <v>0</v>
      </c>
      <c r="E41" s="44">
        <v>200</v>
      </c>
      <c r="F41" s="44">
        <v>0</v>
      </c>
      <c r="G41" s="37">
        <v>12</v>
      </c>
      <c r="H41" s="37">
        <f>B41*G41</f>
        <v>60</v>
      </c>
      <c r="I41" s="73">
        <f>ROUND('Base Data'!$C$49/2,0)</f>
        <v>193</v>
      </c>
      <c r="J41" s="72">
        <f>H41*I41</f>
        <v>11580</v>
      </c>
      <c r="K41" s="72">
        <f>J41*0.1</f>
        <v>1158</v>
      </c>
      <c r="L41" s="72">
        <f>J41*0.05</f>
        <v>579</v>
      </c>
      <c r="M41" s="73"/>
      <c r="N41" s="44">
        <f>(J41*'Base Data'!$C$5)+(K41*'Base Data'!$C$6)+(L41*'Base Data'!$C$7)</f>
        <v>1259643.45</v>
      </c>
      <c r="O41" s="44">
        <f>(D41+E41+F41)*G41*I41</f>
        <v>463200</v>
      </c>
      <c r="P41" s="73">
        <v>0</v>
      </c>
      <c r="Q41" s="75" t="s">
        <v>319</v>
      </c>
      <c r="R41" s="342"/>
    </row>
    <row r="42" spans="1:18" s="115" customFormat="1" ht="9">
      <c r="A42" s="110" t="s">
        <v>366</v>
      </c>
      <c r="B42" s="37" t="s">
        <v>384</v>
      </c>
      <c r="C42" s="37"/>
      <c r="D42" s="44"/>
      <c r="E42" s="44"/>
      <c r="F42" s="44"/>
      <c r="G42" s="37"/>
      <c r="H42" s="37"/>
      <c r="I42" s="73"/>
      <c r="J42" s="73"/>
      <c r="K42" s="73"/>
      <c r="L42" s="73"/>
      <c r="M42" s="37"/>
      <c r="N42" s="44"/>
      <c r="O42" s="44"/>
      <c r="P42" s="73"/>
      <c r="Q42" s="75"/>
    </row>
    <row r="43" spans="1:18" s="115" customFormat="1" ht="9">
      <c r="A43" s="110" t="s">
        <v>367</v>
      </c>
      <c r="B43" s="37" t="s">
        <v>384</v>
      </c>
      <c r="C43" s="37"/>
      <c r="D43" s="44"/>
      <c r="E43" s="44"/>
      <c r="F43" s="44"/>
      <c r="G43" s="37"/>
      <c r="H43" s="37"/>
      <c r="I43" s="73"/>
      <c r="J43" s="73"/>
      <c r="K43" s="73"/>
      <c r="L43" s="73"/>
      <c r="M43" s="37"/>
      <c r="N43" s="44"/>
      <c r="O43" s="44"/>
      <c r="P43" s="73"/>
      <c r="Q43" s="75"/>
    </row>
    <row r="44" spans="1:18" s="115" customFormat="1" ht="9">
      <c r="A44" s="110" t="s">
        <v>368</v>
      </c>
      <c r="B44" s="37"/>
      <c r="C44" s="37"/>
      <c r="D44" s="44"/>
      <c r="E44" s="44"/>
      <c r="F44" s="44"/>
      <c r="G44" s="37"/>
      <c r="H44" s="37"/>
      <c r="I44" s="73"/>
      <c r="J44" s="73"/>
      <c r="K44" s="73"/>
      <c r="L44" s="73"/>
      <c r="M44" s="37"/>
      <c r="N44" s="44"/>
      <c r="O44" s="44"/>
      <c r="P44" s="73"/>
      <c r="Q44" s="75"/>
    </row>
    <row r="45" spans="1:18" s="115" customFormat="1" ht="9">
      <c r="A45" s="126" t="s">
        <v>386</v>
      </c>
      <c r="B45" s="37">
        <v>2</v>
      </c>
      <c r="C45" s="37"/>
      <c r="D45" s="44">
        <v>0</v>
      </c>
      <c r="E45" s="44">
        <v>0</v>
      </c>
      <c r="F45" s="44">
        <v>0</v>
      </c>
      <c r="G45" s="37">
        <v>1</v>
      </c>
      <c r="H45" s="37">
        <f t="shared" ref="H45:H50" si="9">B45*G45</f>
        <v>2</v>
      </c>
      <c r="I45" s="72">
        <v>0</v>
      </c>
      <c r="J45" s="73">
        <f t="shared" ref="J45:J50" si="10">H45*I45</f>
        <v>0</v>
      </c>
      <c r="K45" s="73">
        <f t="shared" ref="K45:K50" si="11">J45*0.1</f>
        <v>0</v>
      </c>
      <c r="L45" s="73">
        <f t="shared" ref="L45:L50" si="12">J45*0.05</f>
        <v>0</v>
      </c>
      <c r="M45" s="37">
        <f t="shared" ref="M45:M50" si="13">C45*G45*I45</f>
        <v>0</v>
      </c>
      <c r="N45" s="44">
        <f>(J45*'Base Data'!$C$5)+(K45*'Base Data'!$C$6)+(L45*'Base Data'!$C$7)</f>
        <v>0</v>
      </c>
      <c r="O45" s="44">
        <f t="shared" ref="O45:O50" si="14">(D45+E45+F45)*G45*I45</f>
        <v>0</v>
      </c>
      <c r="P45" s="73">
        <f>G45*I45</f>
        <v>0</v>
      </c>
      <c r="Q45" s="75" t="s">
        <v>338</v>
      </c>
    </row>
    <row r="46" spans="1:18" s="115" customFormat="1" ht="9" customHeight="1">
      <c r="A46" s="126" t="s">
        <v>328</v>
      </c>
      <c r="B46" s="37">
        <v>8</v>
      </c>
      <c r="C46" s="37"/>
      <c r="D46" s="44">
        <v>0</v>
      </c>
      <c r="E46" s="44">
        <v>0</v>
      </c>
      <c r="F46" s="44">
        <v>0</v>
      </c>
      <c r="G46" s="37">
        <v>1</v>
      </c>
      <c r="H46" s="37">
        <f t="shared" si="9"/>
        <v>8</v>
      </c>
      <c r="I46" s="72">
        <v>0</v>
      </c>
      <c r="J46" s="73">
        <f t="shared" si="10"/>
        <v>0</v>
      </c>
      <c r="K46" s="73">
        <f t="shared" si="11"/>
        <v>0</v>
      </c>
      <c r="L46" s="73">
        <f t="shared" si="12"/>
        <v>0</v>
      </c>
      <c r="M46" s="37">
        <f t="shared" si="13"/>
        <v>0</v>
      </c>
      <c r="N46" s="44">
        <f>(J46*'Base Data'!$C$5)+(K46*'Base Data'!$C$6)+(L46*'Base Data'!$C$7)</f>
        <v>0</v>
      </c>
      <c r="O46" s="44">
        <f t="shared" si="14"/>
        <v>0</v>
      </c>
      <c r="P46" s="73">
        <f>G46*I46</f>
        <v>0</v>
      </c>
      <c r="Q46" s="75" t="s">
        <v>339</v>
      </c>
    </row>
    <row r="47" spans="1:18" s="115" customFormat="1" ht="9">
      <c r="A47" s="126" t="s">
        <v>329</v>
      </c>
      <c r="B47" s="37">
        <v>5</v>
      </c>
      <c r="C47" s="37"/>
      <c r="D47" s="44">
        <v>0</v>
      </c>
      <c r="E47" s="44">
        <v>0</v>
      </c>
      <c r="F47" s="44">
        <v>0</v>
      </c>
      <c r="G47" s="37">
        <v>1</v>
      </c>
      <c r="H47" s="37">
        <f t="shared" si="9"/>
        <v>5</v>
      </c>
      <c r="I47" s="72">
        <v>0</v>
      </c>
      <c r="J47" s="73">
        <f t="shared" si="10"/>
        <v>0</v>
      </c>
      <c r="K47" s="73">
        <f t="shared" si="11"/>
        <v>0</v>
      </c>
      <c r="L47" s="73">
        <f t="shared" si="12"/>
        <v>0</v>
      </c>
      <c r="M47" s="37">
        <f t="shared" si="13"/>
        <v>0</v>
      </c>
      <c r="N47" s="44">
        <f>(J47*'Base Data'!$C$5)+(K47*'Base Data'!$C$6)+(L47*'Base Data'!$C$7)</f>
        <v>0</v>
      </c>
      <c r="O47" s="44">
        <f t="shared" si="14"/>
        <v>0</v>
      </c>
      <c r="P47" s="73">
        <f>G47*I47</f>
        <v>0</v>
      </c>
      <c r="Q47" s="75" t="s">
        <v>339</v>
      </c>
      <c r="R47" s="133"/>
    </row>
    <row r="48" spans="1:18" s="115" customFormat="1" ht="9">
      <c r="A48" s="112" t="s">
        <v>226</v>
      </c>
      <c r="B48" s="37">
        <v>20</v>
      </c>
      <c r="C48" s="37">
        <v>0</v>
      </c>
      <c r="D48" s="44">
        <v>0</v>
      </c>
      <c r="E48" s="44">
        <v>0</v>
      </c>
      <c r="F48" s="44">
        <v>0</v>
      </c>
      <c r="G48" s="37">
        <v>1</v>
      </c>
      <c r="H48" s="37">
        <f t="shared" si="9"/>
        <v>20</v>
      </c>
      <c r="I48" s="72">
        <v>0</v>
      </c>
      <c r="J48" s="73">
        <f t="shared" si="10"/>
        <v>0</v>
      </c>
      <c r="K48" s="73">
        <f t="shared" si="11"/>
        <v>0</v>
      </c>
      <c r="L48" s="73">
        <f t="shared" si="12"/>
        <v>0</v>
      </c>
      <c r="M48" s="73">
        <f t="shared" si="13"/>
        <v>0</v>
      </c>
      <c r="N48" s="44">
        <f>(J48*'Base Data'!$C$5)+(K48*'Base Data'!$C$6)+(L48*'Base Data'!$C$7)</f>
        <v>0</v>
      </c>
      <c r="O48" s="44">
        <f t="shared" si="14"/>
        <v>0</v>
      </c>
      <c r="P48" s="73">
        <f>G48*I48</f>
        <v>0</v>
      </c>
      <c r="Q48" s="75" t="s">
        <v>240</v>
      </c>
      <c r="R48" s="133"/>
    </row>
    <row r="49" spans="1:19" s="115" customFormat="1" ht="9">
      <c r="A49" s="112" t="s">
        <v>225</v>
      </c>
      <c r="B49" s="37">
        <v>20</v>
      </c>
      <c r="C49" s="37">
        <v>0</v>
      </c>
      <c r="D49" s="44">
        <v>0</v>
      </c>
      <c r="E49" s="44">
        <v>0</v>
      </c>
      <c r="F49" s="44">
        <v>0</v>
      </c>
      <c r="G49" s="37">
        <v>2</v>
      </c>
      <c r="H49" s="37">
        <f t="shared" si="9"/>
        <v>40</v>
      </c>
      <c r="I49" s="72">
        <v>0</v>
      </c>
      <c r="J49" s="73">
        <f t="shared" si="10"/>
        <v>0</v>
      </c>
      <c r="K49" s="73">
        <f t="shared" si="11"/>
        <v>0</v>
      </c>
      <c r="L49" s="73">
        <f t="shared" si="12"/>
        <v>0</v>
      </c>
      <c r="M49" s="73">
        <f t="shared" si="13"/>
        <v>0</v>
      </c>
      <c r="N49" s="44">
        <f>(J49*'Base Data'!$C$5)+(K49*'Base Data'!$C$6)+(L49*'Base Data'!$C$7)</f>
        <v>0</v>
      </c>
      <c r="O49" s="44">
        <f t="shared" si="14"/>
        <v>0</v>
      </c>
      <c r="P49" s="73">
        <f>G49*I49</f>
        <v>0</v>
      </c>
      <c r="Q49" s="75" t="s">
        <v>240</v>
      </c>
    </row>
    <row r="50" spans="1:19" s="115" customFormat="1" ht="9">
      <c r="A50" s="112" t="s">
        <v>422</v>
      </c>
      <c r="B50" s="37">
        <v>5</v>
      </c>
      <c r="C50" s="37"/>
      <c r="D50" s="44">
        <v>0</v>
      </c>
      <c r="E50" s="44">
        <v>0</v>
      </c>
      <c r="F50" s="44">
        <v>0</v>
      </c>
      <c r="G50" s="37">
        <v>1</v>
      </c>
      <c r="H50" s="37">
        <f t="shared" si="9"/>
        <v>5</v>
      </c>
      <c r="I50" s="73">
        <v>0</v>
      </c>
      <c r="J50" s="73">
        <f t="shared" si="10"/>
        <v>0</v>
      </c>
      <c r="K50" s="73">
        <f t="shared" si="11"/>
        <v>0</v>
      </c>
      <c r="L50" s="73">
        <f t="shared" si="12"/>
        <v>0</v>
      </c>
      <c r="M50" s="73">
        <f t="shared" si="13"/>
        <v>0</v>
      </c>
      <c r="N50" s="44">
        <f>(J50*'Base Data'!$C$5)+(K50*'Base Data'!$C$6)+(L50*'Base Data'!$C$7)</f>
        <v>0</v>
      </c>
      <c r="O50" s="44">
        <f t="shared" si="14"/>
        <v>0</v>
      </c>
      <c r="P50" s="73">
        <f t="shared" ref="P50" si="15">G50*I50</f>
        <v>0</v>
      </c>
      <c r="Q50" s="75" t="s">
        <v>493</v>
      </c>
    </row>
    <row r="51" spans="1:19" s="115" customFormat="1" ht="9">
      <c r="A51" s="112" t="s">
        <v>509</v>
      </c>
      <c r="B51" s="37">
        <v>30</v>
      </c>
      <c r="C51" s="37"/>
      <c r="D51" s="44">
        <v>0</v>
      </c>
      <c r="E51" s="44">
        <v>0</v>
      </c>
      <c r="F51" s="44">
        <v>0</v>
      </c>
      <c r="G51" s="37">
        <v>1</v>
      </c>
      <c r="H51" s="37">
        <f>B51*G51</f>
        <v>30</v>
      </c>
      <c r="I51" s="72">
        <v>0</v>
      </c>
      <c r="J51" s="73">
        <f>H51*I51</f>
        <v>0</v>
      </c>
      <c r="K51" s="73">
        <f>J51*0.1</f>
        <v>0</v>
      </c>
      <c r="L51" s="73">
        <f>J51*0.05</f>
        <v>0</v>
      </c>
      <c r="M51" s="73">
        <f>C51*G51*I51</f>
        <v>0</v>
      </c>
      <c r="N51" s="44">
        <f>(J51*'Base Data'!$C$5)+(K51*'Base Data'!$C$6)+(L51*'Base Data'!$C$7)</f>
        <v>0</v>
      </c>
      <c r="O51" s="44">
        <f>(D51+E51+F51)*G51*I51</f>
        <v>0</v>
      </c>
      <c r="P51" s="73">
        <f>G51*I51</f>
        <v>0</v>
      </c>
      <c r="Q51" s="75" t="s">
        <v>508</v>
      </c>
      <c r="R51" s="133"/>
    </row>
    <row r="52" spans="1:19" s="115" customFormat="1" ht="9">
      <c r="A52" s="113" t="s">
        <v>7</v>
      </c>
      <c r="B52" s="37"/>
      <c r="C52" s="37"/>
      <c r="D52" s="44"/>
      <c r="E52" s="44"/>
      <c r="F52" s="44"/>
      <c r="G52" s="37"/>
      <c r="H52" s="37"/>
      <c r="I52" s="72"/>
      <c r="J52" s="73">
        <f>SUM(J7:J50)</f>
        <v>46824</v>
      </c>
      <c r="K52" s="73">
        <f>SUM(K7:K50)</f>
        <v>4682.3999999999996</v>
      </c>
      <c r="L52" s="73">
        <f>SUM(L7:L50)</f>
        <v>2341.1999999999998</v>
      </c>
      <c r="M52" s="73">
        <f t="shared" ref="M52" si="16">SUM(M7:M49)</f>
        <v>0</v>
      </c>
      <c r="N52" s="44">
        <f>SUM(N7:N50)</f>
        <v>5093397.66</v>
      </c>
      <c r="O52" s="44">
        <f>SUM(O7:O50)</f>
        <v>12916647</v>
      </c>
      <c r="P52" s="73">
        <f>SUM(P45:P50)</f>
        <v>0</v>
      </c>
      <c r="Q52" s="75"/>
      <c r="R52" s="118">
        <f>SUM(O7,O10:O22,O27,O30,O33,O36,O39,O40:O41)</f>
        <v>12511350</v>
      </c>
      <c r="S52" s="117">
        <f>SUM(O26,O29,O32,O35,O38)</f>
        <v>405297</v>
      </c>
    </row>
    <row r="53" spans="1:19" s="115" customFormat="1" ht="9">
      <c r="A53" s="110" t="s">
        <v>382</v>
      </c>
      <c r="B53" s="37"/>
      <c r="C53" s="37"/>
      <c r="D53" s="44"/>
      <c r="E53" s="44"/>
      <c r="F53" s="44"/>
      <c r="G53" s="37"/>
      <c r="H53" s="37"/>
      <c r="I53" s="73"/>
      <c r="J53" s="73"/>
      <c r="K53" s="73"/>
      <c r="L53" s="73"/>
      <c r="M53" s="37"/>
      <c r="N53" s="44"/>
      <c r="O53" s="44"/>
      <c r="P53" s="73"/>
      <c r="Q53" s="75"/>
    </row>
    <row r="54" spans="1:19" s="115" customFormat="1" ht="9">
      <c r="A54" s="110" t="s">
        <v>369</v>
      </c>
      <c r="B54" s="37" t="s">
        <v>373</v>
      </c>
      <c r="C54" s="37"/>
      <c r="D54" s="44"/>
      <c r="E54" s="44"/>
      <c r="F54" s="44"/>
      <c r="G54" s="37"/>
      <c r="H54" s="37"/>
      <c r="I54" s="73"/>
      <c r="J54" s="73"/>
      <c r="K54" s="73"/>
      <c r="L54" s="73"/>
      <c r="M54" s="37"/>
      <c r="N54" s="44"/>
      <c r="O54" s="44"/>
      <c r="P54" s="73"/>
      <c r="Q54" s="75"/>
    </row>
    <row r="55" spans="1:19" s="115" customFormat="1" ht="9">
      <c r="A55" s="110" t="s">
        <v>370</v>
      </c>
      <c r="B55" s="37" t="s">
        <v>384</v>
      </c>
      <c r="C55" s="37"/>
      <c r="D55" s="44"/>
      <c r="E55" s="44"/>
      <c r="F55" s="44"/>
      <c r="G55" s="37"/>
      <c r="H55" s="37"/>
      <c r="I55" s="73"/>
      <c r="J55" s="73"/>
      <c r="K55" s="73"/>
      <c r="L55" s="73"/>
      <c r="M55" s="37"/>
      <c r="N55" s="44"/>
      <c r="O55" s="44"/>
      <c r="P55" s="73"/>
      <c r="Q55" s="75"/>
    </row>
    <row r="56" spans="1:19" s="115" customFormat="1" ht="9">
      <c r="A56" s="110" t="s">
        <v>371</v>
      </c>
      <c r="B56" s="37" t="s">
        <v>384</v>
      </c>
      <c r="C56" s="37"/>
      <c r="D56" s="44"/>
      <c r="E56" s="44"/>
      <c r="F56" s="44"/>
      <c r="G56" s="37"/>
      <c r="H56" s="37"/>
      <c r="I56" s="73"/>
      <c r="J56" s="73"/>
      <c r="K56" s="73"/>
      <c r="L56" s="73"/>
      <c r="M56" s="37"/>
      <c r="N56" s="44"/>
      <c r="O56" s="44"/>
      <c r="P56" s="73"/>
      <c r="Q56" s="75" t="s">
        <v>340</v>
      </c>
    </row>
    <row r="57" spans="1:19" s="115" customFormat="1" ht="9">
      <c r="A57" s="110" t="s">
        <v>372</v>
      </c>
      <c r="B57" s="37"/>
      <c r="C57" s="37"/>
      <c r="D57" s="44"/>
      <c r="E57" s="44"/>
      <c r="F57" s="44"/>
      <c r="G57" s="37"/>
      <c r="H57" s="37"/>
      <c r="I57" s="73"/>
      <c r="J57" s="73"/>
      <c r="K57" s="73"/>
      <c r="L57" s="73"/>
      <c r="M57" s="37"/>
      <c r="N57" s="44"/>
      <c r="O57" s="44"/>
      <c r="P57" s="73"/>
      <c r="Q57" s="75"/>
    </row>
    <row r="58" spans="1:19" s="115" customFormat="1" ht="9.75" customHeight="1">
      <c r="A58" s="110" t="s">
        <v>380</v>
      </c>
      <c r="B58" s="37">
        <v>20</v>
      </c>
      <c r="C58" s="37"/>
      <c r="D58" s="44">
        <v>0</v>
      </c>
      <c r="E58" s="44">
        <v>0</v>
      </c>
      <c r="F58" s="44">
        <v>0</v>
      </c>
      <c r="G58" s="37">
        <v>1</v>
      </c>
      <c r="H58" s="37">
        <f t="shared" ref="H58:H64" si="17">B58*G58</f>
        <v>20</v>
      </c>
      <c r="I58" s="72">
        <v>0</v>
      </c>
      <c r="J58" s="73">
        <f t="shared" ref="J58:J64" si="18">H58*I58</f>
        <v>0</v>
      </c>
      <c r="K58" s="73">
        <f t="shared" ref="K58:K64" si="19">J58*0.1</f>
        <v>0</v>
      </c>
      <c r="L58" s="73">
        <f t="shared" ref="L58:L64" si="20">J58*0.05</f>
        <v>0</v>
      </c>
      <c r="M58" s="37"/>
      <c r="N58" s="44">
        <f>(J58*'Base Data'!$C$5)+(K58*'Base Data'!$C$6)+(L58*'Base Data'!$C$7)</f>
        <v>0</v>
      </c>
      <c r="O58" s="44">
        <f t="shared" ref="O58:O64" si="21">(D58+E58+F58)*G58*I58</f>
        <v>0</v>
      </c>
      <c r="P58" s="73">
        <v>0</v>
      </c>
      <c r="Q58" s="75" t="s">
        <v>339</v>
      </c>
    </row>
    <row r="59" spans="1:19" s="115" customFormat="1" ht="9">
      <c r="A59" s="111" t="s">
        <v>376</v>
      </c>
      <c r="B59" s="37">
        <v>15</v>
      </c>
      <c r="C59" s="37">
        <v>0</v>
      </c>
      <c r="D59" s="44">
        <v>0</v>
      </c>
      <c r="E59" s="44">
        <v>0</v>
      </c>
      <c r="F59" s="44">
        <v>0</v>
      </c>
      <c r="G59" s="37">
        <v>1</v>
      </c>
      <c r="H59" s="37">
        <f t="shared" si="17"/>
        <v>15</v>
      </c>
      <c r="I59" s="72">
        <v>0</v>
      </c>
      <c r="J59" s="73">
        <f t="shared" si="18"/>
        <v>0</v>
      </c>
      <c r="K59" s="73">
        <f t="shared" si="19"/>
        <v>0</v>
      </c>
      <c r="L59" s="73">
        <f t="shared" si="20"/>
        <v>0</v>
      </c>
      <c r="M59" s="37">
        <f>C59*G59*I59</f>
        <v>0</v>
      </c>
      <c r="N59" s="44">
        <f>(J59*'Base Data'!$C$5)+(K59*'Base Data'!$C$6)+(L59*'Base Data'!$C$7)</f>
        <v>0</v>
      </c>
      <c r="O59" s="44">
        <f t="shared" si="21"/>
        <v>0</v>
      </c>
      <c r="P59" s="73">
        <v>0</v>
      </c>
      <c r="Q59" s="75" t="s">
        <v>339</v>
      </c>
    </row>
    <row r="60" spans="1:19" s="115" customFormat="1" ht="9.75" customHeight="1">
      <c r="A60" s="110" t="s">
        <v>377</v>
      </c>
      <c r="B60" s="37">
        <v>2</v>
      </c>
      <c r="C60" s="37"/>
      <c r="D60" s="44">
        <v>0</v>
      </c>
      <c r="E60" s="44">
        <v>0</v>
      </c>
      <c r="F60" s="44">
        <v>0</v>
      </c>
      <c r="G60" s="37">
        <v>1</v>
      </c>
      <c r="H60" s="37">
        <f t="shared" si="17"/>
        <v>2</v>
      </c>
      <c r="I60" s="72">
        <v>0</v>
      </c>
      <c r="J60" s="73">
        <f t="shared" si="18"/>
        <v>0</v>
      </c>
      <c r="K60" s="73">
        <f t="shared" si="19"/>
        <v>0</v>
      </c>
      <c r="L60" s="73">
        <f t="shared" si="20"/>
        <v>0</v>
      </c>
      <c r="M60" s="37"/>
      <c r="N60" s="44">
        <f>(J60*'Base Data'!$C$5)+(K60*'Base Data'!$C$6)+(L60*'Base Data'!$C$7)</f>
        <v>0</v>
      </c>
      <c r="O60" s="44">
        <f t="shared" si="21"/>
        <v>0</v>
      </c>
      <c r="P60" s="73">
        <v>0</v>
      </c>
      <c r="Q60" s="75" t="s">
        <v>339</v>
      </c>
    </row>
    <row r="61" spans="1:19" s="115" customFormat="1" ht="9">
      <c r="A61" s="111" t="s">
        <v>387</v>
      </c>
      <c r="B61" s="37">
        <v>2</v>
      </c>
      <c r="C61" s="37"/>
      <c r="D61" s="44">
        <v>0</v>
      </c>
      <c r="E61" s="44">
        <v>0</v>
      </c>
      <c r="F61" s="44">
        <v>0</v>
      </c>
      <c r="G61" s="37">
        <v>1</v>
      </c>
      <c r="H61" s="37">
        <f t="shared" si="17"/>
        <v>2</v>
      </c>
      <c r="I61" s="72">
        <v>0</v>
      </c>
      <c r="J61" s="73">
        <f t="shared" si="18"/>
        <v>0</v>
      </c>
      <c r="K61" s="73">
        <f t="shared" si="19"/>
        <v>0</v>
      </c>
      <c r="L61" s="73">
        <f t="shared" si="20"/>
        <v>0</v>
      </c>
      <c r="M61" s="37"/>
      <c r="N61" s="44">
        <f>(J61*'Base Data'!$C$5)+(K61*'Base Data'!$C$6)+(L61*'Base Data'!$C$7)</f>
        <v>0</v>
      </c>
      <c r="O61" s="44">
        <f t="shared" si="21"/>
        <v>0</v>
      </c>
      <c r="P61" s="73">
        <v>0</v>
      </c>
      <c r="Q61" s="75" t="s">
        <v>339</v>
      </c>
    </row>
    <row r="62" spans="1:19" s="115" customFormat="1" ht="9" customHeight="1">
      <c r="A62" s="111" t="s">
        <v>227</v>
      </c>
      <c r="B62" s="37">
        <v>2</v>
      </c>
      <c r="C62" s="37">
        <v>0</v>
      </c>
      <c r="D62" s="44">
        <v>0</v>
      </c>
      <c r="E62" s="44">
        <v>0</v>
      </c>
      <c r="F62" s="44">
        <v>0</v>
      </c>
      <c r="G62" s="37">
        <v>1</v>
      </c>
      <c r="H62" s="37">
        <f>B62*G62</f>
        <v>2</v>
      </c>
      <c r="I62" s="72">
        <v>0</v>
      </c>
      <c r="J62" s="73">
        <f>H62*I62</f>
        <v>0</v>
      </c>
      <c r="K62" s="73">
        <f t="shared" si="19"/>
        <v>0</v>
      </c>
      <c r="L62" s="73">
        <f>J62*0.05</f>
        <v>0</v>
      </c>
      <c r="M62" s="37">
        <f>C62*G62*I62</f>
        <v>0</v>
      </c>
      <c r="N62" s="44">
        <f>(J62*'Base Data'!$C$5)+(K62*'Base Data'!$C$6)+(L62*'Base Data'!$C$7)</f>
        <v>0</v>
      </c>
      <c r="O62" s="44">
        <f>(D62+E62+F62)*G62*I62</f>
        <v>0</v>
      </c>
      <c r="P62" s="73">
        <v>0</v>
      </c>
      <c r="Q62" s="75" t="s">
        <v>240</v>
      </c>
    </row>
    <row r="63" spans="1:19" s="115" customFormat="1" ht="18">
      <c r="A63" s="111" t="s">
        <v>432</v>
      </c>
      <c r="B63" s="37">
        <v>2</v>
      </c>
      <c r="C63" s="37">
        <v>0</v>
      </c>
      <c r="D63" s="44">
        <v>0</v>
      </c>
      <c r="E63" s="44">
        <v>0</v>
      </c>
      <c r="F63" s="44">
        <v>0</v>
      </c>
      <c r="G63" s="37">
        <v>2</v>
      </c>
      <c r="H63" s="37">
        <f t="shared" ref="H63" si="22">B63*G63</f>
        <v>4</v>
      </c>
      <c r="I63" s="72">
        <v>0</v>
      </c>
      <c r="J63" s="73">
        <f t="shared" ref="J63" si="23">H63*I63</f>
        <v>0</v>
      </c>
      <c r="K63" s="73">
        <f t="shared" si="19"/>
        <v>0</v>
      </c>
      <c r="L63" s="73">
        <f t="shared" ref="L63" si="24">J63*0.05</f>
        <v>0</v>
      </c>
      <c r="M63" s="37">
        <f>C63*G63*I63</f>
        <v>0</v>
      </c>
      <c r="N63" s="44">
        <f>(J63*'Base Data'!$C$5)+(K63*'Base Data'!$C$6)+(L63*'Base Data'!$C$7)</f>
        <v>0</v>
      </c>
      <c r="O63" s="44">
        <f t="shared" ref="O63" si="25">(D63+E63+F63)*G63*I63</f>
        <v>0</v>
      </c>
      <c r="P63" s="73">
        <v>0</v>
      </c>
      <c r="Q63" s="75" t="s">
        <v>240</v>
      </c>
    </row>
    <row r="64" spans="1:19" s="115" customFormat="1" ht="9">
      <c r="A64" s="111" t="s">
        <v>231</v>
      </c>
      <c r="B64" s="37">
        <v>0.5</v>
      </c>
      <c r="C64" s="37"/>
      <c r="D64" s="44">
        <v>0</v>
      </c>
      <c r="E64" s="44">
        <v>0</v>
      </c>
      <c r="F64" s="44">
        <v>0</v>
      </c>
      <c r="G64" s="37">
        <v>12</v>
      </c>
      <c r="H64" s="37">
        <f t="shared" si="17"/>
        <v>6</v>
      </c>
      <c r="I64" s="72">
        <v>0</v>
      </c>
      <c r="J64" s="73">
        <f t="shared" si="18"/>
        <v>0</v>
      </c>
      <c r="K64" s="73">
        <f t="shared" si="19"/>
        <v>0</v>
      </c>
      <c r="L64" s="73">
        <f t="shared" si="20"/>
        <v>0</v>
      </c>
      <c r="M64" s="37"/>
      <c r="N64" s="44">
        <f>(J64*'Base Data'!$C$5)+(K64*'Base Data'!$C$6)+(L64*'Base Data'!$C$7)</f>
        <v>0</v>
      </c>
      <c r="O64" s="44">
        <f t="shared" si="21"/>
        <v>0</v>
      </c>
      <c r="P64" s="73">
        <v>0</v>
      </c>
      <c r="Q64" s="75" t="s">
        <v>89</v>
      </c>
    </row>
    <row r="65" spans="1:18" s="115" customFormat="1" ht="9">
      <c r="A65" s="260" t="s">
        <v>433</v>
      </c>
      <c r="B65" s="37">
        <v>0.25</v>
      </c>
      <c r="C65" s="37"/>
      <c r="D65" s="44">
        <v>0</v>
      </c>
      <c r="E65" s="44">
        <v>0</v>
      </c>
      <c r="F65" s="44">
        <v>0</v>
      </c>
      <c r="G65" s="37">
        <v>1</v>
      </c>
      <c r="H65" s="37">
        <f>B65*G65</f>
        <v>0.25</v>
      </c>
      <c r="I65" s="73">
        <v>0</v>
      </c>
      <c r="J65" s="72">
        <f>H65*I65</f>
        <v>0</v>
      </c>
      <c r="K65" s="72">
        <f>J65*0.1</f>
        <v>0</v>
      </c>
      <c r="L65" s="72">
        <f>J65*0.05</f>
        <v>0</v>
      </c>
      <c r="M65" s="37">
        <f>C65*G65*I65</f>
        <v>0</v>
      </c>
      <c r="N65" s="44">
        <f>(J65*'Base Data'!$C$5)+(K65*'Base Data'!$C$6)+(L65*'Base Data'!$C$7)</f>
        <v>0</v>
      </c>
      <c r="O65" s="44">
        <f>(D65+E65+F65)*G65*I65</f>
        <v>0</v>
      </c>
      <c r="P65" s="73">
        <v>0</v>
      </c>
      <c r="Q65" s="75" t="s">
        <v>339</v>
      </c>
    </row>
    <row r="66" spans="1:18" s="115" customFormat="1" ht="9">
      <c r="A66" s="110" t="s">
        <v>378</v>
      </c>
      <c r="B66" s="37">
        <v>40</v>
      </c>
      <c r="C66" s="37"/>
      <c r="D66" s="44">
        <v>0</v>
      </c>
      <c r="E66" s="44">
        <v>0</v>
      </c>
      <c r="F66" s="44">
        <v>0</v>
      </c>
      <c r="G66" s="37">
        <v>1</v>
      </c>
      <c r="H66" s="37">
        <f t="shared" ref="H66" si="26">B66*G66</f>
        <v>40</v>
      </c>
      <c r="I66" s="72">
        <f>ROUND(SUM('Base Data'!$H$28:$H$30,'Base Data'!$H$33:$H$35,'Base Data'!$H$38:$H$40)/2,0)</f>
        <v>275</v>
      </c>
      <c r="J66" s="73">
        <f t="shared" ref="J66" si="27">H66*I66</f>
        <v>11000</v>
      </c>
      <c r="K66" s="73">
        <f t="shared" ref="K66" si="28">J66*0.1</f>
        <v>1100</v>
      </c>
      <c r="L66" s="73">
        <f t="shared" ref="L66" si="29">J66*0.05</f>
        <v>550</v>
      </c>
      <c r="M66" s="37"/>
      <c r="N66" s="44">
        <f>(J66*'Base Data'!$C$5)+(K66*'Base Data'!$C$6)+(L66*'Base Data'!$C$7)</f>
        <v>1196552.5</v>
      </c>
      <c r="O66" s="44">
        <f t="shared" ref="O66" si="30">(D66+E66+F66)*G66*I66</f>
        <v>0</v>
      </c>
      <c r="P66" s="73">
        <v>0</v>
      </c>
      <c r="Q66" s="75" t="s">
        <v>496</v>
      </c>
    </row>
    <row r="67" spans="1:18" s="115" customFormat="1">
      <c r="A67" s="110" t="s">
        <v>379</v>
      </c>
      <c r="B67" s="37" t="s">
        <v>384</v>
      </c>
      <c r="C67" s="37"/>
      <c r="D67" s="44"/>
      <c r="E67" s="44"/>
      <c r="F67" s="44"/>
      <c r="G67" s="37"/>
      <c r="H67" s="37"/>
      <c r="I67" s="73"/>
      <c r="J67" s="73"/>
      <c r="K67" s="73"/>
      <c r="L67" s="73"/>
      <c r="M67" s="37"/>
      <c r="N67" s="44"/>
      <c r="O67" s="44"/>
      <c r="P67" s="73"/>
      <c r="Q67" s="75"/>
      <c r="R67" s="134"/>
    </row>
    <row r="68" spans="1:18" s="115" customFormat="1">
      <c r="A68" s="190" t="s">
        <v>26</v>
      </c>
      <c r="B68" s="184"/>
      <c r="C68" s="184"/>
      <c r="D68" s="185"/>
      <c r="E68" s="185"/>
      <c r="F68" s="185"/>
      <c r="G68" s="184"/>
      <c r="H68" s="184"/>
      <c r="I68" s="186"/>
      <c r="J68" s="186">
        <f t="shared" ref="J68:O68" si="31">SUM(J54:J67)</f>
        <v>11000</v>
      </c>
      <c r="K68" s="186">
        <f t="shared" si="31"/>
        <v>1100</v>
      </c>
      <c r="L68" s="186">
        <f t="shared" si="31"/>
        <v>550</v>
      </c>
      <c r="M68" s="185">
        <f t="shared" si="31"/>
        <v>0</v>
      </c>
      <c r="N68" s="185">
        <f t="shared" si="31"/>
        <v>1196552.5</v>
      </c>
      <c r="O68" s="185">
        <f t="shared" si="31"/>
        <v>0</v>
      </c>
      <c r="P68" s="186"/>
      <c r="Q68" s="187"/>
      <c r="R68" s="88"/>
    </row>
    <row r="69" spans="1:18" s="134" customFormat="1">
      <c r="A69" s="468" t="s">
        <v>351</v>
      </c>
      <c r="B69" s="469"/>
      <c r="C69" s="136"/>
      <c r="D69" s="136"/>
      <c r="E69" s="136"/>
      <c r="F69" s="137"/>
      <c r="G69" s="136"/>
      <c r="H69" s="136"/>
      <c r="I69" s="138"/>
      <c r="J69" s="139">
        <f t="shared" ref="J69:P69" si="32">J52+J68</f>
        <v>57824</v>
      </c>
      <c r="K69" s="139">
        <f t="shared" si="32"/>
        <v>5782.4</v>
      </c>
      <c r="L69" s="139">
        <f t="shared" si="32"/>
        <v>2891.2</v>
      </c>
      <c r="M69" s="140">
        <f t="shared" si="32"/>
        <v>0</v>
      </c>
      <c r="N69" s="140">
        <f t="shared" si="32"/>
        <v>6289950.1600000001</v>
      </c>
      <c r="O69" s="140">
        <f t="shared" si="32"/>
        <v>12916647</v>
      </c>
      <c r="P69" s="139">
        <f t="shared" si="32"/>
        <v>0</v>
      </c>
      <c r="Q69" s="141"/>
      <c r="R69" s="45"/>
    </row>
    <row r="70" spans="1:18" ht="6" customHeight="1">
      <c r="R70" s="45"/>
    </row>
    <row r="71" spans="1:18" s="45" customFormat="1" ht="9">
      <c r="A71" s="45" t="s">
        <v>341</v>
      </c>
      <c r="B71" s="48"/>
      <c r="C71" s="48"/>
      <c r="D71" s="48"/>
      <c r="E71" s="48"/>
      <c r="F71" s="48"/>
      <c r="G71" s="48"/>
      <c r="H71" s="48"/>
      <c r="I71" s="49"/>
      <c r="J71" s="48"/>
      <c r="K71" s="48"/>
      <c r="L71" s="48"/>
      <c r="M71" s="48"/>
      <c r="N71" s="48"/>
      <c r="O71" s="146"/>
      <c r="P71" s="146"/>
      <c r="Q71" s="48"/>
    </row>
    <row r="72" spans="1:18" s="45" customFormat="1" ht="16.5" customHeight="1">
      <c r="A72" s="494" t="s">
        <v>152</v>
      </c>
      <c r="B72" s="494"/>
      <c r="C72" s="494"/>
      <c r="D72" s="494"/>
      <c r="E72" s="494"/>
      <c r="F72" s="494"/>
      <c r="G72" s="494"/>
      <c r="H72" s="494"/>
      <c r="I72" s="494"/>
      <c r="J72" s="494"/>
      <c r="K72" s="494"/>
      <c r="L72" s="494"/>
      <c r="M72" s="494"/>
      <c r="N72" s="494"/>
      <c r="O72" s="494"/>
      <c r="P72" s="459"/>
      <c r="Q72" s="48"/>
    </row>
    <row r="73" spans="1:18" s="45" customFormat="1" ht="27" customHeight="1">
      <c r="A73" s="494" t="s">
        <v>2</v>
      </c>
      <c r="B73" s="494"/>
      <c r="C73" s="494"/>
      <c r="D73" s="494"/>
      <c r="E73" s="494"/>
      <c r="F73" s="494"/>
      <c r="G73" s="494"/>
      <c r="H73" s="494"/>
      <c r="I73" s="494"/>
      <c r="J73" s="494"/>
      <c r="K73" s="494"/>
      <c r="L73" s="494"/>
      <c r="M73" s="494"/>
      <c r="N73" s="494"/>
      <c r="O73" s="494"/>
      <c r="P73" s="459"/>
      <c r="Q73" s="48"/>
    </row>
    <row r="74" spans="1:18" s="45" customFormat="1" ht="18" customHeight="1">
      <c r="A74" s="494" t="s">
        <v>94</v>
      </c>
      <c r="B74" s="494"/>
      <c r="C74" s="494"/>
      <c r="D74" s="494"/>
      <c r="E74" s="494"/>
      <c r="F74" s="494"/>
      <c r="G74" s="494"/>
      <c r="H74" s="494"/>
      <c r="I74" s="494"/>
      <c r="J74" s="494"/>
      <c r="K74" s="494"/>
      <c r="L74" s="494"/>
      <c r="M74" s="494"/>
      <c r="N74" s="494"/>
      <c r="O74" s="494"/>
      <c r="P74" s="494"/>
      <c r="Q74" s="494"/>
    </row>
    <row r="75" spans="1:18" s="45" customFormat="1" ht="8.25" customHeight="1">
      <c r="A75" s="45" t="s">
        <v>392</v>
      </c>
      <c r="B75" s="48"/>
      <c r="C75" s="48"/>
      <c r="D75" s="48"/>
      <c r="E75" s="48"/>
      <c r="F75" s="48"/>
      <c r="G75" s="48"/>
      <c r="H75" s="48"/>
      <c r="I75" s="49"/>
      <c r="J75" s="48"/>
      <c r="K75" s="48"/>
      <c r="L75" s="48"/>
      <c r="M75" s="48"/>
      <c r="N75" s="48"/>
      <c r="O75" s="146"/>
      <c r="P75" s="146"/>
      <c r="Q75" s="48"/>
    </row>
    <row r="76" spans="1:18" s="45" customFormat="1" ht="8.25" customHeight="1">
      <c r="A76" s="494" t="s">
        <v>486</v>
      </c>
      <c r="B76" s="494"/>
      <c r="C76" s="494"/>
      <c r="D76" s="494"/>
      <c r="E76" s="494"/>
      <c r="F76" s="494"/>
      <c r="G76" s="494"/>
      <c r="H76" s="494"/>
      <c r="I76" s="494"/>
      <c r="J76" s="494"/>
      <c r="K76" s="494"/>
      <c r="L76" s="494"/>
      <c r="M76" s="494"/>
      <c r="N76" s="48"/>
      <c r="O76" s="146"/>
      <c r="P76" s="146"/>
      <c r="Q76" s="48"/>
    </row>
    <row r="77" spans="1:18" s="45" customFormat="1" ht="9.75" customHeight="1">
      <c r="A77" s="45" t="s">
        <v>229</v>
      </c>
      <c r="B77" s="48"/>
      <c r="C77" s="48"/>
      <c r="D77" s="48"/>
      <c r="E77" s="48"/>
      <c r="F77" s="48"/>
      <c r="G77" s="48"/>
      <c r="H77" s="48"/>
      <c r="I77" s="49"/>
      <c r="J77" s="48"/>
      <c r="K77" s="48"/>
      <c r="L77" s="48"/>
      <c r="M77" s="48"/>
      <c r="N77" s="48"/>
      <c r="O77" s="146"/>
      <c r="P77" s="146"/>
      <c r="Q77" s="48"/>
    </row>
    <row r="78" spans="1:18" s="45" customFormat="1" ht="9.75" customHeight="1">
      <c r="A78" s="45" t="s">
        <v>608</v>
      </c>
      <c r="B78" s="48"/>
      <c r="C78" s="48"/>
      <c r="D78" s="48"/>
      <c r="E78" s="48"/>
      <c r="F78" s="48"/>
      <c r="G78" s="48"/>
      <c r="H78" s="48"/>
      <c r="I78" s="49"/>
      <c r="J78" s="48"/>
      <c r="K78" s="48"/>
      <c r="L78" s="48"/>
      <c r="M78" s="48"/>
      <c r="N78" s="48"/>
      <c r="O78" s="146"/>
      <c r="P78" s="146"/>
      <c r="Q78" s="48"/>
    </row>
    <row r="79" spans="1:18" s="45" customFormat="1" ht="9.75" customHeight="1">
      <c r="A79" s="45" t="s">
        <v>491</v>
      </c>
      <c r="B79" s="48"/>
      <c r="C79" s="48"/>
      <c r="D79" s="48"/>
      <c r="E79" s="48"/>
      <c r="F79" s="48"/>
      <c r="G79" s="48"/>
      <c r="H79" s="48"/>
      <c r="I79" s="49"/>
      <c r="J79" s="48"/>
      <c r="K79" s="48"/>
      <c r="L79" s="48"/>
      <c r="M79" s="48"/>
      <c r="N79" s="48"/>
      <c r="O79" s="146"/>
      <c r="P79" s="146"/>
      <c r="Q79" s="48"/>
    </row>
    <row r="80" spans="1:18" s="45" customFormat="1" ht="9" customHeight="1">
      <c r="A80" s="494" t="s">
        <v>551</v>
      </c>
      <c r="B80" s="494"/>
      <c r="C80" s="494"/>
      <c r="D80" s="494"/>
      <c r="E80" s="494"/>
      <c r="F80" s="494"/>
      <c r="G80" s="494"/>
      <c r="H80" s="494"/>
      <c r="I80" s="494"/>
      <c r="J80" s="494"/>
      <c r="K80" s="494"/>
      <c r="L80" s="494"/>
      <c r="M80" s="494"/>
      <c r="N80" s="494"/>
      <c r="O80" s="494"/>
      <c r="P80" s="494"/>
      <c r="Q80" s="494"/>
    </row>
    <row r="81" spans="1:17" s="45" customFormat="1" ht="9">
      <c r="A81" s="78" t="s">
        <v>228</v>
      </c>
      <c r="B81" s="48"/>
      <c r="C81" s="48"/>
      <c r="D81" s="48"/>
      <c r="E81" s="48"/>
      <c r="F81" s="48"/>
      <c r="G81" s="48"/>
      <c r="H81" s="48"/>
      <c r="I81" s="49"/>
      <c r="J81" s="48"/>
      <c r="K81" s="48"/>
      <c r="L81" s="48"/>
      <c r="M81" s="48"/>
      <c r="N81" s="48"/>
      <c r="O81" s="146"/>
      <c r="P81" s="146"/>
      <c r="Q81" s="48"/>
    </row>
    <row r="82" spans="1:17" s="45" customFormat="1" ht="9">
      <c r="A82" s="285" t="s">
        <v>230</v>
      </c>
      <c r="B82" s="48"/>
      <c r="C82" s="48"/>
      <c r="D82" s="48"/>
      <c r="E82" s="48"/>
      <c r="F82" s="48"/>
      <c r="G82" s="48"/>
      <c r="H82" s="48"/>
      <c r="I82" s="49"/>
      <c r="J82" s="48"/>
      <c r="K82" s="48"/>
      <c r="L82" s="48"/>
      <c r="M82" s="48"/>
      <c r="N82" s="48"/>
      <c r="O82" s="146"/>
      <c r="P82" s="146"/>
      <c r="Q82" s="48"/>
    </row>
    <row r="83" spans="1:17" s="45" customFormat="1" ht="9">
      <c r="A83" s="107" t="s">
        <v>494</v>
      </c>
      <c r="B83" s="48"/>
      <c r="C83" s="48"/>
      <c r="D83" s="48"/>
      <c r="E83" s="48"/>
      <c r="F83" s="48"/>
      <c r="G83" s="48"/>
      <c r="H83" s="48"/>
      <c r="I83" s="49"/>
      <c r="J83" s="48"/>
      <c r="K83" s="48"/>
      <c r="L83" s="48"/>
      <c r="M83" s="48"/>
      <c r="N83" s="48"/>
      <c r="O83" s="146"/>
      <c r="P83" s="146"/>
      <c r="Q83" s="48"/>
    </row>
    <row r="84" spans="1:17" s="45" customFormat="1" ht="9">
      <c r="A84" s="45" t="s">
        <v>495</v>
      </c>
      <c r="B84" s="48"/>
      <c r="C84" s="48"/>
      <c r="D84" s="48"/>
      <c r="E84" s="48"/>
      <c r="F84" s="48"/>
      <c r="G84" s="48"/>
      <c r="H84" s="48"/>
      <c r="I84" s="49"/>
      <c r="J84" s="48"/>
      <c r="K84" s="48"/>
      <c r="L84" s="48"/>
      <c r="M84" s="48"/>
      <c r="N84" s="48"/>
      <c r="O84" s="146"/>
      <c r="P84" s="146"/>
      <c r="Q84" s="48"/>
    </row>
    <row r="85" spans="1:17" s="45" customFormat="1" ht="9">
      <c r="A85" s="94" t="s">
        <v>515</v>
      </c>
      <c r="B85" s="48"/>
      <c r="C85" s="48"/>
      <c r="D85" s="48"/>
      <c r="E85" s="48"/>
      <c r="F85" s="48"/>
      <c r="G85" s="48"/>
      <c r="H85" s="48"/>
      <c r="I85" s="49"/>
      <c r="J85" s="48"/>
      <c r="K85" s="48"/>
      <c r="L85" s="48"/>
      <c r="M85" s="48"/>
      <c r="N85" s="48"/>
      <c r="O85" s="146"/>
      <c r="P85" s="146"/>
      <c r="Q85" s="48"/>
    </row>
    <row r="86" spans="1:17" s="45" customFormat="1" ht="9">
      <c r="A86" s="494" t="s">
        <v>665</v>
      </c>
      <c r="B86" s="494"/>
      <c r="C86" s="494"/>
      <c r="D86" s="494"/>
      <c r="E86" s="494"/>
      <c r="F86" s="494"/>
      <c r="G86" s="494"/>
      <c r="H86" s="494"/>
      <c r="I86" s="494"/>
      <c r="J86" s="494"/>
      <c r="K86" s="494"/>
      <c r="L86" s="494"/>
      <c r="M86" s="494"/>
      <c r="N86" s="494"/>
      <c r="O86" s="494"/>
      <c r="P86" s="494"/>
      <c r="Q86" s="494"/>
    </row>
    <row r="87" spans="1:17" s="45" customFormat="1" ht="9">
      <c r="A87" s="494"/>
      <c r="B87" s="494"/>
      <c r="C87" s="494"/>
      <c r="D87" s="494"/>
      <c r="E87" s="494"/>
      <c r="F87" s="494"/>
      <c r="G87" s="494"/>
      <c r="H87" s="494"/>
      <c r="I87" s="494"/>
      <c r="J87" s="494"/>
      <c r="K87" s="494"/>
      <c r="L87" s="494"/>
      <c r="M87" s="494"/>
      <c r="N87" s="494"/>
      <c r="O87" s="494"/>
      <c r="P87" s="494"/>
      <c r="Q87" s="494"/>
    </row>
    <row r="88" spans="1:17" s="45" customFormat="1" ht="9">
      <c r="A88" s="494"/>
      <c r="B88" s="494"/>
      <c r="C88" s="494"/>
      <c r="D88" s="494"/>
      <c r="E88" s="494"/>
      <c r="F88" s="494"/>
      <c r="G88" s="494"/>
      <c r="H88" s="494"/>
      <c r="I88" s="494"/>
      <c r="J88" s="494"/>
      <c r="K88" s="494"/>
      <c r="L88" s="494"/>
      <c r="M88" s="494"/>
      <c r="N88" s="494"/>
      <c r="O88" s="494"/>
      <c r="P88" s="494"/>
      <c r="Q88" s="494"/>
    </row>
    <row r="89" spans="1:17" s="45" customFormat="1" ht="9">
      <c r="B89" s="48"/>
      <c r="C89" s="48"/>
      <c r="D89" s="48"/>
      <c r="E89" s="48"/>
      <c r="F89" s="48"/>
      <c r="G89" s="48"/>
      <c r="H89" s="48"/>
      <c r="I89" s="49"/>
      <c r="J89" s="48"/>
      <c r="K89" s="48"/>
      <c r="L89" s="48"/>
      <c r="M89" s="48"/>
      <c r="N89" s="48"/>
      <c r="O89" s="146"/>
      <c r="P89" s="146"/>
      <c r="Q89" s="48"/>
    </row>
    <row r="90" spans="1:17" s="45" customFormat="1">
      <c r="B90" s="48"/>
      <c r="C90" s="48"/>
      <c r="D90" s="48"/>
      <c r="E90" s="48"/>
      <c r="F90" s="48"/>
      <c r="G90" s="48"/>
      <c r="H90" s="48"/>
      <c r="I90" s="49"/>
      <c r="J90" s="48"/>
      <c r="K90" s="48"/>
      <c r="L90" s="48"/>
      <c r="M90" s="48"/>
      <c r="N90" s="48"/>
      <c r="O90" s="146"/>
      <c r="P90" s="145"/>
      <c r="Q90" s="48"/>
    </row>
    <row r="91" spans="1:17" s="45" customFormat="1">
      <c r="B91" s="48"/>
      <c r="C91" s="48"/>
      <c r="D91" s="48"/>
      <c r="E91" s="48"/>
      <c r="F91" s="48"/>
      <c r="G91" s="48"/>
      <c r="H91" s="48"/>
      <c r="I91" s="49"/>
      <c r="J91" s="48"/>
      <c r="K91" s="48"/>
      <c r="L91" s="48"/>
      <c r="M91" s="48"/>
      <c r="N91" s="48"/>
      <c r="O91" s="146"/>
      <c r="P91" s="145"/>
      <c r="Q91" s="48"/>
    </row>
    <row r="92" spans="1:17" s="45" customFormat="1">
      <c r="B92" s="48"/>
      <c r="C92" s="48"/>
      <c r="D92" s="48"/>
      <c r="E92" s="48"/>
      <c r="F92" s="48"/>
      <c r="G92" s="48"/>
      <c r="H92" s="48"/>
      <c r="I92" s="49"/>
      <c r="J92" s="48"/>
      <c r="K92" s="48"/>
      <c r="L92" s="48"/>
      <c r="M92" s="48"/>
      <c r="N92" s="48"/>
      <c r="O92" s="146"/>
      <c r="P92" s="145"/>
      <c r="Q92" s="48"/>
    </row>
    <row r="93" spans="1:17" s="45" customFormat="1">
      <c r="B93" s="48"/>
      <c r="C93" s="48"/>
      <c r="D93" s="48"/>
      <c r="E93" s="48"/>
      <c r="F93" s="48"/>
      <c r="G93" s="48"/>
      <c r="H93" s="48"/>
      <c r="I93" s="49"/>
      <c r="J93" s="48"/>
      <c r="K93" s="48"/>
      <c r="L93" s="48"/>
      <c r="M93" s="48"/>
      <c r="N93" s="48"/>
      <c r="O93" s="146"/>
      <c r="P93" s="145"/>
      <c r="Q93" s="48"/>
    </row>
    <row r="94" spans="1:17" s="45" customFormat="1">
      <c r="B94" s="48"/>
      <c r="C94" s="48"/>
      <c r="D94" s="48"/>
      <c r="E94" s="48"/>
      <c r="F94" s="48"/>
      <c r="G94" s="48"/>
      <c r="H94" s="48"/>
      <c r="I94" s="49"/>
      <c r="J94" s="48"/>
      <c r="K94" s="48"/>
      <c r="L94" s="48"/>
      <c r="M94" s="48"/>
      <c r="N94" s="48"/>
      <c r="O94" s="146"/>
      <c r="P94" s="145"/>
      <c r="Q94" s="48"/>
    </row>
    <row r="95" spans="1:17" s="45" customFormat="1">
      <c r="B95" s="48"/>
      <c r="C95" s="48"/>
      <c r="D95" s="48"/>
      <c r="E95" s="48"/>
      <c r="F95" s="48"/>
      <c r="G95" s="48"/>
      <c r="H95" s="48"/>
      <c r="I95" s="49"/>
      <c r="J95" s="48"/>
      <c r="K95" s="48"/>
      <c r="L95" s="48"/>
      <c r="M95" s="48"/>
      <c r="N95" s="48"/>
      <c r="O95" s="146"/>
      <c r="P95" s="145"/>
      <c r="Q95" s="48"/>
    </row>
    <row r="96" spans="1:17" s="45" customFormat="1">
      <c r="B96" s="48"/>
      <c r="C96" s="48"/>
      <c r="D96" s="48"/>
      <c r="E96" s="48"/>
      <c r="F96" s="48"/>
      <c r="G96" s="48"/>
      <c r="H96" s="48"/>
      <c r="I96" s="49"/>
      <c r="J96" s="48"/>
      <c r="K96" s="48"/>
      <c r="L96" s="48"/>
      <c r="M96" s="48"/>
      <c r="N96" s="48"/>
      <c r="O96" s="146"/>
      <c r="P96" s="145"/>
      <c r="Q96" s="48"/>
    </row>
    <row r="97" spans="2:17" s="45" customFormat="1">
      <c r="B97" s="48"/>
      <c r="C97" s="48"/>
      <c r="D97" s="48"/>
      <c r="E97" s="48"/>
      <c r="F97" s="48"/>
      <c r="G97" s="48"/>
      <c r="H97" s="48"/>
      <c r="I97" s="49"/>
      <c r="J97" s="48"/>
      <c r="K97" s="48"/>
      <c r="L97" s="48"/>
      <c r="M97" s="48"/>
      <c r="N97" s="48"/>
      <c r="O97" s="146"/>
      <c r="P97" s="145"/>
      <c r="Q97" s="48"/>
    </row>
    <row r="98" spans="2:17" s="45" customFormat="1">
      <c r="B98" s="48"/>
      <c r="C98" s="48"/>
      <c r="D98" s="48"/>
      <c r="E98" s="48"/>
      <c r="F98" s="48"/>
      <c r="G98" s="48"/>
      <c r="H98" s="48"/>
      <c r="I98" s="49"/>
      <c r="J98" s="48"/>
      <c r="K98" s="48"/>
      <c r="L98" s="48"/>
      <c r="M98" s="48"/>
      <c r="N98" s="48"/>
      <c r="O98" s="146"/>
      <c r="P98" s="145"/>
      <c r="Q98" s="48"/>
    </row>
    <row r="99" spans="2:17" s="45" customFormat="1">
      <c r="B99" s="48"/>
      <c r="C99" s="48"/>
      <c r="D99" s="48"/>
      <c r="E99" s="48"/>
      <c r="F99" s="48"/>
      <c r="G99" s="48"/>
      <c r="H99" s="48"/>
      <c r="I99" s="49"/>
      <c r="J99" s="48"/>
      <c r="K99" s="48"/>
      <c r="L99" s="48"/>
      <c r="M99" s="48"/>
      <c r="N99" s="48"/>
      <c r="O99" s="146"/>
      <c r="P99" s="145"/>
      <c r="Q99" s="48"/>
    </row>
    <row r="100" spans="2:17" s="45" customFormat="1">
      <c r="B100" s="48"/>
      <c r="C100" s="48"/>
      <c r="D100" s="48"/>
      <c r="E100" s="48"/>
      <c r="F100" s="48"/>
      <c r="G100" s="48"/>
      <c r="H100" s="48"/>
      <c r="I100" s="49"/>
      <c r="J100" s="48"/>
      <c r="K100" s="48"/>
      <c r="L100" s="48"/>
      <c r="M100" s="48"/>
      <c r="N100" s="48"/>
      <c r="O100" s="146"/>
      <c r="P100" s="145"/>
      <c r="Q100" s="48"/>
    </row>
    <row r="101" spans="2:17" s="45" customFormat="1">
      <c r="B101" s="48"/>
      <c r="C101" s="48"/>
      <c r="D101" s="48"/>
      <c r="E101" s="48"/>
      <c r="F101" s="48"/>
      <c r="G101" s="48"/>
      <c r="H101" s="48"/>
      <c r="I101" s="49"/>
      <c r="J101" s="48"/>
      <c r="K101" s="48"/>
      <c r="L101" s="48"/>
      <c r="M101" s="48"/>
      <c r="N101" s="48"/>
      <c r="O101" s="146"/>
      <c r="P101" s="145"/>
      <c r="Q101" s="48"/>
    </row>
    <row r="102" spans="2:17" s="45" customFormat="1">
      <c r="B102" s="48"/>
      <c r="C102" s="48"/>
      <c r="D102" s="48"/>
      <c r="E102" s="48"/>
      <c r="F102" s="48"/>
      <c r="G102" s="48"/>
      <c r="H102" s="48"/>
      <c r="I102" s="49"/>
      <c r="J102" s="48"/>
      <c r="K102" s="48"/>
      <c r="L102" s="48"/>
      <c r="M102" s="48"/>
      <c r="N102" s="48"/>
      <c r="O102" s="146"/>
      <c r="P102" s="145"/>
      <c r="Q102" s="48"/>
    </row>
    <row r="103" spans="2:17" s="45" customFormat="1">
      <c r="B103" s="48"/>
      <c r="C103" s="48"/>
      <c r="D103" s="48"/>
      <c r="E103" s="48"/>
      <c r="F103" s="48"/>
      <c r="G103" s="48"/>
      <c r="H103" s="48"/>
      <c r="I103" s="49"/>
      <c r="J103" s="48"/>
      <c r="K103" s="48"/>
      <c r="L103" s="48"/>
      <c r="M103" s="48"/>
      <c r="N103" s="48"/>
      <c r="O103" s="146"/>
      <c r="P103" s="145"/>
      <c r="Q103" s="48"/>
    </row>
    <row r="104" spans="2:17" s="45" customFormat="1">
      <c r="B104" s="48"/>
      <c r="C104" s="48"/>
      <c r="D104" s="48"/>
      <c r="E104" s="48"/>
      <c r="F104" s="48"/>
      <c r="G104" s="48"/>
      <c r="H104" s="48"/>
      <c r="I104" s="49"/>
      <c r="J104" s="48"/>
      <c r="K104" s="48"/>
      <c r="L104" s="48"/>
      <c r="M104" s="48"/>
      <c r="N104" s="48"/>
      <c r="O104" s="146"/>
      <c r="P104" s="145"/>
      <c r="Q104" s="48"/>
    </row>
    <row r="105" spans="2:17" s="45" customFormat="1">
      <c r="B105" s="48"/>
      <c r="C105" s="48"/>
      <c r="D105" s="48"/>
      <c r="E105" s="48"/>
      <c r="F105" s="48"/>
      <c r="G105" s="48"/>
      <c r="H105" s="48"/>
      <c r="I105" s="49"/>
      <c r="J105" s="48"/>
      <c r="K105" s="48"/>
      <c r="L105" s="48"/>
      <c r="M105" s="48"/>
      <c r="N105" s="48"/>
      <c r="O105" s="146"/>
      <c r="P105" s="145"/>
      <c r="Q105" s="48"/>
    </row>
    <row r="106" spans="2:17" s="45" customFormat="1">
      <c r="B106" s="48"/>
      <c r="C106" s="48"/>
      <c r="D106" s="48"/>
      <c r="E106" s="48"/>
      <c r="F106" s="48"/>
      <c r="G106" s="48"/>
      <c r="H106" s="48"/>
      <c r="I106" s="49"/>
      <c r="J106" s="48"/>
      <c r="K106" s="48"/>
      <c r="L106" s="48"/>
      <c r="M106" s="48"/>
      <c r="N106" s="48"/>
      <c r="O106" s="146"/>
      <c r="P106" s="145"/>
      <c r="Q106" s="48"/>
    </row>
    <row r="107" spans="2:17" s="45" customFormat="1">
      <c r="B107" s="48"/>
      <c r="C107" s="48"/>
      <c r="D107" s="48"/>
      <c r="E107" s="48"/>
      <c r="F107" s="48"/>
      <c r="G107" s="48"/>
      <c r="H107" s="48"/>
      <c r="I107" s="49"/>
      <c r="J107" s="48"/>
      <c r="K107" s="48"/>
      <c r="L107" s="48"/>
      <c r="M107" s="48"/>
      <c r="N107" s="48"/>
      <c r="O107" s="146"/>
      <c r="P107" s="145"/>
      <c r="Q107" s="48"/>
    </row>
    <row r="108" spans="2:17" s="45" customFormat="1">
      <c r="B108" s="48"/>
      <c r="C108" s="48"/>
      <c r="D108" s="48"/>
      <c r="E108" s="48"/>
      <c r="F108" s="48"/>
      <c r="G108" s="48"/>
      <c r="H108" s="48"/>
      <c r="I108" s="49"/>
      <c r="J108" s="48"/>
      <c r="K108" s="48"/>
      <c r="L108" s="48"/>
      <c r="M108" s="48"/>
      <c r="N108" s="48"/>
      <c r="O108" s="146"/>
      <c r="P108" s="145"/>
      <c r="Q108" s="48"/>
    </row>
    <row r="109" spans="2:17" s="45" customFormat="1">
      <c r="B109" s="48"/>
      <c r="C109" s="48"/>
      <c r="D109" s="48"/>
      <c r="E109" s="48"/>
      <c r="F109" s="48"/>
      <c r="G109" s="48"/>
      <c r="H109" s="48"/>
      <c r="I109" s="49"/>
      <c r="J109" s="48"/>
      <c r="K109" s="48"/>
      <c r="L109" s="48"/>
      <c r="M109" s="48"/>
      <c r="N109" s="48"/>
      <c r="O109" s="146"/>
      <c r="P109" s="145"/>
      <c r="Q109" s="48"/>
    </row>
    <row r="110" spans="2:17" s="45" customFormat="1">
      <c r="B110" s="48"/>
      <c r="C110" s="48"/>
      <c r="D110" s="48"/>
      <c r="E110" s="48"/>
      <c r="F110" s="48"/>
      <c r="G110" s="48"/>
      <c r="H110" s="48"/>
      <c r="I110" s="49"/>
      <c r="J110" s="48"/>
      <c r="K110" s="48"/>
      <c r="L110" s="48"/>
      <c r="M110" s="48"/>
      <c r="N110" s="48"/>
      <c r="O110" s="146"/>
      <c r="P110" s="145"/>
      <c r="Q110" s="48"/>
    </row>
    <row r="111" spans="2:17" s="45" customFormat="1">
      <c r="B111" s="48"/>
      <c r="C111" s="48"/>
      <c r="D111" s="48"/>
      <c r="E111" s="48"/>
      <c r="F111" s="48"/>
      <c r="G111" s="48"/>
      <c r="H111" s="48"/>
      <c r="I111" s="49"/>
      <c r="J111" s="48"/>
      <c r="K111" s="48"/>
      <c r="L111" s="48"/>
      <c r="M111" s="48"/>
      <c r="N111" s="48"/>
      <c r="O111" s="146"/>
      <c r="P111" s="145"/>
      <c r="Q111" s="48"/>
    </row>
    <row r="112" spans="2:17" s="45" customFormat="1">
      <c r="B112" s="48"/>
      <c r="C112" s="48"/>
      <c r="D112" s="48"/>
      <c r="E112" s="48"/>
      <c r="F112" s="48"/>
      <c r="G112" s="48"/>
      <c r="H112" s="48"/>
      <c r="I112" s="49"/>
      <c r="J112" s="48"/>
      <c r="K112" s="48"/>
      <c r="L112" s="48"/>
      <c r="M112" s="48"/>
      <c r="N112" s="48"/>
      <c r="O112" s="146"/>
      <c r="P112" s="145"/>
      <c r="Q112" s="48"/>
    </row>
    <row r="113" spans="2:18" s="45" customFormat="1">
      <c r="B113" s="48"/>
      <c r="C113" s="48"/>
      <c r="D113" s="48"/>
      <c r="E113" s="48"/>
      <c r="F113" s="48"/>
      <c r="G113" s="48"/>
      <c r="H113" s="48"/>
      <c r="I113" s="49"/>
      <c r="J113" s="48"/>
      <c r="K113" s="48"/>
      <c r="L113" s="48"/>
      <c r="M113" s="48"/>
      <c r="N113" s="48"/>
      <c r="O113" s="146"/>
      <c r="P113" s="145"/>
      <c r="Q113" s="48"/>
    </row>
    <row r="114" spans="2:18" s="45" customFormat="1">
      <c r="B114" s="48"/>
      <c r="C114" s="48"/>
      <c r="D114" s="48"/>
      <c r="E114" s="48"/>
      <c r="F114" s="48"/>
      <c r="G114" s="48"/>
      <c r="H114" s="48"/>
      <c r="I114" s="49"/>
      <c r="J114" s="48"/>
      <c r="K114" s="48"/>
      <c r="L114" s="48"/>
      <c r="M114" s="48"/>
      <c r="N114" s="48"/>
      <c r="O114" s="146"/>
      <c r="P114" s="145"/>
      <c r="Q114" s="48"/>
    </row>
    <row r="115" spans="2:18" s="45" customFormat="1">
      <c r="B115" s="48"/>
      <c r="C115" s="48"/>
      <c r="D115" s="48"/>
      <c r="E115" s="48"/>
      <c r="F115" s="48"/>
      <c r="G115" s="48"/>
      <c r="H115" s="48"/>
      <c r="I115" s="49"/>
      <c r="J115" s="48"/>
      <c r="K115" s="48"/>
      <c r="L115" s="48"/>
      <c r="M115" s="48"/>
      <c r="N115" s="48"/>
      <c r="O115" s="146"/>
      <c r="P115" s="145"/>
      <c r="Q115" s="48"/>
    </row>
    <row r="116" spans="2:18" s="45" customFormat="1">
      <c r="B116" s="48"/>
      <c r="C116" s="48"/>
      <c r="D116" s="48"/>
      <c r="E116" s="48"/>
      <c r="F116" s="48"/>
      <c r="G116" s="48"/>
      <c r="H116" s="48"/>
      <c r="I116" s="49"/>
      <c r="J116" s="48"/>
      <c r="K116" s="48"/>
      <c r="L116" s="48"/>
      <c r="M116" s="48"/>
      <c r="N116" s="48"/>
      <c r="O116" s="146"/>
      <c r="P116" s="145"/>
      <c r="Q116" s="48"/>
    </row>
    <row r="117" spans="2:18" s="45" customFormat="1">
      <c r="B117" s="48"/>
      <c r="C117" s="48"/>
      <c r="D117" s="48"/>
      <c r="E117" s="48"/>
      <c r="F117" s="48"/>
      <c r="G117" s="48"/>
      <c r="H117" s="48"/>
      <c r="I117" s="49"/>
      <c r="J117" s="48"/>
      <c r="K117" s="48"/>
      <c r="L117" s="48"/>
      <c r="M117" s="48"/>
      <c r="N117" s="48"/>
      <c r="O117" s="146"/>
      <c r="P117" s="145"/>
      <c r="Q117" s="48"/>
    </row>
    <row r="118" spans="2:18" s="45" customFormat="1">
      <c r="B118" s="48"/>
      <c r="C118" s="48"/>
      <c r="D118" s="48"/>
      <c r="E118" s="48"/>
      <c r="F118" s="48"/>
      <c r="G118" s="48"/>
      <c r="H118" s="48"/>
      <c r="I118" s="49"/>
      <c r="J118" s="48"/>
      <c r="K118" s="48"/>
      <c r="L118" s="48"/>
      <c r="M118" s="48"/>
      <c r="N118" s="48"/>
      <c r="O118" s="146"/>
      <c r="P118" s="145"/>
      <c r="Q118" s="48"/>
    </row>
    <row r="119" spans="2:18" s="45" customFormat="1">
      <c r="B119" s="48"/>
      <c r="C119" s="48"/>
      <c r="D119" s="48"/>
      <c r="E119" s="48"/>
      <c r="F119" s="48"/>
      <c r="G119" s="48"/>
      <c r="H119" s="48"/>
      <c r="I119" s="49"/>
      <c r="J119" s="48"/>
      <c r="K119" s="48"/>
      <c r="L119" s="48"/>
      <c r="M119" s="48"/>
      <c r="N119" s="48"/>
      <c r="O119" s="146"/>
      <c r="P119" s="145"/>
      <c r="Q119" s="48"/>
    </row>
    <row r="120" spans="2:18" s="45" customFormat="1">
      <c r="B120" s="48"/>
      <c r="C120" s="48"/>
      <c r="D120" s="48"/>
      <c r="E120" s="48"/>
      <c r="F120" s="48"/>
      <c r="G120" s="48"/>
      <c r="H120" s="48"/>
      <c r="I120" s="49"/>
      <c r="J120" s="48"/>
      <c r="K120" s="48"/>
      <c r="L120" s="48"/>
      <c r="M120" s="48"/>
      <c r="N120" s="48"/>
      <c r="O120" s="146"/>
      <c r="P120" s="145"/>
      <c r="Q120" s="48"/>
    </row>
    <row r="121" spans="2:18" s="45" customFormat="1">
      <c r="B121" s="48"/>
      <c r="C121" s="48"/>
      <c r="D121" s="48"/>
      <c r="E121" s="48"/>
      <c r="F121" s="48"/>
      <c r="G121" s="48"/>
      <c r="H121" s="48"/>
      <c r="I121" s="49"/>
      <c r="J121" s="48"/>
      <c r="K121" s="48"/>
      <c r="L121" s="48"/>
      <c r="M121" s="48"/>
      <c r="N121" s="48"/>
      <c r="O121" s="146"/>
      <c r="P121" s="145"/>
      <c r="Q121" s="48"/>
    </row>
    <row r="122" spans="2:18" s="45" customFormat="1">
      <c r="B122" s="48"/>
      <c r="C122" s="48"/>
      <c r="D122" s="48"/>
      <c r="E122" s="48"/>
      <c r="F122" s="48"/>
      <c r="G122" s="48"/>
      <c r="H122" s="48"/>
      <c r="I122" s="49"/>
      <c r="J122" s="48"/>
      <c r="K122" s="48"/>
      <c r="L122" s="48"/>
      <c r="M122" s="48"/>
      <c r="N122" s="48"/>
      <c r="O122" s="146"/>
      <c r="P122" s="145"/>
      <c r="Q122" s="48"/>
      <c r="R122" s="88"/>
    </row>
    <row r="123" spans="2:18" s="45" customFormat="1">
      <c r="B123" s="48"/>
      <c r="C123" s="48"/>
      <c r="D123" s="48"/>
      <c r="E123" s="48"/>
      <c r="F123" s="48"/>
      <c r="G123" s="48"/>
      <c r="H123" s="48"/>
      <c r="I123" s="49"/>
      <c r="J123" s="48"/>
      <c r="K123" s="48"/>
      <c r="L123" s="48"/>
      <c r="M123" s="48"/>
      <c r="N123" s="48"/>
      <c r="O123" s="146"/>
      <c r="P123" s="145"/>
      <c r="Q123" s="48"/>
      <c r="R123" s="88"/>
    </row>
  </sheetData>
  <mergeCells count="8">
    <mergeCell ref="A86:Q88"/>
    <mergeCell ref="A76:M76"/>
    <mergeCell ref="A80:Q80"/>
    <mergeCell ref="A1:Q1"/>
    <mergeCell ref="A2:Q2"/>
    <mergeCell ref="A74:Q74"/>
    <mergeCell ref="A72:O72"/>
    <mergeCell ref="A73:O73"/>
  </mergeCells>
  <phoneticPr fontId="9" type="noConversion"/>
  <pageMargins left="0.25" right="0.25" top="0.5" bottom="0.5" header="0.5" footer="0.5"/>
  <pageSetup scale="65"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T88"/>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F51" sqref="F51"/>
    </sheetView>
  </sheetViews>
  <sheetFormatPr defaultRowHeight="11.25"/>
  <cols>
    <col min="1" max="1" width="37.42578125" style="1" customWidth="1"/>
    <col min="2" max="2" width="8.85546875" style="7" bestFit="1" customWidth="1"/>
    <col min="3" max="3" width="8" style="7" hidden="1" customWidth="1"/>
    <col min="4" max="4" width="8.42578125" style="7" bestFit="1" customWidth="1"/>
    <col min="5" max="5" width="8.85546875" style="7" bestFit="1" customWidth="1"/>
    <col min="6" max="6" width="7.85546875" style="7" customWidth="1"/>
    <col min="7" max="7" width="9.28515625" style="7" bestFit="1" customWidth="1"/>
    <col min="8" max="8" width="8.1406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hidden="1" customWidth="1"/>
    <col min="20" max="20" width="29.7109375" style="1" customWidth="1"/>
    <col min="21" max="16384" width="9.140625" style="1"/>
  </cols>
  <sheetData>
    <row r="1" spans="1:20">
      <c r="A1" s="496" t="s">
        <v>173</v>
      </c>
      <c r="B1" s="496"/>
      <c r="C1" s="496"/>
      <c r="D1" s="496"/>
      <c r="E1" s="496"/>
      <c r="F1" s="496"/>
      <c r="G1" s="496"/>
      <c r="H1" s="496"/>
      <c r="I1" s="496"/>
      <c r="J1" s="496"/>
      <c r="K1" s="496"/>
      <c r="L1" s="496"/>
      <c r="M1" s="496"/>
      <c r="N1" s="496"/>
      <c r="O1" s="496"/>
      <c r="P1" s="496"/>
      <c r="Q1" s="496"/>
    </row>
    <row r="2" spans="1:20">
      <c r="A2" s="497" t="s">
        <v>100</v>
      </c>
      <c r="B2" s="497"/>
      <c r="C2" s="497"/>
      <c r="D2" s="497"/>
      <c r="E2" s="497"/>
      <c r="F2" s="497"/>
      <c r="G2" s="497"/>
      <c r="H2" s="497"/>
      <c r="I2" s="497"/>
      <c r="J2" s="497"/>
      <c r="K2" s="497"/>
      <c r="L2" s="497"/>
      <c r="M2" s="497"/>
      <c r="N2" s="497"/>
      <c r="O2" s="497"/>
      <c r="P2" s="497"/>
      <c r="Q2" s="497"/>
    </row>
    <row r="3" spans="1:20" s="3"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3" t="s">
        <v>275</v>
      </c>
      <c r="S3" s="3" t="s">
        <v>276</v>
      </c>
    </row>
    <row r="4" spans="1:20" s="6" customFormat="1" ht="9">
      <c r="A4" s="127" t="s">
        <v>356</v>
      </c>
      <c r="B4" s="128" t="s">
        <v>384</v>
      </c>
      <c r="C4" s="128"/>
      <c r="D4" s="130"/>
      <c r="E4" s="130"/>
      <c r="F4" s="130"/>
      <c r="G4" s="128"/>
      <c r="H4" s="128"/>
      <c r="I4" s="132"/>
      <c r="J4" s="132"/>
      <c r="K4" s="132"/>
      <c r="L4" s="132"/>
      <c r="M4" s="128"/>
      <c r="N4" s="130"/>
      <c r="O4" s="130"/>
      <c r="P4" s="130"/>
      <c r="Q4" s="188"/>
    </row>
    <row r="5" spans="1:20" s="6" customFormat="1" ht="9">
      <c r="A5" s="110" t="s">
        <v>357</v>
      </c>
      <c r="B5" s="37" t="s">
        <v>384</v>
      </c>
      <c r="C5" s="37"/>
      <c r="D5" s="44"/>
      <c r="E5" s="44"/>
      <c r="F5" s="44"/>
      <c r="G5" s="37"/>
      <c r="H5" s="37"/>
      <c r="I5" s="73"/>
      <c r="J5" s="73"/>
      <c r="K5" s="73"/>
      <c r="L5" s="73"/>
      <c r="M5" s="37"/>
      <c r="N5" s="44"/>
      <c r="O5" s="44"/>
      <c r="P5" s="44"/>
      <c r="Q5" s="75"/>
    </row>
    <row r="6" spans="1:20" s="6" customFormat="1" ht="9">
      <c r="A6" s="110" t="s">
        <v>358</v>
      </c>
      <c r="B6" s="37"/>
      <c r="C6" s="37"/>
      <c r="D6" s="44"/>
      <c r="E6" s="44"/>
      <c r="F6" s="44"/>
      <c r="G6" s="37"/>
      <c r="H6" s="37"/>
      <c r="I6" s="73"/>
      <c r="J6" s="73"/>
      <c r="K6" s="73"/>
      <c r="L6" s="73"/>
      <c r="M6" s="37"/>
      <c r="N6" s="44"/>
      <c r="O6" s="44"/>
      <c r="P6" s="44"/>
      <c r="Q6" s="75"/>
    </row>
    <row r="7" spans="1:20" s="6" customFormat="1" ht="9">
      <c r="A7" s="111" t="s">
        <v>359</v>
      </c>
      <c r="B7" s="37">
        <v>40</v>
      </c>
      <c r="C7" s="37"/>
      <c r="D7" s="44">
        <v>0</v>
      </c>
      <c r="E7" s="44">
        <v>0</v>
      </c>
      <c r="F7" s="44">
        <v>0</v>
      </c>
      <c r="G7" s="37">
        <v>1</v>
      </c>
      <c r="H7" s="37">
        <f>B7*G7</f>
        <v>40</v>
      </c>
      <c r="I7" s="72">
        <v>0</v>
      </c>
      <c r="J7" s="73">
        <f>H7*I7</f>
        <v>0</v>
      </c>
      <c r="K7" s="73">
        <f>J7*0.1</f>
        <v>0</v>
      </c>
      <c r="L7" s="72">
        <f>J7*0.05</f>
        <v>0</v>
      </c>
      <c r="M7" s="37">
        <f>C7*G7*I7</f>
        <v>0</v>
      </c>
      <c r="N7" s="44">
        <f>(J7*'Base Data'!$C$5)+(K7*'Base Data'!$C$6)+(L7*'Base Data'!$C$7)</f>
        <v>0</v>
      </c>
      <c r="O7" s="44">
        <f>(D7+E7+F7)*G7*I7</f>
        <v>0</v>
      </c>
      <c r="P7" s="73">
        <v>0</v>
      </c>
      <c r="Q7" s="75" t="s">
        <v>338</v>
      </c>
      <c r="R7" s="115"/>
    </row>
    <row r="8" spans="1:20" s="6" customFormat="1" ht="9">
      <c r="A8" s="110" t="s">
        <v>360</v>
      </c>
      <c r="B8" s="37"/>
      <c r="C8" s="37"/>
      <c r="D8" s="44"/>
      <c r="E8" s="44"/>
      <c r="F8" s="44"/>
      <c r="G8" s="37"/>
      <c r="H8" s="37"/>
      <c r="I8" s="73"/>
      <c r="J8" s="73"/>
      <c r="K8" s="73"/>
      <c r="L8" s="73"/>
      <c r="M8" s="37"/>
      <c r="N8" s="44"/>
      <c r="O8" s="44"/>
      <c r="P8" s="73"/>
      <c r="Q8" s="75"/>
      <c r="R8" s="115"/>
    </row>
    <row r="9" spans="1:20" s="6" customFormat="1" ht="9">
      <c r="A9" s="111" t="s">
        <v>374</v>
      </c>
      <c r="B9" s="37"/>
      <c r="C9" s="37"/>
      <c r="D9" s="76"/>
      <c r="E9" s="44"/>
      <c r="F9" s="44"/>
      <c r="G9" s="37"/>
      <c r="H9" s="37"/>
      <c r="I9" s="72"/>
      <c r="J9" s="73"/>
      <c r="K9" s="73"/>
      <c r="L9" s="73"/>
      <c r="M9" s="74"/>
      <c r="N9" s="44"/>
      <c r="O9" s="44"/>
      <c r="P9" s="73"/>
      <c r="Q9" s="75"/>
      <c r="R9" s="115"/>
    </row>
    <row r="10" spans="1:20" s="6" customFormat="1" ht="9">
      <c r="A10" s="110" t="s">
        <v>249</v>
      </c>
      <c r="B10" s="37">
        <v>20</v>
      </c>
      <c r="C10" s="37"/>
      <c r="D10" s="44">
        <v>854</v>
      </c>
      <c r="E10" s="44">
        <v>0</v>
      </c>
      <c r="F10" s="44">
        <v>0</v>
      </c>
      <c r="G10" s="37">
        <v>1</v>
      </c>
      <c r="H10" s="37">
        <f>B10*G10</f>
        <v>20</v>
      </c>
      <c r="I10" s="72">
        <f>ROUND('Testing Costs'!$C$22*(SUM('Base Data'!$H$28:$H$30,'Base Data'!$H$33:$H$35,'Base Data'!$H$38:$H$40)/2),0)</f>
        <v>33</v>
      </c>
      <c r="J10" s="73">
        <f>H10*I10</f>
        <v>660</v>
      </c>
      <c r="K10" s="73">
        <f t="shared" ref="K10:K22" si="0">J10*0.1</f>
        <v>66</v>
      </c>
      <c r="L10" s="73">
        <f>J10*0.05</f>
        <v>33</v>
      </c>
      <c r="M10" s="74">
        <f>C10*G10*I10</f>
        <v>0</v>
      </c>
      <c r="N10" s="44">
        <f>(J10*'Base Data'!$C$5)+(K10*'Base Data'!$C$6)+(L10*'Base Data'!$C$7)</f>
        <v>71793.149999999994</v>
      </c>
      <c r="O10" s="44">
        <f>(D10+E10+F10)*G10*I10</f>
        <v>28182</v>
      </c>
      <c r="P10" s="73">
        <v>0</v>
      </c>
      <c r="Q10" s="75" t="s">
        <v>391</v>
      </c>
      <c r="R10" s="115"/>
    </row>
    <row r="11" spans="1:20" s="6" customFormat="1" ht="9">
      <c r="A11" s="110" t="s">
        <v>251</v>
      </c>
      <c r="B11" s="37">
        <v>20</v>
      </c>
      <c r="C11" s="37"/>
      <c r="D11" s="44">
        <v>18292</v>
      </c>
      <c r="E11" s="44">
        <v>0</v>
      </c>
      <c r="F11" s="44">
        <v>0</v>
      </c>
      <c r="G11" s="37">
        <v>1</v>
      </c>
      <c r="H11" s="37">
        <f>B11*G11</f>
        <v>20</v>
      </c>
      <c r="I11" s="72">
        <f>ROUNDDOWN('Testing Costs'!$C$23*(SUM('Base Data'!$H$28:$H$30,'Base Data'!$H$33:$H$35,'Base Data'!$H$38:$H$40)/2),0)</f>
        <v>241</v>
      </c>
      <c r="J11" s="73">
        <f>H11*I11</f>
        <v>4820</v>
      </c>
      <c r="K11" s="73">
        <f t="shared" si="0"/>
        <v>482</v>
      </c>
      <c r="L11" s="73">
        <f>J11*0.05</f>
        <v>241</v>
      </c>
      <c r="M11" s="74">
        <f>C11*G11*I11</f>
        <v>0</v>
      </c>
      <c r="N11" s="44">
        <f>(J11*'Base Data'!$C$5)+(K11*'Base Data'!$C$6)+(L11*'Base Data'!$C$7)</f>
        <v>524307.55000000005</v>
      </c>
      <c r="O11" s="44">
        <f>(D11+E11+F11)*G11*I11</f>
        <v>4408372</v>
      </c>
      <c r="P11" s="73">
        <v>0</v>
      </c>
      <c r="Q11" s="75" t="s">
        <v>391</v>
      </c>
      <c r="R11" s="115"/>
    </row>
    <row r="12" spans="1:20" s="6" customFormat="1" ht="9">
      <c r="A12" s="111" t="s">
        <v>311</v>
      </c>
      <c r="B12" s="37">
        <v>12</v>
      </c>
      <c r="C12" s="37"/>
      <c r="D12" s="44">
        <v>0</v>
      </c>
      <c r="E12" s="44">
        <f>'Testing Costs'!$B$13</f>
        <v>5000</v>
      </c>
      <c r="F12" s="44">
        <v>0</v>
      </c>
      <c r="G12" s="37">
        <v>1</v>
      </c>
      <c r="H12" s="37">
        <f t="shared" ref="H12:H22" si="1">B12*G12</f>
        <v>12</v>
      </c>
      <c r="I12" s="72">
        <f>ROUNDDOWN(SUM('Base Data'!$D$38:$D$40)/2,0)</f>
        <v>39</v>
      </c>
      <c r="J12" s="73">
        <f t="shared" ref="J12:J22" si="2">H12*I12</f>
        <v>468</v>
      </c>
      <c r="K12" s="73">
        <f t="shared" si="0"/>
        <v>46.800000000000004</v>
      </c>
      <c r="L12" s="73">
        <f t="shared" ref="L12:L22" si="3">J12*0.05</f>
        <v>23.400000000000002</v>
      </c>
      <c r="M12" s="74"/>
      <c r="N12" s="44">
        <f>(J12*'Base Data'!$C$5)+(K12*'Base Data'!$C$6)+(L12*'Base Data'!$C$7)</f>
        <v>50907.869999999995</v>
      </c>
      <c r="O12" s="44">
        <f t="shared" ref="O12:O22" si="4">(D12+E12+F12)*G12*I12</f>
        <v>195000</v>
      </c>
      <c r="P12" s="73">
        <v>0</v>
      </c>
      <c r="Q12" s="75" t="s">
        <v>241</v>
      </c>
      <c r="R12" s="115"/>
    </row>
    <row r="13" spans="1:20" s="6" customFormat="1" ht="9">
      <c r="A13" s="111" t="s">
        <v>312</v>
      </c>
      <c r="B13" s="37">
        <v>12</v>
      </c>
      <c r="C13" s="37"/>
      <c r="D13" s="44">
        <v>0</v>
      </c>
      <c r="E13" s="44">
        <f>'Testing Costs'!$B$17</f>
        <v>8000</v>
      </c>
      <c r="F13" s="44">
        <v>0</v>
      </c>
      <c r="G13" s="37">
        <v>1</v>
      </c>
      <c r="H13" s="37">
        <f t="shared" si="1"/>
        <v>12</v>
      </c>
      <c r="I13" s="72">
        <f>ROUNDDOWN(SUM('Base Data'!$D$38:$D$40)/2,0)</f>
        <v>39</v>
      </c>
      <c r="J13" s="73">
        <f t="shared" si="2"/>
        <v>468</v>
      </c>
      <c r="K13" s="73">
        <f t="shared" si="0"/>
        <v>46.800000000000004</v>
      </c>
      <c r="L13" s="73">
        <f t="shared" si="3"/>
        <v>23.400000000000002</v>
      </c>
      <c r="M13" s="74"/>
      <c r="N13" s="44">
        <f>(J13*'Base Data'!$C$5)+(K13*'Base Data'!$C$6)+(L13*'Base Data'!$C$7)</f>
        <v>50907.869999999995</v>
      </c>
      <c r="O13" s="44">
        <f t="shared" si="4"/>
        <v>312000</v>
      </c>
      <c r="P13" s="73">
        <v>0</v>
      </c>
      <c r="Q13" s="75" t="s">
        <v>241</v>
      </c>
      <c r="R13" s="115"/>
    </row>
    <row r="14" spans="1:20" s="6" customFormat="1" ht="9">
      <c r="A14" s="111" t="s">
        <v>313</v>
      </c>
      <c r="B14" s="37">
        <v>12</v>
      </c>
      <c r="C14" s="37"/>
      <c r="D14" s="44">
        <v>0</v>
      </c>
      <c r="E14" s="44">
        <f>'Testing Costs'!$B$15</f>
        <v>8000</v>
      </c>
      <c r="F14" s="44">
        <v>0</v>
      </c>
      <c r="G14" s="37">
        <v>1</v>
      </c>
      <c r="H14" s="37">
        <f t="shared" si="1"/>
        <v>12</v>
      </c>
      <c r="I14" s="72">
        <f>ROUNDDOWN(SUM('Base Data'!$D$38:$D$40)/2,0)</f>
        <v>39</v>
      </c>
      <c r="J14" s="73">
        <f t="shared" si="2"/>
        <v>468</v>
      </c>
      <c r="K14" s="73">
        <f t="shared" si="0"/>
        <v>46.800000000000004</v>
      </c>
      <c r="L14" s="73">
        <f t="shared" si="3"/>
        <v>23.400000000000002</v>
      </c>
      <c r="M14" s="74"/>
      <c r="N14" s="44">
        <f>(J14*'Base Data'!$C$5)+(K14*'Base Data'!$C$6)+(L14*'Base Data'!$C$7)</f>
        <v>50907.869999999995</v>
      </c>
      <c r="O14" s="44">
        <f t="shared" si="4"/>
        <v>312000</v>
      </c>
      <c r="P14" s="73">
        <v>0</v>
      </c>
      <c r="Q14" s="75" t="s">
        <v>241</v>
      </c>
      <c r="R14" s="115"/>
    </row>
    <row r="15" spans="1:20" s="6" customFormat="1" ht="9">
      <c r="A15" s="111" t="s">
        <v>185</v>
      </c>
      <c r="B15" s="37">
        <v>12</v>
      </c>
      <c r="C15" s="37"/>
      <c r="D15" s="44">
        <v>0</v>
      </c>
      <c r="E15" s="44">
        <f>'Testing Costs'!$B$14</f>
        <v>7000</v>
      </c>
      <c r="F15" s="44">
        <v>0</v>
      </c>
      <c r="G15" s="37">
        <v>1</v>
      </c>
      <c r="H15" s="37">
        <f t="shared" si="1"/>
        <v>12</v>
      </c>
      <c r="I15" s="72">
        <f>ROUNDDOWN(SUM('Base Data'!$D$38:$D$40)/2,0)</f>
        <v>39</v>
      </c>
      <c r="J15" s="73">
        <f t="shared" si="2"/>
        <v>468</v>
      </c>
      <c r="K15" s="73">
        <f t="shared" si="0"/>
        <v>46.800000000000004</v>
      </c>
      <c r="L15" s="73">
        <f t="shared" si="3"/>
        <v>23.400000000000002</v>
      </c>
      <c r="M15" s="74"/>
      <c r="N15" s="44">
        <f>(J15*'Base Data'!$C$5)+(K15*'Base Data'!$C$6)+(L15*'Base Data'!$C$7)</f>
        <v>50907.869999999995</v>
      </c>
      <c r="O15" s="44">
        <f t="shared" si="4"/>
        <v>273000</v>
      </c>
      <c r="P15" s="73">
        <v>0</v>
      </c>
      <c r="Q15" s="75" t="s">
        <v>241</v>
      </c>
      <c r="R15" s="115"/>
    </row>
    <row r="16" spans="1:20" s="6" customFormat="1" ht="9" customHeight="1">
      <c r="A16" s="111" t="s">
        <v>137</v>
      </c>
      <c r="B16" s="37">
        <v>12</v>
      </c>
      <c r="C16" s="37"/>
      <c r="D16" s="44">
        <v>0</v>
      </c>
      <c r="E16" s="44">
        <f>'Testing Costs'!$B$13</f>
        <v>5000</v>
      </c>
      <c r="F16" s="44">
        <v>0</v>
      </c>
      <c r="G16" s="37">
        <v>1</v>
      </c>
      <c r="H16" s="37">
        <f t="shared" si="1"/>
        <v>12</v>
      </c>
      <c r="I16" s="72">
        <f>ROUND(SUM('Base Data'!$D$38:$D$40)/2,0)</f>
        <v>39</v>
      </c>
      <c r="J16" s="73">
        <f t="shared" si="2"/>
        <v>468</v>
      </c>
      <c r="K16" s="73">
        <f t="shared" si="0"/>
        <v>46.800000000000004</v>
      </c>
      <c r="L16" s="73">
        <f t="shared" si="3"/>
        <v>23.400000000000002</v>
      </c>
      <c r="M16" s="74"/>
      <c r="N16" s="44">
        <f>(J16*'Base Data'!$C$5)+(K16*'Base Data'!$C$6)+(L16*'Base Data'!$C$7)</f>
        <v>50907.869999999995</v>
      </c>
      <c r="O16" s="44">
        <f t="shared" si="4"/>
        <v>195000</v>
      </c>
      <c r="P16" s="73">
        <v>0</v>
      </c>
      <c r="Q16" s="75" t="s">
        <v>241</v>
      </c>
      <c r="R16" s="115"/>
      <c r="T16" s="246"/>
    </row>
    <row r="17" spans="1:18" s="6" customFormat="1" ht="9">
      <c r="A17" s="111" t="s">
        <v>138</v>
      </c>
      <c r="B17" s="37">
        <v>12</v>
      </c>
      <c r="C17" s="37"/>
      <c r="D17" s="44">
        <v>0</v>
      </c>
      <c r="E17" s="44">
        <f>'Testing Costs'!$B$17</f>
        <v>8000</v>
      </c>
      <c r="F17" s="44">
        <v>0</v>
      </c>
      <c r="G17" s="37">
        <v>1</v>
      </c>
      <c r="H17" s="37">
        <f t="shared" si="1"/>
        <v>12</v>
      </c>
      <c r="I17" s="72">
        <f>ROUND(SUM('Base Data'!$D$38:$D$40)/2,0)</f>
        <v>39</v>
      </c>
      <c r="J17" s="73">
        <f t="shared" si="2"/>
        <v>468</v>
      </c>
      <c r="K17" s="73">
        <f t="shared" si="0"/>
        <v>46.800000000000004</v>
      </c>
      <c r="L17" s="73">
        <f t="shared" si="3"/>
        <v>23.400000000000002</v>
      </c>
      <c r="M17" s="74"/>
      <c r="N17" s="44">
        <f>(J17*'Base Data'!$C$5)+(K17*'Base Data'!$C$6)+(L17*'Base Data'!$C$7)</f>
        <v>50907.869999999995</v>
      </c>
      <c r="O17" s="44">
        <f t="shared" si="4"/>
        <v>312000</v>
      </c>
      <c r="P17" s="73">
        <v>0</v>
      </c>
      <c r="Q17" s="75" t="s">
        <v>241</v>
      </c>
      <c r="R17" s="115"/>
    </row>
    <row r="18" spans="1:18" s="6" customFormat="1" ht="9">
      <c r="A18" s="111" t="s">
        <v>139</v>
      </c>
      <c r="B18" s="37">
        <v>12</v>
      </c>
      <c r="C18" s="37"/>
      <c r="D18" s="44">
        <v>0</v>
      </c>
      <c r="E18" s="44">
        <f>'Testing Costs'!$B$15</f>
        <v>8000</v>
      </c>
      <c r="F18" s="44">
        <v>0</v>
      </c>
      <c r="G18" s="37">
        <v>1</v>
      </c>
      <c r="H18" s="37">
        <f t="shared" si="1"/>
        <v>12</v>
      </c>
      <c r="I18" s="72">
        <f>ROUND(SUM('Base Data'!$D$38:$D$40)/2,0)</f>
        <v>39</v>
      </c>
      <c r="J18" s="73">
        <f t="shared" si="2"/>
        <v>468</v>
      </c>
      <c r="K18" s="73">
        <f t="shared" si="0"/>
        <v>46.800000000000004</v>
      </c>
      <c r="L18" s="73">
        <f t="shared" si="3"/>
        <v>23.400000000000002</v>
      </c>
      <c r="M18" s="74"/>
      <c r="N18" s="44">
        <f>(J18*'Base Data'!$C$5)+(K18*'Base Data'!$C$6)+(L18*'Base Data'!$C$7)</f>
        <v>50907.869999999995</v>
      </c>
      <c r="O18" s="44">
        <f t="shared" si="4"/>
        <v>312000</v>
      </c>
      <c r="P18" s="73">
        <v>0</v>
      </c>
      <c r="Q18" s="75" t="s">
        <v>241</v>
      </c>
      <c r="R18" s="115"/>
    </row>
    <row r="19" spans="1:18" s="6" customFormat="1" ht="9">
      <c r="A19" s="111" t="s">
        <v>140</v>
      </c>
      <c r="B19" s="37">
        <v>12</v>
      </c>
      <c r="C19" s="37"/>
      <c r="D19" s="44">
        <v>0</v>
      </c>
      <c r="E19" s="44">
        <f>'Testing Costs'!$B$14</f>
        <v>7000</v>
      </c>
      <c r="F19" s="44">
        <v>0</v>
      </c>
      <c r="G19" s="37">
        <v>1</v>
      </c>
      <c r="H19" s="37">
        <f t="shared" si="1"/>
        <v>12</v>
      </c>
      <c r="I19" s="72">
        <f>ROUND(SUM('Base Data'!$D$38:$D$40)/2,0)</f>
        <v>39</v>
      </c>
      <c r="J19" s="73">
        <f t="shared" si="2"/>
        <v>468</v>
      </c>
      <c r="K19" s="73">
        <f t="shared" si="0"/>
        <v>46.800000000000004</v>
      </c>
      <c r="L19" s="73">
        <f t="shared" si="3"/>
        <v>23.400000000000002</v>
      </c>
      <c r="M19" s="74"/>
      <c r="N19" s="44">
        <f>(J19*'Base Data'!$C$5)+(K19*'Base Data'!$C$6)+(L19*'Base Data'!$C$7)</f>
        <v>50907.869999999995</v>
      </c>
      <c r="O19" s="44">
        <f t="shared" si="4"/>
        <v>273000</v>
      </c>
      <c r="P19" s="73">
        <v>0</v>
      </c>
      <c r="Q19" s="75" t="s">
        <v>241</v>
      </c>
      <c r="R19" s="115"/>
    </row>
    <row r="20" spans="1:18" s="6" customFormat="1" ht="18">
      <c r="A20" s="259" t="s">
        <v>524</v>
      </c>
      <c r="B20" s="37">
        <v>24</v>
      </c>
      <c r="C20" s="258"/>
      <c r="D20" s="44">
        <v>0</v>
      </c>
      <c r="E20" s="44">
        <f>$E$13+$E$14</f>
        <v>16000</v>
      </c>
      <c r="F20" s="44">
        <v>0</v>
      </c>
      <c r="G20" s="37">
        <v>1</v>
      </c>
      <c r="H20" s="37">
        <f t="shared" si="1"/>
        <v>24</v>
      </c>
      <c r="I20" s="72">
        <v>0</v>
      </c>
      <c r="J20" s="73">
        <f t="shared" si="2"/>
        <v>0</v>
      </c>
      <c r="K20" s="73">
        <f t="shared" si="0"/>
        <v>0</v>
      </c>
      <c r="L20" s="73">
        <f t="shared" si="3"/>
        <v>0</v>
      </c>
      <c r="M20" s="74"/>
      <c r="N20" s="44">
        <f>(J20*'Base Data'!$C$5)+(K20*'Base Data'!$C$6)+(L20*'Base Data'!$C$7)</f>
        <v>0</v>
      </c>
      <c r="O20" s="44">
        <f t="shared" si="4"/>
        <v>0</v>
      </c>
      <c r="P20" s="73">
        <v>0</v>
      </c>
      <c r="Q20" s="75" t="s">
        <v>91</v>
      </c>
    </row>
    <row r="21" spans="1:18" s="6" customFormat="1" ht="9" customHeight="1">
      <c r="A21" s="111" t="s">
        <v>525</v>
      </c>
      <c r="B21" s="37">
        <v>5</v>
      </c>
      <c r="C21" s="37"/>
      <c r="D21" s="44">
        <v>0</v>
      </c>
      <c r="E21" s="44">
        <v>400</v>
      </c>
      <c r="F21" s="44">
        <v>0</v>
      </c>
      <c r="G21" s="37">
        <v>1</v>
      </c>
      <c r="H21" s="37">
        <f t="shared" si="1"/>
        <v>5</v>
      </c>
      <c r="I21" s="72">
        <v>0</v>
      </c>
      <c r="J21" s="73">
        <f t="shared" si="2"/>
        <v>0</v>
      </c>
      <c r="K21" s="73">
        <f t="shared" si="0"/>
        <v>0</v>
      </c>
      <c r="L21" s="73">
        <f t="shared" si="3"/>
        <v>0</v>
      </c>
      <c r="M21" s="74"/>
      <c r="N21" s="44">
        <f>(J21*'Base Data'!$C$5)+(K21*'Base Data'!$C$6)+(L21*'Base Data'!$C$7)</f>
        <v>0</v>
      </c>
      <c r="O21" s="44">
        <f t="shared" si="4"/>
        <v>0</v>
      </c>
      <c r="P21" s="73">
        <v>0</v>
      </c>
      <c r="Q21" s="75" t="s">
        <v>89</v>
      </c>
      <c r="R21" s="115"/>
    </row>
    <row r="22" spans="1:18" s="6" customFormat="1" ht="9" customHeight="1">
      <c r="A22" s="111" t="s">
        <v>526</v>
      </c>
      <c r="B22" s="37">
        <v>5</v>
      </c>
      <c r="C22" s="37"/>
      <c r="D22" s="44">
        <v>0</v>
      </c>
      <c r="E22" s="44">
        <v>400</v>
      </c>
      <c r="F22" s="44">
        <v>0</v>
      </c>
      <c r="G22" s="37">
        <v>12</v>
      </c>
      <c r="H22" s="37">
        <f t="shared" si="1"/>
        <v>60</v>
      </c>
      <c r="I22" s="72">
        <v>0</v>
      </c>
      <c r="J22" s="73">
        <f t="shared" si="2"/>
        <v>0</v>
      </c>
      <c r="K22" s="73">
        <f t="shared" si="0"/>
        <v>0</v>
      </c>
      <c r="L22" s="73">
        <f t="shared" si="3"/>
        <v>0</v>
      </c>
      <c r="M22" s="74"/>
      <c r="N22" s="44">
        <f>(J22*'Base Data'!$C$5)+(K22*'Base Data'!$C$6)+(L22*'Base Data'!$C$7)</f>
        <v>0</v>
      </c>
      <c r="O22" s="44">
        <f t="shared" si="4"/>
        <v>0</v>
      </c>
      <c r="P22" s="73">
        <v>0</v>
      </c>
      <c r="Q22" s="75" t="s">
        <v>89</v>
      </c>
      <c r="R22" s="115"/>
    </row>
    <row r="23" spans="1:18" s="6" customFormat="1" ht="9">
      <c r="A23" s="111" t="s">
        <v>527</v>
      </c>
      <c r="B23" s="37"/>
      <c r="C23" s="37"/>
      <c r="D23" s="44"/>
      <c r="E23" s="44"/>
      <c r="F23" s="44"/>
      <c r="G23" s="37"/>
      <c r="H23" s="37"/>
      <c r="I23" s="73"/>
      <c r="J23" s="73"/>
      <c r="K23" s="73"/>
      <c r="L23" s="73"/>
      <c r="M23" s="74"/>
      <c r="N23" s="44"/>
      <c r="O23" s="44"/>
      <c r="P23" s="73"/>
      <c r="Q23" s="75" t="s">
        <v>651</v>
      </c>
      <c r="R23" s="115"/>
    </row>
    <row r="24" spans="1:18" s="6" customFormat="1" ht="9">
      <c r="A24" s="111" t="s">
        <v>383</v>
      </c>
      <c r="B24" s="37">
        <v>40</v>
      </c>
      <c r="C24" s="37"/>
      <c r="D24" s="44">
        <v>0</v>
      </c>
      <c r="E24" s="44"/>
      <c r="F24" s="44">
        <v>0</v>
      </c>
      <c r="G24" s="37">
        <v>1</v>
      </c>
      <c r="H24" s="37">
        <f>B24*G24</f>
        <v>40</v>
      </c>
      <c r="I24" s="72">
        <f>ROUNDDOWN(SUM('Base Data'!$H$38:$H$40)/2,0)</f>
        <v>4</v>
      </c>
      <c r="J24" s="73">
        <f>H24*I24</f>
        <v>160</v>
      </c>
      <c r="K24" s="73">
        <f>J24*0.1</f>
        <v>16</v>
      </c>
      <c r="L24" s="73">
        <f>J24*0.05</f>
        <v>8</v>
      </c>
      <c r="M24" s="74"/>
      <c r="N24" s="44">
        <f>(J24*'Base Data'!$C$5)+(K24*'Base Data'!$C$6)+(L24*'Base Data'!$C$7)</f>
        <v>17404.399999999998</v>
      </c>
      <c r="O24" s="44">
        <f>(D24+E24+F24)*G24*I24</f>
        <v>0</v>
      </c>
      <c r="P24" s="73">
        <v>0</v>
      </c>
      <c r="Q24" s="75" t="s">
        <v>339</v>
      </c>
      <c r="R24" s="115"/>
    </row>
    <row r="25" spans="1:18" s="6" customFormat="1" ht="9">
      <c r="A25" s="110" t="s">
        <v>361</v>
      </c>
      <c r="B25" s="37"/>
      <c r="C25" s="37"/>
      <c r="D25" s="44"/>
      <c r="E25" s="44"/>
      <c r="F25" s="44"/>
      <c r="G25" s="37"/>
      <c r="H25" s="37"/>
      <c r="I25" s="73"/>
      <c r="J25" s="73"/>
      <c r="K25" s="73"/>
      <c r="L25" s="73"/>
      <c r="M25" s="74"/>
      <c r="N25" s="44"/>
      <c r="O25" s="44"/>
      <c r="P25" s="73"/>
      <c r="Q25" s="75"/>
      <c r="R25" s="115"/>
    </row>
    <row r="26" spans="1:18" s="6" customFormat="1" ht="9">
      <c r="A26" s="110" t="s">
        <v>362</v>
      </c>
      <c r="B26" s="37">
        <v>10</v>
      </c>
      <c r="C26" s="37"/>
      <c r="D26" s="44">
        <v>0</v>
      </c>
      <c r="E26" s="44">
        <v>0</v>
      </c>
      <c r="F26" s="44">
        <v>43100</v>
      </c>
      <c r="G26" s="37">
        <v>1</v>
      </c>
      <c r="H26" s="37">
        <f>B26*G26</f>
        <v>10</v>
      </c>
      <c r="I26" s="72">
        <f>ROUND(Monitors!$C$12/2,0)</f>
        <v>0</v>
      </c>
      <c r="J26" s="73">
        <f>H26*I26</f>
        <v>0</v>
      </c>
      <c r="K26" s="73">
        <f>J26*0.1</f>
        <v>0</v>
      </c>
      <c r="L26" s="73">
        <f>J26*0.05</f>
        <v>0</v>
      </c>
      <c r="M26" s="74"/>
      <c r="N26" s="44">
        <f>(J26*'Base Data'!$C$5)+(K26*'Base Data'!$C$6)+(L26*'Base Data'!$C$7)</f>
        <v>0</v>
      </c>
      <c r="O26" s="44">
        <f>(D26+E26+F26)*G26*I26</f>
        <v>0</v>
      </c>
      <c r="P26" s="73">
        <v>0</v>
      </c>
      <c r="Q26" s="75" t="s">
        <v>90</v>
      </c>
      <c r="R26" s="115"/>
    </row>
    <row r="27" spans="1:18" s="6" customFormat="1" ht="9">
      <c r="A27" s="110" t="s">
        <v>365</v>
      </c>
      <c r="B27" s="37">
        <v>10</v>
      </c>
      <c r="C27" s="37"/>
      <c r="D27" s="44">
        <v>0</v>
      </c>
      <c r="E27" s="44">
        <v>0</v>
      </c>
      <c r="F27" s="44">
        <v>14700</v>
      </c>
      <c r="G27" s="37">
        <v>1</v>
      </c>
      <c r="H27" s="37">
        <f>B27*G27</f>
        <v>10</v>
      </c>
      <c r="I27" s="72">
        <f>ROUND(Monitors!$C$12/2,0)</f>
        <v>0</v>
      </c>
      <c r="J27" s="73">
        <f>H27*I27</f>
        <v>0</v>
      </c>
      <c r="K27" s="73">
        <f>J27*0.1</f>
        <v>0</v>
      </c>
      <c r="L27" s="73">
        <f>J27*0.05</f>
        <v>0</v>
      </c>
      <c r="M27" s="74"/>
      <c r="N27" s="44">
        <f>(J27*'Base Data'!$C$5)+(K27*'Base Data'!$C$6)+(L27*'Base Data'!$C$7)</f>
        <v>0</v>
      </c>
      <c r="O27" s="44">
        <f>(D27+E27+F27)*G27*I27</f>
        <v>0</v>
      </c>
      <c r="P27" s="73">
        <v>0</v>
      </c>
      <c r="Q27" s="75" t="s">
        <v>90</v>
      </c>
      <c r="R27" s="115"/>
    </row>
    <row r="28" spans="1:18" s="6" customFormat="1" ht="9">
      <c r="A28" s="110" t="s">
        <v>310</v>
      </c>
      <c r="B28" s="37"/>
      <c r="C28" s="37"/>
      <c r="D28" s="44"/>
      <c r="E28" s="44"/>
      <c r="F28" s="44"/>
      <c r="G28" s="37"/>
      <c r="H28" s="37"/>
      <c r="I28" s="73"/>
      <c r="J28" s="73"/>
      <c r="K28" s="73"/>
      <c r="L28" s="73"/>
      <c r="M28" s="74"/>
      <c r="N28" s="44"/>
      <c r="O28" s="44"/>
      <c r="P28" s="73"/>
      <c r="Q28" s="75"/>
      <c r="R28" s="115"/>
    </row>
    <row r="29" spans="1:18" s="6" customFormat="1" ht="9">
      <c r="A29" s="110" t="s">
        <v>362</v>
      </c>
      <c r="B29" s="37">
        <v>10</v>
      </c>
      <c r="C29" s="37"/>
      <c r="D29" s="44">
        <v>0</v>
      </c>
      <c r="E29" s="44">
        <v>0</v>
      </c>
      <c r="F29" s="44">
        <v>158000</v>
      </c>
      <c r="G29" s="37">
        <v>1</v>
      </c>
      <c r="H29" s="37">
        <f>B29*G29</f>
        <v>10</v>
      </c>
      <c r="I29" s="72">
        <v>0</v>
      </c>
      <c r="J29" s="73">
        <f>H29*I29</f>
        <v>0</v>
      </c>
      <c r="K29" s="73">
        <f>J29*0.1</f>
        <v>0</v>
      </c>
      <c r="L29" s="73">
        <f>J29*0.05</f>
        <v>0</v>
      </c>
      <c r="M29" s="74"/>
      <c r="N29" s="44">
        <f>(J29*'Base Data'!$C$5)+(K29*'Base Data'!$C$6)+(L29*'Base Data'!$C$7)</f>
        <v>0</v>
      </c>
      <c r="O29" s="44">
        <f>(D29+E29+F29)*G29*I29</f>
        <v>0</v>
      </c>
      <c r="P29" s="73">
        <v>0</v>
      </c>
      <c r="Q29" s="75" t="s">
        <v>90</v>
      </c>
      <c r="R29" s="115"/>
    </row>
    <row r="30" spans="1:18" s="6" customFormat="1" ht="9">
      <c r="A30" s="110" t="s">
        <v>365</v>
      </c>
      <c r="B30" s="37">
        <v>10</v>
      </c>
      <c r="C30" s="37"/>
      <c r="D30" s="44">
        <v>0</v>
      </c>
      <c r="E30" s="44">
        <v>0</v>
      </c>
      <c r="F30" s="44">
        <v>56100</v>
      </c>
      <c r="G30" s="37">
        <v>1</v>
      </c>
      <c r="H30" s="37">
        <f>B30*G30</f>
        <v>10</v>
      </c>
      <c r="I30" s="72">
        <v>0</v>
      </c>
      <c r="J30" s="73">
        <f>H30*I30</f>
        <v>0</v>
      </c>
      <c r="K30" s="73">
        <f>J30*0.1</f>
        <v>0</v>
      </c>
      <c r="L30" s="73">
        <f>J30*0.05</f>
        <v>0</v>
      </c>
      <c r="M30" s="74"/>
      <c r="N30" s="44">
        <f>(J30*'Base Data'!$C$5)+(K30*'Base Data'!$C$6)+(L30*'Base Data'!$C$7)</f>
        <v>0</v>
      </c>
      <c r="O30" s="44">
        <f>(D30+E30+F30)*G30*I30</f>
        <v>0</v>
      </c>
      <c r="P30" s="73">
        <v>0</v>
      </c>
      <c r="Q30" s="75" t="s">
        <v>90</v>
      </c>
      <c r="R30" s="115"/>
    </row>
    <row r="31" spans="1:18" s="6" customFormat="1" ht="9">
      <c r="A31" s="110" t="s">
        <v>461</v>
      </c>
      <c r="B31" s="37"/>
      <c r="C31" s="37"/>
      <c r="D31" s="44"/>
      <c r="E31" s="44"/>
      <c r="F31" s="44"/>
      <c r="G31" s="37"/>
      <c r="H31" s="37"/>
      <c r="I31" s="72"/>
      <c r="J31" s="73"/>
      <c r="K31" s="73"/>
      <c r="L31" s="73"/>
      <c r="M31" s="74"/>
      <c r="N31" s="44"/>
      <c r="O31" s="44"/>
      <c r="P31" s="73"/>
      <c r="Q31" s="75"/>
    </row>
    <row r="32" spans="1:18" s="6" customFormat="1" ht="9">
      <c r="A32" s="110" t="s">
        <v>362</v>
      </c>
      <c r="B32" s="37">
        <v>10</v>
      </c>
      <c r="C32" s="37"/>
      <c r="D32" s="44">
        <v>0</v>
      </c>
      <c r="E32" s="44">
        <v>0</v>
      </c>
      <c r="F32" s="44">
        <f>Monitors!$F$32</f>
        <v>8523</v>
      </c>
      <c r="G32" s="37">
        <v>1</v>
      </c>
      <c r="H32" s="37">
        <f t="shared" ref="H32:H33" si="5">B32*G32</f>
        <v>10</v>
      </c>
      <c r="I32" s="72">
        <f>ROUNDDOWN(Monitors!$F$12/2,0)</f>
        <v>39</v>
      </c>
      <c r="J32" s="73">
        <f t="shared" ref="J32:J33" si="6">H32*I32</f>
        <v>390</v>
      </c>
      <c r="K32" s="73">
        <f t="shared" ref="K32:K33" si="7">J32*0.1</f>
        <v>39</v>
      </c>
      <c r="L32" s="73">
        <f t="shared" ref="L32:L33" si="8">J32*0.05</f>
        <v>19.5</v>
      </c>
      <c r="M32" s="74"/>
      <c r="N32" s="44">
        <f>(J32*'Base Data'!$C$5)+(K32*'Base Data'!$C$6)+(L32*'Base Data'!$C$7)</f>
        <v>42423.224999999999</v>
      </c>
      <c r="O32" s="44">
        <f>(D32+E32+F32)*G32*I32</f>
        <v>332397</v>
      </c>
      <c r="P32" s="73">
        <v>0</v>
      </c>
      <c r="Q32" s="75" t="s">
        <v>339</v>
      </c>
    </row>
    <row r="33" spans="1:18" s="6" customFormat="1" ht="9">
      <c r="A33" s="110" t="s">
        <v>365</v>
      </c>
      <c r="B33" s="37">
        <v>10</v>
      </c>
      <c r="C33" s="37"/>
      <c r="D33" s="44">
        <v>0</v>
      </c>
      <c r="E33" s="44">
        <v>0</v>
      </c>
      <c r="F33" s="44">
        <f>Monitors!$G$32</f>
        <v>1436</v>
      </c>
      <c r="G33" s="37">
        <v>1</v>
      </c>
      <c r="H33" s="37">
        <f t="shared" si="5"/>
        <v>10</v>
      </c>
      <c r="I33" s="72">
        <f>ROUNDDOWN(Monitors!$F$12/2,0)</f>
        <v>39</v>
      </c>
      <c r="J33" s="73">
        <f t="shared" si="6"/>
        <v>390</v>
      </c>
      <c r="K33" s="73">
        <f t="shared" si="7"/>
        <v>39</v>
      </c>
      <c r="L33" s="73">
        <f t="shared" si="8"/>
        <v>19.5</v>
      </c>
      <c r="M33" s="74"/>
      <c r="N33" s="44">
        <f>(J33*'Base Data'!$C$5)+(K33*'Base Data'!$C$6)+(L33*'Base Data'!$C$7)</f>
        <v>42423.224999999999</v>
      </c>
      <c r="O33" s="44">
        <f>(D33+E33+F33)*G33*I33</f>
        <v>56004</v>
      </c>
      <c r="P33" s="73">
        <v>0</v>
      </c>
      <c r="Q33" s="75" t="s">
        <v>339</v>
      </c>
    </row>
    <row r="34" spans="1:18" s="6" customFormat="1" ht="18">
      <c r="A34" s="111" t="s">
        <v>160</v>
      </c>
      <c r="B34" s="37"/>
      <c r="C34" s="37"/>
      <c r="D34" s="44"/>
      <c r="E34" s="44"/>
      <c r="F34" s="76"/>
      <c r="G34" s="37"/>
      <c r="H34" s="37"/>
      <c r="I34" s="77"/>
      <c r="J34" s="73"/>
      <c r="K34" s="73"/>
      <c r="L34" s="73"/>
      <c r="M34" s="74"/>
      <c r="N34" s="44"/>
      <c r="O34" s="44"/>
      <c r="P34" s="73"/>
      <c r="Q34" s="75"/>
      <c r="R34" s="115"/>
    </row>
    <row r="35" spans="1:18" s="6" customFormat="1" ht="9">
      <c r="A35" s="110" t="s">
        <v>362</v>
      </c>
      <c r="B35" s="37">
        <v>10</v>
      </c>
      <c r="C35" s="37"/>
      <c r="D35" s="44">
        <v>0</v>
      </c>
      <c r="E35" s="44">
        <v>0</v>
      </c>
      <c r="F35" s="44">
        <v>24300</v>
      </c>
      <c r="G35" s="37">
        <v>1</v>
      </c>
      <c r="H35" s="37">
        <f>B35*G35</f>
        <v>10</v>
      </c>
      <c r="I35" s="72">
        <f>ROUND(Monitors!$D$12/2,0)</f>
        <v>3</v>
      </c>
      <c r="J35" s="73">
        <f>H35*I35</f>
        <v>30</v>
      </c>
      <c r="K35" s="73">
        <f>J35*0.1</f>
        <v>3</v>
      </c>
      <c r="L35" s="73">
        <f>J35*0.05</f>
        <v>1.5</v>
      </c>
      <c r="M35" s="74"/>
      <c r="N35" s="44">
        <f>(J35*'Base Data'!$C$5)+(K35*'Base Data'!$C$6)+(L35*'Base Data'!$C$7)</f>
        <v>3263.3250000000003</v>
      </c>
      <c r="O35" s="44">
        <f>(D35+E35+F35)*G35*I35</f>
        <v>72900</v>
      </c>
      <c r="P35" s="73">
        <v>0</v>
      </c>
      <c r="Q35" s="75" t="s">
        <v>339</v>
      </c>
      <c r="R35" s="115"/>
    </row>
    <row r="36" spans="1:18" s="6" customFormat="1" ht="9">
      <c r="A36" s="110" t="s">
        <v>365</v>
      </c>
      <c r="B36" s="37">
        <v>10</v>
      </c>
      <c r="C36" s="37"/>
      <c r="D36" s="44">
        <v>0</v>
      </c>
      <c r="E36" s="44">
        <v>0</v>
      </c>
      <c r="F36" s="44">
        <v>5600</v>
      </c>
      <c r="G36" s="37">
        <v>1</v>
      </c>
      <c r="H36" s="37">
        <f>B36*G36</f>
        <v>10</v>
      </c>
      <c r="I36" s="72">
        <f>ROUND(Monitors!$D$12/2,0)</f>
        <v>3</v>
      </c>
      <c r="J36" s="73">
        <f>H36*I36</f>
        <v>30</v>
      </c>
      <c r="K36" s="73">
        <f>J36*0.1</f>
        <v>3</v>
      </c>
      <c r="L36" s="73">
        <f>J36*0.05</f>
        <v>1.5</v>
      </c>
      <c r="M36" s="74"/>
      <c r="N36" s="44">
        <f>(J36*'Base Data'!$C$5)+(K36*'Base Data'!$C$6)+(L36*'Base Data'!$C$7)</f>
        <v>3263.3250000000003</v>
      </c>
      <c r="O36" s="44">
        <f>(D36+E36+F36)*G36*I36</f>
        <v>16800</v>
      </c>
      <c r="P36" s="73">
        <v>0</v>
      </c>
      <c r="Q36" s="75" t="s">
        <v>339</v>
      </c>
      <c r="R36" s="115"/>
    </row>
    <row r="37" spans="1:18" s="6" customFormat="1" ht="18" customHeight="1">
      <c r="A37" s="111" t="s">
        <v>425</v>
      </c>
      <c r="B37" s="37"/>
      <c r="C37" s="37"/>
      <c r="D37" s="44"/>
      <c r="E37" s="44"/>
      <c r="F37" s="44"/>
      <c r="G37" s="37"/>
      <c r="H37" s="37"/>
      <c r="I37" s="77"/>
      <c r="J37" s="73"/>
      <c r="K37" s="73"/>
      <c r="L37" s="73"/>
      <c r="M37" s="74"/>
      <c r="N37" s="44"/>
      <c r="O37" s="183"/>
      <c r="P37" s="73"/>
      <c r="Q37" s="75"/>
      <c r="R37" s="115"/>
    </row>
    <row r="38" spans="1:18" s="6" customFormat="1" ht="9">
      <c r="A38" s="110" t="s">
        <v>362</v>
      </c>
      <c r="B38" s="37">
        <v>10</v>
      </c>
      <c r="C38" s="37"/>
      <c r="D38" s="44">
        <v>0</v>
      </c>
      <c r="E38" s="44">
        <v>0</v>
      </c>
      <c r="F38" s="44">
        <f>25500</f>
        <v>25500</v>
      </c>
      <c r="G38" s="37">
        <v>1</v>
      </c>
      <c r="H38" s="37">
        <f>B38*G38</f>
        <v>10</v>
      </c>
      <c r="I38" s="72">
        <f>ROUND(Monitors!$B$12/2,0)</f>
        <v>0</v>
      </c>
      <c r="J38" s="73">
        <f>H38*I38</f>
        <v>0</v>
      </c>
      <c r="K38" s="73">
        <f>J38*0.1</f>
        <v>0</v>
      </c>
      <c r="L38" s="73">
        <f>J38*0.05</f>
        <v>0</v>
      </c>
      <c r="M38" s="74"/>
      <c r="N38" s="44">
        <f>(J38*'Base Data'!$C$5)+(K38*'Base Data'!$C$6)+(L38*'Base Data'!$C$7)</f>
        <v>0</v>
      </c>
      <c r="O38" s="44">
        <f>(D38+E38+F38)*G38*I38</f>
        <v>0</v>
      </c>
      <c r="P38" s="73">
        <v>0</v>
      </c>
      <c r="Q38" s="75" t="s">
        <v>339</v>
      </c>
      <c r="R38" s="115"/>
    </row>
    <row r="39" spans="1:18" s="6" customFormat="1" ht="9">
      <c r="A39" s="110" t="s">
        <v>365</v>
      </c>
      <c r="B39" s="37">
        <v>10</v>
      </c>
      <c r="C39" s="37"/>
      <c r="D39" s="44">
        <v>0</v>
      </c>
      <c r="E39" s="44">
        <v>0</v>
      </c>
      <c r="F39" s="44">
        <v>9700</v>
      </c>
      <c r="G39" s="37">
        <v>1</v>
      </c>
      <c r="H39" s="37">
        <f>B39*G39</f>
        <v>10</v>
      </c>
      <c r="I39" s="72">
        <f>ROUND(Monitors!$B$12/2,0)</f>
        <v>0</v>
      </c>
      <c r="J39" s="73">
        <f>H39*I39</f>
        <v>0</v>
      </c>
      <c r="K39" s="73">
        <f>J39*0.1</f>
        <v>0</v>
      </c>
      <c r="L39" s="73">
        <f>J39*0.05</f>
        <v>0</v>
      </c>
      <c r="M39" s="74"/>
      <c r="N39" s="44">
        <f>(J39*'Base Data'!$C$5)+(K39*'Base Data'!$C$6)+(L39*'Base Data'!$C$7)</f>
        <v>0</v>
      </c>
      <c r="O39" s="44">
        <f>(D39+E39+F39)*G39*I39</f>
        <v>0</v>
      </c>
      <c r="P39" s="73">
        <v>0</v>
      </c>
      <c r="Q39" s="75" t="s">
        <v>339</v>
      </c>
      <c r="R39" s="115"/>
    </row>
    <row r="40" spans="1:18" s="6" customFormat="1" ht="9">
      <c r="A40" s="110" t="s">
        <v>533</v>
      </c>
      <c r="B40" s="37">
        <v>12</v>
      </c>
      <c r="C40" s="37"/>
      <c r="D40" s="44">
        <v>0</v>
      </c>
      <c r="E40" s="44">
        <v>2875</v>
      </c>
      <c r="F40" s="44">
        <v>0</v>
      </c>
      <c r="G40" s="37">
        <v>1</v>
      </c>
      <c r="H40" s="37">
        <f>B40*G40</f>
        <v>12</v>
      </c>
      <c r="I40" s="73">
        <f>ROUNDDOWN(SUM('Base Data'!$D$28:$D$30,'Base Data'!$D$33:$D$35)/2,0)+'Fac-ExistLrgGas-Yr2'!$I$40</f>
        <v>4471</v>
      </c>
      <c r="J40" s="72">
        <f>H40*I40</f>
        <v>53652</v>
      </c>
      <c r="K40" s="72">
        <f>J40*0.1</f>
        <v>5365.2000000000007</v>
      </c>
      <c r="L40" s="72">
        <f>J40*0.05</f>
        <v>2682.6000000000004</v>
      </c>
      <c r="M40" s="73"/>
      <c r="N40" s="44">
        <f>(J40*'Base Data'!$C$5)+(K40*'Base Data'!$C$6)+(L40*'Base Data'!$C$7)</f>
        <v>5836130.4300000006</v>
      </c>
      <c r="O40" s="44">
        <f>(D40+E40+F40)*G40*I40</f>
        <v>12854125</v>
      </c>
      <c r="P40" s="73">
        <v>0</v>
      </c>
      <c r="Q40" s="75" t="s">
        <v>169</v>
      </c>
      <c r="R40" s="115"/>
    </row>
    <row r="41" spans="1:18" s="6" customFormat="1" ht="9">
      <c r="A41" s="110" t="s">
        <v>534</v>
      </c>
      <c r="B41" s="37">
        <v>5</v>
      </c>
      <c r="C41" s="37"/>
      <c r="D41" s="44">
        <v>0</v>
      </c>
      <c r="E41" s="44">
        <v>200</v>
      </c>
      <c r="F41" s="44">
        <v>0</v>
      </c>
      <c r="G41" s="37">
        <v>12</v>
      </c>
      <c r="H41" s="37">
        <f>B41*G41</f>
        <v>60</v>
      </c>
      <c r="I41" s="73">
        <f>ROUNDDOWN('Base Data'!$C$49/2,0)</f>
        <v>192</v>
      </c>
      <c r="J41" s="72">
        <f>H41*I41</f>
        <v>11520</v>
      </c>
      <c r="K41" s="72">
        <f>J41*0.1</f>
        <v>1152</v>
      </c>
      <c r="L41" s="72">
        <f>J41*0.05</f>
        <v>576</v>
      </c>
      <c r="M41" s="73"/>
      <c r="N41" s="44">
        <f>(J41*'Base Data'!$C$5)+(K41*'Base Data'!$C$6)+(L41*'Base Data'!$C$7)</f>
        <v>1253116.8</v>
      </c>
      <c r="O41" s="44">
        <f>(D41+E41+F41)*G41*I41</f>
        <v>460800</v>
      </c>
      <c r="P41" s="73">
        <v>0</v>
      </c>
      <c r="Q41" s="75" t="s">
        <v>319</v>
      </c>
      <c r="R41" s="342"/>
    </row>
    <row r="42" spans="1:18" s="6" customFormat="1" ht="9">
      <c r="A42" s="110" t="s">
        <v>366</v>
      </c>
      <c r="B42" s="37" t="s">
        <v>384</v>
      </c>
      <c r="C42" s="37"/>
      <c r="D42" s="44"/>
      <c r="E42" s="44"/>
      <c r="F42" s="44"/>
      <c r="G42" s="37"/>
      <c r="H42" s="37"/>
      <c r="I42" s="73"/>
      <c r="J42" s="73"/>
      <c r="K42" s="73"/>
      <c r="L42" s="73"/>
      <c r="M42" s="37"/>
      <c r="N42" s="44"/>
      <c r="O42" s="44"/>
      <c r="P42" s="73"/>
      <c r="Q42" s="75"/>
      <c r="R42" s="115"/>
    </row>
    <row r="43" spans="1:18" s="6" customFormat="1" ht="9">
      <c r="A43" s="110" t="s">
        <v>367</v>
      </c>
      <c r="B43" s="37" t="s">
        <v>384</v>
      </c>
      <c r="C43" s="37"/>
      <c r="D43" s="44"/>
      <c r="E43" s="44"/>
      <c r="F43" s="44"/>
      <c r="G43" s="37"/>
      <c r="H43" s="37"/>
      <c r="I43" s="73"/>
      <c r="J43" s="73"/>
      <c r="K43" s="73"/>
      <c r="L43" s="73"/>
      <c r="M43" s="37"/>
      <c r="N43" s="44"/>
      <c r="O43" s="44"/>
      <c r="P43" s="73"/>
      <c r="Q43" s="75"/>
      <c r="R43" s="115"/>
    </row>
    <row r="44" spans="1:18" s="6" customFormat="1" ht="9">
      <c r="A44" s="110" t="s">
        <v>368</v>
      </c>
      <c r="B44" s="37"/>
      <c r="C44" s="37"/>
      <c r="D44" s="44"/>
      <c r="E44" s="44"/>
      <c r="F44" s="44"/>
      <c r="G44" s="37"/>
      <c r="H44" s="37"/>
      <c r="I44" s="73"/>
      <c r="J44" s="73"/>
      <c r="K44" s="73"/>
      <c r="L44" s="73"/>
      <c r="M44" s="37"/>
      <c r="N44" s="44"/>
      <c r="O44" s="44"/>
      <c r="P44" s="73"/>
      <c r="Q44" s="75"/>
      <c r="R44" s="115"/>
    </row>
    <row r="45" spans="1:18" s="6" customFormat="1" ht="9">
      <c r="A45" s="126" t="s">
        <v>386</v>
      </c>
      <c r="B45" s="37">
        <v>2</v>
      </c>
      <c r="C45" s="37"/>
      <c r="D45" s="44">
        <v>0</v>
      </c>
      <c r="E45" s="44">
        <v>0</v>
      </c>
      <c r="F45" s="44">
        <v>0</v>
      </c>
      <c r="G45" s="37">
        <v>1</v>
      </c>
      <c r="H45" s="37">
        <f t="shared" ref="H45:H50" si="9">B45*G45</f>
        <v>2</v>
      </c>
      <c r="I45" s="72">
        <v>0</v>
      </c>
      <c r="J45" s="73">
        <f t="shared" ref="J45:J50" si="10">H45*I45</f>
        <v>0</v>
      </c>
      <c r="K45" s="73">
        <f t="shared" ref="K45:K50" si="11">J45*0.1</f>
        <v>0</v>
      </c>
      <c r="L45" s="73">
        <f t="shared" ref="L45:L50" si="12">J45*0.05</f>
        <v>0</v>
      </c>
      <c r="M45" s="37">
        <f t="shared" ref="M45:M50" si="13">C45*G45*I45</f>
        <v>0</v>
      </c>
      <c r="N45" s="44">
        <f>(J45*'Base Data'!$C$5)+(K45*'Base Data'!$C$6)+(L45*'Base Data'!$C$7)</f>
        <v>0</v>
      </c>
      <c r="O45" s="44">
        <f t="shared" ref="O45:O50" si="14">(D45+E45+F45)*G45*I45</f>
        <v>0</v>
      </c>
      <c r="P45" s="73">
        <f>G45*I45</f>
        <v>0</v>
      </c>
      <c r="Q45" s="75" t="s">
        <v>338</v>
      </c>
      <c r="R45" s="115"/>
    </row>
    <row r="46" spans="1:18" s="6" customFormat="1" ht="9" customHeight="1">
      <c r="A46" s="126" t="s">
        <v>328</v>
      </c>
      <c r="B46" s="37">
        <v>8</v>
      </c>
      <c r="C46" s="37"/>
      <c r="D46" s="44">
        <v>0</v>
      </c>
      <c r="E46" s="44">
        <v>0</v>
      </c>
      <c r="F46" s="44">
        <v>0</v>
      </c>
      <c r="G46" s="37">
        <v>1</v>
      </c>
      <c r="H46" s="37">
        <f t="shared" si="9"/>
        <v>8</v>
      </c>
      <c r="I46" s="72">
        <f>ROUND(SUM('Base Data'!$H$28:$H$30,'Base Data'!$H$33:$H$35,'Base Data'!$H$38:$H$40),0)</f>
        <v>549</v>
      </c>
      <c r="J46" s="73">
        <f t="shared" si="10"/>
        <v>4392</v>
      </c>
      <c r="K46" s="73">
        <f t="shared" si="11"/>
        <v>439.20000000000005</v>
      </c>
      <c r="L46" s="73">
        <f t="shared" si="12"/>
        <v>219.60000000000002</v>
      </c>
      <c r="M46" s="37">
        <f t="shared" si="13"/>
        <v>0</v>
      </c>
      <c r="N46" s="44">
        <f>(J46*'Base Data'!$C$5)+(K46*'Base Data'!$C$6)+(L46*'Base Data'!$C$7)</f>
        <v>477750.78</v>
      </c>
      <c r="O46" s="44">
        <f t="shared" si="14"/>
        <v>0</v>
      </c>
      <c r="P46" s="73">
        <f>G46*I46</f>
        <v>549</v>
      </c>
      <c r="Q46" s="75" t="s">
        <v>339</v>
      </c>
      <c r="R46" s="115"/>
    </row>
    <row r="47" spans="1:18" s="6" customFormat="1" ht="9">
      <c r="A47" s="126" t="s">
        <v>329</v>
      </c>
      <c r="B47" s="37">
        <v>5</v>
      </c>
      <c r="C47" s="37"/>
      <c r="D47" s="44">
        <v>0</v>
      </c>
      <c r="E47" s="44">
        <v>0</v>
      </c>
      <c r="F47" s="44">
        <v>0</v>
      </c>
      <c r="G47" s="37">
        <v>1</v>
      </c>
      <c r="H47" s="37">
        <f t="shared" si="9"/>
        <v>5</v>
      </c>
      <c r="I47" s="72">
        <f>ROUND(SUM('Base Data'!$H$28:$H$30,'Base Data'!$H$33:$H$35,'Base Data'!$H$38:$H$40),0)</f>
        <v>549</v>
      </c>
      <c r="J47" s="73">
        <f t="shared" si="10"/>
        <v>2745</v>
      </c>
      <c r="K47" s="73">
        <f t="shared" si="11"/>
        <v>274.5</v>
      </c>
      <c r="L47" s="73">
        <f t="shared" si="12"/>
        <v>137.25</v>
      </c>
      <c r="M47" s="37">
        <f t="shared" si="13"/>
        <v>0</v>
      </c>
      <c r="N47" s="44">
        <f>(J47*'Base Data'!$C$5)+(K47*'Base Data'!$C$6)+(L47*'Base Data'!$C$7)</f>
        <v>298594.23749999999</v>
      </c>
      <c r="O47" s="44">
        <f t="shared" si="14"/>
        <v>0</v>
      </c>
      <c r="P47" s="73">
        <f>G47*I47</f>
        <v>549</v>
      </c>
      <c r="Q47" s="75" t="s">
        <v>339</v>
      </c>
      <c r="R47" s="133"/>
    </row>
    <row r="48" spans="1:18" s="6" customFormat="1" ht="9">
      <c r="A48" s="112" t="s">
        <v>226</v>
      </c>
      <c r="B48" s="37">
        <v>20</v>
      </c>
      <c r="C48" s="37">
        <v>0</v>
      </c>
      <c r="D48" s="44">
        <v>0</v>
      </c>
      <c r="E48" s="44">
        <v>0</v>
      </c>
      <c r="F48" s="44">
        <v>0</v>
      </c>
      <c r="G48" s="37">
        <v>1</v>
      </c>
      <c r="H48" s="37">
        <f t="shared" si="9"/>
        <v>20</v>
      </c>
      <c r="I48" s="72">
        <f>ROUND(SUM('Base Data'!$H$28:$H$30,'Base Data'!$H$33:$H$35),0)</f>
        <v>540</v>
      </c>
      <c r="J48" s="73">
        <f t="shared" si="10"/>
        <v>10800</v>
      </c>
      <c r="K48" s="73">
        <f t="shared" si="11"/>
        <v>1080</v>
      </c>
      <c r="L48" s="73">
        <f t="shared" si="12"/>
        <v>540</v>
      </c>
      <c r="M48" s="73">
        <f t="shared" si="13"/>
        <v>0</v>
      </c>
      <c r="N48" s="44">
        <f>(J48*'Base Data'!$C$5)+(K48*'Base Data'!$C$6)+(L48*'Base Data'!$C$7)</f>
        <v>1174797</v>
      </c>
      <c r="O48" s="44">
        <f t="shared" si="14"/>
        <v>0</v>
      </c>
      <c r="P48" s="73">
        <f>G48*I48</f>
        <v>540</v>
      </c>
      <c r="Q48" s="75" t="s">
        <v>240</v>
      </c>
      <c r="R48" s="133"/>
    </row>
    <row r="49" spans="1:19" s="6" customFormat="1" ht="9">
      <c r="A49" s="112" t="s">
        <v>225</v>
      </c>
      <c r="B49" s="37">
        <v>20</v>
      </c>
      <c r="C49" s="37">
        <v>0</v>
      </c>
      <c r="D49" s="44">
        <v>0</v>
      </c>
      <c r="E49" s="44">
        <v>0</v>
      </c>
      <c r="F49" s="44">
        <v>0</v>
      </c>
      <c r="G49" s="37">
        <v>2</v>
      </c>
      <c r="H49" s="37">
        <f t="shared" si="9"/>
        <v>40</v>
      </c>
      <c r="I49" s="72">
        <f>SUM('Base Data'!$H$38:$H$40)</f>
        <v>9</v>
      </c>
      <c r="J49" s="73">
        <f t="shared" si="10"/>
        <v>360</v>
      </c>
      <c r="K49" s="73">
        <f t="shared" si="11"/>
        <v>36</v>
      </c>
      <c r="L49" s="73">
        <f t="shared" si="12"/>
        <v>18</v>
      </c>
      <c r="M49" s="73">
        <f t="shared" si="13"/>
        <v>0</v>
      </c>
      <c r="N49" s="44">
        <f>(J49*'Base Data'!$C$5)+(K49*'Base Data'!$C$6)+(L49*'Base Data'!$C$7)</f>
        <v>39159.9</v>
      </c>
      <c r="O49" s="44">
        <f t="shared" si="14"/>
        <v>0</v>
      </c>
      <c r="P49" s="73">
        <f>G49*I49</f>
        <v>18</v>
      </c>
      <c r="Q49" s="75" t="s">
        <v>240</v>
      </c>
      <c r="R49" s="115"/>
    </row>
    <row r="50" spans="1:19" s="6" customFormat="1" ht="9">
      <c r="A50" s="112" t="s">
        <v>422</v>
      </c>
      <c r="B50" s="37">
        <v>5</v>
      </c>
      <c r="C50" s="37"/>
      <c r="D50" s="44">
        <v>0</v>
      </c>
      <c r="E50" s="44">
        <v>0</v>
      </c>
      <c r="F50" s="44">
        <v>0</v>
      </c>
      <c r="G50" s="37">
        <v>1</v>
      </c>
      <c r="H50" s="37">
        <f t="shared" si="9"/>
        <v>5</v>
      </c>
      <c r="I50" s="73">
        <f>ROUNDUP('Base Data'!$B$52,0)</f>
        <v>796</v>
      </c>
      <c r="J50" s="73">
        <f t="shared" si="10"/>
        <v>3980</v>
      </c>
      <c r="K50" s="73">
        <f t="shared" si="11"/>
        <v>398</v>
      </c>
      <c r="L50" s="73">
        <f t="shared" si="12"/>
        <v>199</v>
      </c>
      <c r="M50" s="73">
        <f t="shared" si="13"/>
        <v>0</v>
      </c>
      <c r="N50" s="44">
        <f>(J50*'Base Data'!$C$5)+(K50*'Base Data'!$C$6)+(L50*'Base Data'!$C$7)</f>
        <v>432934.45</v>
      </c>
      <c r="O50" s="44">
        <f t="shared" si="14"/>
        <v>0</v>
      </c>
      <c r="P50" s="73">
        <f t="shared" ref="P50" si="15">G50*I50</f>
        <v>796</v>
      </c>
      <c r="Q50" s="75" t="s">
        <v>493</v>
      </c>
    </row>
    <row r="51" spans="1:19" s="6" customFormat="1" ht="9">
      <c r="A51" s="112" t="s">
        <v>509</v>
      </c>
      <c r="B51" s="37">
        <v>30</v>
      </c>
      <c r="C51" s="17"/>
      <c r="D51" s="32">
        <v>0</v>
      </c>
      <c r="E51" s="32">
        <v>0</v>
      </c>
      <c r="F51" s="32">
        <v>0</v>
      </c>
      <c r="G51" s="17">
        <v>1</v>
      </c>
      <c r="H51" s="17">
        <f>B51*G51</f>
        <v>30</v>
      </c>
      <c r="I51" s="43">
        <v>0</v>
      </c>
      <c r="J51" s="18">
        <f>H51*I51</f>
        <v>0</v>
      </c>
      <c r="K51" s="18">
        <f>J51*0.1</f>
        <v>0</v>
      </c>
      <c r="L51" s="18">
        <f>J51*0.05</f>
        <v>0</v>
      </c>
      <c r="M51" s="18">
        <f>C51*G51*I51</f>
        <v>0</v>
      </c>
      <c r="N51" s="32">
        <f>(J51*'Base Data'!$C$5)+(K51*'Base Data'!$C$6)+(L51*'Base Data'!$C$7)</f>
        <v>0</v>
      </c>
      <c r="O51" s="32">
        <f>(D51+E51+F51)*G51*I51</f>
        <v>0</v>
      </c>
      <c r="P51" s="18">
        <f>G51*I51</f>
        <v>0</v>
      </c>
      <c r="Q51" s="23" t="s">
        <v>508</v>
      </c>
      <c r="R51" s="31"/>
    </row>
    <row r="52" spans="1:19" s="6" customFormat="1" ht="9">
      <c r="A52" s="113" t="s">
        <v>7</v>
      </c>
      <c r="B52" s="37"/>
      <c r="C52" s="37"/>
      <c r="D52" s="44"/>
      <c r="E52" s="44"/>
      <c r="F52" s="44"/>
      <c r="G52" s="37"/>
      <c r="H52" s="37"/>
      <c r="I52" s="72" t="s">
        <v>224</v>
      </c>
      <c r="J52" s="73">
        <f>SUM(J7:J50)</f>
        <v>97673</v>
      </c>
      <c r="K52" s="73">
        <f>SUM(K7:K50)</f>
        <v>9767.2999999999993</v>
      </c>
      <c r="L52" s="73">
        <f>SUM(L7:L50)</f>
        <v>4883.6499999999996</v>
      </c>
      <c r="M52" s="73">
        <f t="shared" ref="M52" si="16">SUM(M7:M49)</f>
        <v>0</v>
      </c>
      <c r="N52" s="44">
        <f>SUM(N7:N50)</f>
        <v>10624624.7575</v>
      </c>
      <c r="O52" s="44">
        <f>SUM(O7:O50)</f>
        <v>20413580</v>
      </c>
      <c r="P52" s="73">
        <f>SUM(P45:P50)</f>
        <v>2452</v>
      </c>
      <c r="Q52" s="75"/>
      <c r="R52" s="262">
        <f>SUM(O7,O10:O22,O27,O30,O33,O36,O39,O40:O41)</f>
        <v>20008283</v>
      </c>
      <c r="S52" s="263">
        <f>SUM(O27,O30,O33,O36,O39)</f>
        <v>72804</v>
      </c>
    </row>
    <row r="53" spans="1:19" s="6" customFormat="1" ht="9">
      <c r="A53" s="110" t="s">
        <v>382</v>
      </c>
      <c r="B53" s="37"/>
      <c r="C53" s="37"/>
      <c r="D53" s="44"/>
      <c r="E53" s="44"/>
      <c r="F53" s="44"/>
      <c r="G53" s="37"/>
      <c r="H53" s="37"/>
      <c r="I53" s="73"/>
      <c r="J53" s="73"/>
      <c r="K53" s="73"/>
      <c r="L53" s="73"/>
      <c r="M53" s="37"/>
      <c r="N53" s="44"/>
      <c r="O53" s="44"/>
      <c r="P53" s="73"/>
      <c r="Q53" s="75"/>
      <c r="R53" s="115"/>
    </row>
    <row r="54" spans="1:19" s="6" customFormat="1" ht="9">
      <c r="A54" s="110" t="s">
        <v>369</v>
      </c>
      <c r="B54" s="37" t="s">
        <v>373</v>
      </c>
      <c r="C54" s="37"/>
      <c r="D54" s="44"/>
      <c r="E54" s="44"/>
      <c r="F54" s="44"/>
      <c r="G54" s="37"/>
      <c r="H54" s="37"/>
      <c r="I54" s="73"/>
      <c r="J54" s="73"/>
      <c r="K54" s="73"/>
      <c r="L54" s="73"/>
      <c r="M54" s="37"/>
      <c r="N54" s="44"/>
      <c r="O54" s="44"/>
      <c r="P54" s="73"/>
      <c r="Q54" s="75"/>
      <c r="R54" s="115"/>
    </row>
    <row r="55" spans="1:19" s="6" customFormat="1" ht="9">
      <c r="A55" s="110" t="s">
        <v>370</v>
      </c>
      <c r="B55" s="37" t="s">
        <v>384</v>
      </c>
      <c r="C55" s="37"/>
      <c r="D55" s="44"/>
      <c r="E55" s="44"/>
      <c r="F55" s="44"/>
      <c r="G55" s="37"/>
      <c r="H55" s="37"/>
      <c r="I55" s="73"/>
      <c r="J55" s="73"/>
      <c r="K55" s="73"/>
      <c r="L55" s="73"/>
      <c r="M55" s="37"/>
      <c r="N55" s="44"/>
      <c r="O55" s="44"/>
      <c r="P55" s="73"/>
      <c r="Q55" s="75"/>
      <c r="R55" s="115"/>
    </row>
    <row r="56" spans="1:19" s="6" customFormat="1" ht="9">
      <c r="A56" s="110" t="s">
        <v>371</v>
      </c>
      <c r="B56" s="37" t="s">
        <v>384</v>
      </c>
      <c r="C56" s="37"/>
      <c r="D56" s="44"/>
      <c r="E56" s="44"/>
      <c r="F56" s="44"/>
      <c r="G56" s="37"/>
      <c r="H56" s="37"/>
      <c r="I56" s="73"/>
      <c r="J56" s="73"/>
      <c r="K56" s="73"/>
      <c r="L56" s="73"/>
      <c r="M56" s="37"/>
      <c r="N56" s="44"/>
      <c r="O56" s="44"/>
      <c r="P56" s="73"/>
      <c r="Q56" s="75" t="s">
        <v>340</v>
      </c>
      <c r="R56" s="115"/>
    </row>
    <row r="57" spans="1:19" s="6" customFormat="1" ht="9">
      <c r="A57" s="110" t="s">
        <v>372</v>
      </c>
      <c r="B57" s="37"/>
      <c r="C57" s="37"/>
      <c r="D57" s="44"/>
      <c r="E57" s="44"/>
      <c r="F57" s="44"/>
      <c r="G57" s="37"/>
      <c r="H57" s="37"/>
      <c r="I57" s="73"/>
      <c r="J57" s="73"/>
      <c r="K57" s="73"/>
      <c r="L57" s="73"/>
      <c r="M57" s="37"/>
      <c r="N57" s="44"/>
      <c r="O57" s="44"/>
      <c r="P57" s="73"/>
      <c r="Q57" s="75"/>
      <c r="R57" s="115"/>
    </row>
    <row r="58" spans="1:19" s="6" customFormat="1" ht="9.75" customHeight="1">
      <c r="A58" s="110" t="s">
        <v>380</v>
      </c>
      <c r="B58" s="37">
        <v>20</v>
      </c>
      <c r="C58" s="37"/>
      <c r="D58" s="44">
        <v>0</v>
      </c>
      <c r="E58" s="44">
        <v>0</v>
      </c>
      <c r="F58" s="44">
        <v>0</v>
      </c>
      <c r="G58" s="37">
        <v>1</v>
      </c>
      <c r="H58" s="37">
        <f t="shared" ref="H58:H64" si="17">B58*G58</f>
        <v>20</v>
      </c>
      <c r="I58" s="72">
        <f>SUM('Base Data'!$D$38:$D$40)</f>
        <v>78</v>
      </c>
      <c r="J58" s="73">
        <f t="shared" ref="J58:J64" si="18">H58*I58</f>
        <v>1560</v>
      </c>
      <c r="K58" s="73">
        <f t="shared" ref="K58:K64" si="19">J58*0.1</f>
        <v>156</v>
      </c>
      <c r="L58" s="73">
        <f t="shared" ref="L58:L64" si="20">J58*0.05</f>
        <v>78</v>
      </c>
      <c r="M58" s="37"/>
      <c r="N58" s="44">
        <f>(J58*'Base Data'!$C$5)+(K58*'Base Data'!$C$6)+(L58*'Base Data'!$C$7)</f>
        <v>169692.9</v>
      </c>
      <c r="O58" s="44">
        <f t="shared" ref="O58:O64" si="21">(D58+E58+F58)*G58*I58</f>
        <v>0</v>
      </c>
      <c r="P58" s="73">
        <v>0</v>
      </c>
      <c r="Q58" s="75" t="s">
        <v>339</v>
      </c>
      <c r="R58" s="115"/>
    </row>
    <row r="59" spans="1:19" s="6" customFormat="1" ht="9">
      <c r="A59" s="111" t="s">
        <v>376</v>
      </c>
      <c r="B59" s="37">
        <v>15</v>
      </c>
      <c r="C59" s="37">
        <v>0</v>
      </c>
      <c r="D59" s="44">
        <v>0</v>
      </c>
      <c r="E59" s="44">
        <v>0</v>
      </c>
      <c r="F59" s="44">
        <v>0</v>
      </c>
      <c r="G59" s="37">
        <v>1</v>
      </c>
      <c r="H59" s="37">
        <f t="shared" si="17"/>
        <v>15</v>
      </c>
      <c r="I59" s="72">
        <f>SUM('Base Data'!$D$38:$D$40)</f>
        <v>78</v>
      </c>
      <c r="J59" s="73">
        <f t="shared" si="18"/>
        <v>1170</v>
      </c>
      <c r="K59" s="73">
        <f t="shared" si="19"/>
        <v>117</v>
      </c>
      <c r="L59" s="73">
        <f t="shared" si="20"/>
        <v>58.5</v>
      </c>
      <c r="M59" s="37">
        <f>C59*G59*I59</f>
        <v>0</v>
      </c>
      <c r="N59" s="44">
        <f>(J59*'Base Data'!$C$5)+(K59*'Base Data'!$C$6)+(L59*'Base Data'!$C$7)</f>
        <v>127269.67499999999</v>
      </c>
      <c r="O59" s="44">
        <f t="shared" si="21"/>
        <v>0</v>
      </c>
      <c r="P59" s="73">
        <v>0</v>
      </c>
      <c r="Q59" s="75" t="s">
        <v>339</v>
      </c>
      <c r="R59" s="115"/>
    </row>
    <row r="60" spans="1:19" s="6" customFormat="1" ht="9.75" customHeight="1">
      <c r="A60" s="110" t="s">
        <v>377</v>
      </c>
      <c r="B60" s="37">
        <v>2</v>
      </c>
      <c r="C60" s="37"/>
      <c r="D60" s="44">
        <v>0</v>
      </c>
      <c r="E60" s="44">
        <v>0</v>
      </c>
      <c r="F60" s="44">
        <v>0</v>
      </c>
      <c r="G60" s="37">
        <v>1</v>
      </c>
      <c r="H60" s="37">
        <f t="shared" si="17"/>
        <v>2</v>
      </c>
      <c r="I60" s="72">
        <f>SUM('Base Data'!$D$38:$D$40)</f>
        <v>78</v>
      </c>
      <c r="J60" s="73">
        <f t="shared" si="18"/>
        <v>156</v>
      </c>
      <c r="K60" s="73">
        <f t="shared" si="19"/>
        <v>15.600000000000001</v>
      </c>
      <c r="L60" s="73">
        <f t="shared" si="20"/>
        <v>7.8000000000000007</v>
      </c>
      <c r="M60" s="37"/>
      <c r="N60" s="44">
        <f>(J60*'Base Data'!$C$5)+(K60*'Base Data'!$C$6)+(L60*'Base Data'!$C$7)</f>
        <v>16969.29</v>
      </c>
      <c r="O60" s="44">
        <f t="shared" si="21"/>
        <v>0</v>
      </c>
      <c r="P60" s="73">
        <v>0</v>
      </c>
      <c r="Q60" s="75" t="s">
        <v>339</v>
      </c>
      <c r="R60" s="115"/>
    </row>
    <row r="61" spans="1:19" s="6" customFormat="1" ht="9">
      <c r="A61" s="111" t="s">
        <v>387</v>
      </c>
      <c r="B61" s="37">
        <v>2</v>
      </c>
      <c r="C61" s="37"/>
      <c r="D61" s="44">
        <v>0</v>
      </c>
      <c r="E61" s="44">
        <v>0</v>
      </c>
      <c r="F61" s="44">
        <v>0</v>
      </c>
      <c r="G61" s="37">
        <v>1</v>
      </c>
      <c r="H61" s="37">
        <f t="shared" si="17"/>
        <v>2</v>
      </c>
      <c r="I61" s="72">
        <f>SUM('Base Data'!$D$38:$D$40)</f>
        <v>78</v>
      </c>
      <c r="J61" s="73">
        <f t="shared" si="18"/>
        <v>156</v>
      </c>
      <c r="K61" s="73">
        <f t="shared" si="19"/>
        <v>15.600000000000001</v>
      </c>
      <c r="L61" s="73">
        <f t="shared" si="20"/>
        <v>7.8000000000000007</v>
      </c>
      <c r="M61" s="37"/>
      <c r="N61" s="44">
        <f>(J61*'Base Data'!$C$5)+(K61*'Base Data'!$C$6)+(L61*'Base Data'!$C$7)</f>
        <v>16969.29</v>
      </c>
      <c r="O61" s="44">
        <f t="shared" si="21"/>
        <v>0</v>
      </c>
      <c r="P61" s="73">
        <v>0</v>
      </c>
      <c r="Q61" s="75" t="s">
        <v>339</v>
      </c>
      <c r="R61" s="115"/>
    </row>
    <row r="62" spans="1:19" s="6" customFormat="1" ht="9" customHeight="1">
      <c r="A62" s="111" t="s">
        <v>227</v>
      </c>
      <c r="B62" s="37">
        <v>2</v>
      </c>
      <c r="C62" s="37">
        <v>0</v>
      </c>
      <c r="D62" s="44">
        <v>0</v>
      </c>
      <c r="E62" s="44">
        <v>0</v>
      </c>
      <c r="F62" s="44">
        <v>0</v>
      </c>
      <c r="G62" s="37">
        <v>1</v>
      </c>
      <c r="H62" s="37">
        <f>B62*G62</f>
        <v>2</v>
      </c>
      <c r="I62" s="72">
        <f>I48</f>
        <v>540</v>
      </c>
      <c r="J62" s="73">
        <f>H62*I62</f>
        <v>1080</v>
      </c>
      <c r="K62" s="73">
        <f t="shared" si="19"/>
        <v>108</v>
      </c>
      <c r="L62" s="73">
        <f>J62*0.05</f>
        <v>54</v>
      </c>
      <c r="M62" s="37">
        <f>C62*G62*I62</f>
        <v>0</v>
      </c>
      <c r="N62" s="44">
        <f>(J62*'Base Data'!$C$5)+(K62*'Base Data'!$C$6)+(L62*'Base Data'!$C$7)</f>
        <v>117479.70000000001</v>
      </c>
      <c r="O62" s="44">
        <f>(D62+E62+F62)*G62*I62</f>
        <v>0</v>
      </c>
      <c r="P62" s="73">
        <v>0</v>
      </c>
      <c r="Q62" s="75" t="s">
        <v>240</v>
      </c>
      <c r="R62" s="115"/>
    </row>
    <row r="63" spans="1:19" s="6" customFormat="1" ht="18">
      <c r="A63" s="111" t="s">
        <v>432</v>
      </c>
      <c r="B63" s="37">
        <v>2</v>
      </c>
      <c r="C63" s="37">
        <v>0</v>
      </c>
      <c r="D63" s="44">
        <v>0</v>
      </c>
      <c r="E63" s="44">
        <v>0</v>
      </c>
      <c r="F63" s="44">
        <v>0</v>
      </c>
      <c r="G63" s="37">
        <v>2</v>
      </c>
      <c r="H63" s="37">
        <f t="shared" si="17"/>
        <v>4</v>
      </c>
      <c r="I63" s="72">
        <f>I49</f>
        <v>9</v>
      </c>
      <c r="J63" s="73">
        <f t="shared" si="18"/>
        <v>36</v>
      </c>
      <c r="K63" s="73">
        <f t="shared" si="19"/>
        <v>3.6</v>
      </c>
      <c r="L63" s="73">
        <f t="shared" si="20"/>
        <v>1.8</v>
      </c>
      <c r="M63" s="37">
        <f>C63*G63*I63</f>
        <v>0</v>
      </c>
      <c r="N63" s="44">
        <f>(J63*'Base Data'!$C$5)+(K63*'Base Data'!$C$6)+(L63*'Base Data'!$C$7)</f>
        <v>3915.9900000000002</v>
      </c>
      <c r="O63" s="44">
        <f t="shared" si="21"/>
        <v>0</v>
      </c>
      <c r="P63" s="73">
        <v>0</v>
      </c>
      <c r="Q63" s="75" t="s">
        <v>240</v>
      </c>
      <c r="R63" s="115"/>
    </row>
    <row r="64" spans="1:19" s="6" customFormat="1" ht="9">
      <c r="A64" s="111" t="s">
        <v>231</v>
      </c>
      <c r="B64" s="37">
        <v>0.5</v>
      </c>
      <c r="C64" s="37"/>
      <c r="D64" s="44">
        <v>0</v>
      </c>
      <c r="E64" s="44">
        <v>0</v>
      </c>
      <c r="F64" s="44">
        <v>0</v>
      </c>
      <c r="G64" s="37">
        <v>12</v>
      </c>
      <c r="H64" s="37">
        <f t="shared" si="17"/>
        <v>6</v>
      </c>
      <c r="I64" s="72">
        <f>SUM('Base Data'!$D$28:$D$30,'Base Data'!$D$33:$D$35,'Base Data'!$D$38:$D$40)</f>
        <v>4549</v>
      </c>
      <c r="J64" s="73">
        <f t="shared" si="18"/>
        <v>27294</v>
      </c>
      <c r="K64" s="73">
        <f t="shared" si="19"/>
        <v>2729.4</v>
      </c>
      <c r="L64" s="73">
        <f t="shared" si="20"/>
        <v>1364.7</v>
      </c>
      <c r="M64" s="37"/>
      <c r="N64" s="44">
        <f>(J64*'Base Data'!$C$5)+(K64*'Base Data'!$C$6)+(L64*'Base Data'!$C$7)</f>
        <v>2968973.0850000004</v>
      </c>
      <c r="O64" s="44">
        <f t="shared" si="21"/>
        <v>0</v>
      </c>
      <c r="P64" s="73">
        <v>0</v>
      </c>
      <c r="Q64" s="75" t="s">
        <v>89</v>
      </c>
      <c r="R64" s="115"/>
    </row>
    <row r="65" spans="1:18" s="6" customFormat="1" ht="9">
      <c r="A65" s="260" t="s">
        <v>433</v>
      </c>
      <c r="B65" s="37">
        <v>0.25</v>
      </c>
      <c r="C65" s="37"/>
      <c r="D65" s="44">
        <v>0</v>
      </c>
      <c r="E65" s="44">
        <v>0</v>
      </c>
      <c r="F65" s="44">
        <v>0</v>
      </c>
      <c r="G65" s="37">
        <v>1</v>
      </c>
      <c r="H65" s="37">
        <f>B65*G65</f>
        <v>0.25</v>
      </c>
      <c r="I65" s="72">
        <f>SUM('Base Data'!$D$28:$D$30,'Base Data'!$D$33:$D$35)</f>
        <v>4471</v>
      </c>
      <c r="J65" s="72">
        <f>H65*I65</f>
        <v>1117.75</v>
      </c>
      <c r="K65" s="72">
        <f>J65*0.1</f>
        <v>111.77500000000001</v>
      </c>
      <c r="L65" s="72">
        <f>J65*0.05</f>
        <v>55.887500000000003</v>
      </c>
      <c r="M65" s="37">
        <f>C65*G65*I65</f>
        <v>0</v>
      </c>
      <c r="N65" s="44">
        <f>(J65*'Base Data'!$C$5)+(K65*'Base Data'!$C$6)+(L65*'Base Data'!$C$7)</f>
        <v>121586.050625</v>
      </c>
      <c r="O65" s="44">
        <f>(D65+E65+F65)*G65*I65</f>
        <v>0</v>
      </c>
      <c r="P65" s="73">
        <v>0</v>
      </c>
      <c r="Q65" s="75" t="s">
        <v>339</v>
      </c>
      <c r="R65" s="115"/>
    </row>
    <row r="66" spans="1:18" s="6" customFormat="1" ht="9">
      <c r="A66" s="110" t="s">
        <v>378</v>
      </c>
      <c r="B66" s="37">
        <v>40</v>
      </c>
      <c r="C66" s="37"/>
      <c r="D66" s="44">
        <v>0</v>
      </c>
      <c r="E66" s="44">
        <v>0</v>
      </c>
      <c r="F66" s="44">
        <v>0</v>
      </c>
      <c r="G66" s="37">
        <v>1</v>
      </c>
      <c r="H66" s="37">
        <f t="shared" ref="H66" si="22">B66*G66</f>
        <v>40</v>
      </c>
      <c r="I66" s="72">
        <f>ROUNDDOWN(SUM('Base Data'!$H$28:$H$30,'Base Data'!$H$33:$H$35,'Base Data'!$H$38:$H$40)/2,0)</f>
        <v>274</v>
      </c>
      <c r="J66" s="73">
        <f t="shared" ref="J66" si="23">H66*I66</f>
        <v>10960</v>
      </c>
      <c r="K66" s="73">
        <f t="shared" ref="K66" si="24">J66*0.1</f>
        <v>1096</v>
      </c>
      <c r="L66" s="73">
        <f t="shared" ref="L66" si="25">J66*0.05</f>
        <v>548</v>
      </c>
      <c r="M66" s="37"/>
      <c r="N66" s="44">
        <f>(J66*'Base Data'!$C$5)+(K66*'Base Data'!$C$6)+(L66*'Base Data'!$C$7)</f>
        <v>1192201.3999999999</v>
      </c>
      <c r="O66" s="44">
        <f t="shared" ref="O66" si="26">(D66+E66+F66)*G66*I66</f>
        <v>0</v>
      </c>
      <c r="P66" s="73">
        <v>0</v>
      </c>
      <c r="Q66" s="75" t="s">
        <v>496</v>
      </c>
    </row>
    <row r="67" spans="1:18" s="6" customFormat="1">
      <c r="A67" s="110" t="s">
        <v>379</v>
      </c>
      <c r="B67" s="37" t="s">
        <v>384</v>
      </c>
      <c r="C67" s="37"/>
      <c r="D67" s="44"/>
      <c r="E67" s="44"/>
      <c r="F67" s="44"/>
      <c r="G67" s="37"/>
      <c r="H67" s="37"/>
      <c r="I67" s="73"/>
      <c r="J67" s="73"/>
      <c r="K67" s="73"/>
      <c r="L67" s="73"/>
      <c r="M67" s="37"/>
      <c r="N67" s="44"/>
      <c r="O67" s="44"/>
      <c r="P67" s="73"/>
      <c r="Q67" s="75"/>
      <c r="R67" s="134"/>
    </row>
    <row r="68" spans="1:18" s="6" customFormat="1">
      <c r="A68" s="190" t="s">
        <v>26</v>
      </c>
      <c r="B68" s="184"/>
      <c r="C68" s="184"/>
      <c r="D68" s="185"/>
      <c r="E68" s="185"/>
      <c r="F68" s="185"/>
      <c r="G68" s="184"/>
      <c r="H68" s="184"/>
      <c r="I68" s="186"/>
      <c r="J68" s="186">
        <f t="shared" ref="J68:O68" si="27">SUM(J54:J67)</f>
        <v>43529.75</v>
      </c>
      <c r="K68" s="186">
        <f t="shared" si="27"/>
        <v>4352.9750000000004</v>
      </c>
      <c r="L68" s="186">
        <f t="shared" si="27"/>
        <v>2176.4875000000002</v>
      </c>
      <c r="M68" s="185">
        <f t="shared" si="27"/>
        <v>0</v>
      </c>
      <c r="N68" s="185">
        <f t="shared" si="27"/>
        <v>4735057.3806250002</v>
      </c>
      <c r="O68" s="185">
        <f t="shared" si="27"/>
        <v>0</v>
      </c>
      <c r="P68" s="186"/>
      <c r="Q68" s="187"/>
      <c r="R68" s="88"/>
    </row>
    <row r="69" spans="1:18" s="2" customFormat="1">
      <c r="A69" s="19" t="s">
        <v>351</v>
      </c>
      <c r="B69" s="20"/>
      <c r="C69" s="20"/>
      <c r="D69" s="20"/>
      <c r="E69" s="20"/>
      <c r="F69" s="42"/>
      <c r="G69" s="20"/>
      <c r="H69" s="20"/>
      <c r="I69" s="21"/>
      <c r="J69" s="22">
        <f>J52+J68</f>
        <v>141202.75</v>
      </c>
      <c r="K69" s="22">
        <f t="shared" ref="K69:P69" si="28">K52+K68</f>
        <v>14120.275</v>
      </c>
      <c r="L69" s="22">
        <f t="shared" si="28"/>
        <v>7060.1374999999998</v>
      </c>
      <c r="M69" s="33">
        <f t="shared" si="28"/>
        <v>0</v>
      </c>
      <c r="N69" s="33">
        <f t="shared" si="28"/>
        <v>15359682.138125001</v>
      </c>
      <c r="O69" s="33">
        <f t="shared" si="28"/>
        <v>20413580</v>
      </c>
      <c r="P69" s="22">
        <f t="shared" si="28"/>
        <v>2452</v>
      </c>
      <c r="Q69" s="39"/>
      <c r="R69" s="13"/>
    </row>
    <row r="70" spans="1:18" ht="6" customHeight="1">
      <c r="B70" s="46"/>
      <c r="C70" s="46"/>
      <c r="D70" s="46"/>
      <c r="E70" s="46"/>
      <c r="F70" s="46"/>
      <c r="G70" s="46"/>
      <c r="H70" s="46"/>
      <c r="I70" s="47"/>
      <c r="R70" s="13"/>
    </row>
    <row r="71" spans="1:18" s="13" customFormat="1" ht="9">
      <c r="A71" s="13" t="s">
        <v>341</v>
      </c>
      <c r="B71" s="48"/>
      <c r="C71" s="48"/>
      <c r="D71" s="48"/>
      <c r="E71" s="48"/>
      <c r="F71" s="48"/>
      <c r="G71" s="48"/>
      <c r="H71" s="48"/>
      <c r="I71" s="49"/>
      <c r="J71" s="14"/>
      <c r="K71" s="14"/>
      <c r="L71" s="14"/>
      <c r="M71" s="14"/>
      <c r="N71" s="14"/>
      <c r="O71" s="16"/>
      <c r="P71" s="16"/>
      <c r="Q71" s="14"/>
    </row>
    <row r="72" spans="1:18" s="13" customFormat="1" ht="22.5" customHeight="1">
      <c r="A72" s="498" t="s">
        <v>152</v>
      </c>
      <c r="B72" s="498"/>
      <c r="C72" s="498"/>
      <c r="D72" s="498"/>
      <c r="E72" s="498"/>
      <c r="F72" s="498"/>
      <c r="G72" s="498"/>
      <c r="H72" s="498"/>
      <c r="I72" s="498"/>
      <c r="J72" s="498"/>
      <c r="K72" s="498"/>
      <c r="L72" s="498"/>
      <c r="M72" s="498"/>
      <c r="N72" s="498"/>
      <c r="O72" s="498"/>
      <c r="P72" s="52"/>
      <c r="Q72" s="14"/>
    </row>
    <row r="73" spans="1:18" s="13" customFormat="1" ht="27" customHeight="1">
      <c r="A73" s="498" t="s">
        <v>2</v>
      </c>
      <c r="B73" s="498"/>
      <c r="C73" s="498"/>
      <c r="D73" s="498"/>
      <c r="E73" s="498"/>
      <c r="F73" s="498"/>
      <c r="G73" s="498"/>
      <c r="H73" s="498"/>
      <c r="I73" s="498"/>
      <c r="J73" s="498"/>
      <c r="K73" s="498"/>
      <c r="L73" s="498"/>
      <c r="M73" s="498"/>
      <c r="N73" s="498"/>
      <c r="O73" s="498"/>
      <c r="P73" s="52"/>
      <c r="Q73" s="14"/>
    </row>
    <row r="74" spans="1:18" s="13" customFormat="1" ht="18" customHeight="1">
      <c r="A74" s="498" t="s">
        <v>94</v>
      </c>
      <c r="B74" s="498"/>
      <c r="C74" s="498"/>
      <c r="D74" s="498"/>
      <c r="E74" s="498"/>
      <c r="F74" s="498"/>
      <c r="G74" s="498"/>
      <c r="H74" s="498"/>
      <c r="I74" s="498"/>
      <c r="J74" s="498"/>
      <c r="K74" s="498"/>
      <c r="L74" s="498"/>
      <c r="M74" s="498"/>
      <c r="N74" s="498"/>
      <c r="O74" s="498"/>
      <c r="P74" s="498"/>
      <c r="Q74" s="498"/>
    </row>
    <row r="75" spans="1:18" s="13" customFormat="1" ht="10.5" customHeight="1">
      <c r="A75" s="13" t="s">
        <v>392</v>
      </c>
      <c r="B75" s="14"/>
      <c r="C75" s="14"/>
      <c r="D75" s="14"/>
      <c r="E75" s="14"/>
      <c r="F75" s="14"/>
      <c r="G75" s="14"/>
      <c r="H75" s="14"/>
      <c r="I75" s="15"/>
      <c r="J75" s="14"/>
      <c r="K75" s="14"/>
      <c r="L75" s="14"/>
      <c r="M75" s="14"/>
      <c r="N75" s="14"/>
      <c r="O75" s="16"/>
      <c r="P75" s="16"/>
      <c r="Q75" s="14"/>
    </row>
    <row r="76" spans="1:18" s="13" customFormat="1" ht="10.5" customHeight="1">
      <c r="A76" s="498" t="s">
        <v>486</v>
      </c>
      <c r="B76" s="498"/>
      <c r="C76" s="498"/>
      <c r="D76" s="498"/>
      <c r="E76" s="498"/>
      <c r="F76" s="498"/>
      <c r="G76" s="498"/>
      <c r="H76" s="498"/>
      <c r="I76" s="498"/>
      <c r="J76" s="498"/>
      <c r="K76" s="498"/>
      <c r="L76" s="498"/>
      <c r="M76" s="498"/>
      <c r="N76" s="14"/>
      <c r="O76" s="16"/>
      <c r="P76" s="16"/>
      <c r="Q76" s="14"/>
    </row>
    <row r="77" spans="1:18" s="13" customFormat="1" ht="9.75" customHeight="1">
      <c r="A77" s="45" t="s">
        <v>229</v>
      </c>
      <c r="B77" s="14"/>
      <c r="C77" s="14"/>
      <c r="D77" s="14"/>
      <c r="E77" s="14"/>
      <c r="F77" s="14"/>
      <c r="G77" s="14"/>
      <c r="H77" s="14"/>
      <c r="I77" s="15"/>
      <c r="J77" s="14"/>
      <c r="K77" s="14"/>
      <c r="L77" s="14"/>
      <c r="M77" s="14"/>
      <c r="N77" s="14"/>
      <c r="O77" s="16"/>
      <c r="P77" s="16"/>
      <c r="Q77" s="14"/>
    </row>
    <row r="78" spans="1:18" s="13" customFormat="1" ht="9.75" customHeight="1">
      <c r="A78" s="13" t="s">
        <v>608</v>
      </c>
      <c r="B78" s="14"/>
      <c r="C78" s="14"/>
      <c r="D78" s="14"/>
      <c r="E78" s="14"/>
      <c r="F78" s="14"/>
      <c r="G78" s="14"/>
      <c r="H78" s="14"/>
      <c r="I78" s="15"/>
      <c r="J78" s="14"/>
      <c r="K78" s="14"/>
      <c r="L78" s="14"/>
      <c r="M78" s="14"/>
      <c r="N78" s="14"/>
      <c r="O78" s="16"/>
      <c r="P78" s="16"/>
      <c r="Q78" s="14"/>
    </row>
    <row r="79" spans="1:18" s="13" customFormat="1" ht="9">
      <c r="A79" s="13" t="s">
        <v>491</v>
      </c>
      <c r="B79" s="14"/>
      <c r="C79" s="14"/>
      <c r="D79" s="14"/>
      <c r="E79" s="14"/>
      <c r="F79" s="14"/>
      <c r="G79" s="14"/>
      <c r="H79" s="14"/>
      <c r="I79" s="15"/>
      <c r="J79" s="14"/>
      <c r="K79" s="14"/>
      <c r="L79" s="14"/>
      <c r="M79" s="14"/>
      <c r="N79" s="14"/>
      <c r="O79" s="16"/>
      <c r="P79" s="16"/>
      <c r="Q79" s="14"/>
    </row>
    <row r="80" spans="1:18" s="13" customFormat="1" ht="9" customHeight="1">
      <c r="A80" s="494" t="s">
        <v>551</v>
      </c>
      <c r="B80" s="494"/>
      <c r="C80" s="494"/>
      <c r="D80" s="494"/>
      <c r="E80" s="494"/>
      <c r="F80" s="494"/>
      <c r="G80" s="494"/>
      <c r="H80" s="494"/>
      <c r="I80" s="494"/>
      <c r="J80" s="494"/>
      <c r="K80" s="494"/>
      <c r="L80" s="494"/>
      <c r="M80" s="494"/>
      <c r="N80" s="494"/>
      <c r="O80" s="494"/>
      <c r="P80" s="494"/>
      <c r="Q80" s="494"/>
    </row>
    <row r="81" spans="1:18" s="13" customFormat="1" ht="9">
      <c r="A81" s="78" t="s">
        <v>228</v>
      </c>
      <c r="B81" s="48"/>
      <c r="C81" s="48"/>
      <c r="D81" s="48"/>
      <c r="E81" s="48"/>
      <c r="F81" s="48"/>
      <c r="G81" s="48"/>
      <c r="H81" s="48"/>
      <c r="I81" s="49"/>
      <c r="J81" s="48"/>
      <c r="K81" s="48"/>
      <c r="L81" s="48"/>
      <c r="M81" s="48"/>
      <c r="N81" s="48"/>
      <c r="O81" s="16"/>
      <c r="P81" s="16"/>
      <c r="Q81" s="14"/>
    </row>
    <row r="82" spans="1:18" s="13" customFormat="1" ht="9">
      <c r="A82" s="65" t="s">
        <v>230</v>
      </c>
      <c r="B82" s="65"/>
      <c r="C82" s="65"/>
      <c r="D82" s="65"/>
      <c r="E82" s="65"/>
      <c r="F82" s="65"/>
      <c r="G82" s="65"/>
      <c r="H82" s="65"/>
      <c r="I82" s="65"/>
      <c r="J82" s="65"/>
      <c r="K82" s="65"/>
      <c r="L82" s="65"/>
      <c r="M82" s="65"/>
      <c r="N82" s="65"/>
      <c r="O82" s="16"/>
      <c r="P82" s="16"/>
      <c r="Q82" s="14"/>
    </row>
    <row r="83" spans="1:18" s="13" customFormat="1" ht="9" customHeight="1">
      <c r="A83" s="107" t="s">
        <v>494</v>
      </c>
      <c r="B83" s="14"/>
      <c r="C83" s="14"/>
      <c r="D83" s="14"/>
      <c r="E83" s="14"/>
      <c r="F83" s="14"/>
      <c r="G83" s="14"/>
      <c r="H83" s="14"/>
      <c r="I83" s="15"/>
      <c r="J83" s="14"/>
      <c r="K83" s="14"/>
      <c r="L83" s="14"/>
      <c r="M83" s="14"/>
      <c r="N83" s="14"/>
      <c r="O83" s="16"/>
      <c r="P83" s="16"/>
      <c r="Q83" s="14"/>
      <c r="R83" s="1"/>
    </row>
    <row r="84" spans="1:18" s="13" customFormat="1" ht="9" customHeight="1">
      <c r="A84" s="13" t="s">
        <v>495</v>
      </c>
      <c r="B84" s="14"/>
      <c r="C84" s="14"/>
      <c r="D84" s="14"/>
      <c r="E84" s="14"/>
      <c r="F84" s="14"/>
      <c r="G84" s="14"/>
      <c r="H84" s="14"/>
      <c r="I84" s="15"/>
      <c r="J84" s="14"/>
      <c r="K84" s="14"/>
      <c r="L84" s="14"/>
      <c r="M84" s="14"/>
      <c r="N84" s="14"/>
      <c r="O84" s="16"/>
      <c r="P84" s="16"/>
      <c r="Q84" s="14"/>
      <c r="R84" s="1"/>
    </row>
    <row r="85" spans="1:18" s="13" customFormat="1" ht="9" customHeight="1">
      <c r="A85" s="92" t="s">
        <v>515</v>
      </c>
      <c r="N85" s="14"/>
      <c r="O85" s="16"/>
      <c r="P85" s="16"/>
      <c r="Q85" s="14"/>
      <c r="R85" s="1"/>
    </row>
    <row r="86" spans="1:18" s="45" customFormat="1" ht="9">
      <c r="A86" s="494" t="s">
        <v>665</v>
      </c>
      <c r="B86" s="494"/>
      <c r="C86" s="494"/>
      <c r="D86" s="494"/>
      <c r="E86" s="494"/>
      <c r="F86" s="494"/>
      <c r="G86" s="494"/>
      <c r="H86" s="494"/>
      <c r="I86" s="494"/>
      <c r="J86" s="494"/>
      <c r="K86" s="494"/>
      <c r="L86" s="494"/>
      <c r="M86" s="494"/>
      <c r="N86" s="494"/>
      <c r="O86" s="494"/>
      <c r="P86" s="494"/>
      <c r="Q86" s="494"/>
    </row>
    <row r="87" spans="1:18" s="45" customFormat="1" ht="9">
      <c r="A87" s="494"/>
      <c r="B87" s="494"/>
      <c r="C87" s="494"/>
      <c r="D87" s="494"/>
      <c r="E87" s="494"/>
      <c r="F87" s="494"/>
      <c r="G87" s="494"/>
      <c r="H87" s="494"/>
      <c r="I87" s="494"/>
      <c r="J87" s="494"/>
      <c r="K87" s="494"/>
      <c r="L87" s="494"/>
      <c r="M87" s="494"/>
      <c r="N87" s="494"/>
      <c r="O87" s="494"/>
      <c r="P87" s="494"/>
      <c r="Q87" s="494"/>
    </row>
    <row r="88" spans="1:18" s="45" customFormat="1" ht="9">
      <c r="A88" s="494"/>
      <c r="B88" s="494"/>
      <c r="C88" s="494"/>
      <c r="D88" s="494"/>
      <c r="E88" s="494"/>
      <c r="F88" s="494"/>
      <c r="G88" s="494"/>
      <c r="H88" s="494"/>
      <c r="I88" s="494"/>
      <c r="J88" s="494"/>
      <c r="K88" s="494"/>
      <c r="L88" s="494"/>
      <c r="M88" s="494"/>
      <c r="N88" s="494"/>
      <c r="O88" s="494"/>
      <c r="P88" s="494"/>
      <c r="Q88" s="494"/>
    </row>
  </sheetData>
  <mergeCells count="8">
    <mergeCell ref="A86:Q88"/>
    <mergeCell ref="A76:M76"/>
    <mergeCell ref="A80:Q80"/>
    <mergeCell ref="A1:Q1"/>
    <mergeCell ref="A2:Q2"/>
    <mergeCell ref="A74:Q74"/>
    <mergeCell ref="A72:O72"/>
    <mergeCell ref="A73:O73"/>
  </mergeCells>
  <phoneticPr fontId="9" type="noConversion"/>
  <pageMargins left="0.25" right="0.25" top="0.5" bottom="0.5" header="0.5" footer="0.5"/>
  <pageSetup scale="65"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U119"/>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27" sqref="I27"/>
    </sheetView>
  </sheetViews>
  <sheetFormatPr defaultRowHeight="11.25"/>
  <cols>
    <col min="1" max="1" width="36.5703125" style="88" customWidth="1"/>
    <col min="2" max="2" width="9" style="46" bestFit="1" customWidth="1"/>
    <col min="3" max="3" width="8" style="46" hidden="1" customWidth="1"/>
    <col min="4" max="4" width="8.5703125" style="46" bestFit="1" customWidth="1"/>
    <col min="5" max="5" width="9" style="46" bestFit="1" customWidth="1"/>
    <col min="6" max="6" width="7.42578125" style="46" customWidth="1"/>
    <col min="7" max="7" width="9.42578125" style="46" bestFit="1" customWidth="1"/>
    <col min="8" max="8" width="8" style="46" bestFit="1" customWidth="1"/>
    <col min="9" max="9" width="8.42578125" style="47" bestFit="1" customWidth="1"/>
    <col min="10" max="11" width="7" style="46" bestFit="1" customWidth="1"/>
    <col min="12" max="12" width="8.28515625" style="46" customWidth="1"/>
    <col min="13" max="13" width="7.85546875" style="46" hidden="1" customWidth="1"/>
    <col min="14" max="14" width="10.140625" style="46" customWidth="1"/>
    <col min="15" max="15" width="10.85546875" style="145" bestFit="1" customWidth="1"/>
    <col min="16" max="16" width="7.28515625" style="145" customWidth="1"/>
    <col min="17" max="17" width="3.7109375" style="46" customWidth="1"/>
    <col min="18" max="18" width="7.85546875" style="88" hidden="1" customWidth="1"/>
    <col min="19" max="19" width="9.140625" style="88" hidden="1" customWidth="1"/>
    <col min="20" max="20" width="11.140625" style="88" customWidth="1"/>
    <col min="21" max="21" width="8.5703125" style="88" customWidth="1"/>
    <col min="22" max="16384" width="9.140625" style="88"/>
  </cols>
  <sheetData>
    <row r="1" spans="1:21">
      <c r="A1" s="496" t="s">
        <v>176</v>
      </c>
      <c r="B1" s="496"/>
      <c r="C1" s="496"/>
      <c r="D1" s="496"/>
      <c r="E1" s="496"/>
      <c r="F1" s="496"/>
      <c r="G1" s="496"/>
      <c r="H1" s="496"/>
      <c r="I1" s="496"/>
      <c r="J1" s="496"/>
      <c r="K1" s="496"/>
      <c r="L1" s="496"/>
      <c r="M1" s="496"/>
      <c r="N1" s="496"/>
      <c r="O1" s="496"/>
      <c r="P1" s="496"/>
      <c r="Q1" s="496"/>
    </row>
    <row r="2" spans="1:21">
      <c r="A2" s="497" t="s">
        <v>101</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ROUNDUP(SUM('Base Data'!$H$63:$H$65)/3,0)</f>
        <v>4</v>
      </c>
      <c r="J7" s="73">
        <f>H7*I7</f>
        <v>160</v>
      </c>
      <c r="K7" s="73">
        <f>J7*0.1</f>
        <v>16</v>
      </c>
      <c r="L7" s="72">
        <f>J7*0.05</f>
        <v>8</v>
      </c>
      <c r="M7" s="37">
        <f>C7*G7*I7</f>
        <v>0</v>
      </c>
      <c r="N7" s="44">
        <f>(J7*'Base Data'!$C$5)+(K7*'Base Data'!$C$6)+(L7*'Base Data'!$C$7)</f>
        <v>17404.399999999998</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ROUNDUP(SUM('Base Data'!$D$63:$D$65)/3,0)</f>
        <v>26</v>
      </c>
      <c r="J9" s="73">
        <f t="shared" ref="J9:J19" si="1">H9*I9</f>
        <v>312</v>
      </c>
      <c r="K9" s="73">
        <f t="shared" ref="K9:K19" si="2">J9*0.1</f>
        <v>31.200000000000003</v>
      </c>
      <c r="L9" s="73">
        <f t="shared" ref="L9:L19" si="3">J9*0.05</f>
        <v>15.600000000000001</v>
      </c>
      <c r="M9" s="74"/>
      <c r="N9" s="44">
        <f>(J9*'Base Data'!$C$5)+(K9*'Base Data'!$C$6)+(L9*'Base Data'!$C$7)</f>
        <v>33938.58</v>
      </c>
      <c r="O9" s="44">
        <f t="shared" ref="O9:O19" si="4">(D9+E9+F9)*G9*I9</f>
        <v>130000</v>
      </c>
      <c r="P9" s="73">
        <v>0</v>
      </c>
      <c r="Q9" s="75" t="s">
        <v>338</v>
      </c>
      <c r="U9" s="144"/>
    </row>
    <row r="10" spans="1:21" s="115" customFormat="1" ht="9">
      <c r="A10" s="111" t="s">
        <v>124</v>
      </c>
      <c r="B10" s="37">
        <v>12</v>
      </c>
      <c r="C10" s="37"/>
      <c r="D10" s="44">
        <v>0</v>
      </c>
      <c r="E10" s="44">
        <f>'Testing Costs'!$B$17</f>
        <v>8000</v>
      </c>
      <c r="F10" s="44">
        <v>0</v>
      </c>
      <c r="G10" s="37">
        <v>1</v>
      </c>
      <c r="H10" s="37">
        <f t="shared" si="0"/>
        <v>12</v>
      </c>
      <c r="I10" s="72">
        <f>ROUNDUP(SUM('Base Data'!$D$63:$D$65)/3,0)</f>
        <v>26</v>
      </c>
      <c r="J10" s="73">
        <f t="shared" si="1"/>
        <v>312</v>
      </c>
      <c r="K10" s="73">
        <f t="shared" si="2"/>
        <v>31.200000000000003</v>
      </c>
      <c r="L10" s="73">
        <f t="shared" si="3"/>
        <v>15.600000000000001</v>
      </c>
      <c r="M10" s="74"/>
      <c r="N10" s="44">
        <f>(J10*'Base Data'!$C$5)+(K10*'Base Data'!$C$6)+(L10*'Base Data'!$C$7)</f>
        <v>33938.58</v>
      </c>
      <c r="O10" s="44">
        <f t="shared" si="4"/>
        <v>208000</v>
      </c>
      <c r="P10" s="73">
        <v>0</v>
      </c>
      <c r="Q10" s="75" t="s">
        <v>338</v>
      </c>
      <c r="U10" s="144"/>
    </row>
    <row r="11" spans="1:21" s="115" customFormat="1" ht="9">
      <c r="A11" s="111" t="s">
        <v>125</v>
      </c>
      <c r="B11" s="37">
        <v>12</v>
      </c>
      <c r="C11" s="37"/>
      <c r="D11" s="44">
        <v>0</v>
      </c>
      <c r="E11" s="44">
        <f>'Testing Costs'!$B$15</f>
        <v>8000</v>
      </c>
      <c r="F11" s="44">
        <v>0</v>
      </c>
      <c r="G11" s="37">
        <v>1</v>
      </c>
      <c r="H11" s="37">
        <f t="shared" si="0"/>
        <v>12</v>
      </c>
      <c r="I11" s="72">
        <f>ROUNDUP(SUM('Base Data'!$D$63:$D$65)/3,0)</f>
        <v>26</v>
      </c>
      <c r="J11" s="73">
        <f t="shared" si="1"/>
        <v>312</v>
      </c>
      <c r="K11" s="73">
        <f t="shared" si="2"/>
        <v>31.200000000000003</v>
      </c>
      <c r="L11" s="73">
        <f t="shared" si="3"/>
        <v>15.600000000000001</v>
      </c>
      <c r="M11" s="74"/>
      <c r="N11" s="44">
        <f>(J11*'Base Data'!$C$5)+(K11*'Base Data'!$C$6)+(L11*'Base Data'!$C$7)</f>
        <v>33938.58</v>
      </c>
      <c r="O11" s="44">
        <f t="shared" si="4"/>
        <v>208000</v>
      </c>
      <c r="P11" s="73">
        <v>0</v>
      </c>
      <c r="Q11" s="75" t="s">
        <v>338</v>
      </c>
      <c r="U11" s="144"/>
    </row>
    <row r="12" spans="1:21" s="115" customFormat="1" ht="9">
      <c r="A12" s="111" t="s">
        <v>126</v>
      </c>
      <c r="B12" s="37">
        <v>12</v>
      </c>
      <c r="C12" s="37"/>
      <c r="D12" s="44">
        <v>0</v>
      </c>
      <c r="E12" s="44">
        <f>'Testing Costs'!$B$14</f>
        <v>7000</v>
      </c>
      <c r="F12" s="44">
        <v>0</v>
      </c>
      <c r="G12" s="37">
        <v>1</v>
      </c>
      <c r="H12" s="37">
        <f t="shared" si="0"/>
        <v>12</v>
      </c>
      <c r="I12" s="72">
        <f>ROUNDUP(SUM('Base Data'!$D$63:$D$65)/3,0)</f>
        <v>26</v>
      </c>
      <c r="J12" s="73">
        <f t="shared" si="1"/>
        <v>312</v>
      </c>
      <c r="K12" s="73">
        <f t="shared" si="2"/>
        <v>31.200000000000003</v>
      </c>
      <c r="L12" s="73">
        <f t="shared" si="3"/>
        <v>15.600000000000001</v>
      </c>
      <c r="M12" s="74"/>
      <c r="N12" s="44">
        <f>(J12*'Base Data'!$C$5)+(K12*'Base Data'!$C$6)+(L12*'Base Data'!$C$7)</f>
        <v>33938.58</v>
      </c>
      <c r="O12" s="44">
        <f t="shared" si="4"/>
        <v>182000</v>
      </c>
      <c r="P12" s="73">
        <v>0</v>
      </c>
      <c r="Q12" s="75" t="s">
        <v>338</v>
      </c>
      <c r="U12" s="144"/>
    </row>
    <row r="13" spans="1:21" s="115" customFormat="1" ht="9" customHeight="1">
      <c r="A13" s="111" t="s">
        <v>535</v>
      </c>
      <c r="B13" s="37">
        <v>12</v>
      </c>
      <c r="C13" s="37"/>
      <c r="D13" s="44">
        <v>0</v>
      </c>
      <c r="E13" s="44">
        <f>'Testing Costs'!$B$13</f>
        <v>5000</v>
      </c>
      <c r="F13" s="44">
        <v>0</v>
      </c>
      <c r="G13" s="37">
        <v>1</v>
      </c>
      <c r="H13" s="37">
        <f t="shared" si="0"/>
        <v>12</v>
      </c>
      <c r="I13" s="72">
        <v>0</v>
      </c>
      <c r="J13" s="73">
        <f t="shared" si="1"/>
        <v>0</v>
      </c>
      <c r="K13" s="73">
        <f t="shared" si="2"/>
        <v>0</v>
      </c>
      <c r="L13" s="73">
        <f t="shared" si="3"/>
        <v>0</v>
      </c>
      <c r="M13" s="74"/>
      <c r="N13" s="44">
        <f>(J13*'Base Data'!$C$5)+(K13*'Base Data'!$C$6)+(L13*'Base Data'!$C$7)</f>
        <v>0</v>
      </c>
      <c r="O13" s="44">
        <f t="shared" si="4"/>
        <v>0</v>
      </c>
      <c r="P13" s="73">
        <v>0</v>
      </c>
      <c r="Q13" s="75" t="s">
        <v>338</v>
      </c>
      <c r="U13" s="144"/>
    </row>
    <row r="14" spans="1:21" s="115" customFormat="1" ht="9">
      <c r="A14" s="111" t="s">
        <v>536</v>
      </c>
      <c r="B14" s="37">
        <v>12</v>
      </c>
      <c r="C14" s="37"/>
      <c r="D14" s="44">
        <v>0</v>
      </c>
      <c r="E14" s="44">
        <f>'Testing Costs'!$B$17</f>
        <v>8000</v>
      </c>
      <c r="F14" s="44">
        <v>0</v>
      </c>
      <c r="G14" s="37">
        <v>1</v>
      </c>
      <c r="H14" s="37">
        <f t="shared" si="0"/>
        <v>12</v>
      </c>
      <c r="I14" s="72">
        <v>0</v>
      </c>
      <c r="J14" s="73">
        <f t="shared" si="1"/>
        <v>0</v>
      </c>
      <c r="K14" s="73">
        <f t="shared" si="2"/>
        <v>0</v>
      </c>
      <c r="L14" s="73">
        <f t="shared" si="3"/>
        <v>0</v>
      </c>
      <c r="M14" s="74"/>
      <c r="N14" s="44">
        <f>(J14*'Base Data'!$C$5)+(K14*'Base Data'!$C$6)+(L14*'Base Data'!$C$7)</f>
        <v>0</v>
      </c>
      <c r="O14" s="44">
        <f t="shared" si="4"/>
        <v>0</v>
      </c>
      <c r="P14" s="73">
        <v>0</v>
      </c>
      <c r="Q14" s="75" t="s">
        <v>338</v>
      </c>
      <c r="U14" s="144"/>
    </row>
    <row r="15" spans="1:21" s="115" customFormat="1" ht="9">
      <c r="A15" s="111" t="s">
        <v>537</v>
      </c>
      <c r="B15" s="37">
        <v>12</v>
      </c>
      <c r="C15" s="37"/>
      <c r="D15" s="44">
        <v>0</v>
      </c>
      <c r="E15" s="44">
        <f>'Testing Costs'!$B$15</f>
        <v>8000</v>
      </c>
      <c r="F15" s="44">
        <v>0</v>
      </c>
      <c r="G15" s="37">
        <v>1</v>
      </c>
      <c r="H15" s="37">
        <f t="shared" si="0"/>
        <v>12</v>
      </c>
      <c r="I15" s="72">
        <v>0</v>
      </c>
      <c r="J15" s="73">
        <f t="shared" si="1"/>
        <v>0</v>
      </c>
      <c r="K15" s="73">
        <f t="shared" si="2"/>
        <v>0</v>
      </c>
      <c r="L15" s="73">
        <f t="shared" si="3"/>
        <v>0</v>
      </c>
      <c r="M15" s="74"/>
      <c r="N15" s="44">
        <f>(J15*'Base Data'!$C$5)+(K15*'Base Data'!$C$6)+(L15*'Base Data'!$C$7)</f>
        <v>0</v>
      </c>
      <c r="O15" s="44">
        <f t="shared" si="4"/>
        <v>0</v>
      </c>
      <c r="P15" s="73">
        <v>0</v>
      </c>
      <c r="Q15" s="75" t="s">
        <v>338</v>
      </c>
      <c r="U15" s="144"/>
    </row>
    <row r="16" spans="1:21" s="115" customFormat="1" ht="9">
      <c r="A16" s="111" t="s">
        <v>538</v>
      </c>
      <c r="B16" s="37">
        <v>12</v>
      </c>
      <c r="C16" s="37"/>
      <c r="D16" s="44">
        <v>0</v>
      </c>
      <c r="E16" s="44">
        <f>'Testing Costs'!$B$14</f>
        <v>7000</v>
      </c>
      <c r="F16" s="44">
        <v>0</v>
      </c>
      <c r="G16" s="37">
        <v>1</v>
      </c>
      <c r="H16" s="37">
        <f t="shared" si="0"/>
        <v>12</v>
      </c>
      <c r="I16" s="72">
        <v>0</v>
      </c>
      <c r="J16" s="73">
        <f t="shared" si="1"/>
        <v>0</v>
      </c>
      <c r="K16" s="73">
        <f t="shared" si="2"/>
        <v>0</v>
      </c>
      <c r="L16" s="73">
        <f t="shared" si="3"/>
        <v>0</v>
      </c>
      <c r="M16" s="74"/>
      <c r="N16" s="44">
        <f>(J16*'Base Data'!$C$5)+(K16*'Base Data'!$C$6)+(L16*'Base Data'!$C$7)</f>
        <v>0</v>
      </c>
      <c r="O16" s="44">
        <f t="shared" si="4"/>
        <v>0</v>
      </c>
      <c r="P16" s="73">
        <v>0</v>
      </c>
      <c r="Q16" s="75" t="s">
        <v>338</v>
      </c>
      <c r="U16" s="144"/>
    </row>
    <row r="17" spans="1:21" s="115" customFormat="1" ht="18">
      <c r="A17" s="259" t="s">
        <v>539</v>
      </c>
      <c r="B17" s="37">
        <v>24</v>
      </c>
      <c r="C17" s="258"/>
      <c r="D17" s="44">
        <v>0</v>
      </c>
      <c r="E17" s="44">
        <f>$E$10+$E$11</f>
        <v>16000</v>
      </c>
      <c r="F17" s="44">
        <v>0</v>
      </c>
      <c r="G17" s="37">
        <v>1</v>
      </c>
      <c r="H17" s="37">
        <f t="shared" si="0"/>
        <v>24</v>
      </c>
      <c r="I17" s="72">
        <f>ROUNDUP(SUM('Base Data'!$D$63:$D$65)/3,0)</f>
        <v>26</v>
      </c>
      <c r="J17" s="73">
        <f t="shared" si="1"/>
        <v>624</v>
      </c>
      <c r="K17" s="73">
        <f t="shared" si="2"/>
        <v>62.400000000000006</v>
      </c>
      <c r="L17" s="73">
        <f t="shared" si="3"/>
        <v>31.200000000000003</v>
      </c>
      <c r="M17" s="74"/>
      <c r="N17" s="44">
        <f>(J17*'Base Data'!$C$5)+(K17*'Base Data'!$C$6)+(L17*'Base Data'!$C$7)</f>
        <v>67877.16</v>
      </c>
      <c r="O17" s="44">
        <f t="shared" si="4"/>
        <v>416000</v>
      </c>
      <c r="P17" s="73">
        <v>0</v>
      </c>
      <c r="Q17" s="75" t="s">
        <v>556</v>
      </c>
    </row>
    <row r="18" spans="1:21" s="115" customFormat="1" ht="9" customHeight="1">
      <c r="A18" s="111" t="s">
        <v>540</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v>0</v>
      </c>
      <c r="Q18" s="75" t="s">
        <v>499</v>
      </c>
      <c r="U18" s="144"/>
    </row>
    <row r="19" spans="1:21" s="115" customFormat="1" ht="9" customHeight="1">
      <c r="A19" s="111" t="s">
        <v>541</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v>0</v>
      </c>
      <c r="Q19" s="75" t="s">
        <v>499</v>
      </c>
      <c r="U19" s="144"/>
    </row>
    <row r="20" spans="1:21" s="115" customFormat="1" ht="9">
      <c r="A20" s="110" t="s">
        <v>542</v>
      </c>
      <c r="B20" s="37">
        <v>12</v>
      </c>
      <c r="C20" s="37"/>
      <c r="D20" s="44">
        <v>0</v>
      </c>
      <c r="E20" s="44">
        <v>2875</v>
      </c>
      <c r="F20" s="44">
        <v>0</v>
      </c>
      <c r="G20" s="37">
        <v>1</v>
      </c>
      <c r="H20" s="37">
        <f>B20*G20</f>
        <v>12</v>
      </c>
      <c r="I20" s="72">
        <f>ROUNDUP(SUM('Base Data'!$D$63:$D$65)/3,0)</f>
        <v>26</v>
      </c>
      <c r="J20" s="72">
        <f>H20*I20</f>
        <v>312</v>
      </c>
      <c r="K20" s="72">
        <f>J20*0.1</f>
        <v>31.200000000000003</v>
      </c>
      <c r="L20" s="72">
        <f>J20*0.05</f>
        <v>15.600000000000001</v>
      </c>
      <c r="M20" s="73"/>
      <c r="N20" s="44">
        <f>(J20*'Base Data'!$C$5)+(K20*'Base Data'!$C$6)+(L20*'Base Data'!$C$7)</f>
        <v>33938.58</v>
      </c>
      <c r="O20" s="44">
        <f>(D20+E20+F20)*G20*I20</f>
        <v>74750</v>
      </c>
      <c r="P20" s="73">
        <v>0</v>
      </c>
      <c r="Q20" s="75" t="s">
        <v>242</v>
      </c>
      <c r="R20" s="342"/>
    </row>
    <row r="21" spans="1:21" s="115" customFormat="1" ht="9">
      <c r="A21" s="111" t="s">
        <v>527</v>
      </c>
      <c r="B21" s="37"/>
      <c r="C21" s="37"/>
      <c r="D21" s="44"/>
      <c r="E21" s="44"/>
      <c r="F21" s="44"/>
      <c r="G21" s="37"/>
      <c r="H21" s="37"/>
      <c r="I21" s="73"/>
      <c r="J21" s="73"/>
      <c r="K21" s="73"/>
      <c r="L21" s="73"/>
      <c r="M21" s="74"/>
      <c r="N21" s="44"/>
      <c r="O21" s="44"/>
      <c r="P21" s="73"/>
      <c r="Q21" s="75" t="s">
        <v>16</v>
      </c>
      <c r="U21" s="144"/>
    </row>
    <row r="22" spans="1:21" s="115" customFormat="1" ht="9">
      <c r="A22" s="111" t="s">
        <v>383</v>
      </c>
      <c r="B22" s="37">
        <v>40</v>
      </c>
      <c r="C22" s="37"/>
      <c r="D22" s="44">
        <v>0</v>
      </c>
      <c r="E22" s="44"/>
      <c r="F22" s="44">
        <v>0</v>
      </c>
      <c r="G22" s="37">
        <v>1</v>
      </c>
      <c r="H22" s="37">
        <f>B22*G22</f>
        <v>40</v>
      </c>
      <c r="I22" s="72">
        <f>ROUNDUP(SUM('Base Data'!$H$63:$H$65)/3,0)</f>
        <v>4</v>
      </c>
      <c r="J22" s="73">
        <f>H22*I22</f>
        <v>160</v>
      </c>
      <c r="K22" s="73">
        <f>J22*0.1</f>
        <v>16</v>
      </c>
      <c r="L22" s="73">
        <f>J22*0.05</f>
        <v>8</v>
      </c>
      <c r="M22" s="74"/>
      <c r="N22" s="44">
        <f>(J22*'Base Data'!$C$5)+(K22*'Base Data'!$C$6)+(L22*'Base Data'!$C$7)</f>
        <v>17404.399999999998</v>
      </c>
      <c r="O22" s="44">
        <f>(D22+E22+F22)*G22*I22</f>
        <v>0</v>
      </c>
      <c r="P22" s="73">
        <v>0</v>
      </c>
      <c r="Q22" s="75" t="s">
        <v>338</v>
      </c>
      <c r="U22" s="144"/>
    </row>
    <row r="23" spans="1:21" s="115" customFormat="1" ht="9">
      <c r="A23" s="110" t="s">
        <v>361</v>
      </c>
      <c r="B23" s="37"/>
      <c r="C23" s="37"/>
      <c r="D23" s="44"/>
      <c r="E23" s="44"/>
      <c r="F23" s="44"/>
      <c r="G23" s="37"/>
      <c r="H23" s="37"/>
      <c r="I23" s="73"/>
      <c r="J23" s="73"/>
      <c r="K23" s="73"/>
      <c r="L23" s="73"/>
      <c r="M23" s="74"/>
      <c r="N23" s="44"/>
      <c r="O23" s="44"/>
      <c r="P23" s="73"/>
      <c r="Q23" s="75"/>
      <c r="U23" s="144"/>
    </row>
    <row r="24" spans="1:21" s="115" customFormat="1" ht="9">
      <c r="A24" s="110" t="s">
        <v>362</v>
      </c>
      <c r="B24" s="37">
        <v>10</v>
      </c>
      <c r="C24" s="37"/>
      <c r="D24" s="44">
        <v>0</v>
      </c>
      <c r="E24" s="44">
        <v>0</v>
      </c>
      <c r="F24" s="44">
        <v>43100</v>
      </c>
      <c r="G24" s="37">
        <v>1</v>
      </c>
      <c r="H24" s="37">
        <f>B24*G24</f>
        <v>10</v>
      </c>
      <c r="I24" s="72">
        <f>ROUNDUP(Monitors!$C$21/3,0)</f>
        <v>26</v>
      </c>
      <c r="J24" s="73">
        <f>H24*I24</f>
        <v>260</v>
      </c>
      <c r="K24" s="73">
        <f>J24*0.1</f>
        <v>26</v>
      </c>
      <c r="L24" s="73">
        <f>J24*0.05</f>
        <v>13</v>
      </c>
      <c r="M24" s="74"/>
      <c r="N24" s="44">
        <f>(J24*'Base Data'!$C$5)+(K24*'Base Data'!$C$6)+(L24*'Base Data'!$C$7)</f>
        <v>28282.149999999998</v>
      </c>
      <c r="O24" s="44">
        <f>(D24+E24+F24)*G24*I24</f>
        <v>1120600</v>
      </c>
      <c r="P24" s="73">
        <v>0</v>
      </c>
      <c r="Q24" s="75" t="s">
        <v>338</v>
      </c>
      <c r="U24" s="144"/>
    </row>
    <row r="25" spans="1:21" s="115" customFormat="1" ht="9">
      <c r="A25" s="110" t="s">
        <v>365</v>
      </c>
      <c r="B25" s="37">
        <v>10</v>
      </c>
      <c r="C25" s="37"/>
      <c r="D25" s="44">
        <v>0</v>
      </c>
      <c r="E25" s="44">
        <v>0</v>
      </c>
      <c r="F25" s="44">
        <v>14700</v>
      </c>
      <c r="G25" s="37">
        <v>1</v>
      </c>
      <c r="H25" s="37">
        <f>B25*G25</f>
        <v>10</v>
      </c>
      <c r="I25" s="72">
        <f>ROUNDUP(Monitors!$C$21/3,0)</f>
        <v>26</v>
      </c>
      <c r="J25" s="73">
        <f>H25*I25</f>
        <v>260</v>
      </c>
      <c r="K25" s="73">
        <f>J25*0.1</f>
        <v>26</v>
      </c>
      <c r="L25" s="73">
        <f>J25*0.05</f>
        <v>13</v>
      </c>
      <c r="M25" s="74"/>
      <c r="N25" s="44">
        <f>(J25*'Base Data'!$C$5)+(K25*'Base Data'!$C$6)+(L25*'Base Data'!$C$7)</f>
        <v>28282.149999999998</v>
      </c>
      <c r="O25" s="44">
        <f>(D25+E25+F25)*G25*I25</f>
        <v>382200</v>
      </c>
      <c r="P25" s="73">
        <v>0</v>
      </c>
      <c r="Q25" s="75" t="s">
        <v>338</v>
      </c>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617</v>
      </c>
      <c r="U27" s="144"/>
    </row>
    <row r="28" spans="1:21" s="115" customFormat="1" ht="9">
      <c r="A28" s="110" t="s">
        <v>365</v>
      </c>
      <c r="B28" s="37">
        <v>10</v>
      </c>
      <c r="C28" s="37"/>
      <c r="D28" s="44">
        <v>0</v>
      </c>
      <c r="E28" s="44">
        <v>0</v>
      </c>
      <c r="F28" s="44">
        <v>56100</v>
      </c>
      <c r="G28" s="37">
        <v>1</v>
      </c>
      <c r="H28" s="37">
        <f>B28*G28</f>
        <v>10</v>
      </c>
      <c r="I28" s="72">
        <v>0</v>
      </c>
      <c r="J28" s="73">
        <f>H28*I28</f>
        <v>0</v>
      </c>
      <c r="K28" s="73">
        <f>J28*0.1</f>
        <v>0</v>
      </c>
      <c r="L28" s="73">
        <f>J28*0.05</f>
        <v>0</v>
      </c>
      <c r="M28" s="74"/>
      <c r="N28" s="44">
        <f>(J28*'Base Data'!$C$5)+(K28*'Base Data'!$C$6)+(L28*'Base Data'!$C$7)</f>
        <v>0</v>
      </c>
      <c r="O28" s="44">
        <f>(D28+E28+F28)*G28*I28</f>
        <v>0</v>
      </c>
      <c r="P28" s="73">
        <v>0</v>
      </c>
      <c r="Q28" s="75" t="s">
        <v>617</v>
      </c>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5">B30*G30</f>
        <v>10</v>
      </c>
      <c r="I30" s="72">
        <f>ROUNDUP(Monitors!$F$21/3,0)</f>
        <v>26</v>
      </c>
      <c r="J30" s="73">
        <f t="shared" ref="J30:J31" si="6">H30*I30</f>
        <v>260</v>
      </c>
      <c r="K30" s="73">
        <f t="shared" ref="K30:K31" si="7">J30*0.1</f>
        <v>26</v>
      </c>
      <c r="L30" s="73">
        <f t="shared" ref="L30:L31" si="8">J30*0.05</f>
        <v>13</v>
      </c>
      <c r="M30" s="74"/>
      <c r="N30" s="44">
        <f>(J30*'Base Data'!$C$5)+(K30*'Base Data'!$C$6)+(L30*'Base Data'!$C$7)</f>
        <v>28282.149999999998</v>
      </c>
      <c r="O30" s="44">
        <f>(D30+E30+F30)*G30*I30</f>
        <v>221598</v>
      </c>
      <c r="P30" s="73">
        <v>0</v>
      </c>
      <c r="Q30" s="75" t="s">
        <v>338</v>
      </c>
    </row>
    <row r="31" spans="1:21" s="115" customFormat="1" ht="9">
      <c r="A31" s="110" t="s">
        <v>365</v>
      </c>
      <c r="B31" s="37">
        <v>10</v>
      </c>
      <c r="C31" s="37"/>
      <c r="D31" s="44">
        <v>0</v>
      </c>
      <c r="E31" s="44">
        <v>0</v>
      </c>
      <c r="F31" s="44">
        <f>Monitors!$G$32</f>
        <v>1436</v>
      </c>
      <c r="G31" s="37">
        <v>1</v>
      </c>
      <c r="H31" s="37">
        <f t="shared" si="5"/>
        <v>10</v>
      </c>
      <c r="I31" s="72">
        <f>ROUNDUP(Monitors!$F$21/3,0)</f>
        <v>26</v>
      </c>
      <c r="J31" s="73">
        <f t="shared" si="6"/>
        <v>260</v>
      </c>
      <c r="K31" s="73">
        <f t="shared" si="7"/>
        <v>26</v>
      </c>
      <c r="L31" s="73">
        <f t="shared" si="8"/>
        <v>13</v>
      </c>
      <c r="M31" s="74"/>
      <c r="N31" s="44">
        <f>(J31*'Base Data'!$C$5)+(K31*'Base Data'!$C$6)+(L31*'Base Data'!$C$7)</f>
        <v>28282.149999999998</v>
      </c>
      <c r="O31" s="44">
        <f>(D31+E31+F31)*G31*I31</f>
        <v>37336</v>
      </c>
      <c r="P31" s="73">
        <v>0</v>
      </c>
      <c r="Q31" s="75" t="s">
        <v>338</v>
      </c>
    </row>
    <row r="32" spans="1:21" s="115" customFormat="1" ht="18">
      <c r="A32" s="111" t="s">
        <v>160</v>
      </c>
      <c r="B32" s="37"/>
      <c r="C32" s="37"/>
      <c r="D32" s="44"/>
      <c r="E32" s="44"/>
      <c r="F32" s="76"/>
      <c r="G32" s="37"/>
      <c r="H32" s="37"/>
      <c r="I32" s="72"/>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v>0</v>
      </c>
      <c r="J33" s="73">
        <f>H33*I33</f>
        <v>0</v>
      </c>
      <c r="K33" s="73">
        <f>J33*0.1</f>
        <v>0</v>
      </c>
      <c r="L33" s="73">
        <f>J33*0.05</f>
        <v>0</v>
      </c>
      <c r="M33" s="74"/>
      <c r="N33" s="44">
        <f>(J33*'Base Data'!$C$5)+(K33*'Base Data'!$C$6)+(L33*'Base Data'!$C$7)</f>
        <v>0</v>
      </c>
      <c r="O33" s="44">
        <f>(D33+E33+F33)*G33*I33</f>
        <v>0</v>
      </c>
      <c r="P33" s="73">
        <v>0</v>
      </c>
      <c r="Q33" s="75" t="s">
        <v>338</v>
      </c>
      <c r="U33" s="144"/>
    </row>
    <row r="34" spans="1:21" s="115" customFormat="1" ht="9">
      <c r="A34" s="110" t="s">
        <v>365</v>
      </c>
      <c r="B34" s="37">
        <v>10</v>
      </c>
      <c r="C34" s="37"/>
      <c r="D34" s="44">
        <v>0</v>
      </c>
      <c r="E34" s="44">
        <v>0</v>
      </c>
      <c r="F34" s="44">
        <v>5600</v>
      </c>
      <c r="G34" s="37">
        <v>1</v>
      </c>
      <c r="H34" s="37">
        <f>B34*G34</f>
        <v>10</v>
      </c>
      <c r="I34" s="72">
        <v>0</v>
      </c>
      <c r="J34" s="73">
        <f>H34*I34</f>
        <v>0</v>
      </c>
      <c r="K34" s="73">
        <f>J34*0.1</f>
        <v>0</v>
      </c>
      <c r="L34" s="73">
        <f>J34*0.05</f>
        <v>0</v>
      </c>
      <c r="M34" s="74"/>
      <c r="N34" s="44">
        <f>(J34*'Base Data'!$C$5)+(K34*'Base Data'!$C$6)+(L34*'Base Data'!$C$7)</f>
        <v>0</v>
      </c>
      <c r="O34" s="44">
        <f>(D34+E34+F34)*G34*I34</f>
        <v>0</v>
      </c>
      <c r="P34" s="73">
        <v>0</v>
      </c>
      <c r="Q34" s="75" t="s">
        <v>338</v>
      </c>
      <c r="U34" s="144"/>
    </row>
    <row r="35" spans="1:21" s="115" customFormat="1" ht="18">
      <c r="A35" s="111" t="s">
        <v>425</v>
      </c>
      <c r="B35" s="37"/>
      <c r="C35" s="37"/>
      <c r="D35" s="44"/>
      <c r="E35" s="44"/>
      <c r="F35" s="44"/>
      <c r="G35" s="37"/>
      <c r="H35" s="37"/>
      <c r="I35" s="72"/>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ROUNDUP(Monitors!$B$21/3,0)</f>
        <v>26</v>
      </c>
      <c r="J36" s="73">
        <f>H36*I36</f>
        <v>260</v>
      </c>
      <c r="K36" s="73">
        <f>J36*0.1</f>
        <v>26</v>
      </c>
      <c r="L36" s="73">
        <f>J36*0.05</f>
        <v>13</v>
      </c>
      <c r="M36" s="74"/>
      <c r="N36" s="44">
        <f>(J36*'Base Data'!$C$5)+(K36*'Base Data'!$C$6)+(L36*'Base Data'!$C$7)</f>
        <v>28282.149999999998</v>
      </c>
      <c r="O36" s="44">
        <f>(D36+E36+F36)*G36*I36</f>
        <v>663000</v>
      </c>
      <c r="P36" s="73">
        <v>0</v>
      </c>
      <c r="Q36" s="75" t="s">
        <v>338</v>
      </c>
      <c r="U36" s="144"/>
    </row>
    <row r="37" spans="1:21" s="115" customFormat="1" ht="9">
      <c r="A37" s="110" t="s">
        <v>365</v>
      </c>
      <c r="B37" s="37">
        <v>10</v>
      </c>
      <c r="C37" s="37"/>
      <c r="D37" s="44">
        <v>0</v>
      </c>
      <c r="E37" s="44">
        <v>0</v>
      </c>
      <c r="F37" s="44">
        <v>9700</v>
      </c>
      <c r="G37" s="37">
        <v>1</v>
      </c>
      <c r="H37" s="37">
        <f>B37*G37</f>
        <v>10</v>
      </c>
      <c r="I37" s="72">
        <f>ROUNDUP(Monitors!$B$21/3,0)</f>
        <v>26</v>
      </c>
      <c r="J37" s="73">
        <f>H37*I37</f>
        <v>260</v>
      </c>
      <c r="K37" s="73">
        <f>J37*0.1</f>
        <v>26</v>
      </c>
      <c r="L37" s="73">
        <f>J37*0.05</f>
        <v>13</v>
      </c>
      <c r="M37" s="74"/>
      <c r="N37" s="44">
        <f>(J37*'Base Data'!$C$5)+(K37*'Base Data'!$C$6)+(L37*'Base Data'!$C$7)</f>
        <v>28282.149999999998</v>
      </c>
      <c r="O37" s="44">
        <f>(D37+E37+F37)*G37*I37</f>
        <v>252200</v>
      </c>
      <c r="P37" s="73">
        <v>0</v>
      </c>
      <c r="Q37" s="75" t="s">
        <v>338</v>
      </c>
      <c r="U37" s="144"/>
    </row>
    <row r="38" spans="1:21" s="115" customFormat="1" ht="18">
      <c r="A38" s="111" t="s">
        <v>161</v>
      </c>
      <c r="B38" s="37"/>
      <c r="C38" s="37"/>
      <c r="D38" s="44"/>
      <c r="E38" s="44"/>
      <c r="F38" s="44"/>
      <c r="G38" s="37"/>
      <c r="H38" s="37"/>
      <c r="I38" s="72"/>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v>0</v>
      </c>
      <c r="J39" s="73">
        <f>H39*I39</f>
        <v>0</v>
      </c>
      <c r="K39" s="73">
        <f>J39*0.1</f>
        <v>0</v>
      </c>
      <c r="L39" s="73">
        <f>J39*0.05</f>
        <v>0</v>
      </c>
      <c r="M39" s="74"/>
      <c r="N39" s="44">
        <f>(J39*'Base Data'!$C$5)+(K39*'Base Data'!$C$6)+(L39*'Base Data'!$C$7)</f>
        <v>0</v>
      </c>
      <c r="O39" s="44">
        <f>(D39+E39+F39)*G39*I39</f>
        <v>0</v>
      </c>
      <c r="P39" s="73">
        <v>0</v>
      </c>
      <c r="Q39" s="75" t="s">
        <v>338</v>
      </c>
      <c r="U39" s="144"/>
    </row>
    <row r="40" spans="1:21" s="115" customFormat="1" ht="9">
      <c r="A40" s="110" t="s">
        <v>365</v>
      </c>
      <c r="B40" s="37">
        <v>10</v>
      </c>
      <c r="C40" s="37"/>
      <c r="D40" s="44">
        <v>0</v>
      </c>
      <c r="E40" s="44">
        <v>0</v>
      </c>
      <c r="F40" s="44">
        <v>9700</v>
      </c>
      <c r="G40" s="37">
        <v>1</v>
      </c>
      <c r="H40" s="37">
        <f>B40*G40</f>
        <v>10</v>
      </c>
      <c r="I40" s="72">
        <v>0</v>
      </c>
      <c r="J40" s="73">
        <f>H40*I40</f>
        <v>0</v>
      </c>
      <c r="K40" s="73">
        <f>J40*0.1</f>
        <v>0</v>
      </c>
      <c r="L40" s="73">
        <f>J40*0.05</f>
        <v>0</v>
      </c>
      <c r="M40" s="74"/>
      <c r="N40" s="44">
        <f>(J40*'Base Data'!$C$5)+(K40*'Base Data'!$C$6)+(L40*'Base Data'!$C$7)</f>
        <v>0</v>
      </c>
      <c r="O40" s="44">
        <f>(D40+E40+F40)*G40*I40</f>
        <v>0</v>
      </c>
      <c r="P40" s="73">
        <v>0</v>
      </c>
      <c r="Q40" s="75" t="s">
        <v>338</v>
      </c>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4</v>
      </c>
      <c r="J44" s="73">
        <f>H44*I44</f>
        <v>8</v>
      </c>
      <c r="K44" s="73">
        <f>J44*0.1</f>
        <v>0.8</v>
      </c>
      <c r="L44" s="73">
        <f>J44*0.05</f>
        <v>0.4</v>
      </c>
      <c r="M44" s="37">
        <f>C44*G44*I44</f>
        <v>0</v>
      </c>
      <c r="N44" s="44">
        <f>(J44*'Base Data'!$C$5)+(K44*'Base Data'!$C$6)+(L44*'Base Data'!$C$7)</f>
        <v>870.22</v>
      </c>
      <c r="O44" s="44">
        <f>(D44+E44+F44)*G44*I44</f>
        <v>0</v>
      </c>
      <c r="P44" s="73">
        <f t="shared" ref="P44:P46" si="9">G44*I44</f>
        <v>4</v>
      </c>
      <c r="Q44" s="75" t="s">
        <v>123</v>
      </c>
    </row>
    <row r="45" spans="1:21" s="115" customFormat="1" ht="9" customHeight="1">
      <c r="A45" s="126" t="s">
        <v>328</v>
      </c>
      <c r="B45" s="37">
        <v>8</v>
      </c>
      <c r="C45" s="37"/>
      <c r="D45" s="44">
        <v>0</v>
      </c>
      <c r="E45" s="44">
        <v>0</v>
      </c>
      <c r="F45" s="44">
        <v>0</v>
      </c>
      <c r="G45" s="37">
        <v>1</v>
      </c>
      <c r="H45" s="37">
        <f>B45*G45</f>
        <v>8</v>
      </c>
      <c r="I45" s="72">
        <f t="shared" ref="I45:I46" si="10">$I$7</f>
        <v>4</v>
      </c>
      <c r="J45" s="73">
        <f>H45*I45</f>
        <v>32</v>
      </c>
      <c r="K45" s="73">
        <f>J45*0.1</f>
        <v>3.2</v>
      </c>
      <c r="L45" s="73">
        <f>J45*0.05</f>
        <v>1.6</v>
      </c>
      <c r="M45" s="37">
        <f>C45*G45*I45</f>
        <v>0</v>
      </c>
      <c r="N45" s="44">
        <f>(J45*'Base Data'!$C$5)+(K45*'Base Data'!$C$6)+(L45*'Base Data'!$C$7)</f>
        <v>3480.88</v>
      </c>
      <c r="O45" s="44">
        <f>(D45+E45+F45)*G45*I45</f>
        <v>0</v>
      </c>
      <c r="P45" s="73">
        <f t="shared" si="9"/>
        <v>4</v>
      </c>
      <c r="Q45" s="75" t="s">
        <v>123</v>
      </c>
    </row>
    <row r="46" spans="1:21" s="115" customFormat="1" ht="9">
      <c r="A46" s="112" t="s">
        <v>435</v>
      </c>
      <c r="B46" s="37">
        <v>20</v>
      </c>
      <c r="C46" s="37">
        <v>0</v>
      </c>
      <c r="D46" s="44">
        <v>0</v>
      </c>
      <c r="E46" s="44">
        <v>0</v>
      </c>
      <c r="F46" s="44">
        <v>0</v>
      </c>
      <c r="G46" s="37">
        <v>2</v>
      </c>
      <c r="H46" s="37">
        <f>B46*G46</f>
        <v>40</v>
      </c>
      <c r="I46" s="72">
        <f t="shared" si="10"/>
        <v>4</v>
      </c>
      <c r="J46" s="73">
        <f>H46*I46</f>
        <v>160</v>
      </c>
      <c r="K46" s="73">
        <f>J46*0.1</f>
        <v>16</v>
      </c>
      <c r="L46" s="73">
        <f>J46*0.05</f>
        <v>8</v>
      </c>
      <c r="M46" s="73">
        <f>C46*G46*I46</f>
        <v>0</v>
      </c>
      <c r="N46" s="44">
        <f>(J46*'Base Data'!$C$5)+(K46*'Base Data'!$C$6)+(L46*'Base Data'!$C$7)</f>
        <v>17404.399999999998</v>
      </c>
      <c r="O46" s="44">
        <f>(D46+E46+F46)*G46*I46</f>
        <v>0</v>
      </c>
      <c r="P46" s="73">
        <f t="shared" si="9"/>
        <v>8</v>
      </c>
      <c r="Q46" s="75" t="s">
        <v>123</v>
      </c>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t="s">
        <v>77</v>
      </c>
      <c r="R47" s="133"/>
    </row>
    <row r="48" spans="1:21" s="115" customFormat="1" ht="9">
      <c r="A48" s="113" t="s">
        <v>7</v>
      </c>
      <c r="B48" s="37"/>
      <c r="C48" s="37"/>
      <c r="D48" s="44"/>
      <c r="E48" s="44"/>
      <c r="F48" s="44"/>
      <c r="G48" s="37"/>
      <c r="H48" s="37"/>
      <c r="I48" s="72"/>
      <c r="J48" s="73">
        <f>SUM(J7:J47)</f>
        <v>4264</v>
      </c>
      <c r="K48" s="73">
        <f>SUM(K7:K47)</f>
        <v>426.40000000000003</v>
      </c>
      <c r="L48" s="73">
        <f>SUM(L7:L47)</f>
        <v>213.20000000000002</v>
      </c>
      <c r="M48" s="73">
        <f t="shared" ref="M48" si="11">SUM(M7:M46)</f>
        <v>0</v>
      </c>
      <c r="N48" s="44">
        <f>SUM(N7:N47)</f>
        <v>463827.26000000018</v>
      </c>
      <c r="O48" s="44">
        <f>SUM(O7:O47)</f>
        <v>3895684</v>
      </c>
      <c r="P48" s="73">
        <f>SUM(P7:P47)</f>
        <v>16</v>
      </c>
      <c r="Q48" s="75"/>
      <c r="R48" s="118">
        <f>SUM(O7,O9:O20,O25,O28,O31,O34,O37,O40)</f>
        <v>1890486</v>
      </c>
      <c r="S48" s="117">
        <f>SUM(O24,O27,O30,O33,O36,O39)</f>
        <v>2005198</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339</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2">B54*G54</f>
        <v>20</v>
      </c>
      <c r="I54" s="72">
        <f>$I$9</f>
        <v>26</v>
      </c>
      <c r="J54" s="73">
        <f t="shared" ref="J54:J60" si="13">H54*I54</f>
        <v>520</v>
      </c>
      <c r="K54" s="73">
        <f t="shared" ref="K54:K60" si="14">J54*0.1</f>
        <v>52</v>
      </c>
      <c r="L54" s="73">
        <f t="shared" ref="L54:L60" si="15">J54*0.05</f>
        <v>26</v>
      </c>
      <c r="M54" s="37"/>
      <c r="N54" s="44">
        <f>(J54*'Base Data'!$C$5)+(K54*'Base Data'!$C$6)+(L54*'Base Data'!$C$7)</f>
        <v>56564.299999999996</v>
      </c>
      <c r="O54" s="44">
        <f t="shared" ref="O54:O60" si="16">(D54+E54+F54)*G54*I54</f>
        <v>0</v>
      </c>
      <c r="P54" s="73">
        <v>0</v>
      </c>
      <c r="Q54" s="75" t="s">
        <v>338</v>
      </c>
    </row>
    <row r="55" spans="1:18" s="115" customFormat="1" ht="9">
      <c r="A55" s="111" t="s">
        <v>376</v>
      </c>
      <c r="B55" s="37">
        <v>15</v>
      </c>
      <c r="C55" s="37">
        <v>0</v>
      </c>
      <c r="D55" s="44">
        <v>0</v>
      </c>
      <c r="E55" s="44">
        <v>0</v>
      </c>
      <c r="F55" s="44">
        <v>0</v>
      </c>
      <c r="G55" s="37">
        <v>1</v>
      </c>
      <c r="H55" s="37">
        <f t="shared" si="12"/>
        <v>15</v>
      </c>
      <c r="I55" s="72">
        <f t="shared" ref="I55:I59" si="17">$I$9</f>
        <v>26</v>
      </c>
      <c r="J55" s="73">
        <f t="shared" si="13"/>
        <v>390</v>
      </c>
      <c r="K55" s="73">
        <f t="shared" si="14"/>
        <v>39</v>
      </c>
      <c r="L55" s="73">
        <f t="shared" si="15"/>
        <v>19.5</v>
      </c>
      <c r="M55" s="37">
        <f>C55*G55*I55</f>
        <v>0</v>
      </c>
      <c r="N55" s="44">
        <f>(J55*'Base Data'!$C$5)+(K55*'Base Data'!$C$6)+(L55*'Base Data'!$C$7)</f>
        <v>42423.224999999999</v>
      </c>
      <c r="O55" s="44">
        <f t="shared" si="16"/>
        <v>0</v>
      </c>
      <c r="P55" s="73">
        <v>0</v>
      </c>
      <c r="Q55" s="75" t="s">
        <v>338</v>
      </c>
    </row>
    <row r="56" spans="1:18" s="115" customFormat="1" ht="9.75" customHeight="1">
      <c r="A56" s="110" t="s">
        <v>377</v>
      </c>
      <c r="B56" s="37">
        <v>2</v>
      </c>
      <c r="C56" s="37"/>
      <c r="D56" s="44">
        <v>0</v>
      </c>
      <c r="E56" s="44">
        <v>0</v>
      </c>
      <c r="F56" s="44">
        <v>0</v>
      </c>
      <c r="G56" s="37">
        <v>1</v>
      </c>
      <c r="H56" s="37">
        <f t="shared" si="12"/>
        <v>2</v>
      </c>
      <c r="I56" s="72">
        <f t="shared" si="17"/>
        <v>26</v>
      </c>
      <c r="J56" s="73">
        <f t="shared" si="13"/>
        <v>52</v>
      </c>
      <c r="K56" s="73">
        <f t="shared" si="14"/>
        <v>5.2</v>
      </c>
      <c r="L56" s="73">
        <f t="shared" si="15"/>
        <v>2.6</v>
      </c>
      <c r="M56" s="37"/>
      <c r="N56" s="44">
        <f>(J56*'Base Data'!$C$5)+(K56*'Base Data'!$C$6)+(L56*'Base Data'!$C$7)</f>
        <v>5656.43</v>
      </c>
      <c r="O56" s="44">
        <f t="shared" si="16"/>
        <v>0</v>
      </c>
      <c r="P56" s="73">
        <v>0</v>
      </c>
      <c r="Q56" s="75" t="s">
        <v>338</v>
      </c>
    </row>
    <row r="57" spans="1:18" s="115" customFormat="1" ht="9">
      <c r="A57" s="111" t="s">
        <v>387</v>
      </c>
      <c r="B57" s="37">
        <v>2</v>
      </c>
      <c r="C57" s="37"/>
      <c r="D57" s="44">
        <v>0</v>
      </c>
      <c r="E57" s="44">
        <v>0</v>
      </c>
      <c r="F57" s="44">
        <v>0</v>
      </c>
      <c r="G57" s="37">
        <v>1</v>
      </c>
      <c r="H57" s="37">
        <f t="shared" si="12"/>
        <v>2</v>
      </c>
      <c r="I57" s="72">
        <f t="shared" si="17"/>
        <v>26</v>
      </c>
      <c r="J57" s="73">
        <f t="shared" si="13"/>
        <v>52</v>
      </c>
      <c r="K57" s="73">
        <f t="shared" si="14"/>
        <v>5.2</v>
      </c>
      <c r="L57" s="73">
        <f t="shared" si="15"/>
        <v>2.6</v>
      </c>
      <c r="M57" s="37"/>
      <c r="N57" s="44">
        <f>(J57*'Base Data'!$C$5)+(K57*'Base Data'!$C$6)+(L57*'Base Data'!$C$7)</f>
        <v>5656.43</v>
      </c>
      <c r="O57" s="44">
        <f t="shared" si="16"/>
        <v>0</v>
      </c>
      <c r="P57" s="73">
        <v>0</v>
      </c>
      <c r="Q57" s="75" t="s">
        <v>338</v>
      </c>
    </row>
    <row r="58" spans="1:18" s="115" customFormat="1" ht="9">
      <c r="A58" s="111" t="s">
        <v>388</v>
      </c>
      <c r="B58" s="37">
        <v>2</v>
      </c>
      <c r="C58" s="37">
        <v>0</v>
      </c>
      <c r="D58" s="44">
        <v>0</v>
      </c>
      <c r="E58" s="44">
        <v>0</v>
      </c>
      <c r="F58" s="44">
        <v>0</v>
      </c>
      <c r="G58" s="37">
        <v>2</v>
      </c>
      <c r="H58" s="37">
        <f t="shared" si="12"/>
        <v>4</v>
      </c>
      <c r="I58" s="72">
        <f t="shared" si="17"/>
        <v>26</v>
      </c>
      <c r="J58" s="73">
        <f t="shared" si="13"/>
        <v>104</v>
      </c>
      <c r="K58" s="73">
        <f t="shared" si="14"/>
        <v>10.4</v>
      </c>
      <c r="L58" s="73">
        <f t="shared" si="15"/>
        <v>5.2</v>
      </c>
      <c r="M58" s="37">
        <f>C58*G58*I58</f>
        <v>0</v>
      </c>
      <c r="N58" s="44">
        <f>(J58*'Base Data'!$C$5)+(K58*'Base Data'!$C$6)+(L58*'Base Data'!$C$7)</f>
        <v>11312.86</v>
      </c>
      <c r="O58" s="44">
        <f t="shared" si="16"/>
        <v>0</v>
      </c>
      <c r="P58" s="73">
        <v>0</v>
      </c>
      <c r="Q58" s="75" t="s">
        <v>338</v>
      </c>
    </row>
    <row r="59" spans="1:18" s="115" customFormat="1" ht="9">
      <c r="A59" s="111" t="s">
        <v>389</v>
      </c>
      <c r="B59" s="37">
        <v>0.5</v>
      </c>
      <c r="C59" s="37"/>
      <c r="D59" s="44">
        <v>0</v>
      </c>
      <c r="E59" s="44">
        <v>0</v>
      </c>
      <c r="F59" s="44">
        <v>0</v>
      </c>
      <c r="G59" s="37">
        <v>12</v>
      </c>
      <c r="H59" s="37">
        <f t="shared" si="12"/>
        <v>6</v>
      </c>
      <c r="I59" s="72">
        <f t="shared" si="17"/>
        <v>26</v>
      </c>
      <c r="J59" s="73">
        <f t="shared" si="13"/>
        <v>156</v>
      </c>
      <c r="K59" s="73">
        <f t="shared" si="14"/>
        <v>15.600000000000001</v>
      </c>
      <c r="L59" s="73">
        <f t="shared" si="15"/>
        <v>7.8000000000000007</v>
      </c>
      <c r="M59" s="37"/>
      <c r="N59" s="44">
        <f>(J59*'Base Data'!$C$5)+(K59*'Base Data'!$C$6)+(L59*'Base Data'!$C$7)</f>
        <v>16969.29</v>
      </c>
      <c r="O59" s="44">
        <f t="shared" si="16"/>
        <v>0</v>
      </c>
      <c r="P59" s="73">
        <v>0</v>
      </c>
      <c r="Q59" s="75" t="s">
        <v>242</v>
      </c>
    </row>
    <row r="60" spans="1:18" s="115" customFormat="1" ht="9">
      <c r="A60" s="110" t="s">
        <v>378</v>
      </c>
      <c r="B60" s="37">
        <v>40</v>
      </c>
      <c r="C60" s="37"/>
      <c r="D60" s="44">
        <v>0</v>
      </c>
      <c r="E60" s="44">
        <v>0</v>
      </c>
      <c r="F60" s="44">
        <v>0</v>
      </c>
      <c r="G60" s="37">
        <v>1</v>
      </c>
      <c r="H60" s="37">
        <f t="shared" si="12"/>
        <v>40</v>
      </c>
      <c r="I60" s="72">
        <f>$I$7</f>
        <v>4</v>
      </c>
      <c r="J60" s="73">
        <f t="shared" si="13"/>
        <v>160</v>
      </c>
      <c r="K60" s="73">
        <f t="shared" si="14"/>
        <v>16</v>
      </c>
      <c r="L60" s="73">
        <f t="shared" si="15"/>
        <v>8</v>
      </c>
      <c r="M60" s="37"/>
      <c r="N60" s="44">
        <f>(J60*'Base Data'!$C$5)+(K60*'Base Data'!$C$6)+(L60*'Base Data'!$C$7)</f>
        <v>17404.399999999998</v>
      </c>
      <c r="O60" s="44">
        <f t="shared" si="16"/>
        <v>0</v>
      </c>
      <c r="P60" s="73">
        <v>0</v>
      </c>
      <c r="Q60" s="75" t="s">
        <v>248</v>
      </c>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 t="shared" ref="J62:O62" si="18">SUM(J50:J61)</f>
        <v>1434</v>
      </c>
      <c r="K62" s="186">
        <f t="shared" si="18"/>
        <v>143.4</v>
      </c>
      <c r="L62" s="186">
        <f t="shared" si="18"/>
        <v>71.7</v>
      </c>
      <c r="M62" s="185">
        <f t="shared" si="18"/>
        <v>0</v>
      </c>
      <c r="N62" s="185">
        <f t="shared" si="18"/>
        <v>155986.93499999997</v>
      </c>
      <c r="O62" s="185">
        <f t="shared" si="18"/>
        <v>0</v>
      </c>
      <c r="P62" s="186"/>
      <c r="Q62" s="187"/>
      <c r="R62" s="44">
        <f>SUM(R50:R61)</f>
        <v>0</v>
      </c>
    </row>
    <row r="63" spans="1:18" s="134" customFormat="1">
      <c r="A63" s="135" t="s">
        <v>351</v>
      </c>
      <c r="B63" s="136"/>
      <c r="C63" s="136"/>
      <c r="D63" s="136"/>
      <c r="E63" s="136"/>
      <c r="F63" s="137"/>
      <c r="G63" s="136"/>
      <c r="H63" s="136"/>
      <c r="I63" s="138"/>
      <c r="J63" s="139">
        <f t="shared" ref="J63:P63" si="19">J48+J62</f>
        <v>5698</v>
      </c>
      <c r="K63" s="139">
        <f t="shared" si="19"/>
        <v>569.80000000000007</v>
      </c>
      <c r="L63" s="139">
        <f t="shared" si="19"/>
        <v>284.90000000000003</v>
      </c>
      <c r="M63" s="140">
        <f t="shared" si="19"/>
        <v>0</v>
      </c>
      <c r="N63" s="140">
        <f t="shared" si="19"/>
        <v>619814.19500000018</v>
      </c>
      <c r="O63" s="140">
        <f t="shared" si="19"/>
        <v>3895684</v>
      </c>
      <c r="P63" s="139">
        <f t="shared" si="19"/>
        <v>16</v>
      </c>
      <c r="Q63" s="141"/>
    </row>
    <row r="64" spans="1:18" ht="6" customHeight="1"/>
    <row r="65" spans="1:17" s="45" customFormat="1" ht="9">
      <c r="A65" s="499" t="s">
        <v>620</v>
      </c>
      <c r="B65" s="499"/>
      <c r="C65" s="499"/>
      <c r="D65" s="499"/>
      <c r="E65" s="499"/>
      <c r="F65" s="499"/>
      <c r="G65" s="499"/>
      <c r="H65" s="499"/>
      <c r="I65" s="499"/>
      <c r="J65" s="499"/>
      <c r="K65" s="499"/>
      <c r="L65" s="499"/>
      <c r="M65" s="499"/>
      <c r="N65" s="499"/>
      <c r="O65" s="499"/>
      <c r="P65" s="460"/>
      <c r="Q65" s="48"/>
    </row>
    <row r="66" spans="1:17" s="45" customFormat="1" ht="9" customHeight="1">
      <c r="A66" s="494" t="s">
        <v>553</v>
      </c>
      <c r="B66" s="494"/>
      <c r="C66" s="494"/>
      <c r="D66" s="494"/>
      <c r="E66" s="494"/>
      <c r="F66" s="494"/>
      <c r="G66" s="494"/>
      <c r="H66" s="494"/>
      <c r="I66" s="494"/>
      <c r="J66" s="494"/>
      <c r="K66" s="494"/>
      <c r="L66" s="494"/>
      <c r="M66" s="494"/>
      <c r="N66" s="494"/>
      <c r="O66" s="494"/>
      <c r="P66" s="459"/>
      <c r="Q66" s="48"/>
    </row>
    <row r="67" spans="1:17" s="45" customFormat="1" ht="9" customHeight="1">
      <c r="A67" s="494" t="s">
        <v>554</v>
      </c>
      <c r="B67" s="494"/>
      <c r="C67" s="494"/>
      <c r="D67" s="494"/>
      <c r="E67" s="494"/>
      <c r="F67" s="494"/>
      <c r="G67" s="494"/>
      <c r="H67" s="494"/>
      <c r="I67" s="494"/>
      <c r="J67" s="494"/>
      <c r="K67" s="494"/>
      <c r="L67" s="494"/>
      <c r="M67" s="494"/>
      <c r="N67" s="494"/>
      <c r="O67" s="494"/>
      <c r="P67" s="459"/>
      <c r="Q67" s="48"/>
    </row>
    <row r="68" spans="1:17" s="45" customFormat="1" ht="9" customHeight="1">
      <c r="A68" s="494" t="s">
        <v>555</v>
      </c>
      <c r="B68" s="494"/>
      <c r="C68" s="494"/>
      <c r="D68" s="494"/>
      <c r="E68" s="494"/>
      <c r="F68" s="494"/>
      <c r="G68" s="494"/>
      <c r="H68" s="494"/>
      <c r="I68" s="494"/>
      <c r="J68" s="494"/>
      <c r="K68" s="494"/>
      <c r="L68" s="494"/>
      <c r="M68" s="494"/>
      <c r="N68" s="494"/>
      <c r="O68" s="494"/>
      <c r="P68" s="494"/>
      <c r="Q68" s="494"/>
    </row>
    <row r="69" spans="1:17" s="45" customFormat="1" ht="9" customHeight="1">
      <c r="A69" s="45" t="s">
        <v>557</v>
      </c>
      <c r="B69" s="48"/>
      <c r="C69" s="48"/>
      <c r="D69" s="48"/>
      <c r="E69" s="48"/>
      <c r="F69" s="48"/>
      <c r="G69" s="48"/>
      <c r="H69" s="48"/>
      <c r="I69" s="49"/>
      <c r="J69" s="48"/>
      <c r="K69" s="48"/>
      <c r="L69" s="48"/>
      <c r="M69" s="48"/>
      <c r="N69" s="48"/>
      <c r="O69" s="146"/>
      <c r="P69" s="146"/>
      <c r="Q69" s="48"/>
    </row>
    <row r="70" spans="1:17" s="45" customFormat="1" ht="9">
      <c r="A70" s="45" t="s">
        <v>487</v>
      </c>
      <c r="B70" s="48"/>
      <c r="C70" s="48"/>
      <c r="D70" s="48"/>
      <c r="E70" s="48"/>
      <c r="F70" s="48"/>
      <c r="G70" s="48"/>
      <c r="H70" s="48"/>
      <c r="I70" s="49"/>
      <c r="J70" s="48"/>
      <c r="K70" s="48"/>
      <c r="L70" s="48"/>
      <c r="M70" s="48"/>
      <c r="N70" s="48"/>
      <c r="O70" s="146"/>
      <c r="P70" s="146"/>
      <c r="Q70" s="48"/>
    </row>
    <row r="71" spans="1:17" s="45" customFormat="1" ht="9">
      <c r="A71" s="45" t="s">
        <v>559</v>
      </c>
      <c r="B71" s="48"/>
      <c r="C71" s="48"/>
      <c r="D71" s="48"/>
      <c r="E71" s="48"/>
      <c r="F71" s="48"/>
      <c r="G71" s="48"/>
      <c r="H71" s="48"/>
      <c r="I71" s="49"/>
      <c r="J71" s="48"/>
      <c r="K71" s="48"/>
      <c r="L71" s="48"/>
      <c r="M71" s="48"/>
      <c r="N71" s="48"/>
      <c r="O71" s="146"/>
      <c r="P71" s="146"/>
      <c r="Q71" s="48"/>
    </row>
    <row r="72" spans="1:17" s="45" customFormat="1" ht="20.25" customHeight="1">
      <c r="A72" s="494" t="s">
        <v>560</v>
      </c>
      <c r="B72" s="494"/>
      <c r="C72" s="494"/>
      <c r="D72" s="494"/>
      <c r="E72" s="494"/>
      <c r="F72" s="494"/>
      <c r="G72" s="494"/>
      <c r="H72" s="494"/>
      <c r="I72" s="494"/>
      <c r="J72" s="494"/>
      <c r="K72" s="494"/>
      <c r="L72" s="494"/>
      <c r="M72" s="494"/>
      <c r="N72" s="494"/>
      <c r="O72" s="494"/>
      <c r="P72" s="494"/>
      <c r="Q72" s="48"/>
    </row>
    <row r="73" spans="1:17" s="45" customFormat="1" ht="9">
      <c r="A73" s="495" t="s">
        <v>618</v>
      </c>
      <c r="B73" s="495"/>
      <c r="C73" s="495"/>
      <c r="D73" s="495"/>
      <c r="E73" s="495"/>
      <c r="F73" s="495"/>
      <c r="G73" s="495"/>
      <c r="H73" s="495"/>
      <c r="I73" s="495"/>
      <c r="J73" s="495"/>
      <c r="K73" s="495"/>
      <c r="L73" s="495"/>
      <c r="M73" s="495"/>
      <c r="N73" s="495"/>
      <c r="O73" s="146"/>
      <c r="P73" s="146"/>
      <c r="Q73" s="48"/>
    </row>
    <row r="74" spans="1:17" s="45" customFormat="1" ht="9">
      <c r="A74" s="494" t="s">
        <v>666</v>
      </c>
      <c r="B74" s="494"/>
      <c r="C74" s="494"/>
      <c r="D74" s="494"/>
      <c r="E74" s="494"/>
      <c r="F74" s="494"/>
      <c r="G74" s="494"/>
      <c r="H74" s="494"/>
      <c r="I74" s="494"/>
      <c r="J74" s="494"/>
      <c r="K74" s="494"/>
      <c r="L74" s="494"/>
      <c r="M74" s="494"/>
      <c r="N74" s="494"/>
      <c r="O74" s="494"/>
      <c r="P74" s="494"/>
      <c r="Q74" s="494"/>
    </row>
    <row r="75" spans="1:17" s="45" customFormat="1" ht="9">
      <c r="A75" s="494"/>
      <c r="B75" s="494"/>
      <c r="C75" s="494"/>
      <c r="D75" s="494"/>
      <c r="E75" s="494"/>
      <c r="F75" s="494"/>
      <c r="G75" s="494"/>
      <c r="H75" s="494"/>
      <c r="I75" s="494"/>
      <c r="J75" s="494"/>
      <c r="K75" s="494"/>
      <c r="L75" s="494"/>
      <c r="M75" s="494"/>
      <c r="N75" s="494"/>
      <c r="O75" s="494"/>
      <c r="P75" s="494"/>
      <c r="Q75" s="494"/>
    </row>
    <row r="76" spans="1:17" s="45" customFormat="1" ht="9">
      <c r="A76" s="494"/>
      <c r="B76" s="494"/>
      <c r="C76" s="494"/>
      <c r="D76" s="494"/>
      <c r="E76" s="494"/>
      <c r="F76" s="494"/>
      <c r="G76" s="494"/>
      <c r="H76" s="494"/>
      <c r="I76" s="494"/>
      <c r="J76" s="494"/>
      <c r="K76" s="494"/>
      <c r="L76" s="494"/>
      <c r="M76" s="494"/>
      <c r="N76" s="494"/>
      <c r="O76" s="494"/>
      <c r="P76" s="494"/>
      <c r="Q76" s="494"/>
    </row>
    <row r="77" spans="1:17" s="45" customFormat="1" ht="9">
      <c r="B77" s="48"/>
      <c r="C77" s="48"/>
      <c r="D77" s="48"/>
      <c r="E77" s="48"/>
      <c r="F77" s="48"/>
      <c r="G77" s="48"/>
      <c r="H77" s="48"/>
      <c r="I77" s="49"/>
      <c r="J77" s="48"/>
      <c r="K77" s="48"/>
      <c r="L77" s="48"/>
      <c r="M77" s="48"/>
      <c r="N77" s="48"/>
      <c r="O77" s="146"/>
      <c r="P77" s="146"/>
      <c r="Q77" s="48"/>
    </row>
    <row r="78" spans="1:17" s="45" customFormat="1" ht="9">
      <c r="B78" s="48"/>
      <c r="C78" s="48"/>
      <c r="D78" s="48"/>
      <c r="E78" s="48"/>
      <c r="F78" s="48"/>
      <c r="G78" s="48"/>
      <c r="H78" s="48"/>
      <c r="I78" s="49"/>
      <c r="J78" s="48"/>
      <c r="K78" s="48"/>
      <c r="L78" s="48"/>
      <c r="M78" s="48"/>
      <c r="N78" s="48"/>
      <c r="O78" s="146"/>
      <c r="P78" s="146"/>
      <c r="Q78" s="48"/>
    </row>
    <row r="79" spans="1:17" s="45" customFormat="1" ht="9">
      <c r="B79" s="48"/>
      <c r="C79" s="48"/>
      <c r="D79" s="48"/>
      <c r="E79" s="48"/>
      <c r="F79" s="48"/>
      <c r="G79" s="48"/>
      <c r="H79" s="48"/>
      <c r="I79" s="49"/>
      <c r="J79" s="48"/>
      <c r="K79" s="48"/>
      <c r="L79" s="48"/>
      <c r="M79" s="48"/>
      <c r="N79" s="48"/>
      <c r="O79" s="146"/>
      <c r="P79" s="146"/>
      <c r="Q79" s="48"/>
    </row>
    <row r="80" spans="1:17"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7" s="45" customFormat="1" ht="9">
      <c r="B113" s="48"/>
      <c r="C113" s="48"/>
      <c r="D113" s="48"/>
      <c r="E113" s="48"/>
      <c r="F113" s="48"/>
      <c r="G113" s="48"/>
      <c r="H113" s="48"/>
      <c r="I113" s="49"/>
      <c r="J113" s="48"/>
      <c r="K113" s="48"/>
      <c r="L113" s="48"/>
      <c r="M113" s="48"/>
      <c r="N113" s="48"/>
      <c r="O113" s="146"/>
      <c r="P113" s="146"/>
      <c r="Q113" s="48"/>
    </row>
    <row r="114" spans="2:17" s="45" customFormat="1" ht="9">
      <c r="B114" s="48"/>
      <c r="C114" s="48"/>
      <c r="D114" s="48"/>
      <c r="E114" s="48"/>
      <c r="F114" s="48"/>
      <c r="G114" s="48"/>
      <c r="H114" s="48"/>
      <c r="I114" s="49"/>
      <c r="J114" s="48"/>
      <c r="K114" s="48"/>
      <c r="L114" s="48"/>
      <c r="M114" s="48"/>
      <c r="N114" s="48"/>
      <c r="O114" s="146"/>
      <c r="P114" s="146"/>
      <c r="Q114" s="48"/>
    </row>
    <row r="115" spans="2:17" s="45" customFormat="1" ht="9">
      <c r="B115" s="48"/>
      <c r="C115" s="48"/>
      <c r="D115" s="48"/>
      <c r="E115" s="48"/>
      <c r="F115" s="48"/>
      <c r="G115" s="48"/>
      <c r="H115" s="48"/>
      <c r="I115" s="49"/>
      <c r="J115" s="48"/>
      <c r="K115" s="48"/>
      <c r="L115" s="48"/>
      <c r="M115" s="48"/>
      <c r="N115" s="48"/>
      <c r="O115" s="146"/>
      <c r="P115" s="146"/>
      <c r="Q115" s="48"/>
    </row>
    <row r="116" spans="2:17" s="45" customFormat="1">
      <c r="B116" s="48"/>
      <c r="C116" s="48"/>
      <c r="D116" s="48"/>
      <c r="E116" s="48"/>
      <c r="F116" s="48"/>
      <c r="G116" s="48"/>
      <c r="H116" s="48"/>
      <c r="I116" s="49"/>
      <c r="J116" s="48"/>
      <c r="K116" s="48"/>
      <c r="L116" s="48"/>
      <c r="M116" s="48"/>
      <c r="N116" s="48"/>
      <c r="O116" s="146"/>
      <c r="P116" s="146"/>
      <c r="Q116" s="46"/>
    </row>
    <row r="117" spans="2:17" s="45" customFormat="1">
      <c r="B117" s="48"/>
      <c r="C117" s="48"/>
      <c r="D117" s="48"/>
      <c r="E117" s="48"/>
      <c r="F117" s="48"/>
      <c r="G117" s="48"/>
      <c r="H117" s="48"/>
      <c r="I117" s="49"/>
      <c r="J117" s="48"/>
      <c r="K117" s="48"/>
      <c r="L117" s="48"/>
      <c r="M117" s="48"/>
      <c r="N117" s="48"/>
      <c r="O117" s="146"/>
      <c r="P117" s="146"/>
      <c r="Q117" s="46"/>
    </row>
    <row r="118" spans="2:17">
      <c r="P118" s="146"/>
    </row>
    <row r="119" spans="2:17">
      <c r="P119" s="146"/>
    </row>
  </sheetData>
  <mergeCells count="9">
    <mergeCell ref="A74:Q76"/>
    <mergeCell ref="A72:P72"/>
    <mergeCell ref="A68:Q68"/>
    <mergeCell ref="A73:N73"/>
    <mergeCell ref="A1:Q1"/>
    <mergeCell ref="A2:Q2"/>
    <mergeCell ref="A65:O65"/>
    <mergeCell ref="A66:O66"/>
    <mergeCell ref="A67:O67"/>
  </mergeCells>
  <phoneticPr fontId="9" type="noConversion"/>
  <printOptions horizontalCentered="1"/>
  <pageMargins left="0.25" right="0.25" top="0.25" bottom="0.25" header="0" footer="0"/>
  <pageSetup scale="67" orientation="portrait" r:id="rId1"/>
  <headerFooter scaleWithDoc="0" alignWithMargins="0"/>
</worksheet>
</file>

<file path=xl/worksheets/sheet2.xml><?xml version="1.0" encoding="utf-8"?>
<worksheet xmlns="http://schemas.openxmlformats.org/spreadsheetml/2006/main" xmlns:r="http://schemas.openxmlformats.org/officeDocument/2006/relationships">
  <dimension ref="A1:E15"/>
  <sheetViews>
    <sheetView zoomScale="80" zoomScaleNormal="80" workbookViewId="0">
      <selection activeCell="D70" sqref="D70"/>
    </sheetView>
  </sheetViews>
  <sheetFormatPr defaultRowHeight="12.75"/>
  <cols>
    <col min="1" max="1" width="22.140625" style="447" bestFit="1" customWidth="1"/>
    <col min="2" max="2" width="11.7109375" style="447" customWidth="1"/>
    <col min="3" max="3" width="16.140625" style="447" customWidth="1"/>
    <col min="4" max="4" width="17.85546875" style="447" customWidth="1"/>
    <col min="5" max="5" width="19.7109375" style="447" customWidth="1"/>
    <col min="6" max="16384" width="9.140625" style="447"/>
  </cols>
  <sheetData>
    <row r="1" spans="1:5" ht="33.75" customHeight="1">
      <c r="A1" s="471" t="s">
        <v>638</v>
      </c>
      <c r="B1" s="471"/>
      <c r="C1" s="471"/>
      <c r="D1" s="471"/>
      <c r="E1" s="471"/>
    </row>
    <row r="2" spans="1:5" ht="63" customHeight="1">
      <c r="A2" s="434" t="s">
        <v>639</v>
      </c>
      <c r="B2" s="436" t="s">
        <v>640</v>
      </c>
      <c r="C2" s="434" t="s">
        <v>641</v>
      </c>
      <c r="D2" s="434" t="s">
        <v>642</v>
      </c>
      <c r="E2" s="437" t="s">
        <v>643</v>
      </c>
    </row>
    <row r="3" spans="1:5" ht="33" customHeight="1">
      <c r="A3" s="434" t="s">
        <v>277</v>
      </c>
      <c r="B3" s="448">
        <f>SUM('Summary 2'!$D$3:$D$4)</f>
        <v>131</v>
      </c>
      <c r="C3" s="435">
        <f>'Fac-ExistLrgSolid-Yr1'!R55+'Fac-ExistLrgSolid-Yr2'!R55+'Fac-ExistLrgSolid-Yr3'!R55</f>
        <v>97104012</v>
      </c>
      <c r="D3" s="435">
        <f>'Fac-ExistLrgSolid-Yr1'!S55+'Fac-ExistLrgSolid-Yr2'!S55+'Fac-ExistLrgSolid-Yr3'!S55</f>
        <v>92478324</v>
      </c>
      <c r="E3" s="435">
        <f>C3/3</f>
        <v>32368004</v>
      </c>
    </row>
    <row r="4" spans="1:5" ht="20.25" customHeight="1">
      <c r="A4" s="434" t="s">
        <v>278</v>
      </c>
      <c r="B4" s="448">
        <f>SUM('Summary 2'!$B$3:$B$4)</f>
        <v>10</v>
      </c>
      <c r="C4" s="435">
        <f>'Fac-NewLrgSolid-Yr1'!R48+'Fac-NewLrgSolid-Yr2'!R48+'Fac-NewLrgSolid-Yr3'!R48</f>
        <v>10094916</v>
      </c>
      <c r="D4" s="435">
        <f>'Fac-NewLrgSolid-Yr1'!S48+'Fac-NewLrgSolid-Yr2'!S48+'Fac-NewLrgSolid-Yr3'!S48</f>
        <v>6015594</v>
      </c>
      <c r="E4" s="435">
        <f t="shared" ref="E4:E14" si="0">C4/3</f>
        <v>3364972</v>
      </c>
    </row>
    <row r="5" spans="1:5" ht="33.75" customHeight="1">
      <c r="A5" s="434" t="s">
        <v>644</v>
      </c>
      <c r="B5" s="449">
        <f>SUM('Summary 2'!$D$9:$D$10)</f>
        <v>5</v>
      </c>
      <c r="C5" s="435">
        <f>'Fac - ExistSmlSolid-Yr1'!R20+'Fac - ExistSmlSolid-Yr2'!R20+'Fac - ExistSmlSolid-Yr3'!R20</f>
        <v>171668</v>
      </c>
      <c r="D5" s="435">
        <f>'Fac - ExistSmlSolid-Yr1'!S20+'Fac - ExistSmlSolid-Yr2'!S20+'Fac - ExistSmlSolid-Yr3'!S20</f>
        <v>0</v>
      </c>
      <c r="E5" s="435">
        <f>C5/3</f>
        <v>57222.666666666664</v>
      </c>
    </row>
    <row r="6" spans="1:5" ht="24.75" customHeight="1">
      <c r="A6" s="434" t="s">
        <v>280</v>
      </c>
      <c r="B6" s="448">
        <f>SUM('Summary 2'!$B$9:$B$10)</f>
        <v>1</v>
      </c>
      <c r="C6" s="435">
        <f>'Fac-NewSmlSolid-Yr1'!R16+'Fac-NewSmlSolid-Yr2'!R16+'Fac-NewSmlSolid-Yr3'!R16</f>
        <v>17824</v>
      </c>
      <c r="D6" s="435">
        <f>'Fac-NewSmlSolid-Yr1'!S16+'Fac-NewSmlSolid-Yr2'!S16+'Fac-NewSmlSolid-Yr3'!S16</f>
        <v>0</v>
      </c>
      <c r="E6" s="435">
        <f t="shared" si="0"/>
        <v>5941.333333333333</v>
      </c>
    </row>
    <row r="7" spans="1:5" ht="29.25" customHeight="1">
      <c r="A7" s="434" t="s">
        <v>281</v>
      </c>
      <c r="B7" s="448">
        <f>SUM('Summary 2'!$D$5)</f>
        <v>71</v>
      </c>
      <c r="C7" s="435">
        <f>'Fac-ExistLrgLiquid-Yr1'!R55+'Fac-ExistLrgLiquid-Yr2'!R55+'Fac-ExistLrgLiquid-Yr3'!R55</f>
        <v>23343893</v>
      </c>
      <c r="D7" s="435">
        <f>'Fac-ExistLrgLiquid-Yr1'!S55+'Fac-ExistLrgLiquid-Yr2'!S55+'Fac-ExistLrgLiquid-Yr3'!S55</f>
        <v>27305301</v>
      </c>
      <c r="E7" s="435">
        <f t="shared" si="0"/>
        <v>7781297.666666667</v>
      </c>
    </row>
    <row r="8" spans="1:5" ht="24" customHeight="1">
      <c r="A8" s="434" t="s">
        <v>282</v>
      </c>
      <c r="B8" s="448">
        <f>SUM('Summary 2'!$B$5)</f>
        <v>0</v>
      </c>
      <c r="C8" s="435">
        <f>'Fac-NewLrgLiquid-Yr1'!R48+'Fac-NewLrgLiquid-Yr2'!R48+'Fac-NewLrgLiquid-Yr3'!R48</f>
        <v>0</v>
      </c>
      <c r="D8" s="435">
        <f>'Fac-NewLrgLiquid-Yr1'!S48+'Fac-NewLrgLiquid-Yr2'!S48+'Fac-NewLrgLiquid-Yr3'!S48</f>
        <v>0</v>
      </c>
      <c r="E8" s="435">
        <f t="shared" si="0"/>
        <v>0</v>
      </c>
    </row>
    <row r="9" spans="1:5" ht="33.75" customHeight="1">
      <c r="A9" s="434" t="s">
        <v>645</v>
      </c>
      <c r="B9" s="448">
        <f>SUM('Summary 2'!$D$11)</f>
        <v>43</v>
      </c>
      <c r="C9" s="435">
        <f>'Fac - ExistSmlLiquid-Yr1'!R20+'Fac - ExistSmlLiquid-Yr2'!R20+'Fac - ExistSmlLiquid-Yr3'!R20</f>
        <v>1484008</v>
      </c>
      <c r="D9" s="435">
        <f>'Fac - ExistSmlLiquid-Yr1'!S20+'Fac - ExistSmlLiquid-Yr2'!S20+'Fac - ExistSmlLiquid-Yr3'!S20</f>
        <v>0</v>
      </c>
      <c r="E9" s="435">
        <f t="shared" si="0"/>
        <v>494669.33333333331</v>
      </c>
    </row>
    <row r="10" spans="1:5" ht="22.5" customHeight="1">
      <c r="A10" s="434" t="s">
        <v>284</v>
      </c>
      <c r="B10" s="448">
        <f>SUM('Summary 2'!$B$11)</f>
        <v>0</v>
      </c>
      <c r="C10" s="435">
        <f>'Fac-NewSmlLiquid-Yr1'!R16+'Fac-NewSmlLiquid-Yr2'!R16+'Fac-NewSmlLiquid-Yr3'!R16</f>
        <v>0</v>
      </c>
      <c r="D10" s="435">
        <f>'Fac-NewSmlLiquid-Yr1'!S16+'Fac-NewSmlLiquid-Yr2'!S16+'Fac-NewSmlLiquid-Yr3'!S16</f>
        <v>0</v>
      </c>
      <c r="E10" s="435">
        <f t="shared" si="0"/>
        <v>0</v>
      </c>
    </row>
    <row r="11" spans="1:5" ht="37.5" customHeight="1">
      <c r="A11" s="434" t="s">
        <v>285</v>
      </c>
      <c r="B11" s="448">
        <f>SUM('Summary 2'!$D$6:$D$8)</f>
        <v>549</v>
      </c>
      <c r="C11" s="435">
        <f>'Fac-ExistLrgGas-Yr1'!R52+'Fac-ExistLrgGas-Yr2'!R52+'Fac-ExistLrgGas-Yr3'!R52</f>
        <v>32519633</v>
      </c>
      <c r="D11" s="435">
        <f>'Fac-ExistLrgGas-Yr1'!S52+'Fac-ExistLrgGas-Yr2'!S52+'Fac-ExistLrgGas-Yr3'!S52</f>
        <v>478101</v>
      </c>
      <c r="E11" s="435">
        <f t="shared" si="0"/>
        <v>10839877.666666666</v>
      </c>
    </row>
    <row r="12" spans="1:5" ht="24" customHeight="1">
      <c r="A12" s="434" t="s">
        <v>286</v>
      </c>
      <c r="B12" s="448">
        <f>SUM('Summary 2'!$B$6:$B$8)</f>
        <v>98</v>
      </c>
      <c r="C12" s="435">
        <f>'Fac-NewLrgGas-Yr1'!R45+'Fac-NewLrgGas-Yr2'!R45+'Fac-NewLrgGas-Yr3'!R45</f>
        <v>4516625</v>
      </c>
      <c r="D12" s="435">
        <f>'Fac-NewLrgGas-Yr1'!S45+'Fac-NewLrgGas-Yr2'!S45+'Fac-NewLrgGas-Yr3'!S45</f>
        <v>0</v>
      </c>
      <c r="E12" s="435">
        <f t="shared" si="0"/>
        <v>1505541.6666666667</v>
      </c>
    </row>
    <row r="13" spans="1:5" ht="41.25" customHeight="1">
      <c r="A13" s="434" t="s">
        <v>646</v>
      </c>
      <c r="B13" s="448">
        <f>SUM('Summary 2'!$D$12)</f>
        <v>905</v>
      </c>
      <c r="C13" s="435">
        <f>'Fac - ExistSmlGas-Yr1'!R20+'Fac - ExistSmlGas-Yr2'!R20+'Fac - ExistSmlGas-Yr3'!R20</f>
        <v>26484361.359999999</v>
      </c>
      <c r="D13" s="435">
        <f>'Fac - ExistSmlGas-Yr1'!S20+'Fac - ExistSmlGas-Yr2'!S20+'Fac - ExistSmlGas-Yr3'!S20</f>
        <v>0</v>
      </c>
      <c r="E13" s="435">
        <f t="shared" si="0"/>
        <v>8828120.4533333331</v>
      </c>
    </row>
    <row r="14" spans="1:5" ht="31.5" customHeight="1">
      <c r="A14" s="434" t="s">
        <v>288</v>
      </c>
      <c r="B14" s="448">
        <f>SUM('Summary 2'!$B$12)</f>
        <v>122</v>
      </c>
      <c r="C14" s="435">
        <f>'Fac-NewSmlGas-Yr1'!R16+'Fac-NewSmlGas-Yr2'!R16+'Fac-NewSmlGas-Yr3'!R16</f>
        <v>2896400</v>
      </c>
      <c r="D14" s="435">
        <f>'Fac-NewSmlGas-Yr1'!S16+'Fac-NewSmlGas-Yr2'!S16+'Fac-NewSmlGas-Yr3'!S16</f>
        <v>0</v>
      </c>
      <c r="E14" s="435">
        <f t="shared" si="0"/>
        <v>965466.66666666663</v>
      </c>
    </row>
    <row r="15" spans="1:5" ht="20.25" customHeight="1">
      <c r="A15" s="434" t="s">
        <v>400</v>
      </c>
      <c r="B15" s="450">
        <f>SUM(B3:B14)</f>
        <v>1935</v>
      </c>
      <c r="C15" s="435">
        <f>SUM(C3:C14)</f>
        <v>198633340.36000001</v>
      </c>
      <c r="D15" s="435">
        <f>SUM(D3:D14)</f>
        <v>126277320</v>
      </c>
      <c r="E15" s="435">
        <f>SUM(E3:E14)</f>
        <v>66211113.453333326</v>
      </c>
    </row>
  </sheetData>
  <mergeCells count="1">
    <mergeCell ref="A1:E1"/>
  </mergeCells>
  <phoneticPr fontId="9"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U11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B3" sqref="B3"/>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8" style="46" customWidth="1"/>
    <col min="7" max="7" width="9.28515625" style="46" bestFit="1" customWidth="1"/>
    <col min="8" max="8" width="8.42578125" style="46" customWidth="1"/>
    <col min="9" max="9" width="9.42578125" style="47" bestFit="1" customWidth="1"/>
    <col min="10" max="11" width="6.85546875" style="46" bestFit="1" customWidth="1"/>
    <col min="12" max="12" width="8.85546875" style="46" customWidth="1"/>
    <col min="13" max="13" width="7.85546875" style="46" hidden="1" customWidth="1"/>
    <col min="14" max="14" width="10.140625" style="46" customWidth="1"/>
    <col min="15" max="15" width="10.140625" style="145" bestFit="1" customWidth="1"/>
    <col min="16" max="16" width="8.5703125" style="145"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179</v>
      </c>
      <c r="B1" s="496"/>
      <c r="C1" s="496"/>
      <c r="D1" s="496"/>
      <c r="E1" s="496"/>
      <c r="F1" s="496"/>
      <c r="G1" s="496"/>
      <c r="H1" s="496"/>
      <c r="I1" s="496"/>
      <c r="J1" s="496"/>
      <c r="K1" s="496"/>
      <c r="L1" s="496"/>
      <c r="M1" s="496"/>
      <c r="N1" s="496"/>
      <c r="O1" s="496"/>
      <c r="P1" s="496"/>
      <c r="Q1" s="496"/>
    </row>
    <row r="2" spans="1:21">
      <c r="A2" s="497" t="s">
        <v>177</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ROUNDDOWN(SUM('Base Data'!$H$63:$H$65)/3,0)</f>
        <v>3</v>
      </c>
      <c r="J7" s="73">
        <f>H7*I7</f>
        <v>120</v>
      </c>
      <c r="K7" s="73">
        <f>J7*0.1</f>
        <v>12</v>
      </c>
      <c r="L7" s="72">
        <f>J7*0.05</f>
        <v>6</v>
      </c>
      <c r="M7" s="37">
        <f>C7*G7*I7</f>
        <v>0</v>
      </c>
      <c r="N7" s="44">
        <f>(J7*'Base Data'!$C$5)+(K7*'Base Data'!$C$6)+(L7*'Base Data'!$C$7)</f>
        <v>13053.300000000001</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ROUNDDOWN(SUM('Base Data'!$D$63:$D$65)/3,0)</f>
        <v>26</v>
      </c>
      <c r="J9" s="73">
        <f t="shared" ref="J9:J19" si="1">H9*I9</f>
        <v>312</v>
      </c>
      <c r="K9" s="73">
        <f t="shared" ref="K9:K19" si="2">J9*0.1</f>
        <v>31.200000000000003</v>
      </c>
      <c r="L9" s="73">
        <f t="shared" ref="L9:L19" si="3">J9*0.05</f>
        <v>15.600000000000001</v>
      </c>
      <c r="M9" s="74"/>
      <c r="N9" s="44">
        <f>(J9*'Base Data'!$C$5)+(K9*'Base Data'!$C$6)+(L9*'Base Data'!$C$7)</f>
        <v>33938.58</v>
      </c>
      <c r="O9" s="44">
        <f t="shared" ref="O9:O19" si="4">(D9+E9+F9)*G9*I9</f>
        <v>130000</v>
      </c>
      <c r="P9" s="73">
        <v>0</v>
      </c>
      <c r="Q9" s="75" t="s">
        <v>338</v>
      </c>
      <c r="U9" s="144"/>
    </row>
    <row r="10" spans="1:21" s="115" customFormat="1" ht="9">
      <c r="A10" s="111" t="s">
        <v>124</v>
      </c>
      <c r="B10" s="37">
        <v>12</v>
      </c>
      <c r="C10" s="37"/>
      <c r="D10" s="44">
        <v>0</v>
      </c>
      <c r="E10" s="44">
        <f>'Testing Costs'!$B$17</f>
        <v>8000</v>
      </c>
      <c r="F10" s="44">
        <v>0</v>
      </c>
      <c r="G10" s="37">
        <v>1</v>
      </c>
      <c r="H10" s="37">
        <f t="shared" si="0"/>
        <v>12</v>
      </c>
      <c r="I10" s="72">
        <f>ROUNDDOWN(SUM('Base Data'!$D$63:$D$65)/3,0)</f>
        <v>26</v>
      </c>
      <c r="J10" s="73">
        <f t="shared" si="1"/>
        <v>312</v>
      </c>
      <c r="K10" s="73">
        <f t="shared" si="2"/>
        <v>31.200000000000003</v>
      </c>
      <c r="L10" s="73">
        <f t="shared" si="3"/>
        <v>15.600000000000001</v>
      </c>
      <c r="M10" s="74"/>
      <c r="N10" s="44">
        <f>(J10*'Base Data'!$C$5)+(K10*'Base Data'!$C$6)+(L10*'Base Data'!$C$7)</f>
        <v>33938.58</v>
      </c>
      <c r="O10" s="44">
        <f t="shared" si="4"/>
        <v>208000</v>
      </c>
      <c r="P10" s="73">
        <v>0</v>
      </c>
      <c r="Q10" s="75" t="s">
        <v>338</v>
      </c>
      <c r="U10" s="144"/>
    </row>
    <row r="11" spans="1:21" s="115" customFormat="1" ht="9">
      <c r="A11" s="111" t="s">
        <v>125</v>
      </c>
      <c r="B11" s="37">
        <v>12</v>
      </c>
      <c r="C11" s="37"/>
      <c r="D11" s="44">
        <v>0</v>
      </c>
      <c r="E11" s="44">
        <f>'Testing Costs'!$B$15</f>
        <v>8000</v>
      </c>
      <c r="F11" s="44">
        <v>0</v>
      </c>
      <c r="G11" s="37">
        <v>1</v>
      </c>
      <c r="H11" s="37">
        <f t="shared" si="0"/>
        <v>12</v>
      </c>
      <c r="I11" s="72">
        <f>ROUNDDOWN(SUM('Base Data'!$D$63:$D$65)/3,0)</f>
        <v>26</v>
      </c>
      <c r="J11" s="73">
        <f t="shared" si="1"/>
        <v>312</v>
      </c>
      <c r="K11" s="73">
        <f t="shared" si="2"/>
        <v>31.200000000000003</v>
      </c>
      <c r="L11" s="73">
        <f t="shared" si="3"/>
        <v>15.600000000000001</v>
      </c>
      <c r="M11" s="74"/>
      <c r="N11" s="44">
        <f>(J11*'Base Data'!$C$5)+(K11*'Base Data'!$C$6)+(L11*'Base Data'!$C$7)</f>
        <v>33938.58</v>
      </c>
      <c r="O11" s="44">
        <f t="shared" si="4"/>
        <v>208000</v>
      </c>
      <c r="P11" s="73">
        <v>0</v>
      </c>
      <c r="Q11" s="75" t="s">
        <v>338</v>
      </c>
      <c r="U11" s="144"/>
    </row>
    <row r="12" spans="1:21" s="115" customFormat="1" ht="9">
      <c r="A12" s="111" t="s">
        <v>126</v>
      </c>
      <c r="B12" s="37">
        <v>12</v>
      </c>
      <c r="C12" s="37"/>
      <c r="D12" s="44">
        <v>0</v>
      </c>
      <c r="E12" s="44">
        <f>'Testing Costs'!$B$14</f>
        <v>7000</v>
      </c>
      <c r="F12" s="44">
        <v>0</v>
      </c>
      <c r="G12" s="37">
        <v>1</v>
      </c>
      <c r="H12" s="37">
        <f t="shared" si="0"/>
        <v>12</v>
      </c>
      <c r="I12" s="72">
        <f>ROUNDDOWN(SUM('Base Data'!$D$63:$D$65)/3,0)</f>
        <v>26</v>
      </c>
      <c r="J12" s="73">
        <f t="shared" si="1"/>
        <v>312</v>
      </c>
      <c r="K12" s="73">
        <f t="shared" si="2"/>
        <v>31.200000000000003</v>
      </c>
      <c r="L12" s="73">
        <f t="shared" si="3"/>
        <v>15.600000000000001</v>
      </c>
      <c r="M12" s="74"/>
      <c r="N12" s="44">
        <f>(J12*'Base Data'!$C$5)+(K12*'Base Data'!$C$6)+(L12*'Base Data'!$C$7)</f>
        <v>33938.58</v>
      </c>
      <c r="O12" s="44">
        <f t="shared" si="4"/>
        <v>182000</v>
      </c>
      <c r="P12" s="73">
        <v>0</v>
      </c>
      <c r="Q12" s="75" t="s">
        <v>338</v>
      </c>
      <c r="U12" s="144"/>
    </row>
    <row r="13" spans="1:21" s="115" customFormat="1" ht="9" customHeight="1">
      <c r="A13" s="111" t="s">
        <v>535</v>
      </c>
      <c r="B13" s="37">
        <v>12</v>
      </c>
      <c r="C13" s="37"/>
      <c r="D13" s="44">
        <v>0</v>
      </c>
      <c r="E13" s="44">
        <f>'Testing Costs'!$B$13</f>
        <v>5000</v>
      </c>
      <c r="F13" s="44">
        <v>0</v>
      </c>
      <c r="G13" s="37">
        <v>1</v>
      </c>
      <c r="H13" s="37">
        <f t="shared" si="0"/>
        <v>12</v>
      </c>
      <c r="I13" s="72">
        <f>'Fac-NewLrgSolid-Yr1'!I9</f>
        <v>26</v>
      </c>
      <c r="J13" s="73">
        <f t="shared" si="1"/>
        <v>312</v>
      </c>
      <c r="K13" s="73">
        <f t="shared" si="2"/>
        <v>31.200000000000003</v>
      </c>
      <c r="L13" s="73">
        <f t="shared" si="3"/>
        <v>15.600000000000001</v>
      </c>
      <c r="M13" s="74"/>
      <c r="N13" s="44">
        <f>(J13*'Base Data'!$C$5)+(K13*'Base Data'!$C$6)+(L13*'Base Data'!$C$7)</f>
        <v>33938.58</v>
      </c>
      <c r="O13" s="44">
        <f t="shared" si="4"/>
        <v>130000</v>
      </c>
      <c r="P13" s="73">
        <v>0</v>
      </c>
      <c r="Q13" s="75" t="s">
        <v>338</v>
      </c>
      <c r="U13" s="144"/>
    </row>
    <row r="14" spans="1:21" s="115" customFormat="1" ht="9">
      <c r="A14" s="111" t="s">
        <v>536</v>
      </c>
      <c r="B14" s="37">
        <v>12</v>
      </c>
      <c r="C14" s="37"/>
      <c r="D14" s="44">
        <v>0</v>
      </c>
      <c r="E14" s="44">
        <f>'Testing Costs'!$B$17</f>
        <v>8000</v>
      </c>
      <c r="F14" s="44">
        <v>0</v>
      </c>
      <c r="G14" s="37">
        <v>1</v>
      </c>
      <c r="H14" s="37">
        <f t="shared" si="0"/>
        <v>12</v>
      </c>
      <c r="I14" s="72">
        <f>'Fac-NewLrgSolid-Yr1'!I10</f>
        <v>26</v>
      </c>
      <c r="J14" s="73">
        <f t="shared" si="1"/>
        <v>312</v>
      </c>
      <c r="K14" s="73">
        <f t="shared" si="2"/>
        <v>31.200000000000003</v>
      </c>
      <c r="L14" s="73">
        <f t="shared" si="3"/>
        <v>15.600000000000001</v>
      </c>
      <c r="M14" s="74"/>
      <c r="N14" s="44">
        <f>(J14*'Base Data'!$C$5)+(K14*'Base Data'!$C$6)+(L14*'Base Data'!$C$7)</f>
        <v>33938.58</v>
      </c>
      <c r="O14" s="44">
        <f t="shared" si="4"/>
        <v>208000</v>
      </c>
      <c r="P14" s="73">
        <v>0</v>
      </c>
      <c r="Q14" s="75" t="s">
        <v>338</v>
      </c>
      <c r="U14" s="144"/>
    </row>
    <row r="15" spans="1:21" s="115" customFormat="1" ht="9">
      <c r="A15" s="111" t="s">
        <v>537</v>
      </c>
      <c r="B15" s="37">
        <v>12</v>
      </c>
      <c r="C15" s="37"/>
      <c r="D15" s="44">
        <v>0</v>
      </c>
      <c r="E15" s="44">
        <f>'Testing Costs'!$B$15</f>
        <v>8000</v>
      </c>
      <c r="F15" s="44">
        <v>0</v>
      </c>
      <c r="G15" s="37">
        <v>1</v>
      </c>
      <c r="H15" s="37">
        <f t="shared" si="0"/>
        <v>12</v>
      </c>
      <c r="I15" s="72">
        <f>'Fac-NewLrgSolid-Yr1'!I11</f>
        <v>26</v>
      </c>
      <c r="J15" s="73">
        <f t="shared" si="1"/>
        <v>312</v>
      </c>
      <c r="K15" s="73">
        <f t="shared" si="2"/>
        <v>31.200000000000003</v>
      </c>
      <c r="L15" s="73">
        <f t="shared" si="3"/>
        <v>15.600000000000001</v>
      </c>
      <c r="M15" s="74"/>
      <c r="N15" s="44">
        <f>(J15*'Base Data'!$C$5)+(K15*'Base Data'!$C$6)+(L15*'Base Data'!$C$7)</f>
        <v>33938.58</v>
      </c>
      <c r="O15" s="44">
        <f t="shared" si="4"/>
        <v>208000</v>
      </c>
      <c r="P15" s="73">
        <v>0</v>
      </c>
      <c r="Q15" s="75" t="s">
        <v>338</v>
      </c>
      <c r="U15" s="144"/>
    </row>
    <row r="16" spans="1:21" s="115" customFormat="1" ht="9">
      <c r="A16" s="111" t="s">
        <v>538</v>
      </c>
      <c r="B16" s="37">
        <v>12</v>
      </c>
      <c r="C16" s="37"/>
      <c r="D16" s="44">
        <v>0</v>
      </c>
      <c r="E16" s="44">
        <f>'Testing Costs'!$B$14</f>
        <v>7000</v>
      </c>
      <c r="F16" s="44">
        <v>0</v>
      </c>
      <c r="G16" s="37">
        <v>1</v>
      </c>
      <c r="H16" s="37">
        <f t="shared" si="0"/>
        <v>12</v>
      </c>
      <c r="I16" s="72">
        <f>'Fac-NewLrgSolid-Yr1'!I12</f>
        <v>26</v>
      </c>
      <c r="J16" s="73">
        <f t="shared" si="1"/>
        <v>312</v>
      </c>
      <c r="K16" s="73">
        <f t="shared" si="2"/>
        <v>31.200000000000003</v>
      </c>
      <c r="L16" s="73">
        <f t="shared" si="3"/>
        <v>15.600000000000001</v>
      </c>
      <c r="M16" s="74"/>
      <c r="N16" s="44">
        <f>(J16*'Base Data'!$C$5)+(K16*'Base Data'!$C$6)+(L16*'Base Data'!$C$7)</f>
        <v>33938.58</v>
      </c>
      <c r="O16" s="44">
        <f t="shared" si="4"/>
        <v>182000</v>
      </c>
      <c r="P16" s="73">
        <v>0</v>
      </c>
      <c r="Q16" s="75" t="s">
        <v>338</v>
      </c>
      <c r="U16" s="144"/>
    </row>
    <row r="17" spans="1:21" s="115" customFormat="1" ht="18.75" customHeight="1">
      <c r="A17" s="259" t="s">
        <v>539</v>
      </c>
      <c r="B17" s="37">
        <v>24</v>
      </c>
      <c r="C17" s="258"/>
      <c r="D17" s="44">
        <v>0</v>
      </c>
      <c r="E17" s="44">
        <f>$E$10+$E$11</f>
        <v>16000</v>
      </c>
      <c r="F17" s="44">
        <v>0</v>
      </c>
      <c r="G17" s="37">
        <v>1</v>
      </c>
      <c r="H17" s="37">
        <f t="shared" si="0"/>
        <v>24</v>
      </c>
      <c r="I17" s="72">
        <f>ROUNDDOWN(SUM('Base Data'!$D$63:$D$65)/3,0)</f>
        <v>26</v>
      </c>
      <c r="J17" s="73">
        <f t="shared" si="1"/>
        <v>624</v>
      </c>
      <c r="K17" s="73">
        <f t="shared" si="2"/>
        <v>62.400000000000006</v>
      </c>
      <c r="L17" s="73">
        <f t="shared" si="3"/>
        <v>31.200000000000003</v>
      </c>
      <c r="M17" s="74"/>
      <c r="N17" s="44">
        <f>(J17*'Base Data'!$C$5)+(K17*'Base Data'!$C$6)+(L17*'Base Data'!$C$7)</f>
        <v>67877.16</v>
      </c>
      <c r="O17" s="44">
        <f t="shared" si="4"/>
        <v>416000</v>
      </c>
      <c r="P17" s="73">
        <v>0</v>
      </c>
      <c r="Q17" s="75" t="s">
        <v>556</v>
      </c>
    </row>
    <row r="18" spans="1:21" s="115" customFormat="1" ht="9" customHeight="1">
      <c r="A18" s="111" t="s">
        <v>540</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f t="shared" ref="P18:P46" si="5">G18*I18</f>
        <v>0</v>
      </c>
      <c r="Q18" s="75" t="s">
        <v>499</v>
      </c>
      <c r="U18" s="144"/>
    </row>
    <row r="19" spans="1:21" s="115" customFormat="1" ht="9" customHeight="1">
      <c r="A19" s="111" t="s">
        <v>541</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f t="shared" si="5"/>
        <v>0</v>
      </c>
      <c r="Q19" s="75" t="s">
        <v>499</v>
      </c>
      <c r="U19" s="144"/>
    </row>
    <row r="20" spans="1:21" s="115" customFormat="1" ht="9">
      <c r="A20" s="110" t="s">
        <v>542</v>
      </c>
      <c r="B20" s="37">
        <v>12</v>
      </c>
      <c r="C20" s="37"/>
      <c r="D20" s="44">
        <v>0</v>
      </c>
      <c r="E20" s="44">
        <v>2875</v>
      </c>
      <c r="F20" s="44">
        <v>0</v>
      </c>
      <c r="G20" s="37">
        <v>1</v>
      </c>
      <c r="H20" s="37">
        <f>B20*G20</f>
        <v>12</v>
      </c>
      <c r="I20" s="72">
        <f>ROUNDDOWN(SUM('Base Data'!$D$63:$D$65)/3,0)+'Fac-NewLrgSolid-Yr1'!I20</f>
        <v>52</v>
      </c>
      <c r="J20" s="72">
        <f>H20*I20</f>
        <v>624</v>
      </c>
      <c r="K20" s="72">
        <f>J20*0.1</f>
        <v>62.400000000000006</v>
      </c>
      <c r="L20" s="72">
        <f>J20*0.05</f>
        <v>31.200000000000003</v>
      </c>
      <c r="M20" s="73"/>
      <c r="N20" s="44">
        <f>(J20*'Base Data'!$C$5)+(K20*'Base Data'!$C$6)+(L20*'Base Data'!$C$7)</f>
        <v>67877.16</v>
      </c>
      <c r="O20" s="44">
        <f>(D20+E20+F20)*G20*I20</f>
        <v>149500</v>
      </c>
      <c r="P20" s="73">
        <v>0</v>
      </c>
      <c r="Q20" s="75" t="s">
        <v>242</v>
      </c>
      <c r="R20" s="342"/>
    </row>
    <row r="21" spans="1:21" s="115" customFormat="1" ht="9">
      <c r="A21" s="111" t="s">
        <v>527</v>
      </c>
      <c r="B21" s="37"/>
      <c r="C21" s="37"/>
      <c r="D21" s="44"/>
      <c r="E21" s="44"/>
      <c r="F21" s="44"/>
      <c r="G21" s="37"/>
      <c r="H21" s="37"/>
      <c r="I21" s="73"/>
      <c r="J21" s="73"/>
      <c r="K21" s="73"/>
      <c r="L21" s="73"/>
      <c r="M21" s="74"/>
      <c r="N21" s="44"/>
      <c r="O21" s="44"/>
      <c r="P21" s="73"/>
      <c r="Q21" s="75" t="s">
        <v>16</v>
      </c>
      <c r="U21" s="144"/>
    </row>
    <row r="22" spans="1:21" s="115" customFormat="1" ht="9">
      <c r="A22" s="111" t="s">
        <v>383</v>
      </c>
      <c r="B22" s="37">
        <v>40</v>
      </c>
      <c r="C22" s="37"/>
      <c r="D22" s="44">
        <v>0</v>
      </c>
      <c r="E22" s="44"/>
      <c r="F22" s="44">
        <v>0</v>
      </c>
      <c r="G22" s="37">
        <v>1</v>
      </c>
      <c r="H22" s="37">
        <f>B22*G22</f>
        <v>40</v>
      </c>
      <c r="I22" s="72">
        <f>ROUNDDOWN(SUM('Base Data'!$H$63:$H$65)/3,0)</f>
        <v>3</v>
      </c>
      <c r="J22" s="73">
        <f>H22*I22</f>
        <v>120</v>
      </c>
      <c r="K22" s="73">
        <f>J22*0.1</f>
        <v>12</v>
      </c>
      <c r="L22" s="73">
        <f>J22*0.05</f>
        <v>6</v>
      </c>
      <c r="M22" s="74"/>
      <c r="N22" s="44">
        <f>(J22*'Base Data'!$C$5)+(K22*'Base Data'!$C$6)+(L22*'Base Data'!$C$7)</f>
        <v>13053.300000000001</v>
      </c>
      <c r="O22" s="44">
        <f>(D22+E22+F22)*G22*I22</f>
        <v>0</v>
      </c>
      <c r="P22" s="73">
        <v>0</v>
      </c>
      <c r="Q22" s="75" t="s">
        <v>338</v>
      </c>
      <c r="U22" s="144"/>
    </row>
    <row r="23" spans="1:21" s="115" customFormat="1" ht="9">
      <c r="A23" s="110" t="s">
        <v>361</v>
      </c>
      <c r="B23" s="37"/>
      <c r="C23" s="37"/>
      <c r="D23" s="44"/>
      <c r="E23" s="44"/>
      <c r="F23" s="44"/>
      <c r="G23" s="37"/>
      <c r="H23" s="37"/>
      <c r="I23" s="73"/>
      <c r="J23" s="73"/>
      <c r="K23" s="73"/>
      <c r="L23" s="73"/>
      <c r="M23" s="74"/>
      <c r="N23" s="44"/>
      <c r="O23" s="44"/>
      <c r="P23" s="73"/>
      <c r="Q23" s="75"/>
      <c r="U23" s="144"/>
    </row>
    <row r="24" spans="1:21" s="115" customFormat="1" ht="9">
      <c r="A24" s="110" t="s">
        <v>362</v>
      </c>
      <c r="B24" s="37">
        <v>10</v>
      </c>
      <c r="C24" s="37"/>
      <c r="D24" s="44">
        <v>0</v>
      </c>
      <c r="E24" s="44">
        <v>0</v>
      </c>
      <c r="F24" s="44">
        <v>43100</v>
      </c>
      <c r="G24" s="37">
        <v>1</v>
      </c>
      <c r="H24" s="37">
        <f>B24*G24</f>
        <v>10</v>
      </c>
      <c r="I24" s="72">
        <f>ROUNDDOWN(Monitors!$C$21/3,0)</f>
        <v>26</v>
      </c>
      <c r="J24" s="73">
        <f>H24*I24</f>
        <v>260</v>
      </c>
      <c r="K24" s="73">
        <f>J24*0.1</f>
        <v>26</v>
      </c>
      <c r="L24" s="73">
        <f>J24*0.05</f>
        <v>13</v>
      </c>
      <c r="M24" s="74"/>
      <c r="N24" s="44">
        <f>(J24*'Base Data'!$C$5)+(K24*'Base Data'!$C$6)+(L24*'Base Data'!$C$7)</f>
        <v>28282.149999999998</v>
      </c>
      <c r="O24" s="44">
        <f>(D24+E24+F24)*G24*I24</f>
        <v>1120600</v>
      </c>
      <c r="P24" s="73">
        <v>0</v>
      </c>
      <c r="Q24" s="75" t="s">
        <v>338</v>
      </c>
      <c r="U24" s="144"/>
    </row>
    <row r="25" spans="1:21" s="115" customFormat="1" ht="9">
      <c r="A25" s="110" t="s">
        <v>365</v>
      </c>
      <c r="B25" s="37">
        <v>10</v>
      </c>
      <c r="C25" s="37"/>
      <c r="D25" s="44">
        <v>0</v>
      </c>
      <c r="E25" s="44">
        <v>0</v>
      </c>
      <c r="F25" s="44">
        <v>14700</v>
      </c>
      <c r="G25" s="37">
        <v>1</v>
      </c>
      <c r="H25" s="37">
        <f>B25*G25</f>
        <v>10</v>
      </c>
      <c r="I25" s="72">
        <f>ROUNDDOWN(Monitors!$C$21/3,0)+'Fac-NewLrgSolid-Yr1'!I25</f>
        <v>52</v>
      </c>
      <c r="J25" s="73">
        <f>H25*I25</f>
        <v>520</v>
      </c>
      <c r="K25" s="73">
        <f>J25*0.1</f>
        <v>52</v>
      </c>
      <c r="L25" s="73">
        <f>J25*0.05</f>
        <v>26</v>
      </c>
      <c r="M25" s="74"/>
      <c r="N25" s="44">
        <f>(J25*'Base Data'!$C$5)+(K25*'Base Data'!$C$6)+(L25*'Base Data'!$C$7)</f>
        <v>56564.299999999996</v>
      </c>
      <c r="O25" s="44">
        <f>(D25+E25+F25)*G25*I25</f>
        <v>764400</v>
      </c>
      <c r="P25" s="73">
        <v>0</v>
      </c>
      <c r="Q25" s="75" t="s">
        <v>338</v>
      </c>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v>0</v>
      </c>
      <c r="J27" s="73">
        <f>H27*I27</f>
        <v>0</v>
      </c>
      <c r="K27" s="73">
        <f>J27*0.1</f>
        <v>0</v>
      </c>
      <c r="L27" s="73">
        <f>J27*0.05</f>
        <v>0</v>
      </c>
      <c r="M27" s="74"/>
      <c r="N27" s="44">
        <f>(J27*'Base Data'!$C$5)+(K27*'Base Data'!$C$6)+(L27*'Base Data'!$C$7)</f>
        <v>0</v>
      </c>
      <c r="O27" s="44">
        <f>(D27+E27+F27)*G27*I27</f>
        <v>0</v>
      </c>
      <c r="P27" s="73">
        <f t="shared" si="5"/>
        <v>0</v>
      </c>
      <c r="Q27" s="75" t="s">
        <v>617</v>
      </c>
      <c r="U27" s="144"/>
    </row>
    <row r="28" spans="1:21" s="115" customFormat="1" ht="9">
      <c r="A28" s="110" t="s">
        <v>365</v>
      </c>
      <c r="B28" s="37">
        <v>10</v>
      </c>
      <c r="C28" s="37"/>
      <c r="D28" s="44">
        <v>0</v>
      </c>
      <c r="E28" s="44">
        <v>0</v>
      </c>
      <c r="F28" s="44">
        <v>56100</v>
      </c>
      <c r="G28" s="37">
        <v>1</v>
      </c>
      <c r="H28" s="37">
        <f>B28*G28</f>
        <v>10</v>
      </c>
      <c r="I28" s="72">
        <v>0</v>
      </c>
      <c r="J28" s="73">
        <f>H28*I28</f>
        <v>0</v>
      </c>
      <c r="K28" s="73">
        <f>J28*0.1</f>
        <v>0</v>
      </c>
      <c r="L28" s="73">
        <f>J28*0.05</f>
        <v>0</v>
      </c>
      <c r="M28" s="74"/>
      <c r="N28" s="44">
        <f>(J28*'Base Data'!$C$5)+(K28*'Base Data'!$C$6)+(L28*'Base Data'!$C$7)</f>
        <v>0</v>
      </c>
      <c r="O28" s="44">
        <f>(D28+E28+F28)*G28*I28</f>
        <v>0</v>
      </c>
      <c r="P28" s="73">
        <f t="shared" si="5"/>
        <v>0</v>
      </c>
      <c r="Q28" s="75" t="s">
        <v>617</v>
      </c>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6">B30*G30</f>
        <v>10</v>
      </c>
      <c r="I30" s="72">
        <f>ROUNDDOWN(Monitors!$F$21/3,0)</f>
        <v>26</v>
      </c>
      <c r="J30" s="73">
        <f t="shared" ref="J30:J31" si="7">H30*I30</f>
        <v>260</v>
      </c>
      <c r="K30" s="73">
        <f t="shared" ref="K30:K31" si="8">J30*0.1</f>
        <v>26</v>
      </c>
      <c r="L30" s="73">
        <f t="shared" ref="L30:L31" si="9">J30*0.05</f>
        <v>13</v>
      </c>
      <c r="M30" s="74"/>
      <c r="N30" s="44">
        <f>(J30*'Base Data'!$C$5)+(K30*'Base Data'!$C$6)+(L30*'Base Data'!$C$7)</f>
        <v>28282.149999999998</v>
      </c>
      <c r="O30" s="44">
        <f>(D30+E30+F30)*G30*I30</f>
        <v>221598</v>
      </c>
      <c r="P30" s="73">
        <v>0</v>
      </c>
      <c r="Q30" s="75" t="s">
        <v>338</v>
      </c>
    </row>
    <row r="31" spans="1:21" s="115" customFormat="1" ht="9">
      <c r="A31" s="110" t="s">
        <v>365</v>
      </c>
      <c r="B31" s="37">
        <v>10</v>
      </c>
      <c r="C31" s="37"/>
      <c r="D31" s="44">
        <v>0</v>
      </c>
      <c r="E31" s="44">
        <v>0</v>
      </c>
      <c r="F31" s="44">
        <f>Monitors!$G$32</f>
        <v>1436</v>
      </c>
      <c r="G31" s="37">
        <v>1</v>
      </c>
      <c r="H31" s="37">
        <f t="shared" si="6"/>
        <v>10</v>
      </c>
      <c r="I31" s="72">
        <f>ROUNDDOWN(Monitors!$F$21/3,0)+'Fac-NewLrgSolid-Yr1'!I31</f>
        <v>52</v>
      </c>
      <c r="J31" s="73">
        <f t="shared" si="7"/>
        <v>520</v>
      </c>
      <c r="K31" s="73">
        <f t="shared" si="8"/>
        <v>52</v>
      </c>
      <c r="L31" s="73">
        <f t="shared" si="9"/>
        <v>26</v>
      </c>
      <c r="M31" s="74"/>
      <c r="N31" s="44">
        <f>(J31*'Base Data'!$C$5)+(K31*'Base Data'!$C$6)+(L31*'Base Data'!$C$7)</f>
        <v>56564.299999999996</v>
      </c>
      <c r="O31" s="44">
        <f>(D31+E31+F31)*G31*I31</f>
        <v>74672</v>
      </c>
      <c r="P31" s="73">
        <v>0</v>
      </c>
      <c r="Q31" s="75" t="s">
        <v>338</v>
      </c>
    </row>
    <row r="32" spans="1:21" s="115" customFormat="1" ht="18">
      <c r="A32" s="111" t="s">
        <v>160</v>
      </c>
      <c r="B32" s="37"/>
      <c r="C32" s="37"/>
      <c r="D32" s="44"/>
      <c r="E32" s="44"/>
      <c r="F32" s="76"/>
      <c r="G32" s="37"/>
      <c r="H32" s="37"/>
      <c r="I32" s="72"/>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v>0</v>
      </c>
      <c r="J33" s="73">
        <f>H33*I33</f>
        <v>0</v>
      </c>
      <c r="K33" s="73">
        <f>J33*0.1</f>
        <v>0</v>
      </c>
      <c r="L33" s="73">
        <f>J33*0.05</f>
        <v>0</v>
      </c>
      <c r="M33" s="74"/>
      <c r="N33" s="44">
        <f>(J33*'Base Data'!$C$5)+(K33*'Base Data'!$C$6)+(L33*'Base Data'!$C$7)</f>
        <v>0</v>
      </c>
      <c r="O33" s="44">
        <f>(D33+E33+F33)*G33*I33</f>
        <v>0</v>
      </c>
      <c r="P33" s="73">
        <f t="shared" si="5"/>
        <v>0</v>
      </c>
      <c r="Q33" s="75" t="s">
        <v>338</v>
      </c>
      <c r="U33" s="144"/>
    </row>
    <row r="34" spans="1:21" s="115" customFormat="1" ht="9">
      <c r="A34" s="110" t="s">
        <v>365</v>
      </c>
      <c r="B34" s="37">
        <v>10</v>
      </c>
      <c r="C34" s="37"/>
      <c r="D34" s="44">
        <v>0</v>
      </c>
      <c r="E34" s="44">
        <v>0</v>
      </c>
      <c r="F34" s="44">
        <v>5600</v>
      </c>
      <c r="G34" s="37">
        <v>1</v>
      </c>
      <c r="H34" s="37">
        <f>B34*G34</f>
        <v>10</v>
      </c>
      <c r="I34" s="72">
        <v>0</v>
      </c>
      <c r="J34" s="73">
        <f>H34*I34</f>
        <v>0</v>
      </c>
      <c r="K34" s="73">
        <f>J34*0.1</f>
        <v>0</v>
      </c>
      <c r="L34" s="73">
        <f>J34*0.05</f>
        <v>0</v>
      </c>
      <c r="M34" s="74"/>
      <c r="N34" s="44">
        <f>(J34*'Base Data'!$C$5)+(K34*'Base Data'!$C$6)+(L34*'Base Data'!$C$7)</f>
        <v>0</v>
      </c>
      <c r="O34" s="44">
        <f>(D34+E34+F34)*G34*I34</f>
        <v>0</v>
      </c>
      <c r="P34" s="73">
        <f t="shared" si="5"/>
        <v>0</v>
      </c>
      <c r="Q34" s="75" t="s">
        <v>338</v>
      </c>
      <c r="U34" s="144"/>
    </row>
    <row r="35" spans="1:21" s="115" customFormat="1" ht="18">
      <c r="A35" s="111" t="s">
        <v>425</v>
      </c>
      <c r="B35" s="37"/>
      <c r="C35" s="37"/>
      <c r="D35" s="44"/>
      <c r="E35" s="44"/>
      <c r="F35" s="44"/>
      <c r="G35" s="37"/>
      <c r="H35" s="37"/>
      <c r="I35" s="72"/>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ROUNDDOWN(Monitors!$B$21/3,0)</f>
        <v>26</v>
      </c>
      <c r="J36" s="73">
        <f>H36*I36</f>
        <v>260</v>
      </c>
      <c r="K36" s="73">
        <f>J36*0.1</f>
        <v>26</v>
      </c>
      <c r="L36" s="73">
        <f>J36*0.05</f>
        <v>13</v>
      </c>
      <c r="M36" s="74"/>
      <c r="N36" s="44">
        <f>(J36*'Base Data'!$C$5)+(K36*'Base Data'!$C$6)+(L36*'Base Data'!$C$7)</f>
        <v>28282.149999999998</v>
      </c>
      <c r="O36" s="44">
        <f>(D36+E36+F36)*G36*I36</f>
        <v>663000</v>
      </c>
      <c r="P36" s="73">
        <v>0</v>
      </c>
      <c r="Q36" s="75" t="s">
        <v>338</v>
      </c>
      <c r="U36" s="144"/>
    </row>
    <row r="37" spans="1:21" s="115" customFormat="1" ht="9">
      <c r="A37" s="110" t="s">
        <v>365</v>
      </c>
      <c r="B37" s="37">
        <v>10</v>
      </c>
      <c r="C37" s="37"/>
      <c r="D37" s="44">
        <v>0</v>
      </c>
      <c r="E37" s="44">
        <v>0</v>
      </c>
      <c r="F37" s="44">
        <v>9700</v>
      </c>
      <c r="G37" s="37">
        <v>1</v>
      </c>
      <c r="H37" s="37">
        <f>B37*G37</f>
        <v>10</v>
      </c>
      <c r="I37" s="72">
        <f>ROUNDDOWN(Monitors!$B$21/3,0)+'Fac-NewLrgSolid-Yr1'!I37</f>
        <v>52</v>
      </c>
      <c r="J37" s="73">
        <f>H37*I37</f>
        <v>520</v>
      </c>
      <c r="K37" s="73">
        <f>J37*0.1</f>
        <v>52</v>
      </c>
      <c r="L37" s="73">
        <f>J37*0.05</f>
        <v>26</v>
      </c>
      <c r="M37" s="74"/>
      <c r="N37" s="44">
        <f>(J37*'Base Data'!$C$5)+(K37*'Base Data'!$C$6)+(L37*'Base Data'!$C$7)</f>
        <v>56564.299999999996</v>
      </c>
      <c r="O37" s="44">
        <f>(D37+E37+F37)*G37*I37</f>
        <v>504400</v>
      </c>
      <c r="P37" s="73">
        <v>0</v>
      </c>
      <c r="Q37" s="75" t="s">
        <v>338</v>
      </c>
      <c r="U37" s="144"/>
    </row>
    <row r="38" spans="1:21" s="115" customFormat="1" ht="18">
      <c r="A38" s="111" t="s">
        <v>161</v>
      </c>
      <c r="B38" s="37"/>
      <c r="C38" s="37"/>
      <c r="D38" s="44"/>
      <c r="E38" s="44"/>
      <c r="F38" s="44"/>
      <c r="G38" s="37"/>
      <c r="H38" s="37"/>
      <c r="I38" s="72"/>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v>0</v>
      </c>
      <c r="J39" s="73">
        <f>H39*I39</f>
        <v>0</v>
      </c>
      <c r="K39" s="73">
        <f>J39*0.1</f>
        <v>0</v>
      </c>
      <c r="L39" s="73">
        <f>J39*0.05</f>
        <v>0</v>
      </c>
      <c r="M39" s="74"/>
      <c r="N39" s="44">
        <f>(J39*'Base Data'!$C$5)+(K39*'Base Data'!$C$6)+(L39*'Base Data'!$C$7)</f>
        <v>0</v>
      </c>
      <c r="O39" s="44">
        <f>(D39+E39+F39)*G39*I39</f>
        <v>0</v>
      </c>
      <c r="P39" s="73">
        <f t="shared" si="5"/>
        <v>0</v>
      </c>
      <c r="Q39" s="75" t="s">
        <v>338</v>
      </c>
      <c r="U39" s="144"/>
    </row>
    <row r="40" spans="1:21" s="115" customFormat="1" ht="9">
      <c r="A40" s="110" t="s">
        <v>365</v>
      </c>
      <c r="B40" s="37">
        <v>10</v>
      </c>
      <c r="C40" s="37"/>
      <c r="D40" s="44">
        <v>0</v>
      </c>
      <c r="E40" s="44">
        <v>0</v>
      </c>
      <c r="F40" s="44">
        <v>9700</v>
      </c>
      <c r="G40" s="37">
        <v>1</v>
      </c>
      <c r="H40" s="37">
        <f>B40*G40</f>
        <v>10</v>
      </c>
      <c r="I40" s="72">
        <v>0</v>
      </c>
      <c r="J40" s="73">
        <f>H40*I40</f>
        <v>0</v>
      </c>
      <c r="K40" s="73">
        <f>J40*0.1</f>
        <v>0</v>
      </c>
      <c r="L40" s="73">
        <f>J40*0.05</f>
        <v>0</v>
      </c>
      <c r="M40" s="74"/>
      <c r="N40" s="44">
        <f>(J40*'Base Data'!$C$5)+(K40*'Base Data'!$C$6)+(L40*'Base Data'!$C$7)</f>
        <v>0</v>
      </c>
      <c r="O40" s="44">
        <f>(D40+E40+F40)*G40*I40</f>
        <v>0</v>
      </c>
      <c r="P40" s="73">
        <f t="shared" si="5"/>
        <v>0</v>
      </c>
      <c r="Q40" s="75" t="s">
        <v>338</v>
      </c>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3</v>
      </c>
      <c r="J44" s="73">
        <f>H44*I44</f>
        <v>6</v>
      </c>
      <c r="K44" s="73">
        <f>J44*0.1</f>
        <v>0.60000000000000009</v>
      </c>
      <c r="L44" s="73">
        <f>J44*0.05</f>
        <v>0.30000000000000004</v>
      </c>
      <c r="M44" s="37">
        <f>C44*G44*I44</f>
        <v>0</v>
      </c>
      <c r="N44" s="44">
        <f>(J44*'Base Data'!$C$5)+(K44*'Base Data'!$C$6)+(L44*'Base Data'!$C$7)</f>
        <v>652.66500000000008</v>
      </c>
      <c r="O44" s="44">
        <f>(D44+E44+F44)*G44*I44</f>
        <v>0</v>
      </c>
      <c r="P44" s="73">
        <f t="shared" si="5"/>
        <v>3</v>
      </c>
      <c r="Q44" s="75" t="s">
        <v>123</v>
      </c>
    </row>
    <row r="45" spans="1:21" s="115" customFormat="1" ht="9" customHeight="1">
      <c r="A45" s="126" t="s">
        <v>328</v>
      </c>
      <c r="B45" s="37">
        <v>8</v>
      </c>
      <c r="C45" s="37"/>
      <c r="D45" s="44">
        <v>0</v>
      </c>
      <c r="E45" s="44">
        <v>0</v>
      </c>
      <c r="F45" s="44">
        <v>0</v>
      </c>
      <c r="G45" s="37">
        <v>1</v>
      </c>
      <c r="H45" s="37">
        <f>B45*G45</f>
        <v>8</v>
      </c>
      <c r="I45" s="72">
        <f t="shared" ref="I45" si="10">$I$7</f>
        <v>3</v>
      </c>
      <c r="J45" s="73">
        <f>H45*I45</f>
        <v>24</v>
      </c>
      <c r="K45" s="73">
        <f>J45*0.1</f>
        <v>2.4000000000000004</v>
      </c>
      <c r="L45" s="73">
        <f>J45*0.05</f>
        <v>1.2000000000000002</v>
      </c>
      <c r="M45" s="37">
        <f>C45*G45*I45</f>
        <v>0</v>
      </c>
      <c r="N45" s="44">
        <f>(J45*'Base Data'!$C$5)+(K45*'Base Data'!$C$6)+(L45*'Base Data'!$C$7)</f>
        <v>2610.6600000000003</v>
      </c>
      <c r="O45" s="44">
        <f>(D45+E45+F45)*G45*I45</f>
        <v>0</v>
      </c>
      <c r="P45" s="73">
        <f t="shared" si="5"/>
        <v>3</v>
      </c>
      <c r="Q45" s="75" t="s">
        <v>123</v>
      </c>
    </row>
    <row r="46" spans="1:21" s="115" customFormat="1" ht="9">
      <c r="A46" s="112" t="s">
        <v>435</v>
      </c>
      <c r="B46" s="37">
        <v>20</v>
      </c>
      <c r="C46" s="37">
        <v>0</v>
      </c>
      <c r="D46" s="44">
        <v>0</v>
      </c>
      <c r="E46" s="44">
        <v>0</v>
      </c>
      <c r="F46" s="44">
        <v>0</v>
      </c>
      <c r="G46" s="37">
        <v>2</v>
      </c>
      <c r="H46" s="37">
        <f>B46*G46</f>
        <v>40</v>
      </c>
      <c r="I46" s="72">
        <f>$I$7+'Fac-NewLrgSolid-Yr1'!I46</f>
        <v>7</v>
      </c>
      <c r="J46" s="73">
        <f>H46*I46</f>
        <v>280</v>
      </c>
      <c r="K46" s="73">
        <f>J46*0.1</f>
        <v>28</v>
      </c>
      <c r="L46" s="73">
        <f>J46*0.05</f>
        <v>14</v>
      </c>
      <c r="M46" s="73">
        <f>C46*G46*I46</f>
        <v>0</v>
      </c>
      <c r="N46" s="44">
        <f>(J46*'Base Data'!$C$5)+(K46*'Base Data'!$C$6)+(L46*'Base Data'!$C$7)</f>
        <v>30457.7</v>
      </c>
      <c r="O46" s="44">
        <f>(D46+E46+F46)*G46*I46</f>
        <v>0</v>
      </c>
      <c r="P46" s="73">
        <f t="shared" si="5"/>
        <v>14</v>
      </c>
      <c r="Q46" s="75" t="s">
        <v>123</v>
      </c>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t="s">
        <v>77</v>
      </c>
      <c r="R47" s="133"/>
    </row>
    <row r="48" spans="1:21" s="115" customFormat="1" ht="9">
      <c r="A48" s="113" t="s">
        <v>7</v>
      </c>
      <c r="B48" s="37"/>
      <c r="C48" s="37"/>
      <c r="D48" s="44"/>
      <c r="E48" s="44"/>
      <c r="F48" s="44"/>
      <c r="G48" s="37"/>
      <c r="H48" s="37"/>
      <c r="I48" s="72"/>
      <c r="J48" s="73">
        <f>SUM(J7:J47)</f>
        <v>6634</v>
      </c>
      <c r="K48" s="73">
        <f t="shared" ref="K48:L48" si="11">SUM(K7:K47)</f>
        <v>663.4</v>
      </c>
      <c r="L48" s="73">
        <f t="shared" si="11"/>
        <v>331.7</v>
      </c>
      <c r="M48" s="73">
        <f t="shared" ref="M48" si="12">SUM(M7:M46)</f>
        <v>0</v>
      </c>
      <c r="N48" s="44">
        <f>SUM(N7:N47)</f>
        <v>721629.93500000029</v>
      </c>
      <c r="O48" s="44">
        <f>SUM(O7:O47)</f>
        <v>5370170</v>
      </c>
      <c r="P48" s="73">
        <f>SUM(P7:P47)</f>
        <v>20</v>
      </c>
      <c r="Q48" s="75"/>
      <c r="R48" s="118">
        <f>SUM(O7,O9:O20,O25,O28,O31,O34,O37,O40)</f>
        <v>3364972</v>
      </c>
      <c r="S48" s="117">
        <f>SUM(O24,O27,O30,O33,O36,O39)</f>
        <v>2005198</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339</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3">B54*G54</f>
        <v>20</v>
      </c>
      <c r="I54" s="72">
        <f>$I$9+'Fac-NewLrgSolid-Yr1'!I54</f>
        <v>52</v>
      </c>
      <c r="J54" s="73">
        <f t="shared" ref="J54:J60" si="14">H54*I54</f>
        <v>1040</v>
      </c>
      <c r="K54" s="73">
        <f t="shared" ref="K54:K60" si="15">J54*0.1</f>
        <v>104</v>
      </c>
      <c r="L54" s="73">
        <f t="shared" ref="L54:L60" si="16">J54*0.05</f>
        <v>52</v>
      </c>
      <c r="M54" s="37"/>
      <c r="N54" s="44">
        <f>(J54*'Base Data'!$C$5)+(K54*'Base Data'!$C$6)+(L54*'Base Data'!$C$7)</f>
        <v>113128.59999999999</v>
      </c>
      <c r="O54" s="44">
        <f t="shared" ref="O54:O60" si="17">(D54+E54+F54)*G54*I54</f>
        <v>0</v>
      </c>
      <c r="P54" s="73">
        <v>0</v>
      </c>
      <c r="Q54" s="75" t="s">
        <v>338</v>
      </c>
    </row>
    <row r="55" spans="1:18" s="115" customFormat="1" ht="9">
      <c r="A55" s="111" t="s">
        <v>376</v>
      </c>
      <c r="B55" s="37">
        <v>15</v>
      </c>
      <c r="C55" s="37">
        <v>0</v>
      </c>
      <c r="D55" s="44">
        <v>0</v>
      </c>
      <c r="E55" s="44">
        <v>0</v>
      </c>
      <c r="F55" s="44">
        <v>0</v>
      </c>
      <c r="G55" s="37">
        <v>1</v>
      </c>
      <c r="H55" s="37">
        <f t="shared" si="13"/>
        <v>15</v>
      </c>
      <c r="I55" s="72">
        <f>$I$9+'Fac-NewLrgSolid-Yr1'!I55</f>
        <v>52</v>
      </c>
      <c r="J55" s="73">
        <f t="shared" si="14"/>
        <v>780</v>
      </c>
      <c r="K55" s="73">
        <f t="shared" si="15"/>
        <v>78</v>
      </c>
      <c r="L55" s="73">
        <f t="shared" si="16"/>
        <v>39</v>
      </c>
      <c r="M55" s="37">
        <f>C55*G55*I55</f>
        <v>0</v>
      </c>
      <c r="N55" s="44">
        <f>(J55*'Base Data'!$C$5)+(K55*'Base Data'!$C$6)+(L55*'Base Data'!$C$7)</f>
        <v>84846.45</v>
      </c>
      <c r="O55" s="44">
        <f t="shared" si="17"/>
        <v>0</v>
      </c>
      <c r="P55" s="73">
        <v>0</v>
      </c>
      <c r="Q55" s="75" t="s">
        <v>338</v>
      </c>
    </row>
    <row r="56" spans="1:18" s="115" customFormat="1" ht="9.75" customHeight="1">
      <c r="A56" s="110" t="s">
        <v>377</v>
      </c>
      <c r="B56" s="37">
        <v>2</v>
      </c>
      <c r="C56" s="37"/>
      <c r="D56" s="44">
        <v>0</v>
      </c>
      <c r="E56" s="44">
        <v>0</v>
      </c>
      <c r="F56" s="44">
        <v>0</v>
      </c>
      <c r="G56" s="37">
        <v>1</v>
      </c>
      <c r="H56" s="37">
        <f t="shared" si="13"/>
        <v>2</v>
      </c>
      <c r="I56" s="72">
        <f>$I$9+'Fac-NewLrgSolid-Yr1'!I56</f>
        <v>52</v>
      </c>
      <c r="J56" s="73">
        <f t="shared" si="14"/>
        <v>104</v>
      </c>
      <c r="K56" s="73">
        <f t="shared" si="15"/>
        <v>10.4</v>
      </c>
      <c r="L56" s="73">
        <f t="shared" si="16"/>
        <v>5.2</v>
      </c>
      <c r="M56" s="37"/>
      <c r="N56" s="44">
        <f>(J56*'Base Data'!$C$5)+(K56*'Base Data'!$C$6)+(L56*'Base Data'!$C$7)</f>
        <v>11312.86</v>
      </c>
      <c r="O56" s="44">
        <f t="shared" si="17"/>
        <v>0</v>
      </c>
      <c r="P56" s="73">
        <v>0</v>
      </c>
      <c r="Q56" s="75" t="s">
        <v>338</v>
      </c>
    </row>
    <row r="57" spans="1:18" s="115" customFormat="1" ht="9">
      <c r="A57" s="111" t="s">
        <v>387</v>
      </c>
      <c r="B57" s="37">
        <v>2</v>
      </c>
      <c r="C57" s="37"/>
      <c r="D57" s="44">
        <v>0</v>
      </c>
      <c r="E57" s="44">
        <v>0</v>
      </c>
      <c r="F57" s="44">
        <v>0</v>
      </c>
      <c r="G57" s="37">
        <v>1</v>
      </c>
      <c r="H57" s="37">
        <f t="shared" si="13"/>
        <v>2</v>
      </c>
      <c r="I57" s="72">
        <f>$I$9+'Fac-NewLrgSolid-Yr1'!I57</f>
        <v>52</v>
      </c>
      <c r="J57" s="73">
        <f t="shared" si="14"/>
        <v>104</v>
      </c>
      <c r="K57" s="73">
        <f t="shared" si="15"/>
        <v>10.4</v>
      </c>
      <c r="L57" s="73">
        <f t="shared" si="16"/>
        <v>5.2</v>
      </c>
      <c r="M57" s="37"/>
      <c r="N57" s="44">
        <f>(J57*'Base Data'!$C$5)+(K57*'Base Data'!$C$6)+(L57*'Base Data'!$C$7)</f>
        <v>11312.86</v>
      </c>
      <c r="O57" s="44">
        <f t="shared" si="17"/>
        <v>0</v>
      </c>
      <c r="P57" s="73">
        <v>0</v>
      </c>
      <c r="Q57" s="75" t="s">
        <v>338</v>
      </c>
    </row>
    <row r="58" spans="1:18" s="115" customFormat="1" ht="9">
      <c r="A58" s="111" t="s">
        <v>388</v>
      </c>
      <c r="B58" s="37">
        <v>2</v>
      </c>
      <c r="C58" s="37">
        <v>0</v>
      </c>
      <c r="D58" s="44">
        <v>0</v>
      </c>
      <c r="E58" s="44">
        <v>0</v>
      </c>
      <c r="F58" s="44">
        <v>0</v>
      </c>
      <c r="G58" s="37">
        <v>2</v>
      </c>
      <c r="H58" s="37">
        <f t="shared" si="13"/>
        <v>4</v>
      </c>
      <c r="I58" s="72">
        <f>$I$9+'Fac-NewLrgSolid-Yr1'!I58</f>
        <v>52</v>
      </c>
      <c r="J58" s="73">
        <f t="shared" si="14"/>
        <v>208</v>
      </c>
      <c r="K58" s="73">
        <f t="shared" si="15"/>
        <v>20.8</v>
      </c>
      <c r="L58" s="73">
        <f t="shared" si="16"/>
        <v>10.4</v>
      </c>
      <c r="M58" s="37">
        <f>C58*G58*I58</f>
        <v>0</v>
      </c>
      <c r="N58" s="44">
        <f>(J58*'Base Data'!$C$5)+(K58*'Base Data'!$C$6)+(L58*'Base Data'!$C$7)</f>
        <v>22625.72</v>
      </c>
      <c r="O58" s="44">
        <f t="shared" si="17"/>
        <v>0</v>
      </c>
      <c r="P58" s="73">
        <v>0</v>
      </c>
      <c r="Q58" s="75" t="s">
        <v>338</v>
      </c>
    </row>
    <row r="59" spans="1:18" s="115" customFormat="1" ht="9">
      <c r="A59" s="111" t="s">
        <v>389</v>
      </c>
      <c r="B59" s="37">
        <v>0.5</v>
      </c>
      <c r="C59" s="37"/>
      <c r="D59" s="44">
        <v>0</v>
      </c>
      <c r="E59" s="44">
        <v>0</v>
      </c>
      <c r="F59" s="44">
        <v>0</v>
      </c>
      <c r="G59" s="37">
        <v>12</v>
      </c>
      <c r="H59" s="37">
        <f t="shared" si="13"/>
        <v>6</v>
      </c>
      <c r="I59" s="72">
        <f>$I$9+'Fac-NewLrgSolid-Yr1'!I59</f>
        <v>52</v>
      </c>
      <c r="J59" s="73">
        <f t="shared" si="14"/>
        <v>312</v>
      </c>
      <c r="K59" s="73">
        <f t="shared" si="15"/>
        <v>31.200000000000003</v>
      </c>
      <c r="L59" s="73">
        <f t="shared" si="16"/>
        <v>15.600000000000001</v>
      </c>
      <c r="M59" s="37"/>
      <c r="N59" s="44">
        <f>(J59*'Base Data'!$C$5)+(K59*'Base Data'!$C$6)+(L59*'Base Data'!$C$7)</f>
        <v>33938.58</v>
      </c>
      <c r="O59" s="44">
        <f t="shared" si="17"/>
        <v>0</v>
      </c>
      <c r="P59" s="73">
        <v>0</v>
      </c>
      <c r="Q59" s="75" t="s">
        <v>242</v>
      </c>
    </row>
    <row r="60" spans="1:18" s="115" customFormat="1" ht="9">
      <c r="A60" s="110" t="s">
        <v>378</v>
      </c>
      <c r="B60" s="37">
        <v>40</v>
      </c>
      <c r="C60" s="37"/>
      <c r="D60" s="44">
        <v>0</v>
      </c>
      <c r="E60" s="44">
        <v>0</v>
      </c>
      <c r="F60" s="44">
        <v>0</v>
      </c>
      <c r="G60" s="37">
        <v>1</v>
      </c>
      <c r="H60" s="37">
        <f t="shared" si="13"/>
        <v>40</v>
      </c>
      <c r="I60" s="72">
        <f>$I$7</f>
        <v>3</v>
      </c>
      <c r="J60" s="73">
        <f t="shared" si="14"/>
        <v>120</v>
      </c>
      <c r="K60" s="73">
        <f t="shared" si="15"/>
        <v>12</v>
      </c>
      <c r="L60" s="73">
        <f t="shared" si="16"/>
        <v>6</v>
      </c>
      <c r="M60" s="37"/>
      <c r="N60" s="44">
        <f>(J60*'Base Data'!$C$5)+(K60*'Base Data'!$C$6)+(L60*'Base Data'!$C$7)</f>
        <v>13053.300000000001</v>
      </c>
      <c r="O60" s="44">
        <f t="shared" si="17"/>
        <v>0</v>
      </c>
      <c r="P60" s="73">
        <v>0</v>
      </c>
      <c r="Q60" s="75" t="s">
        <v>248</v>
      </c>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SUM(J50:J61)</f>
        <v>2668</v>
      </c>
      <c r="K62" s="186">
        <f t="shared" ref="K62:O62" si="18">SUM(K50:K61)</f>
        <v>266.8</v>
      </c>
      <c r="L62" s="186">
        <f t="shared" si="18"/>
        <v>133.4</v>
      </c>
      <c r="M62" s="185">
        <f t="shared" si="18"/>
        <v>0</v>
      </c>
      <c r="N62" s="185">
        <f>SUM(N50:N61)</f>
        <v>290218.36999999994</v>
      </c>
      <c r="O62" s="185">
        <f t="shared" si="18"/>
        <v>0</v>
      </c>
      <c r="P62" s="186"/>
      <c r="Q62" s="187"/>
      <c r="R62" s="44">
        <f>SUM(R50:R61)</f>
        <v>0</v>
      </c>
    </row>
    <row r="63" spans="1:18" s="134" customFormat="1">
      <c r="A63" s="135" t="s">
        <v>351</v>
      </c>
      <c r="B63" s="136"/>
      <c r="C63" s="136"/>
      <c r="D63" s="136"/>
      <c r="E63" s="136"/>
      <c r="F63" s="137"/>
      <c r="G63" s="136"/>
      <c r="H63" s="136"/>
      <c r="I63" s="138"/>
      <c r="J63" s="139">
        <f t="shared" ref="J63:P63" si="19">J48+J62</f>
        <v>9302</v>
      </c>
      <c r="K63" s="139">
        <f t="shared" si="19"/>
        <v>930.2</v>
      </c>
      <c r="L63" s="139">
        <f t="shared" si="19"/>
        <v>465.1</v>
      </c>
      <c r="M63" s="140">
        <f t="shared" si="19"/>
        <v>0</v>
      </c>
      <c r="N63" s="140">
        <f>N48+N62</f>
        <v>1011848.3050000002</v>
      </c>
      <c r="O63" s="140">
        <f t="shared" si="19"/>
        <v>5370170</v>
      </c>
      <c r="P63" s="470">
        <f t="shared" si="19"/>
        <v>20</v>
      </c>
      <c r="Q63" s="141"/>
    </row>
    <row r="64" spans="1:18" ht="6" customHeight="1"/>
    <row r="65" spans="1:18" s="382" customFormat="1" ht="9">
      <c r="A65" s="499" t="s">
        <v>620</v>
      </c>
      <c r="B65" s="499"/>
      <c r="C65" s="499"/>
      <c r="D65" s="499"/>
      <c r="E65" s="499"/>
      <c r="F65" s="499"/>
      <c r="G65" s="499"/>
      <c r="H65" s="499"/>
      <c r="I65" s="499"/>
      <c r="J65" s="499"/>
      <c r="K65" s="499"/>
      <c r="L65" s="499"/>
      <c r="M65" s="499"/>
      <c r="N65" s="499"/>
      <c r="O65" s="499"/>
      <c r="P65" s="462"/>
      <c r="Q65" s="375"/>
    </row>
    <row r="66" spans="1:18" s="382" customFormat="1" ht="9" customHeight="1">
      <c r="A66" s="500" t="s">
        <v>553</v>
      </c>
      <c r="B66" s="500"/>
      <c r="C66" s="500"/>
      <c r="D66" s="500"/>
      <c r="E66" s="500"/>
      <c r="F66" s="500"/>
      <c r="G66" s="500"/>
      <c r="H66" s="500"/>
      <c r="I66" s="500"/>
      <c r="J66" s="500"/>
      <c r="K66" s="500"/>
      <c r="L66" s="500"/>
      <c r="M66" s="500"/>
      <c r="N66" s="500"/>
      <c r="O66" s="500"/>
      <c r="P66" s="461"/>
      <c r="Q66" s="375"/>
    </row>
    <row r="67" spans="1:18" s="382" customFormat="1" ht="9" customHeight="1">
      <c r="A67" s="500" t="s">
        <v>554</v>
      </c>
      <c r="B67" s="500"/>
      <c r="C67" s="500"/>
      <c r="D67" s="500"/>
      <c r="E67" s="500"/>
      <c r="F67" s="500"/>
      <c r="G67" s="500"/>
      <c r="H67" s="500"/>
      <c r="I67" s="500"/>
      <c r="J67" s="500"/>
      <c r="K67" s="500"/>
      <c r="L67" s="500"/>
      <c r="M67" s="500"/>
      <c r="N67" s="500"/>
      <c r="O67" s="500"/>
      <c r="P67" s="461"/>
      <c r="Q67" s="375"/>
    </row>
    <row r="68" spans="1:18" s="378" customFormat="1">
      <c r="A68" s="500" t="s">
        <v>555</v>
      </c>
      <c r="B68" s="500"/>
      <c r="C68" s="500"/>
      <c r="D68" s="500"/>
      <c r="E68" s="500"/>
      <c r="F68" s="500"/>
      <c r="G68" s="500"/>
      <c r="H68" s="500"/>
      <c r="I68" s="500"/>
      <c r="J68" s="500"/>
      <c r="K68" s="500"/>
      <c r="L68" s="500"/>
      <c r="M68" s="500"/>
      <c r="N68" s="500"/>
      <c r="O68" s="500"/>
      <c r="P68" s="500"/>
      <c r="Q68" s="500"/>
      <c r="R68" s="382"/>
    </row>
    <row r="69" spans="1:18" s="382" customFormat="1" ht="9" customHeight="1">
      <c r="A69" s="382" t="s">
        <v>557</v>
      </c>
      <c r="B69" s="375"/>
      <c r="C69" s="375"/>
      <c r="D69" s="375"/>
      <c r="E69" s="375"/>
      <c r="F69" s="375"/>
      <c r="G69" s="375"/>
      <c r="H69" s="375"/>
      <c r="I69" s="463"/>
      <c r="J69" s="375"/>
      <c r="K69" s="375"/>
      <c r="L69" s="375"/>
      <c r="M69" s="375"/>
      <c r="N69" s="375"/>
      <c r="O69" s="464"/>
      <c r="P69" s="464"/>
      <c r="Q69" s="375"/>
    </row>
    <row r="70" spans="1:18" s="382" customFormat="1" ht="9" customHeight="1">
      <c r="A70" s="382" t="s">
        <v>487</v>
      </c>
      <c r="B70" s="375"/>
      <c r="C70" s="375"/>
      <c r="D70" s="375"/>
      <c r="E70" s="375"/>
      <c r="F70" s="375"/>
      <c r="G70" s="375"/>
      <c r="H70" s="375"/>
      <c r="I70" s="463"/>
      <c r="J70" s="375"/>
      <c r="K70" s="375"/>
      <c r="L70" s="375"/>
      <c r="M70" s="375"/>
      <c r="N70" s="375"/>
      <c r="O70" s="464"/>
      <c r="P70" s="464"/>
      <c r="Q70" s="375"/>
    </row>
    <row r="71" spans="1:18" s="382" customFormat="1" ht="9">
      <c r="A71" s="382" t="s">
        <v>559</v>
      </c>
      <c r="B71" s="375"/>
      <c r="C71" s="375"/>
      <c r="D71" s="375"/>
      <c r="E71" s="375"/>
      <c r="F71" s="375"/>
      <c r="G71" s="375"/>
      <c r="H71" s="375"/>
      <c r="I71" s="463"/>
      <c r="J71" s="375"/>
      <c r="K71" s="375"/>
      <c r="L71" s="375"/>
      <c r="M71" s="375"/>
      <c r="N71" s="375"/>
      <c r="O71" s="464"/>
      <c r="P71" s="464"/>
      <c r="Q71" s="375"/>
    </row>
    <row r="72" spans="1:18" s="382" customFormat="1" ht="21" customHeight="1">
      <c r="A72" s="500" t="s">
        <v>560</v>
      </c>
      <c r="B72" s="500"/>
      <c r="C72" s="500"/>
      <c r="D72" s="500"/>
      <c r="E72" s="500"/>
      <c r="F72" s="500"/>
      <c r="G72" s="500"/>
      <c r="H72" s="500"/>
      <c r="I72" s="500"/>
      <c r="J72" s="500"/>
      <c r="K72" s="500"/>
      <c r="L72" s="500"/>
      <c r="M72" s="500"/>
      <c r="N72" s="500"/>
      <c r="O72" s="500"/>
      <c r="P72" s="500"/>
      <c r="Q72" s="500"/>
    </row>
    <row r="73" spans="1:18" s="45" customFormat="1" ht="9">
      <c r="A73" s="495" t="s">
        <v>618</v>
      </c>
      <c r="B73" s="495"/>
      <c r="C73" s="495"/>
      <c r="D73" s="495"/>
      <c r="E73" s="495"/>
      <c r="F73" s="495"/>
      <c r="G73" s="495"/>
      <c r="H73" s="495"/>
      <c r="I73" s="495"/>
      <c r="J73" s="495"/>
      <c r="K73" s="495"/>
      <c r="L73" s="495"/>
      <c r="M73" s="495"/>
      <c r="N73" s="495"/>
      <c r="O73" s="146"/>
      <c r="P73" s="146"/>
      <c r="Q73" s="48"/>
    </row>
    <row r="74" spans="1:18" s="45" customFormat="1" ht="9">
      <c r="A74" s="494" t="s">
        <v>666</v>
      </c>
      <c r="B74" s="494"/>
      <c r="C74" s="494"/>
      <c r="D74" s="494"/>
      <c r="E74" s="494"/>
      <c r="F74" s="494"/>
      <c r="G74" s="494"/>
      <c r="H74" s="494"/>
      <c r="I74" s="494"/>
      <c r="J74" s="494"/>
      <c r="K74" s="494"/>
      <c r="L74" s="494"/>
      <c r="M74" s="494"/>
      <c r="N74" s="494"/>
      <c r="O74" s="494"/>
      <c r="P74" s="494"/>
      <c r="Q74" s="494"/>
    </row>
    <row r="75" spans="1:18" s="45" customFormat="1" ht="9">
      <c r="A75" s="494"/>
      <c r="B75" s="494"/>
      <c r="C75" s="494"/>
      <c r="D75" s="494"/>
      <c r="E75" s="494"/>
      <c r="F75" s="494"/>
      <c r="G75" s="494"/>
      <c r="H75" s="494"/>
      <c r="I75" s="494"/>
      <c r="J75" s="494"/>
      <c r="K75" s="494"/>
      <c r="L75" s="494"/>
      <c r="M75" s="494"/>
      <c r="N75" s="494"/>
      <c r="O75" s="494"/>
      <c r="P75" s="494"/>
      <c r="Q75" s="494"/>
    </row>
    <row r="76" spans="1:18" s="45" customFormat="1" ht="9">
      <c r="A76" s="494"/>
      <c r="B76" s="494"/>
      <c r="C76" s="494"/>
      <c r="D76" s="494"/>
      <c r="E76" s="494"/>
      <c r="F76" s="494"/>
      <c r="G76" s="494"/>
      <c r="H76" s="494"/>
      <c r="I76" s="494"/>
      <c r="J76" s="494"/>
      <c r="K76" s="494"/>
      <c r="L76" s="494"/>
      <c r="M76" s="494"/>
      <c r="N76" s="494"/>
      <c r="O76" s="494"/>
      <c r="P76" s="494"/>
      <c r="Q76" s="494"/>
    </row>
    <row r="77" spans="1:18" s="45" customFormat="1" ht="9">
      <c r="B77" s="48"/>
      <c r="C77" s="48"/>
      <c r="D77" s="48"/>
      <c r="E77" s="48"/>
      <c r="F77" s="48"/>
      <c r="G77" s="48"/>
      <c r="H77" s="48"/>
      <c r="I77" s="49"/>
      <c r="J77" s="48"/>
      <c r="K77" s="48"/>
      <c r="L77" s="48"/>
      <c r="M77" s="48"/>
      <c r="N77" s="48"/>
      <c r="O77" s="146"/>
      <c r="P77" s="146"/>
      <c r="Q77" s="48"/>
    </row>
    <row r="78" spans="1:18" s="45" customFormat="1" ht="9">
      <c r="B78" s="48"/>
      <c r="C78" s="48"/>
      <c r="D78" s="48"/>
      <c r="E78" s="48"/>
      <c r="F78" s="48"/>
      <c r="G78" s="48"/>
      <c r="H78" s="48"/>
      <c r="I78" s="49"/>
      <c r="J78" s="48"/>
      <c r="K78" s="48"/>
      <c r="L78" s="48"/>
      <c r="M78" s="48"/>
      <c r="N78" s="48"/>
      <c r="O78" s="146"/>
      <c r="P78" s="146"/>
      <c r="Q78" s="48"/>
    </row>
    <row r="79" spans="1:18" s="45" customFormat="1" ht="9">
      <c r="B79" s="48"/>
      <c r="C79" s="48"/>
      <c r="D79" s="48"/>
      <c r="E79" s="48"/>
      <c r="F79" s="48"/>
      <c r="G79" s="48"/>
      <c r="H79" s="48"/>
      <c r="I79" s="49"/>
      <c r="J79" s="48"/>
      <c r="K79" s="48"/>
      <c r="L79" s="48"/>
      <c r="M79" s="48"/>
      <c r="N79" s="48"/>
      <c r="O79" s="146"/>
      <c r="P79" s="146"/>
      <c r="Q79" s="48"/>
    </row>
    <row r="80" spans="1:18"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c r="P99" s="146"/>
      <c r="Q99" s="48"/>
    </row>
    <row r="100" spans="2:17">
      <c r="P100" s="146"/>
      <c r="Q100" s="48"/>
    </row>
    <row r="101" spans="2:17">
      <c r="Q101" s="48"/>
    </row>
    <row r="102" spans="2:17">
      <c r="Q102" s="48"/>
    </row>
    <row r="103" spans="2:17">
      <c r="Q103" s="48"/>
    </row>
    <row r="104" spans="2:17">
      <c r="Q104" s="48"/>
    </row>
    <row r="105" spans="2:17">
      <c r="Q105" s="48"/>
    </row>
    <row r="106" spans="2:17">
      <c r="Q106" s="48"/>
    </row>
    <row r="107" spans="2:17">
      <c r="Q107" s="48"/>
    </row>
    <row r="108" spans="2:17">
      <c r="Q108" s="48"/>
    </row>
    <row r="109" spans="2:17">
      <c r="Q109" s="48"/>
    </row>
    <row r="110" spans="2:17">
      <c r="Q110" s="48"/>
    </row>
    <row r="111" spans="2:17">
      <c r="Q111" s="48"/>
    </row>
  </sheetData>
  <mergeCells count="9">
    <mergeCell ref="A74:Q76"/>
    <mergeCell ref="A73:N73"/>
    <mergeCell ref="A68:Q68"/>
    <mergeCell ref="A72:Q72"/>
    <mergeCell ref="A1:Q1"/>
    <mergeCell ref="A2:Q2"/>
    <mergeCell ref="A65:O65"/>
    <mergeCell ref="A66:O66"/>
    <mergeCell ref="A67:O67"/>
  </mergeCells>
  <phoneticPr fontId="9" type="noConversion"/>
  <printOptions horizontalCentered="1"/>
  <pageMargins left="0.25" right="0.25" top="0.25" bottom="0.25" header="0.5" footer="0.5"/>
  <pageSetup scale="67"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U107"/>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B5" sqref="B5"/>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8" style="46" customWidth="1"/>
    <col min="7" max="7" width="9.28515625" style="46" bestFit="1" customWidth="1"/>
    <col min="8" max="8" width="8.42578125" style="46" customWidth="1"/>
    <col min="9" max="9" width="9.42578125" style="47" bestFit="1" customWidth="1"/>
    <col min="10" max="11" width="6.85546875" style="46" bestFit="1" customWidth="1"/>
    <col min="12" max="12" width="8.85546875" style="46" customWidth="1"/>
    <col min="13" max="13" width="7.85546875" style="46" hidden="1" customWidth="1"/>
    <col min="14" max="14" width="9"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180</v>
      </c>
      <c r="B1" s="496"/>
      <c r="C1" s="496"/>
      <c r="D1" s="496"/>
      <c r="E1" s="496"/>
      <c r="F1" s="496"/>
      <c r="G1" s="496"/>
      <c r="H1" s="496"/>
      <c r="I1" s="496"/>
      <c r="J1" s="496"/>
      <c r="K1" s="496"/>
      <c r="L1" s="496"/>
      <c r="M1" s="496"/>
      <c r="N1" s="496"/>
      <c r="O1" s="496"/>
      <c r="P1" s="496"/>
      <c r="Q1" s="496"/>
    </row>
    <row r="2" spans="1:21">
      <c r="A2" s="497" t="s">
        <v>178</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73"/>
      <c r="Q6" s="75"/>
    </row>
    <row r="7" spans="1:21" s="115" customFormat="1" ht="9">
      <c r="A7" s="111" t="s">
        <v>359</v>
      </c>
      <c r="B7" s="37">
        <v>40</v>
      </c>
      <c r="C7" s="37"/>
      <c r="D7" s="44">
        <v>0</v>
      </c>
      <c r="E7" s="44">
        <v>0</v>
      </c>
      <c r="F7" s="44">
        <v>0</v>
      </c>
      <c r="G7" s="37">
        <v>1</v>
      </c>
      <c r="H7" s="37">
        <f>B7*G7</f>
        <v>40</v>
      </c>
      <c r="I7" s="72">
        <f>ROUNDDOWN(SUM('Base Data'!$H$63:$H$65)/3,0)</f>
        <v>3</v>
      </c>
      <c r="J7" s="73">
        <f>H7*I7</f>
        <v>120</v>
      </c>
      <c r="K7" s="73">
        <f>J7*0.1</f>
        <v>12</v>
      </c>
      <c r="L7" s="72">
        <f>J7*0.05</f>
        <v>6</v>
      </c>
      <c r="M7" s="37">
        <f>C7*G7*I7</f>
        <v>0</v>
      </c>
      <c r="N7" s="44">
        <f>(J7*'Base Data'!$C$5)+(K7*'Base Data'!$C$6)+(L7*'Base Data'!$C$7)</f>
        <v>13053.300000000001</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ROUNDDOWN(SUM('Base Data'!$D$63:$D$65)/3,0)</f>
        <v>26</v>
      </c>
      <c r="J9" s="73">
        <f t="shared" ref="J9:J19" si="1">H9*I9</f>
        <v>312</v>
      </c>
      <c r="K9" s="73">
        <f t="shared" ref="K9:K19" si="2">J9*0.1</f>
        <v>31.200000000000003</v>
      </c>
      <c r="L9" s="73">
        <f t="shared" ref="L9:L19" si="3">J9*0.05</f>
        <v>15.600000000000001</v>
      </c>
      <c r="M9" s="74"/>
      <c r="N9" s="44">
        <f>(J9*'Base Data'!$C$5)+(K9*'Base Data'!$C$6)+(L9*'Base Data'!$C$7)</f>
        <v>33938.58</v>
      </c>
      <c r="O9" s="44">
        <f t="shared" ref="O9:O19" si="4">(D9+E9+F9)*G9*I9</f>
        <v>130000</v>
      </c>
      <c r="P9" s="73">
        <v>0</v>
      </c>
      <c r="Q9" s="75" t="s">
        <v>338</v>
      </c>
      <c r="U9" s="144"/>
    </row>
    <row r="10" spans="1:21" s="115" customFormat="1" ht="9">
      <c r="A10" s="111" t="s">
        <v>124</v>
      </c>
      <c r="B10" s="37">
        <v>12</v>
      </c>
      <c r="C10" s="37"/>
      <c r="D10" s="44">
        <v>0</v>
      </c>
      <c r="E10" s="44">
        <f>'Testing Costs'!$B$17</f>
        <v>8000</v>
      </c>
      <c r="F10" s="44">
        <v>0</v>
      </c>
      <c r="G10" s="37">
        <v>1</v>
      </c>
      <c r="H10" s="37">
        <f t="shared" si="0"/>
        <v>12</v>
      </c>
      <c r="I10" s="72">
        <f>ROUNDDOWN(SUM('Base Data'!$D$63:$D$65)/3,0)</f>
        <v>26</v>
      </c>
      <c r="J10" s="73">
        <f t="shared" si="1"/>
        <v>312</v>
      </c>
      <c r="K10" s="73">
        <f t="shared" si="2"/>
        <v>31.200000000000003</v>
      </c>
      <c r="L10" s="73">
        <f t="shared" si="3"/>
        <v>15.600000000000001</v>
      </c>
      <c r="M10" s="74"/>
      <c r="N10" s="44">
        <f>(J10*'Base Data'!$C$5)+(K10*'Base Data'!$C$6)+(L10*'Base Data'!$C$7)</f>
        <v>33938.58</v>
      </c>
      <c r="O10" s="44">
        <f t="shared" si="4"/>
        <v>208000</v>
      </c>
      <c r="P10" s="73">
        <v>0</v>
      </c>
      <c r="Q10" s="75" t="s">
        <v>338</v>
      </c>
      <c r="U10" s="144"/>
    </row>
    <row r="11" spans="1:21" s="115" customFormat="1" ht="9">
      <c r="A11" s="111" t="s">
        <v>125</v>
      </c>
      <c r="B11" s="37">
        <v>12</v>
      </c>
      <c r="C11" s="37"/>
      <c r="D11" s="44">
        <v>0</v>
      </c>
      <c r="E11" s="44">
        <f>'Testing Costs'!$B$15</f>
        <v>8000</v>
      </c>
      <c r="F11" s="44">
        <v>0</v>
      </c>
      <c r="G11" s="37">
        <v>1</v>
      </c>
      <c r="H11" s="37">
        <f t="shared" si="0"/>
        <v>12</v>
      </c>
      <c r="I11" s="72">
        <f>ROUNDDOWN(SUM('Base Data'!$D$63:$D$65)/3,0)</f>
        <v>26</v>
      </c>
      <c r="J11" s="73">
        <f t="shared" si="1"/>
        <v>312</v>
      </c>
      <c r="K11" s="73">
        <f t="shared" si="2"/>
        <v>31.200000000000003</v>
      </c>
      <c r="L11" s="73">
        <f t="shared" si="3"/>
        <v>15.600000000000001</v>
      </c>
      <c r="M11" s="74"/>
      <c r="N11" s="44">
        <f>(J11*'Base Data'!$C$5)+(K11*'Base Data'!$C$6)+(L11*'Base Data'!$C$7)</f>
        <v>33938.58</v>
      </c>
      <c r="O11" s="44">
        <f t="shared" si="4"/>
        <v>208000</v>
      </c>
      <c r="P11" s="73">
        <v>0</v>
      </c>
      <c r="Q11" s="75" t="s">
        <v>338</v>
      </c>
      <c r="U11" s="144"/>
    </row>
    <row r="12" spans="1:21" s="115" customFormat="1" ht="9">
      <c r="A12" s="111" t="s">
        <v>126</v>
      </c>
      <c r="B12" s="37">
        <v>12</v>
      </c>
      <c r="C12" s="37"/>
      <c r="D12" s="44">
        <v>0</v>
      </c>
      <c r="E12" s="44">
        <f>'Testing Costs'!$B$14</f>
        <v>7000</v>
      </c>
      <c r="F12" s="44">
        <v>0</v>
      </c>
      <c r="G12" s="37">
        <v>1</v>
      </c>
      <c r="H12" s="37">
        <f t="shared" si="0"/>
        <v>12</v>
      </c>
      <c r="I12" s="72">
        <f>ROUNDDOWN(SUM('Base Data'!$D$63:$D$65)/3,0)</f>
        <v>26</v>
      </c>
      <c r="J12" s="73">
        <f t="shared" si="1"/>
        <v>312</v>
      </c>
      <c r="K12" s="73">
        <f t="shared" si="2"/>
        <v>31.200000000000003</v>
      </c>
      <c r="L12" s="73">
        <f t="shared" si="3"/>
        <v>15.600000000000001</v>
      </c>
      <c r="M12" s="74"/>
      <c r="N12" s="44">
        <f>(J12*'Base Data'!$C$5)+(K12*'Base Data'!$C$6)+(L12*'Base Data'!$C$7)</f>
        <v>33938.58</v>
      </c>
      <c r="O12" s="44">
        <f t="shared" si="4"/>
        <v>182000</v>
      </c>
      <c r="P12" s="73">
        <v>0</v>
      </c>
      <c r="Q12" s="75" t="s">
        <v>338</v>
      </c>
      <c r="U12" s="144"/>
    </row>
    <row r="13" spans="1:21" s="115" customFormat="1" ht="9" customHeight="1">
      <c r="A13" s="111" t="s">
        <v>535</v>
      </c>
      <c r="B13" s="37">
        <v>12</v>
      </c>
      <c r="C13" s="37"/>
      <c r="D13" s="44">
        <v>0</v>
      </c>
      <c r="E13" s="44">
        <f>'Testing Costs'!$B$13</f>
        <v>5000</v>
      </c>
      <c r="F13" s="44">
        <v>0</v>
      </c>
      <c r="G13" s="37">
        <v>1</v>
      </c>
      <c r="H13" s="37">
        <f t="shared" si="0"/>
        <v>12</v>
      </c>
      <c r="I13" s="72">
        <f>'Fac-NewLrgSolid-Yr2'!I9+'Fac-NewLrgSolid-Yr2'!I13</f>
        <v>52</v>
      </c>
      <c r="J13" s="73">
        <f t="shared" si="1"/>
        <v>624</v>
      </c>
      <c r="K13" s="73">
        <f t="shared" si="2"/>
        <v>62.400000000000006</v>
      </c>
      <c r="L13" s="73">
        <f t="shared" si="3"/>
        <v>31.200000000000003</v>
      </c>
      <c r="M13" s="74"/>
      <c r="N13" s="44">
        <f>(J13*'Base Data'!$C$5)+(K13*'Base Data'!$C$6)+(L13*'Base Data'!$C$7)</f>
        <v>67877.16</v>
      </c>
      <c r="O13" s="44">
        <f t="shared" si="4"/>
        <v>260000</v>
      </c>
      <c r="P13" s="73">
        <v>0</v>
      </c>
      <c r="Q13" s="75" t="s">
        <v>338</v>
      </c>
      <c r="U13" s="144"/>
    </row>
    <row r="14" spans="1:21" s="115" customFormat="1" ht="9">
      <c r="A14" s="111" t="s">
        <v>536</v>
      </c>
      <c r="B14" s="37">
        <v>12</v>
      </c>
      <c r="C14" s="37"/>
      <c r="D14" s="44">
        <v>0</v>
      </c>
      <c r="E14" s="44">
        <f>'Testing Costs'!$B$17</f>
        <v>8000</v>
      </c>
      <c r="F14" s="44">
        <v>0</v>
      </c>
      <c r="G14" s="37">
        <v>1</v>
      </c>
      <c r="H14" s="37">
        <f t="shared" si="0"/>
        <v>12</v>
      </c>
      <c r="I14" s="72">
        <f>'Fac-NewLrgSolid-Yr2'!I10+'Fac-NewLrgSolid-Yr2'!I14</f>
        <v>52</v>
      </c>
      <c r="J14" s="73">
        <f t="shared" si="1"/>
        <v>624</v>
      </c>
      <c r="K14" s="73">
        <f t="shared" si="2"/>
        <v>62.400000000000006</v>
      </c>
      <c r="L14" s="73">
        <f t="shared" si="3"/>
        <v>31.200000000000003</v>
      </c>
      <c r="M14" s="74"/>
      <c r="N14" s="44">
        <f>(J14*'Base Data'!$C$5)+(K14*'Base Data'!$C$6)+(L14*'Base Data'!$C$7)</f>
        <v>67877.16</v>
      </c>
      <c r="O14" s="44">
        <f t="shared" si="4"/>
        <v>416000</v>
      </c>
      <c r="P14" s="73">
        <v>0</v>
      </c>
      <c r="Q14" s="75" t="s">
        <v>338</v>
      </c>
      <c r="U14" s="144"/>
    </row>
    <row r="15" spans="1:21" s="115" customFormat="1" ht="9">
      <c r="A15" s="111" t="s">
        <v>537</v>
      </c>
      <c r="B15" s="37">
        <v>12</v>
      </c>
      <c r="C15" s="37"/>
      <c r="D15" s="44">
        <v>0</v>
      </c>
      <c r="E15" s="44">
        <f>'Testing Costs'!$B$15</f>
        <v>8000</v>
      </c>
      <c r="F15" s="44">
        <v>0</v>
      </c>
      <c r="G15" s="37">
        <v>1</v>
      </c>
      <c r="H15" s="37">
        <f t="shared" si="0"/>
        <v>12</v>
      </c>
      <c r="I15" s="72">
        <f>'Fac-NewLrgSolid-Yr2'!I11+'Fac-NewLrgSolid-Yr2'!I15</f>
        <v>52</v>
      </c>
      <c r="J15" s="73">
        <f t="shared" si="1"/>
        <v>624</v>
      </c>
      <c r="K15" s="73">
        <f t="shared" si="2"/>
        <v>62.400000000000006</v>
      </c>
      <c r="L15" s="73">
        <f t="shared" si="3"/>
        <v>31.200000000000003</v>
      </c>
      <c r="M15" s="74"/>
      <c r="N15" s="44">
        <f>(J15*'Base Data'!$C$5)+(K15*'Base Data'!$C$6)+(L15*'Base Data'!$C$7)</f>
        <v>67877.16</v>
      </c>
      <c r="O15" s="44">
        <f t="shared" si="4"/>
        <v>416000</v>
      </c>
      <c r="P15" s="73">
        <v>0</v>
      </c>
      <c r="Q15" s="75" t="s">
        <v>338</v>
      </c>
      <c r="U15" s="144"/>
    </row>
    <row r="16" spans="1:21" s="115" customFormat="1" ht="9">
      <c r="A16" s="111" t="s">
        <v>538</v>
      </c>
      <c r="B16" s="37">
        <v>12</v>
      </c>
      <c r="C16" s="37"/>
      <c r="D16" s="44">
        <v>0</v>
      </c>
      <c r="E16" s="44">
        <f>'Testing Costs'!$B$14</f>
        <v>7000</v>
      </c>
      <c r="F16" s="44">
        <v>0</v>
      </c>
      <c r="G16" s="37">
        <v>1</v>
      </c>
      <c r="H16" s="37">
        <f t="shared" si="0"/>
        <v>12</v>
      </c>
      <c r="I16" s="72">
        <f>'Fac-NewLrgSolid-Yr2'!I12+'Fac-NewLrgSolid-Yr2'!I16</f>
        <v>52</v>
      </c>
      <c r="J16" s="73">
        <f t="shared" si="1"/>
        <v>624</v>
      </c>
      <c r="K16" s="73">
        <f t="shared" si="2"/>
        <v>62.400000000000006</v>
      </c>
      <c r="L16" s="73">
        <f t="shared" si="3"/>
        <v>31.200000000000003</v>
      </c>
      <c r="M16" s="74"/>
      <c r="N16" s="44">
        <f>(J16*'Base Data'!$C$5)+(K16*'Base Data'!$C$6)+(L16*'Base Data'!$C$7)</f>
        <v>67877.16</v>
      </c>
      <c r="O16" s="44">
        <f t="shared" si="4"/>
        <v>364000</v>
      </c>
      <c r="P16" s="73">
        <v>0</v>
      </c>
      <c r="Q16" s="75" t="s">
        <v>338</v>
      </c>
      <c r="U16" s="144"/>
    </row>
    <row r="17" spans="1:21" s="115" customFormat="1" ht="18.75" customHeight="1">
      <c r="A17" s="259" t="s">
        <v>539</v>
      </c>
      <c r="B17" s="37">
        <v>24</v>
      </c>
      <c r="C17" s="258"/>
      <c r="D17" s="44">
        <v>0</v>
      </c>
      <c r="E17" s="44">
        <f>$E$10+$E$11</f>
        <v>16000</v>
      </c>
      <c r="F17" s="44">
        <v>0</v>
      </c>
      <c r="G17" s="37">
        <v>1</v>
      </c>
      <c r="H17" s="37">
        <f t="shared" si="0"/>
        <v>24</v>
      </c>
      <c r="I17" s="72">
        <f>ROUNDDOWN(SUM('Base Data'!$D$63:$D$65)/3,0)</f>
        <v>26</v>
      </c>
      <c r="J17" s="73">
        <f t="shared" si="1"/>
        <v>624</v>
      </c>
      <c r="K17" s="73">
        <f t="shared" si="2"/>
        <v>62.400000000000006</v>
      </c>
      <c r="L17" s="73">
        <f t="shared" si="3"/>
        <v>31.200000000000003</v>
      </c>
      <c r="M17" s="74"/>
      <c r="N17" s="44">
        <f>(J17*'Base Data'!$C$5)+(K17*'Base Data'!$C$6)+(L17*'Base Data'!$C$7)</f>
        <v>67877.16</v>
      </c>
      <c r="O17" s="44">
        <f t="shared" si="4"/>
        <v>416000</v>
      </c>
      <c r="P17" s="73">
        <v>0</v>
      </c>
      <c r="Q17" s="75" t="s">
        <v>556</v>
      </c>
    </row>
    <row r="18" spans="1:21" s="115" customFormat="1" ht="9" customHeight="1">
      <c r="A18" s="111" t="s">
        <v>540</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f t="shared" ref="P18:P47" si="5">G18*I18</f>
        <v>0</v>
      </c>
      <c r="Q18" s="75" t="s">
        <v>499</v>
      </c>
      <c r="U18" s="144"/>
    </row>
    <row r="19" spans="1:21" s="115" customFormat="1" ht="9" customHeight="1">
      <c r="A19" s="111" t="s">
        <v>541</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f t="shared" si="5"/>
        <v>0</v>
      </c>
      <c r="Q19" s="75" t="s">
        <v>499</v>
      </c>
      <c r="U19" s="144"/>
    </row>
    <row r="20" spans="1:21" s="115" customFormat="1" ht="9">
      <c r="A20" s="110" t="s">
        <v>542</v>
      </c>
      <c r="B20" s="37">
        <v>12</v>
      </c>
      <c r="C20" s="37"/>
      <c r="D20" s="44">
        <v>0</v>
      </c>
      <c r="E20" s="44">
        <v>2875</v>
      </c>
      <c r="F20" s="44">
        <v>0</v>
      </c>
      <c r="G20" s="37">
        <v>1</v>
      </c>
      <c r="H20" s="37">
        <f>B20*G20</f>
        <v>12</v>
      </c>
      <c r="I20" s="72">
        <f>ROUNDDOWN(SUM('Base Data'!$D$63:$D$65)/3,0)+'Fac-NewLrgSolid-Yr2'!I20</f>
        <v>78</v>
      </c>
      <c r="J20" s="72">
        <f>H20*I20</f>
        <v>936</v>
      </c>
      <c r="K20" s="72">
        <f>J20*0.1</f>
        <v>93.600000000000009</v>
      </c>
      <c r="L20" s="72">
        <f>J20*0.05</f>
        <v>46.800000000000004</v>
      </c>
      <c r="M20" s="73"/>
      <c r="N20" s="44">
        <f>(J20*'Base Data'!$C$5)+(K20*'Base Data'!$C$6)+(L20*'Base Data'!$C$7)</f>
        <v>101815.73999999999</v>
      </c>
      <c r="O20" s="44">
        <f>(D20+E20+F20)*G20*I20</f>
        <v>224250</v>
      </c>
      <c r="P20" s="73">
        <v>0</v>
      </c>
      <c r="Q20" s="75" t="s">
        <v>242</v>
      </c>
      <c r="R20" s="342"/>
    </row>
    <row r="21" spans="1:21" s="115" customFormat="1" ht="9">
      <c r="A21" s="111" t="s">
        <v>527</v>
      </c>
      <c r="B21" s="37"/>
      <c r="C21" s="37"/>
      <c r="D21" s="44"/>
      <c r="E21" s="44"/>
      <c r="F21" s="44"/>
      <c r="G21" s="37"/>
      <c r="H21" s="37"/>
      <c r="I21" s="73"/>
      <c r="J21" s="73"/>
      <c r="K21" s="73"/>
      <c r="L21" s="73"/>
      <c r="M21" s="74"/>
      <c r="N21" s="44"/>
      <c r="O21" s="44"/>
      <c r="P21" s="73"/>
      <c r="Q21" s="75" t="s">
        <v>16</v>
      </c>
      <c r="U21" s="144"/>
    </row>
    <row r="22" spans="1:21" s="115" customFormat="1" ht="9">
      <c r="A22" s="111" t="s">
        <v>383</v>
      </c>
      <c r="B22" s="37">
        <v>40</v>
      </c>
      <c r="C22" s="37"/>
      <c r="D22" s="44">
        <v>0</v>
      </c>
      <c r="E22" s="44"/>
      <c r="F22" s="44">
        <v>0</v>
      </c>
      <c r="G22" s="37">
        <v>1</v>
      </c>
      <c r="H22" s="37">
        <f>B22*G22</f>
        <v>40</v>
      </c>
      <c r="I22" s="72">
        <f>ROUNDDOWN(SUM('Base Data'!$H$63:$H$65)/3,0)</f>
        <v>3</v>
      </c>
      <c r="J22" s="73">
        <f>H22*I22</f>
        <v>120</v>
      </c>
      <c r="K22" s="73">
        <f>J22*0.1</f>
        <v>12</v>
      </c>
      <c r="L22" s="73">
        <f>J22*0.05</f>
        <v>6</v>
      </c>
      <c r="M22" s="74"/>
      <c r="N22" s="44">
        <f>(J22*'Base Data'!$C$5)+(K22*'Base Data'!$C$6)+(L22*'Base Data'!$C$7)</f>
        <v>13053.300000000001</v>
      </c>
      <c r="O22" s="44">
        <f>(D22+E22+F22)*G22*I22</f>
        <v>0</v>
      </c>
      <c r="P22" s="73">
        <v>0</v>
      </c>
      <c r="Q22" s="75" t="s">
        <v>338</v>
      </c>
      <c r="U22" s="144"/>
    </row>
    <row r="23" spans="1:21" s="115" customFormat="1" ht="9">
      <c r="A23" s="110" t="s">
        <v>361</v>
      </c>
      <c r="B23" s="37"/>
      <c r="C23" s="37"/>
      <c r="D23" s="44"/>
      <c r="E23" s="44"/>
      <c r="F23" s="44"/>
      <c r="G23" s="37"/>
      <c r="H23" s="37"/>
      <c r="I23" s="73"/>
      <c r="J23" s="73"/>
      <c r="K23" s="73"/>
      <c r="L23" s="73"/>
      <c r="M23" s="74"/>
      <c r="N23" s="44"/>
      <c r="O23" s="44"/>
      <c r="P23" s="73"/>
      <c r="Q23" s="75"/>
      <c r="U23" s="144"/>
    </row>
    <row r="24" spans="1:21" s="115" customFormat="1" ht="9">
      <c r="A24" s="110" t="s">
        <v>362</v>
      </c>
      <c r="B24" s="37">
        <v>10</v>
      </c>
      <c r="C24" s="37"/>
      <c r="D24" s="44">
        <v>0</v>
      </c>
      <c r="E24" s="44">
        <v>0</v>
      </c>
      <c r="F24" s="44">
        <v>43100</v>
      </c>
      <c r="G24" s="37">
        <v>1</v>
      </c>
      <c r="H24" s="37">
        <f>B24*G24</f>
        <v>10</v>
      </c>
      <c r="I24" s="72">
        <f>ROUNDDOWN(Monitors!$C$21/3,0)</f>
        <v>26</v>
      </c>
      <c r="J24" s="73">
        <f>H24*I24</f>
        <v>260</v>
      </c>
      <c r="K24" s="73">
        <f>J24*0.1</f>
        <v>26</v>
      </c>
      <c r="L24" s="73">
        <f>J24*0.05</f>
        <v>13</v>
      </c>
      <c r="M24" s="74"/>
      <c r="N24" s="44">
        <f>(J24*'Base Data'!$C$5)+(K24*'Base Data'!$C$6)+(L24*'Base Data'!$C$7)</f>
        <v>28282.149999999998</v>
      </c>
      <c r="O24" s="44">
        <f>(D24+E24+F24)*G24*I24</f>
        <v>1120600</v>
      </c>
      <c r="P24" s="73">
        <v>0</v>
      </c>
      <c r="Q24" s="75" t="s">
        <v>338</v>
      </c>
      <c r="U24" s="144"/>
    </row>
    <row r="25" spans="1:21" s="115" customFormat="1" ht="9">
      <c r="A25" s="110" t="s">
        <v>365</v>
      </c>
      <c r="B25" s="37">
        <v>10</v>
      </c>
      <c r="C25" s="37"/>
      <c r="D25" s="44">
        <v>0</v>
      </c>
      <c r="E25" s="44">
        <v>0</v>
      </c>
      <c r="F25" s="44">
        <v>14700</v>
      </c>
      <c r="G25" s="37">
        <v>1</v>
      </c>
      <c r="H25" s="37">
        <f>B25*G25</f>
        <v>10</v>
      </c>
      <c r="I25" s="72">
        <f>ROUNDDOWN(Monitors!$C$21/3,0)+'Fac-NewLrgSolid-Yr2'!I25</f>
        <v>78</v>
      </c>
      <c r="J25" s="73">
        <f>H25*I25</f>
        <v>780</v>
      </c>
      <c r="K25" s="73">
        <f>J25*0.1</f>
        <v>78</v>
      </c>
      <c r="L25" s="73">
        <f>J25*0.05</f>
        <v>39</v>
      </c>
      <c r="M25" s="74"/>
      <c r="N25" s="44">
        <f>(J25*'Base Data'!$C$5)+(K25*'Base Data'!$C$6)+(L25*'Base Data'!$C$7)</f>
        <v>84846.45</v>
      </c>
      <c r="O25" s="44">
        <f>(D25+E25+F25)*G25*I25</f>
        <v>1146600</v>
      </c>
      <c r="P25" s="73">
        <v>0</v>
      </c>
      <c r="Q25" s="75" t="s">
        <v>338</v>
      </c>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v>0</v>
      </c>
      <c r="J27" s="73">
        <f>H27*I27</f>
        <v>0</v>
      </c>
      <c r="K27" s="73">
        <f>J27*0.1</f>
        <v>0</v>
      </c>
      <c r="L27" s="73">
        <f>J27*0.05</f>
        <v>0</v>
      </c>
      <c r="M27" s="74"/>
      <c r="N27" s="44">
        <f>(J27*'Base Data'!$C$5)+(K27*'Base Data'!$C$6)+(L27*'Base Data'!$C$7)</f>
        <v>0</v>
      </c>
      <c r="O27" s="44">
        <f>(D27+E27+F27)*G27*I27</f>
        <v>0</v>
      </c>
      <c r="P27" s="73">
        <f t="shared" si="5"/>
        <v>0</v>
      </c>
      <c r="Q27" s="75" t="s">
        <v>617</v>
      </c>
      <c r="U27" s="144"/>
    </row>
    <row r="28" spans="1:21" s="115" customFormat="1" ht="9">
      <c r="A28" s="110" t="s">
        <v>365</v>
      </c>
      <c r="B28" s="37">
        <v>10</v>
      </c>
      <c r="C28" s="37"/>
      <c r="D28" s="44">
        <v>0</v>
      </c>
      <c r="E28" s="44">
        <v>0</v>
      </c>
      <c r="F28" s="44">
        <v>56100</v>
      </c>
      <c r="G28" s="37">
        <v>1</v>
      </c>
      <c r="H28" s="37">
        <f>B28*G28</f>
        <v>10</v>
      </c>
      <c r="I28" s="72">
        <v>0</v>
      </c>
      <c r="J28" s="73">
        <f>H28*I28</f>
        <v>0</v>
      </c>
      <c r="K28" s="73">
        <f>J28*0.1</f>
        <v>0</v>
      </c>
      <c r="L28" s="73">
        <f>J28*0.05</f>
        <v>0</v>
      </c>
      <c r="M28" s="74"/>
      <c r="N28" s="44">
        <f>(J28*'Base Data'!$C$5)+(K28*'Base Data'!$C$6)+(L28*'Base Data'!$C$7)</f>
        <v>0</v>
      </c>
      <c r="O28" s="44">
        <f>(D28+E28+F28)*G28*I28</f>
        <v>0</v>
      </c>
      <c r="P28" s="73">
        <f t="shared" si="5"/>
        <v>0</v>
      </c>
      <c r="Q28" s="75" t="s">
        <v>617</v>
      </c>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6">B30*G30</f>
        <v>10</v>
      </c>
      <c r="I30" s="72">
        <f>ROUNDDOWN(Monitors!$F$21/3,0)</f>
        <v>26</v>
      </c>
      <c r="J30" s="73">
        <f t="shared" ref="J30:J31" si="7">H30*I30</f>
        <v>260</v>
      </c>
      <c r="K30" s="73">
        <f t="shared" ref="K30:K31" si="8">J30*0.1</f>
        <v>26</v>
      </c>
      <c r="L30" s="73">
        <f t="shared" ref="L30:L31" si="9">J30*0.05</f>
        <v>13</v>
      </c>
      <c r="M30" s="74"/>
      <c r="N30" s="44">
        <f>(J30*'Base Data'!$C$5)+(K30*'Base Data'!$C$6)+(L30*'Base Data'!$C$7)</f>
        <v>28282.149999999998</v>
      </c>
      <c r="O30" s="44">
        <f>(D30+E30+F30)*G30*I30</f>
        <v>221598</v>
      </c>
      <c r="P30" s="73">
        <v>0</v>
      </c>
      <c r="Q30" s="75" t="s">
        <v>338</v>
      </c>
    </row>
    <row r="31" spans="1:21" s="115" customFormat="1" ht="9">
      <c r="A31" s="110" t="s">
        <v>365</v>
      </c>
      <c r="B31" s="37">
        <v>10</v>
      </c>
      <c r="C31" s="37"/>
      <c r="D31" s="44">
        <v>0</v>
      </c>
      <c r="E31" s="44">
        <v>0</v>
      </c>
      <c r="F31" s="44">
        <f>Monitors!$G$32</f>
        <v>1436</v>
      </c>
      <c r="G31" s="37">
        <v>1</v>
      </c>
      <c r="H31" s="37">
        <f t="shared" si="6"/>
        <v>10</v>
      </c>
      <c r="I31" s="72">
        <f>ROUNDDOWN(Monitors!$F$21/3,0)+'Fac-NewLrgSolid-Yr2'!I31</f>
        <v>78</v>
      </c>
      <c r="J31" s="73">
        <f t="shared" si="7"/>
        <v>780</v>
      </c>
      <c r="K31" s="73">
        <f t="shared" si="8"/>
        <v>78</v>
      </c>
      <c r="L31" s="73">
        <f t="shared" si="9"/>
        <v>39</v>
      </c>
      <c r="M31" s="74"/>
      <c r="N31" s="44">
        <f>(J31*'Base Data'!$C$5)+(K31*'Base Data'!$C$6)+(L31*'Base Data'!$C$7)</f>
        <v>84846.45</v>
      </c>
      <c r="O31" s="44">
        <f>(D31+E31+F31)*G31*I31</f>
        <v>112008</v>
      </c>
      <c r="P31" s="73">
        <v>0</v>
      </c>
      <c r="Q31" s="75" t="s">
        <v>338</v>
      </c>
    </row>
    <row r="32" spans="1:21" s="115" customFormat="1" ht="18">
      <c r="A32" s="111" t="s">
        <v>160</v>
      </c>
      <c r="B32" s="37"/>
      <c r="C32" s="37"/>
      <c r="D32" s="44"/>
      <c r="E32" s="44"/>
      <c r="F32" s="76"/>
      <c r="G32" s="37"/>
      <c r="H32" s="37"/>
      <c r="I32" s="72"/>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v>0</v>
      </c>
      <c r="J33" s="73">
        <f>H33*I33</f>
        <v>0</v>
      </c>
      <c r="K33" s="73">
        <f>J33*0.1</f>
        <v>0</v>
      </c>
      <c r="L33" s="73">
        <f>J33*0.05</f>
        <v>0</v>
      </c>
      <c r="M33" s="74"/>
      <c r="N33" s="44">
        <f>(J33*'Base Data'!$C$5)+(K33*'Base Data'!$C$6)+(L33*'Base Data'!$C$7)</f>
        <v>0</v>
      </c>
      <c r="O33" s="44">
        <f>(D33+E33+F33)*G33*I33</f>
        <v>0</v>
      </c>
      <c r="P33" s="73">
        <f t="shared" si="5"/>
        <v>0</v>
      </c>
      <c r="Q33" s="75" t="s">
        <v>338</v>
      </c>
      <c r="U33" s="144"/>
    </row>
    <row r="34" spans="1:21" s="115" customFormat="1" ht="9">
      <c r="A34" s="110" t="s">
        <v>365</v>
      </c>
      <c r="B34" s="37">
        <v>10</v>
      </c>
      <c r="C34" s="37"/>
      <c r="D34" s="44">
        <v>0</v>
      </c>
      <c r="E34" s="44">
        <v>0</v>
      </c>
      <c r="F34" s="44">
        <v>5600</v>
      </c>
      <c r="G34" s="37">
        <v>1</v>
      </c>
      <c r="H34" s="37">
        <f>B34*G34</f>
        <v>10</v>
      </c>
      <c r="I34" s="72">
        <v>0</v>
      </c>
      <c r="J34" s="73">
        <f>H34*I34</f>
        <v>0</v>
      </c>
      <c r="K34" s="73">
        <f>J34*0.1</f>
        <v>0</v>
      </c>
      <c r="L34" s="73">
        <f>J34*0.05</f>
        <v>0</v>
      </c>
      <c r="M34" s="74"/>
      <c r="N34" s="44">
        <f>(J34*'Base Data'!$C$5)+(K34*'Base Data'!$C$6)+(L34*'Base Data'!$C$7)</f>
        <v>0</v>
      </c>
      <c r="O34" s="44">
        <f>(D34+E34+F34)*G34*I34</f>
        <v>0</v>
      </c>
      <c r="P34" s="73">
        <f t="shared" si="5"/>
        <v>0</v>
      </c>
      <c r="Q34" s="75" t="s">
        <v>338</v>
      </c>
      <c r="U34" s="144"/>
    </row>
    <row r="35" spans="1:21" s="115" customFormat="1" ht="18">
      <c r="A35" s="111" t="s">
        <v>425</v>
      </c>
      <c r="B35" s="37"/>
      <c r="C35" s="37"/>
      <c r="D35" s="44"/>
      <c r="E35" s="44"/>
      <c r="F35" s="44"/>
      <c r="G35" s="37"/>
      <c r="H35" s="37"/>
      <c r="I35" s="72"/>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ROUNDDOWN(Monitors!$B$21/3,0)</f>
        <v>26</v>
      </c>
      <c r="J36" s="73">
        <f>H36*I36</f>
        <v>260</v>
      </c>
      <c r="K36" s="73">
        <f>J36*0.1</f>
        <v>26</v>
      </c>
      <c r="L36" s="73">
        <f>J36*0.05</f>
        <v>13</v>
      </c>
      <c r="M36" s="74"/>
      <c r="N36" s="44">
        <f>(J36*'Base Data'!$C$5)+(K36*'Base Data'!$C$6)+(L36*'Base Data'!$C$7)</f>
        <v>28282.149999999998</v>
      </c>
      <c r="O36" s="44">
        <f>(D36+E36+F36)*G36*I36</f>
        <v>663000</v>
      </c>
      <c r="P36" s="73">
        <v>0</v>
      </c>
      <c r="Q36" s="75" t="s">
        <v>338</v>
      </c>
      <c r="U36" s="144"/>
    </row>
    <row r="37" spans="1:21" s="115" customFormat="1" ht="9">
      <c r="A37" s="110" t="s">
        <v>365</v>
      </c>
      <c r="B37" s="37">
        <v>10</v>
      </c>
      <c r="C37" s="37"/>
      <c r="D37" s="44">
        <v>0</v>
      </c>
      <c r="E37" s="44">
        <v>0</v>
      </c>
      <c r="F37" s="44">
        <v>9700</v>
      </c>
      <c r="G37" s="37">
        <v>1</v>
      </c>
      <c r="H37" s="37">
        <f>B37*G37</f>
        <v>10</v>
      </c>
      <c r="I37" s="72">
        <f>ROUNDDOWN(Monitors!$B$21/3,0)+'Fac-NewLrgSolid-Yr2'!I37</f>
        <v>78</v>
      </c>
      <c r="J37" s="73">
        <f>H37*I37</f>
        <v>780</v>
      </c>
      <c r="K37" s="73">
        <f>J37*0.1</f>
        <v>78</v>
      </c>
      <c r="L37" s="73">
        <f>J37*0.05</f>
        <v>39</v>
      </c>
      <c r="M37" s="74"/>
      <c r="N37" s="44">
        <f>(J37*'Base Data'!$C$5)+(K37*'Base Data'!$C$6)+(L37*'Base Data'!$C$7)</f>
        <v>84846.45</v>
      </c>
      <c r="O37" s="44">
        <f>(D37+E37+F37)*G37*I37</f>
        <v>756600</v>
      </c>
      <c r="P37" s="73">
        <v>0</v>
      </c>
      <c r="Q37" s="75" t="s">
        <v>338</v>
      </c>
      <c r="U37" s="144"/>
    </row>
    <row r="38" spans="1:21" s="115" customFormat="1" ht="18">
      <c r="A38" s="111" t="s">
        <v>161</v>
      </c>
      <c r="B38" s="37"/>
      <c r="C38" s="37"/>
      <c r="D38" s="44"/>
      <c r="E38" s="44"/>
      <c r="F38" s="44"/>
      <c r="G38" s="37"/>
      <c r="H38" s="37"/>
      <c r="I38" s="72"/>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v>0</v>
      </c>
      <c r="J39" s="73">
        <f>H39*I39</f>
        <v>0</v>
      </c>
      <c r="K39" s="73">
        <f>J39*0.1</f>
        <v>0</v>
      </c>
      <c r="L39" s="73">
        <f>J39*0.05</f>
        <v>0</v>
      </c>
      <c r="M39" s="74"/>
      <c r="N39" s="44">
        <f>(J39*'Base Data'!$C$5)+(K39*'Base Data'!$C$6)+(L39*'Base Data'!$C$7)</f>
        <v>0</v>
      </c>
      <c r="O39" s="44">
        <f>(D39+E39+F39)*G39*I39</f>
        <v>0</v>
      </c>
      <c r="P39" s="73">
        <f t="shared" si="5"/>
        <v>0</v>
      </c>
      <c r="Q39" s="75" t="s">
        <v>338</v>
      </c>
      <c r="U39" s="144"/>
    </row>
    <row r="40" spans="1:21" s="115" customFormat="1" ht="9">
      <c r="A40" s="110" t="s">
        <v>365</v>
      </c>
      <c r="B40" s="37">
        <v>10</v>
      </c>
      <c r="C40" s="37"/>
      <c r="D40" s="44">
        <v>0</v>
      </c>
      <c r="E40" s="44">
        <v>0</v>
      </c>
      <c r="F40" s="44">
        <v>9700</v>
      </c>
      <c r="G40" s="37">
        <v>1</v>
      </c>
      <c r="H40" s="37">
        <f>B40*G40</f>
        <v>10</v>
      </c>
      <c r="I40" s="72">
        <v>0</v>
      </c>
      <c r="J40" s="73">
        <f>H40*I40</f>
        <v>0</v>
      </c>
      <c r="K40" s="73">
        <f>J40*0.1</f>
        <v>0</v>
      </c>
      <c r="L40" s="73">
        <f>J40*0.05</f>
        <v>0</v>
      </c>
      <c r="M40" s="74"/>
      <c r="N40" s="44">
        <f>(J40*'Base Data'!$C$5)+(K40*'Base Data'!$C$6)+(L40*'Base Data'!$C$7)</f>
        <v>0</v>
      </c>
      <c r="O40" s="44">
        <f>(D40+E40+F40)*G40*I40</f>
        <v>0</v>
      </c>
      <c r="P40" s="73">
        <f t="shared" si="5"/>
        <v>0</v>
      </c>
      <c r="Q40" s="75" t="s">
        <v>338</v>
      </c>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3</v>
      </c>
      <c r="J44" s="73">
        <f>H44*I44</f>
        <v>6</v>
      </c>
      <c r="K44" s="73">
        <f>J44*0.1</f>
        <v>0.60000000000000009</v>
      </c>
      <c r="L44" s="73">
        <f>J44*0.05</f>
        <v>0.30000000000000004</v>
      </c>
      <c r="M44" s="37">
        <f>C44*G44*I44</f>
        <v>0</v>
      </c>
      <c r="N44" s="44">
        <f>(J44*'Base Data'!$C$5)+(K44*'Base Data'!$C$6)+(L44*'Base Data'!$C$7)</f>
        <v>652.66500000000008</v>
      </c>
      <c r="O44" s="44">
        <f>(D44+E44+F44)*G44*I44</f>
        <v>0</v>
      </c>
      <c r="P44" s="73">
        <f t="shared" si="5"/>
        <v>3</v>
      </c>
      <c r="Q44" s="75" t="s">
        <v>123</v>
      </c>
    </row>
    <row r="45" spans="1:21" s="115" customFormat="1" ht="9" customHeight="1">
      <c r="A45" s="126" t="s">
        <v>328</v>
      </c>
      <c r="B45" s="37">
        <v>8</v>
      </c>
      <c r="C45" s="37"/>
      <c r="D45" s="44">
        <v>0</v>
      </c>
      <c r="E45" s="44">
        <v>0</v>
      </c>
      <c r="F45" s="44">
        <v>0</v>
      </c>
      <c r="G45" s="37">
        <v>1</v>
      </c>
      <c r="H45" s="37">
        <f>B45*G45</f>
        <v>8</v>
      </c>
      <c r="I45" s="72">
        <f t="shared" ref="I45" si="10">$I$7</f>
        <v>3</v>
      </c>
      <c r="J45" s="73">
        <f>H45*I45</f>
        <v>24</v>
      </c>
      <c r="K45" s="73">
        <f>J45*0.1</f>
        <v>2.4000000000000004</v>
      </c>
      <c r="L45" s="73">
        <f>J45*0.05</f>
        <v>1.2000000000000002</v>
      </c>
      <c r="M45" s="37">
        <f>C45*G45*I45</f>
        <v>0</v>
      </c>
      <c r="N45" s="44">
        <f>(J45*'Base Data'!$C$5)+(K45*'Base Data'!$C$6)+(L45*'Base Data'!$C$7)</f>
        <v>2610.6600000000003</v>
      </c>
      <c r="O45" s="44">
        <f>(D45+E45+F45)*G45*I45</f>
        <v>0</v>
      </c>
      <c r="P45" s="73">
        <f t="shared" si="5"/>
        <v>3</v>
      </c>
      <c r="Q45" s="75" t="s">
        <v>123</v>
      </c>
    </row>
    <row r="46" spans="1:21" s="115" customFormat="1" ht="9">
      <c r="A46" s="112" t="s">
        <v>435</v>
      </c>
      <c r="B46" s="37">
        <v>20</v>
      </c>
      <c r="C46" s="37">
        <v>0</v>
      </c>
      <c r="D46" s="44">
        <v>0</v>
      </c>
      <c r="E46" s="44">
        <v>0</v>
      </c>
      <c r="F46" s="44">
        <v>0</v>
      </c>
      <c r="G46" s="37">
        <v>2</v>
      </c>
      <c r="H46" s="37">
        <f>B46*G46</f>
        <v>40</v>
      </c>
      <c r="I46" s="72">
        <f>$I$7+'Fac-NewLrgSolid-Yr2'!I46</f>
        <v>10</v>
      </c>
      <c r="J46" s="73">
        <f>H46*I46</f>
        <v>400</v>
      </c>
      <c r="K46" s="73">
        <f>J46*0.1</f>
        <v>40</v>
      </c>
      <c r="L46" s="73">
        <f>J46*0.05</f>
        <v>20</v>
      </c>
      <c r="M46" s="73">
        <f>C46*G46*I46</f>
        <v>0</v>
      </c>
      <c r="N46" s="44">
        <f>(J46*'Base Data'!$C$5)+(K46*'Base Data'!$C$6)+(L46*'Base Data'!$C$7)</f>
        <v>43511</v>
      </c>
      <c r="O46" s="44">
        <f>(D46+E46+F46)*G46*I46</f>
        <v>0</v>
      </c>
      <c r="P46" s="73">
        <f t="shared" si="5"/>
        <v>20</v>
      </c>
      <c r="Q46" s="75" t="s">
        <v>123</v>
      </c>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 t="shared" si="5"/>
        <v>0</v>
      </c>
      <c r="Q47" s="75" t="s">
        <v>77</v>
      </c>
      <c r="R47" s="133"/>
    </row>
    <row r="48" spans="1:21" s="115" customFormat="1" ht="9">
      <c r="A48" s="113" t="s">
        <v>7</v>
      </c>
      <c r="B48" s="37"/>
      <c r="C48" s="37"/>
      <c r="D48" s="44"/>
      <c r="E48" s="44"/>
      <c r="F48" s="44"/>
      <c r="G48" s="37"/>
      <c r="H48" s="37"/>
      <c r="I48" s="72"/>
      <c r="J48" s="73">
        <f>SUM(J7:J47)</f>
        <v>9094</v>
      </c>
      <c r="K48" s="73">
        <f>SUM(K7:K47)</f>
        <v>909.4</v>
      </c>
      <c r="L48" s="73">
        <f>SUM(L7:L47)</f>
        <v>454.7</v>
      </c>
      <c r="M48" s="73">
        <f t="shared" ref="M48:O48" si="11">SUM(M7:M46)</f>
        <v>0</v>
      </c>
      <c r="N48" s="44">
        <f t="shared" si="11"/>
        <v>989222.58500000008</v>
      </c>
      <c r="O48" s="44">
        <f t="shared" si="11"/>
        <v>6844656</v>
      </c>
      <c r="P48" s="73">
        <f>SUM(P7:P47)</f>
        <v>26</v>
      </c>
      <c r="Q48" s="75"/>
      <c r="R48" s="118">
        <f>SUM(O7,O9:O20,O25,O28,O31,O34,O37,O40)</f>
        <v>4839458</v>
      </c>
      <c r="S48" s="117">
        <f>SUM(O24,O27,O30,O33,O36,O39)</f>
        <v>2005198</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339</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2">B54*G54</f>
        <v>20</v>
      </c>
      <c r="I54" s="72">
        <f>$I$9+'Fac-NewLrgSolid-Yr2'!I54</f>
        <v>78</v>
      </c>
      <c r="J54" s="73">
        <f t="shared" ref="J54:J60" si="13">H54*I54</f>
        <v>1560</v>
      </c>
      <c r="K54" s="73">
        <f t="shared" ref="K54:K60" si="14">J54*0.1</f>
        <v>156</v>
      </c>
      <c r="L54" s="73">
        <f t="shared" ref="L54:L60" si="15">J54*0.05</f>
        <v>78</v>
      </c>
      <c r="M54" s="37"/>
      <c r="N54" s="44">
        <f>(J54*'Base Data'!$C$5)+(K54*'Base Data'!$C$6)+(L54*'Base Data'!$C$7)</f>
        <v>169692.9</v>
      </c>
      <c r="O54" s="44">
        <f t="shared" ref="O54:O60" si="16">(D54+E54+F54)*G54*I54</f>
        <v>0</v>
      </c>
      <c r="P54" s="73">
        <v>0</v>
      </c>
      <c r="Q54" s="75" t="s">
        <v>338</v>
      </c>
    </row>
    <row r="55" spans="1:18" s="115" customFormat="1" ht="9">
      <c r="A55" s="111" t="s">
        <v>376</v>
      </c>
      <c r="B55" s="37">
        <v>15</v>
      </c>
      <c r="C55" s="37">
        <v>0</v>
      </c>
      <c r="D55" s="44">
        <v>0</v>
      </c>
      <c r="E55" s="44">
        <v>0</v>
      </c>
      <c r="F55" s="44">
        <v>0</v>
      </c>
      <c r="G55" s="37">
        <v>1</v>
      </c>
      <c r="H55" s="37">
        <f t="shared" si="12"/>
        <v>15</v>
      </c>
      <c r="I55" s="72">
        <f>$I$9+'Fac-NewLrgSolid-Yr2'!I55</f>
        <v>78</v>
      </c>
      <c r="J55" s="73">
        <f t="shared" si="13"/>
        <v>1170</v>
      </c>
      <c r="K55" s="73">
        <f t="shared" si="14"/>
        <v>117</v>
      </c>
      <c r="L55" s="73">
        <f t="shared" si="15"/>
        <v>58.5</v>
      </c>
      <c r="M55" s="37">
        <f>C55*G55*I55</f>
        <v>0</v>
      </c>
      <c r="N55" s="44">
        <f>(J55*'Base Data'!$C$5)+(K55*'Base Data'!$C$6)+(L55*'Base Data'!$C$7)</f>
        <v>127269.67499999999</v>
      </c>
      <c r="O55" s="44">
        <f t="shared" si="16"/>
        <v>0</v>
      </c>
      <c r="P55" s="73">
        <v>0</v>
      </c>
      <c r="Q55" s="75" t="s">
        <v>338</v>
      </c>
    </row>
    <row r="56" spans="1:18" s="115" customFormat="1" ht="9.75" customHeight="1">
      <c r="A56" s="110" t="s">
        <v>377</v>
      </c>
      <c r="B56" s="37">
        <v>2</v>
      </c>
      <c r="C56" s="37"/>
      <c r="D56" s="44">
        <v>0</v>
      </c>
      <c r="E56" s="44">
        <v>0</v>
      </c>
      <c r="F56" s="44">
        <v>0</v>
      </c>
      <c r="G56" s="37">
        <v>1</v>
      </c>
      <c r="H56" s="37">
        <f t="shared" si="12"/>
        <v>2</v>
      </c>
      <c r="I56" s="72">
        <f>$I$9+'Fac-NewLrgSolid-Yr2'!I56</f>
        <v>78</v>
      </c>
      <c r="J56" s="73">
        <f t="shared" si="13"/>
        <v>156</v>
      </c>
      <c r="K56" s="73">
        <f t="shared" si="14"/>
        <v>15.600000000000001</v>
      </c>
      <c r="L56" s="73">
        <f t="shared" si="15"/>
        <v>7.8000000000000007</v>
      </c>
      <c r="M56" s="37"/>
      <c r="N56" s="44">
        <f>(J56*'Base Data'!$C$5)+(K56*'Base Data'!$C$6)+(L56*'Base Data'!$C$7)</f>
        <v>16969.29</v>
      </c>
      <c r="O56" s="44">
        <f t="shared" si="16"/>
        <v>0</v>
      </c>
      <c r="P56" s="73">
        <v>0</v>
      </c>
      <c r="Q56" s="75" t="s">
        <v>338</v>
      </c>
    </row>
    <row r="57" spans="1:18" s="115" customFormat="1" ht="9">
      <c r="A57" s="111" t="s">
        <v>387</v>
      </c>
      <c r="B57" s="37">
        <v>2</v>
      </c>
      <c r="C57" s="37"/>
      <c r="D57" s="44">
        <v>0</v>
      </c>
      <c r="E57" s="44">
        <v>0</v>
      </c>
      <c r="F57" s="44">
        <v>0</v>
      </c>
      <c r="G57" s="37">
        <v>1</v>
      </c>
      <c r="H57" s="37">
        <f t="shared" si="12"/>
        <v>2</v>
      </c>
      <c r="I57" s="72">
        <f>$I$9+'Fac-NewLrgSolid-Yr2'!I57</f>
        <v>78</v>
      </c>
      <c r="J57" s="73">
        <f t="shared" si="13"/>
        <v>156</v>
      </c>
      <c r="K57" s="73">
        <f t="shared" si="14"/>
        <v>15.600000000000001</v>
      </c>
      <c r="L57" s="73">
        <f t="shared" si="15"/>
        <v>7.8000000000000007</v>
      </c>
      <c r="M57" s="37"/>
      <c r="N57" s="44">
        <f>(J57*'Base Data'!$C$5)+(K57*'Base Data'!$C$6)+(L57*'Base Data'!$C$7)</f>
        <v>16969.29</v>
      </c>
      <c r="O57" s="44">
        <f t="shared" si="16"/>
        <v>0</v>
      </c>
      <c r="P57" s="73">
        <v>0</v>
      </c>
      <c r="Q57" s="75" t="s">
        <v>338</v>
      </c>
    </row>
    <row r="58" spans="1:18" s="115" customFormat="1" ht="9">
      <c r="A58" s="111" t="s">
        <v>388</v>
      </c>
      <c r="B58" s="37">
        <v>2</v>
      </c>
      <c r="C58" s="37">
        <v>0</v>
      </c>
      <c r="D58" s="44">
        <v>0</v>
      </c>
      <c r="E58" s="44">
        <v>0</v>
      </c>
      <c r="F58" s="44">
        <v>0</v>
      </c>
      <c r="G58" s="37">
        <v>2</v>
      </c>
      <c r="H58" s="37">
        <f t="shared" si="12"/>
        <v>4</v>
      </c>
      <c r="I58" s="72">
        <f>$I$9+'Fac-NewLrgSolid-Yr2'!I58</f>
        <v>78</v>
      </c>
      <c r="J58" s="73">
        <f t="shared" si="13"/>
        <v>312</v>
      </c>
      <c r="K58" s="73">
        <f t="shared" si="14"/>
        <v>31.200000000000003</v>
      </c>
      <c r="L58" s="73">
        <f t="shared" si="15"/>
        <v>15.600000000000001</v>
      </c>
      <c r="M58" s="37">
        <f>C58*G58*I58</f>
        <v>0</v>
      </c>
      <c r="N58" s="44">
        <f>(J58*'Base Data'!$C$5)+(K58*'Base Data'!$C$6)+(L58*'Base Data'!$C$7)</f>
        <v>33938.58</v>
      </c>
      <c r="O58" s="44">
        <f t="shared" si="16"/>
        <v>0</v>
      </c>
      <c r="P58" s="73">
        <v>0</v>
      </c>
      <c r="Q58" s="75" t="s">
        <v>338</v>
      </c>
    </row>
    <row r="59" spans="1:18" s="115" customFormat="1" ht="9">
      <c r="A59" s="111" t="s">
        <v>389</v>
      </c>
      <c r="B59" s="37">
        <v>0.5</v>
      </c>
      <c r="C59" s="37"/>
      <c r="D59" s="44">
        <v>0</v>
      </c>
      <c r="E59" s="44">
        <v>0</v>
      </c>
      <c r="F59" s="44">
        <v>0</v>
      </c>
      <c r="G59" s="37">
        <v>12</v>
      </c>
      <c r="H59" s="37">
        <f t="shared" si="12"/>
        <v>6</v>
      </c>
      <c r="I59" s="72">
        <f>$I$9+'Fac-NewLrgSolid-Yr2'!I59</f>
        <v>78</v>
      </c>
      <c r="J59" s="73">
        <f t="shared" si="13"/>
        <v>468</v>
      </c>
      <c r="K59" s="73">
        <f t="shared" si="14"/>
        <v>46.800000000000004</v>
      </c>
      <c r="L59" s="73">
        <f t="shared" si="15"/>
        <v>23.400000000000002</v>
      </c>
      <c r="M59" s="37"/>
      <c r="N59" s="44">
        <f>(J59*'Base Data'!$C$5)+(K59*'Base Data'!$C$6)+(L59*'Base Data'!$C$7)</f>
        <v>50907.869999999995</v>
      </c>
      <c r="O59" s="44">
        <f t="shared" si="16"/>
        <v>0</v>
      </c>
      <c r="P59" s="73">
        <v>0</v>
      </c>
      <c r="Q59" s="75" t="s">
        <v>242</v>
      </c>
    </row>
    <row r="60" spans="1:18" s="115" customFormat="1" ht="9">
      <c r="A60" s="110" t="s">
        <v>378</v>
      </c>
      <c r="B60" s="37">
        <v>40</v>
      </c>
      <c r="C60" s="37"/>
      <c r="D60" s="44">
        <v>0</v>
      </c>
      <c r="E60" s="44">
        <v>0</v>
      </c>
      <c r="F60" s="44">
        <v>0</v>
      </c>
      <c r="G60" s="37">
        <v>1</v>
      </c>
      <c r="H60" s="37">
        <f t="shared" si="12"/>
        <v>40</v>
      </c>
      <c r="I60" s="72">
        <f>$I$7</f>
        <v>3</v>
      </c>
      <c r="J60" s="73">
        <f t="shared" si="13"/>
        <v>120</v>
      </c>
      <c r="K60" s="73">
        <f t="shared" si="14"/>
        <v>12</v>
      </c>
      <c r="L60" s="73">
        <f t="shared" si="15"/>
        <v>6</v>
      </c>
      <c r="M60" s="37"/>
      <c r="N60" s="44">
        <f>(J60*'Base Data'!$C$5)+(K60*'Base Data'!$C$6)+(L60*'Base Data'!$C$7)</f>
        <v>13053.300000000001</v>
      </c>
      <c r="O60" s="44">
        <f t="shared" si="16"/>
        <v>0</v>
      </c>
      <c r="P60" s="73">
        <v>0</v>
      </c>
      <c r="Q60" s="75" t="s">
        <v>248</v>
      </c>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 t="shared" ref="J62:P62" si="17">SUM(J50:J61)</f>
        <v>3942</v>
      </c>
      <c r="K62" s="186">
        <f t="shared" si="17"/>
        <v>394.20000000000005</v>
      </c>
      <c r="L62" s="186">
        <f t="shared" si="17"/>
        <v>197.10000000000002</v>
      </c>
      <c r="M62" s="185">
        <f t="shared" si="17"/>
        <v>0</v>
      </c>
      <c r="N62" s="185">
        <f t="shared" si="17"/>
        <v>428800.90499999991</v>
      </c>
      <c r="O62" s="185">
        <f t="shared" si="17"/>
        <v>0</v>
      </c>
      <c r="P62" s="186">
        <f t="shared" si="17"/>
        <v>0</v>
      </c>
      <c r="Q62" s="187"/>
      <c r="R62" s="44">
        <f>SUM(R50:R61)</f>
        <v>0</v>
      </c>
    </row>
    <row r="63" spans="1:18" s="134" customFormat="1">
      <c r="A63" s="135" t="s">
        <v>351</v>
      </c>
      <c r="B63" s="136"/>
      <c r="C63" s="136"/>
      <c r="D63" s="136"/>
      <c r="E63" s="136"/>
      <c r="F63" s="137"/>
      <c r="G63" s="136"/>
      <c r="H63" s="136"/>
      <c r="I63" s="138"/>
      <c r="J63" s="139">
        <f t="shared" ref="J63:P63" si="18">J48+J62</f>
        <v>13036</v>
      </c>
      <c r="K63" s="139">
        <f t="shared" si="18"/>
        <v>1303.5999999999999</v>
      </c>
      <c r="L63" s="139">
        <f t="shared" si="18"/>
        <v>651.79999999999995</v>
      </c>
      <c r="M63" s="140">
        <f t="shared" si="18"/>
        <v>0</v>
      </c>
      <c r="N63" s="140">
        <f t="shared" si="18"/>
        <v>1418023.49</v>
      </c>
      <c r="O63" s="140">
        <f t="shared" si="18"/>
        <v>6844656</v>
      </c>
      <c r="P63" s="139">
        <f t="shared" si="18"/>
        <v>26</v>
      </c>
      <c r="Q63" s="141"/>
    </row>
    <row r="64" spans="1:18" ht="6" customHeight="1"/>
    <row r="65" spans="1:18" s="382" customFormat="1" ht="9">
      <c r="A65" s="499" t="s">
        <v>620</v>
      </c>
      <c r="B65" s="499"/>
      <c r="C65" s="499"/>
      <c r="D65" s="499"/>
      <c r="E65" s="499"/>
      <c r="F65" s="499"/>
      <c r="G65" s="499"/>
      <c r="H65" s="499"/>
      <c r="I65" s="499"/>
      <c r="J65" s="499"/>
      <c r="K65" s="499"/>
      <c r="L65" s="499"/>
      <c r="M65" s="499"/>
      <c r="N65" s="499"/>
      <c r="O65" s="499"/>
      <c r="P65" s="462"/>
      <c r="Q65" s="375"/>
    </row>
    <row r="66" spans="1:18" s="382" customFormat="1" ht="9" customHeight="1">
      <c r="A66" s="500" t="s">
        <v>553</v>
      </c>
      <c r="B66" s="500"/>
      <c r="C66" s="500"/>
      <c r="D66" s="500"/>
      <c r="E66" s="500"/>
      <c r="F66" s="500"/>
      <c r="G66" s="500"/>
      <c r="H66" s="500"/>
      <c r="I66" s="500"/>
      <c r="J66" s="500"/>
      <c r="K66" s="500"/>
      <c r="L66" s="500"/>
      <c r="M66" s="500"/>
      <c r="N66" s="500"/>
      <c r="O66" s="500"/>
      <c r="P66" s="461"/>
      <c r="Q66" s="375"/>
    </row>
    <row r="67" spans="1:18" s="382" customFormat="1" ht="9" customHeight="1">
      <c r="A67" s="500" t="s">
        <v>554</v>
      </c>
      <c r="B67" s="500"/>
      <c r="C67" s="500"/>
      <c r="D67" s="500"/>
      <c r="E67" s="500"/>
      <c r="F67" s="500"/>
      <c r="G67" s="500"/>
      <c r="H67" s="500"/>
      <c r="I67" s="500"/>
      <c r="J67" s="500"/>
      <c r="K67" s="500"/>
      <c r="L67" s="500"/>
      <c r="M67" s="500"/>
      <c r="N67" s="500"/>
      <c r="O67" s="500"/>
      <c r="P67" s="461"/>
      <c r="Q67" s="375"/>
    </row>
    <row r="68" spans="1:18" s="378" customFormat="1">
      <c r="A68" s="500" t="s">
        <v>555</v>
      </c>
      <c r="B68" s="500"/>
      <c r="C68" s="500"/>
      <c r="D68" s="500"/>
      <c r="E68" s="500"/>
      <c r="F68" s="500"/>
      <c r="G68" s="500"/>
      <c r="H68" s="500"/>
      <c r="I68" s="500"/>
      <c r="J68" s="500"/>
      <c r="K68" s="500"/>
      <c r="L68" s="500"/>
      <c r="M68" s="500"/>
      <c r="N68" s="500"/>
      <c r="O68" s="500"/>
      <c r="P68" s="500"/>
      <c r="Q68" s="500"/>
      <c r="R68" s="382"/>
    </row>
    <row r="69" spans="1:18" s="382" customFormat="1" ht="9" customHeight="1">
      <c r="A69" s="382" t="s">
        <v>557</v>
      </c>
      <c r="B69" s="375"/>
      <c r="C69" s="375"/>
      <c r="D69" s="375"/>
      <c r="E69" s="375"/>
      <c r="F69" s="375"/>
      <c r="G69" s="375"/>
      <c r="H69" s="375"/>
      <c r="I69" s="463"/>
      <c r="J69" s="375"/>
      <c r="K69" s="375"/>
      <c r="L69" s="375"/>
      <c r="M69" s="375"/>
      <c r="N69" s="375"/>
      <c r="O69" s="464"/>
      <c r="P69" s="464"/>
      <c r="Q69" s="375"/>
    </row>
    <row r="70" spans="1:18" s="382" customFormat="1" ht="9" customHeight="1">
      <c r="A70" s="382" t="s">
        <v>487</v>
      </c>
      <c r="B70" s="375"/>
      <c r="C70" s="375"/>
      <c r="D70" s="375"/>
      <c r="E70" s="375"/>
      <c r="F70" s="375"/>
      <c r="G70" s="375"/>
      <c r="H70" s="375"/>
      <c r="I70" s="463"/>
      <c r="J70" s="375"/>
      <c r="K70" s="375"/>
      <c r="L70" s="375"/>
      <c r="M70" s="375"/>
      <c r="N70" s="375"/>
      <c r="O70" s="464"/>
      <c r="P70" s="464"/>
      <c r="Q70" s="375"/>
    </row>
    <row r="71" spans="1:18" s="382" customFormat="1" ht="9">
      <c r="A71" s="382" t="s">
        <v>559</v>
      </c>
      <c r="B71" s="375"/>
      <c r="C71" s="375"/>
      <c r="D71" s="375"/>
      <c r="E71" s="375"/>
      <c r="F71" s="375"/>
      <c r="G71" s="375"/>
      <c r="H71" s="375"/>
      <c r="I71" s="463"/>
      <c r="J71" s="375"/>
      <c r="K71" s="375"/>
      <c r="L71" s="375"/>
      <c r="M71" s="375"/>
      <c r="N71" s="375"/>
      <c r="O71" s="464"/>
      <c r="P71" s="464"/>
      <c r="Q71" s="375"/>
    </row>
    <row r="72" spans="1:18" s="382" customFormat="1" ht="21" customHeight="1">
      <c r="A72" s="500" t="s">
        <v>560</v>
      </c>
      <c r="B72" s="500"/>
      <c r="C72" s="500"/>
      <c r="D72" s="500"/>
      <c r="E72" s="500"/>
      <c r="F72" s="500"/>
      <c r="G72" s="500"/>
      <c r="H72" s="500"/>
      <c r="I72" s="500"/>
      <c r="J72" s="500"/>
      <c r="K72" s="500"/>
      <c r="L72" s="500"/>
      <c r="M72" s="500"/>
      <c r="N72" s="500"/>
      <c r="O72" s="500"/>
      <c r="P72" s="500"/>
      <c r="Q72" s="500"/>
    </row>
    <row r="73" spans="1:18" s="45" customFormat="1" ht="9">
      <c r="A73" s="495" t="s">
        <v>618</v>
      </c>
      <c r="B73" s="495"/>
      <c r="C73" s="495"/>
      <c r="D73" s="495"/>
      <c r="E73" s="495"/>
      <c r="F73" s="495"/>
      <c r="G73" s="495"/>
      <c r="H73" s="495"/>
      <c r="I73" s="495"/>
      <c r="J73" s="495"/>
      <c r="K73" s="495"/>
      <c r="L73" s="495"/>
      <c r="M73" s="495"/>
      <c r="N73" s="495"/>
      <c r="O73" s="146"/>
      <c r="P73" s="146"/>
      <c r="Q73" s="48"/>
    </row>
    <row r="74" spans="1:18" s="45" customFormat="1" ht="9">
      <c r="A74" s="494" t="s">
        <v>666</v>
      </c>
      <c r="B74" s="494"/>
      <c r="C74" s="494"/>
      <c r="D74" s="494"/>
      <c r="E74" s="494"/>
      <c r="F74" s="494"/>
      <c r="G74" s="494"/>
      <c r="H74" s="494"/>
      <c r="I74" s="494"/>
      <c r="J74" s="494"/>
      <c r="K74" s="494"/>
      <c r="L74" s="494"/>
      <c r="M74" s="494"/>
      <c r="N74" s="494"/>
      <c r="O74" s="494"/>
      <c r="P74" s="494"/>
      <c r="Q74" s="494"/>
    </row>
    <row r="75" spans="1:18" s="45" customFormat="1" ht="9">
      <c r="A75" s="494"/>
      <c r="B75" s="494"/>
      <c r="C75" s="494"/>
      <c r="D75" s="494"/>
      <c r="E75" s="494"/>
      <c r="F75" s="494"/>
      <c r="G75" s="494"/>
      <c r="H75" s="494"/>
      <c r="I75" s="494"/>
      <c r="J75" s="494"/>
      <c r="K75" s="494"/>
      <c r="L75" s="494"/>
      <c r="M75" s="494"/>
      <c r="N75" s="494"/>
      <c r="O75" s="494"/>
      <c r="P75" s="494"/>
      <c r="Q75" s="494"/>
    </row>
    <row r="76" spans="1:18" s="45" customFormat="1" ht="9">
      <c r="A76" s="494"/>
      <c r="B76" s="494"/>
      <c r="C76" s="494"/>
      <c r="D76" s="494"/>
      <c r="E76" s="494"/>
      <c r="F76" s="494"/>
      <c r="G76" s="494"/>
      <c r="H76" s="494"/>
      <c r="I76" s="494"/>
      <c r="J76" s="494"/>
      <c r="K76" s="494"/>
      <c r="L76" s="494"/>
      <c r="M76" s="494"/>
      <c r="N76" s="494"/>
      <c r="O76" s="494"/>
      <c r="P76" s="494"/>
      <c r="Q76" s="494"/>
    </row>
    <row r="77" spans="1:18" s="45" customFormat="1" ht="9">
      <c r="B77" s="48"/>
      <c r="C77" s="48"/>
      <c r="D77" s="48"/>
      <c r="E77" s="48"/>
      <c r="F77" s="48"/>
      <c r="G77" s="48"/>
      <c r="H77" s="48"/>
      <c r="I77" s="49"/>
      <c r="J77" s="48"/>
      <c r="K77" s="48"/>
      <c r="L77" s="48"/>
      <c r="M77" s="48"/>
      <c r="N77" s="48"/>
      <c r="O77" s="146"/>
      <c r="P77" s="146"/>
      <c r="Q77" s="48"/>
    </row>
    <row r="78" spans="1:18" s="45" customFormat="1" ht="9">
      <c r="B78" s="48"/>
      <c r="C78" s="48"/>
      <c r="D78" s="48"/>
      <c r="E78" s="48"/>
      <c r="F78" s="48"/>
      <c r="G78" s="48"/>
      <c r="H78" s="48"/>
      <c r="I78" s="49"/>
      <c r="J78" s="48"/>
      <c r="K78" s="48"/>
      <c r="L78" s="48"/>
      <c r="M78" s="48"/>
      <c r="N78" s="48"/>
      <c r="O78" s="146"/>
      <c r="P78" s="146"/>
      <c r="Q78" s="48"/>
    </row>
    <row r="79" spans="1:18" s="45" customFormat="1" ht="9">
      <c r="B79" s="48"/>
      <c r="C79" s="48"/>
      <c r="D79" s="48"/>
      <c r="E79" s="48"/>
      <c r="F79" s="48"/>
      <c r="G79" s="48"/>
      <c r="H79" s="48"/>
      <c r="I79" s="49"/>
      <c r="J79" s="48"/>
      <c r="K79" s="48"/>
      <c r="L79" s="48"/>
      <c r="M79" s="48"/>
      <c r="N79" s="48"/>
      <c r="O79" s="146"/>
      <c r="P79" s="146"/>
      <c r="Q79" s="48"/>
    </row>
    <row r="80" spans="1:18"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c r="P101" s="146"/>
      <c r="Q101" s="48"/>
    </row>
    <row r="102" spans="2:17">
      <c r="P102" s="146"/>
      <c r="Q102" s="48"/>
    </row>
    <row r="103" spans="2:17">
      <c r="Q103" s="48"/>
    </row>
    <row r="104" spans="2:17">
      <c r="Q104" s="48"/>
    </row>
    <row r="105" spans="2:17">
      <c r="Q105" s="48"/>
    </row>
    <row r="106" spans="2:17">
      <c r="Q106" s="48"/>
    </row>
    <row r="107" spans="2:17">
      <c r="Q107" s="48"/>
    </row>
  </sheetData>
  <mergeCells count="9">
    <mergeCell ref="A1:Q1"/>
    <mergeCell ref="A2:Q2"/>
    <mergeCell ref="A65:O65"/>
    <mergeCell ref="A66:O66"/>
    <mergeCell ref="A74:Q76"/>
    <mergeCell ref="A73:N73"/>
    <mergeCell ref="A67:O67"/>
    <mergeCell ref="A68:Q68"/>
    <mergeCell ref="A72:Q72"/>
  </mergeCells>
  <phoneticPr fontId="9" type="noConversion"/>
  <pageMargins left="0.25" right="0.25" top="0.5" bottom="0.25" header="0.5" footer="0.5"/>
  <pageSetup scale="67"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U105"/>
  <sheetViews>
    <sheetView zoomScale="110" zoomScaleNormal="110" workbookViewId="0">
      <pane xSplit="1" ySplit="3" topLeftCell="B4" activePane="bottomRight" state="frozen"/>
      <selection activeCell="O55" sqref="O55"/>
      <selection pane="topRight" activeCell="O55" sqref="O55"/>
      <selection pane="bottomLeft" activeCell="O55" sqref="O55"/>
      <selection pane="bottomRight" activeCell="A7" sqref="A7"/>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5703125" style="46" customWidth="1"/>
    <col min="13" max="13" width="7.85546875" style="46" hidden="1" customWidth="1"/>
    <col min="14" max="14" width="9.140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181</v>
      </c>
      <c r="B1" s="496"/>
      <c r="C1" s="496"/>
      <c r="D1" s="496"/>
      <c r="E1" s="496"/>
      <c r="F1" s="496"/>
      <c r="G1" s="496"/>
      <c r="H1" s="496"/>
      <c r="I1" s="496"/>
      <c r="J1" s="496"/>
      <c r="K1" s="496"/>
      <c r="L1" s="496"/>
      <c r="M1" s="496"/>
      <c r="N1" s="496"/>
      <c r="O1" s="496"/>
      <c r="P1" s="496"/>
      <c r="Q1" s="496"/>
    </row>
    <row r="2" spans="1:21">
      <c r="A2" s="497" t="s">
        <v>182</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ROUNDUP(SUM('Base Data'!$H$79:$H$81)/3,0)</f>
        <v>0</v>
      </c>
      <c r="J7" s="73">
        <f>H7*I7</f>
        <v>0</v>
      </c>
      <c r="K7" s="73">
        <f>J7*0.1</f>
        <v>0</v>
      </c>
      <c r="L7" s="72">
        <f>J7*0.05</f>
        <v>0</v>
      </c>
      <c r="M7" s="37">
        <f>C7*G7*I7</f>
        <v>0</v>
      </c>
      <c r="N7" s="44">
        <f>(J7*'Base Data'!$C$5)+(K7*'Base Data'!$C$6)+(L7*'Base Data'!$C$7)</f>
        <v>0</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ROUNDUP(SUM('Base Data'!$D$79:$D$80)/3,0)</f>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c r="U11" s="144"/>
    </row>
    <row r="12" spans="1:21" s="115" customFormat="1" ht="9">
      <c r="A12" s="111" t="s">
        <v>126</v>
      </c>
      <c r="B12" s="37">
        <v>12</v>
      </c>
      <c r="C12" s="37"/>
      <c r="D12" s="44">
        <v>0</v>
      </c>
      <c r="E12" s="44">
        <f>'Testing Costs'!$B$14</f>
        <v>7000</v>
      </c>
      <c r="F12" s="44">
        <v>0</v>
      </c>
      <c r="G12" s="37">
        <v>1</v>
      </c>
      <c r="H12" s="37">
        <f t="shared" si="0"/>
        <v>12</v>
      </c>
      <c r="I12" s="72">
        <f>ROUNDUP(SUM('Base Data'!$D$79:$D$81)/3,0)</f>
        <v>0</v>
      </c>
      <c r="J12" s="73">
        <f t="shared" si="1"/>
        <v>0</v>
      </c>
      <c r="K12" s="73">
        <f t="shared" si="2"/>
        <v>0</v>
      </c>
      <c r="L12" s="73">
        <f t="shared" si="3"/>
        <v>0</v>
      </c>
      <c r="M12" s="74"/>
      <c r="N12" s="44">
        <f>(J12*'Base Data'!$C$5)+(K12*'Base Data'!$C$6)+(L12*'Base Data'!$C$7)</f>
        <v>0</v>
      </c>
      <c r="O12" s="44">
        <f t="shared" si="4"/>
        <v>0</v>
      </c>
      <c r="P12" s="73">
        <v>0</v>
      </c>
      <c r="Q12" s="75"/>
      <c r="U12" s="144"/>
    </row>
    <row r="13" spans="1:21" s="115" customFormat="1" ht="9" customHeight="1">
      <c r="A13" s="111" t="s">
        <v>535</v>
      </c>
      <c r="B13" s="37">
        <v>12</v>
      </c>
      <c r="C13" s="37"/>
      <c r="D13" s="44">
        <v>0</v>
      </c>
      <c r="E13" s="44">
        <f>'Testing Costs'!$B$13</f>
        <v>5000</v>
      </c>
      <c r="F13" s="44">
        <v>0</v>
      </c>
      <c r="G13" s="37">
        <v>1</v>
      </c>
      <c r="H13" s="37">
        <f t="shared" si="0"/>
        <v>12</v>
      </c>
      <c r="I13" s="72">
        <v>0</v>
      </c>
      <c r="J13" s="73">
        <f t="shared" si="1"/>
        <v>0</v>
      </c>
      <c r="K13" s="73">
        <f t="shared" si="2"/>
        <v>0</v>
      </c>
      <c r="L13" s="73">
        <f t="shared" si="3"/>
        <v>0</v>
      </c>
      <c r="M13" s="74"/>
      <c r="N13" s="44">
        <f>(J13*'Base Data'!$C$5)+(K13*'Base Data'!$C$6)+(L13*'Base Data'!$C$7)</f>
        <v>0</v>
      </c>
      <c r="O13" s="44">
        <f t="shared" si="4"/>
        <v>0</v>
      </c>
      <c r="P13" s="73">
        <v>0</v>
      </c>
      <c r="Q13" s="75"/>
      <c r="U13" s="144"/>
    </row>
    <row r="14" spans="1:21" s="115" customFormat="1" ht="9">
      <c r="A14" s="111" t="s">
        <v>536</v>
      </c>
      <c r="B14" s="37">
        <v>12</v>
      </c>
      <c r="C14" s="37"/>
      <c r="D14" s="44">
        <v>0</v>
      </c>
      <c r="E14" s="44">
        <f>'Testing Costs'!$B$17</f>
        <v>8000</v>
      </c>
      <c r="F14" s="44">
        <v>0</v>
      </c>
      <c r="G14" s="37">
        <v>1</v>
      </c>
      <c r="H14" s="37">
        <f t="shared" si="0"/>
        <v>12</v>
      </c>
      <c r="I14" s="72">
        <v>0</v>
      </c>
      <c r="J14" s="73">
        <f t="shared" si="1"/>
        <v>0</v>
      </c>
      <c r="K14" s="73">
        <f t="shared" si="2"/>
        <v>0</v>
      </c>
      <c r="L14" s="73">
        <f t="shared" si="3"/>
        <v>0</v>
      </c>
      <c r="M14" s="74"/>
      <c r="N14" s="44">
        <f>(J14*'Base Data'!$C$5)+(K14*'Base Data'!$C$6)+(L14*'Base Data'!$C$7)</f>
        <v>0</v>
      </c>
      <c r="O14" s="44">
        <f t="shared" si="4"/>
        <v>0</v>
      </c>
      <c r="P14" s="73">
        <v>0</v>
      </c>
      <c r="Q14" s="75"/>
      <c r="U14" s="144"/>
    </row>
    <row r="15" spans="1:21" s="115" customFormat="1" ht="9">
      <c r="A15" s="111" t="s">
        <v>537</v>
      </c>
      <c r="B15" s="37">
        <v>12</v>
      </c>
      <c r="C15" s="37"/>
      <c r="D15" s="44">
        <v>0</v>
      </c>
      <c r="E15" s="44">
        <f>'Testing Costs'!$B$15</f>
        <v>8000</v>
      </c>
      <c r="F15" s="44">
        <v>0</v>
      </c>
      <c r="G15" s="37">
        <v>1</v>
      </c>
      <c r="H15" s="37">
        <f t="shared" si="0"/>
        <v>12</v>
      </c>
      <c r="I15" s="72">
        <v>0</v>
      </c>
      <c r="J15" s="73">
        <f t="shared" si="1"/>
        <v>0</v>
      </c>
      <c r="K15" s="73">
        <f t="shared" si="2"/>
        <v>0</v>
      </c>
      <c r="L15" s="73">
        <f t="shared" si="3"/>
        <v>0</v>
      </c>
      <c r="M15" s="74"/>
      <c r="N15" s="44">
        <f>(J15*'Base Data'!$C$5)+(K15*'Base Data'!$C$6)+(L15*'Base Data'!$C$7)</f>
        <v>0</v>
      </c>
      <c r="O15" s="44">
        <f t="shared" si="4"/>
        <v>0</v>
      </c>
      <c r="P15" s="73">
        <v>0</v>
      </c>
      <c r="Q15" s="75"/>
      <c r="U15" s="144"/>
    </row>
    <row r="16" spans="1:21" s="115" customFormat="1" ht="9">
      <c r="A16" s="111" t="s">
        <v>538</v>
      </c>
      <c r="B16" s="37">
        <v>12</v>
      </c>
      <c r="C16" s="37"/>
      <c r="D16" s="44">
        <v>0</v>
      </c>
      <c r="E16" s="44">
        <f>'Testing Costs'!$B$14</f>
        <v>7000</v>
      </c>
      <c r="F16" s="44">
        <v>0</v>
      </c>
      <c r="G16" s="37">
        <v>1</v>
      </c>
      <c r="H16" s="37">
        <f t="shared" si="0"/>
        <v>12</v>
      </c>
      <c r="I16" s="72">
        <v>0</v>
      </c>
      <c r="J16" s="73">
        <f t="shared" si="1"/>
        <v>0</v>
      </c>
      <c r="K16" s="73">
        <f t="shared" si="2"/>
        <v>0</v>
      </c>
      <c r="L16" s="73">
        <f t="shared" si="3"/>
        <v>0</v>
      </c>
      <c r="M16" s="74"/>
      <c r="N16" s="44">
        <f>(J16*'Base Data'!$C$5)+(K16*'Base Data'!$C$6)+(L16*'Base Data'!$C$7)</f>
        <v>0</v>
      </c>
      <c r="O16" s="44">
        <f t="shared" si="4"/>
        <v>0</v>
      </c>
      <c r="P16" s="73">
        <v>0</v>
      </c>
      <c r="Q16" s="75"/>
      <c r="U16" s="144"/>
    </row>
    <row r="17" spans="1:21" s="115" customFormat="1" ht="18">
      <c r="A17" s="259" t="s">
        <v>539</v>
      </c>
      <c r="B17" s="37">
        <v>24</v>
      </c>
      <c r="C17" s="258"/>
      <c r="D17" s="44">
        <v>0</v>
      </c>
      <c r="E17" s="44">
        <f>$E$10+$E$11</f>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row>
    <row r="18" spans="1:21" s="115" customFormat="1" ht="9" customHeight="1">
      <c r="A18" s="111" t="s">
        <v>540</v>
      </c>
      <c r="B18" s="37">
        <v>5</v>
      </c>
      <c r="C18" s="37"/>
      <c r="D18" s="44">
        <v>0</v>
      </c>
      <c r="E18" s="44">
        <v>400</v>
      </c>
      <c r="F18" s="44">
        <v>0</v>
      </c>
      <c r="G18" s="37">
        <v>1</v>
      </c>
      <c r="H18" s="37">
        <f t="shared" si="0"/>
        <v>5</v>
      </c>
      <c r="I18" s="72">
        <f>ROUNDUP(SUM('Base Data'!$D$79:$D$81)/3,0)</f>
        <v>0</v>
      </c>
      <c r="J18" s="73">
        <f t="shared" si="1"/>
        <v>0</v>
      </c>
      <c r="K18" s="73">
        <f t="shared" si="2"/>
        <v>0</v>
      </c>
      <c r="L18" s="73">
        <f t="shared" si="3"/>
        <v>0</v>
      </c>
      <c r="M18" s="74"/>
      <c r="N18" s="44">
        <f>(J18*'Base Data'!$C$5)+(K18*'Base Data'!$C$6)+(L18*'Base Data'!$C$7)</f>
        <v>0</v>
      </c>
      <c r="O18" s="44">
        <f t="shared" si="4"/>
        <v>0</v>
      </c>
      <c r="P18" s="73">
        <v>0</v>
      </c>
      <c r="Q18" s="75"/>
      <c r="U18" s="144"/>
    </row>
    <row r="19" spans="1:21" s="115" customFormat="1" ht="9" customHeight="1">
      <c r="A19" s="111" t="s">
        <v>541</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v>0</v>
      </c>
      <c r="Q19" s="75"/>
      <c r="U19" s="144"/>
    </row>
    <row r="20" spans="1:21" s="115" customFormat="1" ht="9">
      <c r="A20" s="110" t="s">
        <v>542</v>
      </c>
      <c r="B20" s="37">
        <v>12</v>
      </c>
      <c r="C20" s="37"/>
      <c r="D20" s="44">
        <v>0</v>
      </c>
      <c r="E20" s="44">
        <v>2875</v>
      </c>
      <c r="F20" s="44">
        <v>0</v>
      </c>
      <c r="G20" s="37">
        <v>1</v>
      </c>
      <c r="H20" s="37">
        <f>B20*G20</f>
        <v>12</v>
      </c>
      <c r="I20" s="72">
        <v>0</v>
      </c>
      <c r="J20" s="72">
        <f>H20*I20</f>
        <v>0</v>
      </c>
      <c r="K20" s="72">
        <f>J20*0.1</f>
        <v>0</v>
      </c>
      <c r="L20" s="72">
        <f>J20*0.05</f>
        <v>0</v>
      </c>
      <c r="M20" s="73"/>
      <c r="N20" s="44">
        <f>(J20*'Base Data'!$C$5)+(K20*'Base Data'!$C$6)+(L20*'Base Data'!$C$7)</f>
        <v>0</v>
      </c>
      <c r="O20" s="44">
        <f>(D20+E20+F20)*G20*I20</f>
        <v>0</v>
      </c>
      <c r="P20" s="73">
        <v>0</v>
      </c>
      <c r="Q20" s="75"/>
      <c r="R20" s="342"/>
    </row>
    <row r="21" spans="1:21" s="115" customFormat="1" ht="9">
      <c r="A21" s="111" t="s">
        <v>527</v>
      </c>
      <c r="B21" s="37"/>
      <c r="C21" s="37"/>
      <c r="D21" s="44"/>
      <c r="E21" s="44"/>
      <c r="F21" s="44"/>
      <c r="G21" s="37"/>
      <c r="H21" s="37"/>
      <c r="I21" s="73"/>
      <c r="J21" s="73"/>
      <c r="K21" s="73"/>
      <c r="L21" s="73"/>
      <c r="M21" s="74"/>
      <c r="N21" s="44"/>
      <c r="O21" s="44"/>
      <c r="P21" s="73"/>
      <c r="Q21" s="75"/>
      <c r="U21" s="144"/>
    </row>
    <row r="22" spans="1:21" s="115" customFormat="1" ht="9">
      <c r="A22" s="111" t="s">
        <v>383</v>
      </c>
      <c r="B22" s="37">
        <v>40</v>
      </c>
      <c r="C22" s="37"/>
      <c r="D22" s="44">
        <v>0</v>
      </c>
      <c r="E22" s="44"/>
      <c r="F22" s="44">
        <v>0</v>
      </c>
      <c r="G22" s="37">
        <v>1</v>
      </c>
      <c r="H22" s="37">
        <f>B22*G22</f>
        <v>40</v>
      </c>
      <c r="I22" s="72">
        <f>ROUNDUP(SUM('Base Data'!$H$79:$H$81)/3,0)</f>
        <v>0</v>
      </c>
      <c r="J22" s="73">
        <f>H22*I22</f>
        <v>0</v>
      </c>
      <c r="K22" s="73">
        <f>J22*0.1</f>
        <v>0</v>
      </c>
      <c r="L22" s="73">
        <f>J22*0.05</f>
        <v>0</v>
      </c>
      <c r="M22" s="74"/>
      <c r="N22" s="44">
        <f>(J22*'Base Data'!$C$5)+(K22*'Base Data'!$C$6)+(L22*'Base Data'!$C$7)</f>
        <v>0</v>
      </c>
      <c r="O22" s="44">
        <f>(D22+E22+F22)*G22*I22</f>
        <v>0</v>
      </c>
      <c r="P22" s="73">
        <v>0</v>
      </c>
      <c r="Q22" s="75"/>
      <c r="U22" s="144"/>
    </row>
    <row r="23" spans="1:21" s="115" customFormat="1" ht="9">
      <c r="A23" s="110" t="s">
        <v>361</v>
      </c>
      <c r="B23" s="37"/>
      <c r="C23" s="37"/>
      <c r="D23" s="44"/>
      <c r="E23" s="44"/>
      <c r="F23" s="44"/>
      <c r="G23" s="37"/>
      <c r="H23" s="37"/>
      <c r="I23" s="73"/>
      <c r="J23" s="73"/>
      <c r="K23" s="73"/>
      <c r="L23" s="73"/>
      <c r="M23" s="74"/>
      <c r="N23" s="44"/>
      <c r="O23" s="44"/>
      <c r="P23" s="73">
        <v>0</v>
      </c>
      <c r="Q23" s="75"/>
      <c r="U23" s="144"/>
    </row>
    <row r="24" spans="1:21" s="115" customFormat="1" ht="9">
      <c r="A24" s="110" t="s">
        <v>362</v>
      </c>
      <c r="B24" s="37">
        <v>10</v>
      </c>
      <c r="C24" s="37"/>
      <c r="D24" s="44">
        <v>0</v>
      </c>
      <c r="E24" s="44">
        <v>0</v>
      </c>
      <c r="F24" s="44">
        <v>43100</v>
      </c>
      <c r="G24" s="37">
        <v>1</v>
      </c>
      <c r="H24" s="37">
        <f>B24*G24</f>
        <v>10</v>
      </c>
      <c r="I24" s="72">
        <f>SUM(Monitors!$C$23/3,0)</f>
        <v>0</v>
      </c>
      <c r="J24" s="73">
        <f>H24*I24</f>
        <v>0</v>
      </c>
      <c r="K24" s="73">
        <f>J24*0.1</f>
        <v>0</v>
      </c>
      <c r="L24" s="73">
        <f>J24*0.05</f>
        <v>0</v>
      </c>
      <c r="M24" s="74"/>
      <c r="N24" s="44">
        <f>(J24*'Base Data'!$C$5)+(K24*'Base Data'!$C$6)+(L24*'Base Data'!$C$7)</f>
        <v>0</v>
      </c>
      <c r="O24" s="44">
        <f>(D24+E24+F24)*G24*I24</f>
        <v>0</v>
      </c>
      <c r="P24" s="73">
        <v>0</v>
      </c>
      <c r="Q24" s="75"/>
      <c r="U24" s="144"/>
    </row>
    <row r="25" spans="1:21" s="115" customFormat="1" ht="9">
      <c r="A25" s="110" t="s">
        <v>365</v>
      </c>
      <c r="B25" s="37">
        <v>10</v>
      </c>
      <c r="C25" s="37"/>
      <c r="D25" s="44">
        <v>0</v>
      </c>
      <c r="E25" s="44">
        <v>0</v>
      </c>
      <c r="F25" s="44">
        <v>14700</v>
      </c>
      <c r="G25" s="37">
        <v>1</v>
      </c>
      <c r="H25" s="37">
        <f>B25*G25</f>
        <v>10</v>
      </c>
      <c r="I25" s="72">
        <f>SUM(Monitors!$C$23/3,0)</f>
        <v>0</v>
      </c>
      <c r="J25" s="73">
        <f>H25*I25</f>
        <v>0</v>
      </c>
      <c r="K25" s="73">
        <f>J25*0.1</f>
        <v>0</v>
      </c>
      <c r="L25" s="73">
        <f>J25*0.05</f>
        <v>0</v>
      </c>
      <c r="M25" s="74"/>
      <c r="N25" s="44">
        <f>(J25*'Base Data'!$C$5)+(K25*'Base Data'!$C$6)+(L25*'Base Data'!$C$7)</f>
        <v>0</v>
      </c>
      <c r="O25" s="44">
        <f>(D25+E25+F25)*G25*I25</f>
        <v>0</v>
      </c>
      <c r="P25" s="73">
        <v>0</v>
      </c>
      <c r="Q25" s="75"/>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f>SUM(Monitors!$H$23/3,0)</f>
        <v>0</v>
      </c>
      <c r="J27" s="73">
        <f>H27*I27</f>
        <v>0</v>
      </c>
      <c r="K27" s="73">
        <f>J27*0.1</f>
        <v>0</v>
      </c>
      <c r="L27" s="73">
        <f>J27*0.05</f>
        <v>0</v>
      </c>
      <c r="M27" s="74"/>
      <c r="N27" s="44">
        <f>(J27*'Base Data'!$C$5)+(K27*'Base Data'!$C$6)+(L27*'Base Data'!$C$7)</f>
        <v>0</v>
      </c>
      <c r="O27" s="44">
        <f>(D27+E27+F27)*G27*I27</f>
        <v>0</v>
      </c>
      <c r="P27" s="73">
        <v>0</v>
      </c>
      <c r="Q27" s="75"/>
      <c r="U27" s="144"/>
    </row>
    <row r="28" spans="1:21" s="115" customFormat="1" ht="9">
      <c r="A28" s="110" t="s">
        <v>365</v>
      </c>
      <c r="B28" s="37">
        <v>10</v>
      </c>
      <c r="C28" s="37"/>
      <c r="D28" s="44">
        <v>0</v>
      </c>
      <c r="E28" s="44">
        <v>0</v>
      </c>
      <c r="F28" s="44">
        <v>56100</v>
      </c>
      <c r="G28" s="37">
        <v>1</v>
      </c>
      <c r="H28" s="37">
        <f>B28*G28</f>
        <v>10</v>
      </c>
      <c r="I28" s="72">
        <f>SUM(Monitors!$H$23/3,0)</f>
        <v>0</v>
      </c>
      <c r="J28" s="73">
        <f>H28*I28</f>
        <v>0</v>
      </c>
      <c r="K28" s="73">
        <f>J28*0.1</f>
        <v>0</v>
      </c>
      <c r="L28" s="73">
        <f>J28*0.05</f>
        <v>0</v>
      </c>
      <c r="M28" s="74"/>
      <c r="N28" s="44">
        <f>(J28*'Base Data'!$C$5)+(K28*'Base Data'!$C$6)+(L28*'Base Data'!$C$7)</f>
        <v>0</v>
      </c>
      <c r="O28" s="44">
        <f>(D28+E28+F28)*G28*I28</f>
        <v>0</v>
      </c>
      <c r="P28" s="73">
        <v>0</v>
      </c>
      <c r="Q28" s="75"/>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5">B30*G30</f>
        <v>10</v>
      </c>
      <c r="I30" s="72">
        <f>ROUNDUP(Monitors!$F$23/3,0)</f>
        <v>0</v>
      </c>
      <c r="J30" s="73">
        <f t="shared" ref="J30:J31" si="6">H30*I30</f>
        <v>0</v>
      </c>
      <c r="K30" s="73">
        <f t="shared" ref="K30:K31" si="7">J30*0.1</f>
        <v>0</v>
      </c>
      <c r="L30" s="73">
        <f t="shared" ref="L30:L31" si="8">J30*0.05</f>
        <v>0</v>
      </c>
      <c r="M30" s="74"/>
      <c r="N30" s="44">
        <f>(J30*'Base Data'!$C$5)+(K30*'Base Data'!$C$6)+(L30*'Base Data'!$C$7)</f>
        <v>0</v>
      </c>
      <c r="O30" s="44">
        <f>(D30+E30+F30)*G30*I30</f>
        <v>0</v>
      </c>
      <c r="P30" s="73">
        <v>0</v>
      </c>
      <c r="Q30" s="75"/>
    </row>
    <row r="31" spans="1:21" s="115" customFormat="1" ht="9">
      <c r="A31" s="110" t="s">
        <v>365</v>
      </c>
      <c r="B31" s="37">
        <v>10</v>
      </c>
      <c r="C31" s="37"/>
      <c r="D31" s="44">
        <v>0</v>
      </c>
      <c r="E31" s="44">
        <v>0</v>
      </c>
      <c r="F31" s="44">
        <f>Monitors!$G$32</f>
        <v>1436</v>
      </c>
      <c r="G31" s="37">
        <v>1</v>
      </c>
      <c r="H31" s="37">
        <f t="shared" si="5"/>
        <v>10</v>
      </c>
      <c r="I31" s="72">
        <f>ROUNDUP(Monitors!$F$23/3,0)</f>
        <v>0</v>
      </c>
      <c r="J31" s="73">
        <f t="shared" si="6"/>
        <v>0</v>
      </c>
      <c r="K31" s="73">
        <f t="shared" si="7"/>
        <v>0</v>
      </c>
      <c r="L31" s="73">
        <f t="shared" si="8"/>
        <v>0</v>
      </c>
      <c r="M31" s="74"/>
      <c r="N31" s="44">
        <f>(J31*'Base Data'!$C$5)+(K31*'Base Data'!$C$6)+(L31*'Base Data'!$C$7)</f>
        <v>0</v>
      </c>
      <c r="O31" s="44">
        <f>(D31+E31+F31)*G31*I31</f>
        <v>0</v>
      </c>
      <c r="P31" s="73">
        <v>0</v>
      </c>
      <c r="Q31" s="75"/>
    </row>
    <row r="32" spans="1:21" s="115" customFormat="1" ht="18">
      <c r="A32" s="111" t="s">
        <v>160</v>
      </c>
      <c r="B32" s="37"/>
      <c r="C32" s="37"/>
      <c r="D32" s="44"/>
      <c r="E32" s="44"/>
      <c r="F32" s="76"/>
      <c r="G32" s="37"/>
      <c r="H32" s="37"/>
      <c r="I32" s="77"/>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f>ROUNDUP(Monitors!$D$23/3,0)</f>
        <v>0</v>
      </c>
      <c r="J33" s="73">
        <f>H33*I33</f>
        <v>0</v>
      </c>
      <c r="K33" s="73">
        <f>J33*0.1</f>
        <v>0</v>
      </c>
      <c r="L33" s="73">
        <f>J33*0.05</f>
        <v>0</v>
      </c>
      <c r="M33" s="74"/>
      <c r="N33" s="44">
        <f>(J33*'Base Data'!$C$5)+(K33*'Base Data'!$C$6)+(L33*'Base Data'!$C$7)</f>
        <v>0</v>
      </c>
      <c r="O33" s="44">
        <f>(D33+E33+F33)*G33*I33</f>
        <v>0</v>
      </c>
      <c r="P33" s="73">
        <v>0</v>
      </c>
      <c r="Q33" s="75"/>
      <c r="U33" s="144"/>
    </row>
    <row r="34" spans="1:21" s="115" customFormat="1" ht="9">
      <c r="A34" s="110" t="s">
        <v>365</v>
      </c>
      <c r="B34" s="37">
        <v>10</v>
      </c>
      <c r="C34" s="37"/>
      <c r="D34" s="44">
        <v>0</v>
      </c>
      <c r="E34" s="44">
        <v>0</v>
      </c>
      <c r="F34" s="44">
        <v>5600</v>
      </c>
      <c r="G34" s="37">
        <v>1</v>
      </c>
      <c r="H34" s="37">
        <f>B34*G34</f>
        <v>10</v>
      </c>
      <c r="I34" s="72">
        <f>ROUNDUP(Monitors!$D$23/3,0)</f>
        <v>0</v>
      </c>
      <c r="J34" s="73">
        <f>H34*I34</f>
        <v>0</v>
      </c>
      <c r="K34" s="73">
        <f>J34*0.1</f>
        <v>0</v>
      </c>
      <c r="L34" s="73">
        <f>J34*0.05</f>
        <v>0</v>
      </c>
      <c r="M34" s="74"/>
      <c r="N34" s="44">
        <f>(J34*'Base Data'!$C$5)+(K34*'Base Data'!$C$6)+(L34*'Base Data'!$C$7)</f>
        <v>0</v>
      </c>
      <c r="O34" s="44">
        <f>(D34+E34+F34)*G34*I34</f>
        <v>0</v>
      </c>
      <c r="P34" s="73">
        <v>0</v>
      </c>
      <c r="Q34" s="75"/>
      <c r="U34" s="144"/>
    </row>
    <row r="35" spans="1:21" s="115" customFormat="1" ht="18">
      <c r="A35" s="111" t="s">
        <v>425</v>
      </c>
      <c r="B35" s="37"/>
      <c r="C35" s="37"/>
      <c r="D35" s="44"/>
      <c r="E35" s="44"/>
      <c r="F35" s="44"/>
      <c r="G35" s="37"/>
      <c r="H35" s="37"/>
      <c r="I35" s="77"/>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ROUNDUP(Monitors!$B$23/3,0)</f>
        <v>0</v>
      </c>
      <c r="J36" s="73">
        <f>H36*I36</f>
        <v>0</v>
      </c>
      <c r="K36" s="73">
        <f>J36*0.1</f>
        <v>0</v>
      </c>
      <c r="L36" s="73">
        <f>J36*0.05</f>
        <v>0</v>
      </c>
      <c r="M36" s="74"/>
      <c r="N36" s="44">
        <f>(J36*'Base Data'!$C$5)+(K36*'Base Data'!$C$6)+(L36*'Base Data'!$C$7)</f>
        <v>0</v>
      </c>
      <c r="O36" s="44">
        <f>(D36+E36+F36)*G36*I36</f>
        <v>0</v>
      </c>
      <c r="P36" s="73">
        <v>0</v>
      </c>
      <c r="Q36" s="75"/>
      <c r="U36" s="144"/>
    </row>
    <row r="37" spans="1:21" s="115" customFormat="1" ht="9">
      <c r="A37" s="110" t="s">
        <v>365</v>
      </c>
      <c r="B37" s="37">
        <v>10</v>
      </c>
      <c r="C37" s="37"/>
      <c r="D37" s="44">
        <v>0</v>
      </c>
      <c r="E37" s="44">
        <v>0</v>
      </c>
      <c r="F37" s="44">
        <v>9700</v>
      </c>
      <c r="G37" s="37">
        <v>1</v>
      </c>
      <c r="H37" s="37">
        <f>B37*G37</f>
        <v>10</v>
      </c>
      <c r="I37" s="72">
        <f>ROUNDUP(Monitors!$B$23/3,0)</f>
        <v>0</v>
      </c>
      <c r="J37" s="73">
        <f>H37*I37</f>
        <v>0</v>
      </c>
      <c r="K37" s="73">
        <f>J37*0.1</f>
        <v>0</v>
      </c>
      <c r="L37" s="73">
        <f>J37*0.05</f>
        <v>0</v>
      </c>
      <c r="M37" s="74"/>
      <c r="N37" s="44">
        <f>(J37*'Base Data'!$C$5)+(K37*'Base Data'!$C$6)+(L37*'Base Data'!$C$7)</f>
        <v>0</v>
      </c>
      <c r="O37" s="44">
        <f>(D37+E37+F37)*G37*I37</f>
        <v>0</v>
      </c>
      <c r="P37" s="73">
        <v>0</v>
      </c>
      <c r="Q37" s="75"/>
      <c r="U37" s="144"/>
    </row>
    <row r="38" spans="1:21" s="115" customFormat="1" ht="18">
      <c r="A38" s="111" t="s">
        <v>161</v>
      </c>
      <c r="B38" s="37"/>
      <c r="C38" s="37"/>
      <c r="D38" s="44"/>
      <c r="E38" s="44"/>
      <c r="F38" s="44"/>
      <c r="G38" s="37"/>
      <c r="H38" s="37"/>
      <c r="I38" s="77"/>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f>ROUND(Monitors!$E$23/3,0)</f>
        <v>0</v>
      </c>
      <c r="J39" s="73">
        <f>H39*I39</f>
        <v>0</v>
      </c>
      <c r="K39" s="73">
        <f>J39*0.1</f>
        <v>0</v>
      </c>
      <c r="L39" s="73">
        <f>J39*0.05</f>
        <v>0</v>
      </c>
      <c r="M39" s="74"/>
      <c r="N39" s="44">
        <f>(J39*'Base Data'!$C$5)+(K39*'Base Data'!$C$6)+(L39*'Base Data'!$C$7)</f>
        <v>0</v>
      </c>
      <c r="O39" s="44">
        <f>(D39+E39+F39)*G39*I39</f>
        <v>0</v>
      </c>
      <c r="P39" s="73">
        <v>0</v>
      </c>
      <c r="Q39" s="75"/>
      <c r="U39" s="144"/>
    </row>
    <row r="40" spans="1:21" s="115" customFormat="1" ht="9">
      <c r="A40" s="110" t="s">
        <v>365</v>
      </c>
      <c r="B40" s="37">
        <v>10</v>
      </c>
      <c r="C40" s="37"/>
      <c r="D40" s="44">
        <v>0</v>
      </c>
      <c r="E40" s="44">
        <v>0</v>
      </c>
      <c r="F40" s="44">
        <v>9700</v>
      </c>
      <c r="G40" s="37">
        <v>1</v>
      </c>
      <c r="H40" s="37">
        <f>B40*G40</f>
        <v>10</v>
      </c>
      <c r="I40" s="72">
        <f>ROUND(Monitors!$E$23/3,0)</f>
        <v>0</v>
      </c>
      <c r="J40" s="73">
        <f>H40*I40</f>
        <v>0</v>
      </c>
      <c r="K40" s="73">
        <f>J40*0.1</f>
        <v>0</v>
      </c>
      <c r="L40" s="73">
        <f>J40*0.05</f>
        <v>0</v>
      </c>
      <c r="M40" s="74"/>
      <c r="N40" s="44">
        <f>(J40*'Base Data'!$C$5)+(K40*'Base Data'!$C$6)+(L40*'Base Data'!$C$7)</f>
        <v>0</v>
      </c>
      <c r="O40" s="44">
        <f>(D40+E40+F40)*G40*I40</f>
        <v>0</v>
      </c>
      <c r="P40" s="73">
        <v>0</v>
      </c>
      <c r="Q40" s="75"/>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0</v>
      </c>
      <c r="J44" s="73">
        <f>H44*I44</f>
        <v>0</v>
      </c>
      <c r="K44" s="73">
        <f>J44*0.1</f>
        <v>0</v>
      </c>
      <c r="L44" s="73">
        <f>J44*0.05</f>
        <v>0</v>
      </c>
      <c r="M44" s="37">
        <f>C44*G44*I44</f>
        <v>0</v>
      </c>
      <c r="N44" s="44">
        <f>(J44*'Base Data'!$C$5)+(K44*'Base Data'!$C$6)+(L44*'Base Data'!$C$7)</f>
        <v>0</v>
      </c>
      <c r="O44" s="44">
        <f>(D44+E44+F44)*G44*I44</f>
        <v>0</v>
      </c>
      <c r="P44" s="73">
        <f>G44*I44</f>
        <v>0</v>
      </c>
      <c r="Q44" s="75"/>
    </row>
    <row r="45" spans="1:21" s="115" customFormat="1" ht="9" customHeight="1">
      <c r="A45" s="126" t="s">
        <v>328</v>
      </c>
      <c r="B45" s="37">
        <v>8</v>
      </c>
      <c r="C45" s="37"/>
      <c r="D45" s="44">
        <v>0</v>
      </c>
      <c r="E45" s="44">
        <v>0</v>
      </c>
      <c r="F45" s="44">
        <v>0</v>
      </c>
      <c r="G45" s="37">
        <v>1</v>
      </c>
      <c r="H45" s="37">
        <f>B45*G45</f>
        <v>8</v>
      </c>
      <c r="I45" s="72">
        <f>$I$7</f>
        <v>0</v>
      </c>
      <c r="J45" s="73">
        <f>H45*I45</f>
        <v>0</v>
      </c>
      <c r="K45" s="73">
        <f>J45*0.1</f>
        <v>0</v>
      </c>
      <c r="L45" s="73">
        <f>J45*0.05</f>
        <v>0</v>
      </c>
      <c r="M45" s="37">
        <f>C45*G45*I45</f>
        <v>0</v>
      </c>
      <c r="N45" s="44">
        <f>(J45*'Base Data'!$C$5)+(K45*'Base Data'!$C$6)+(L45*'Base Data'!$C$7)</f>
        <v>0</v>
      </c>
      <c r="O45" s="44">
        <f>(D45+E45+F45)*G45*I45</f>
        <v>0</v>
      </c>
      <c r="P45" s="73">
        <f>G45*I45</f>
        <v>0</v>
      </c>
      <c r="Q45" s="75"/>
    </row>
    <row r="46" spans="1:21" s="115" customFormat="1" ht="9">
      <c r="A46" s="112" t="s">
        <v>435</v>
      </c>
      <c r="B46" s="37">
        <v>20</v>
      </c>
      <c r="C46" s="37">
        <v>0</v>
      </c>
      <c r="D46" s="44">
        <v>0</v>
      </c>
      <c r="E46" s="44">
        <v>0</v>
      </c>
      <c r="F46" s="44">
        <v>0</v>
      </c>
      <c r="G46" s="37">
        <v>2</v>
      </c>
      <c r="H46" s="37">
        <f>B46*G46</f>
        <v>40</v>
      </c>
      <c r="I46" s="72">
        <f>$I$7</f>
        <v>0</v>
      </c>
      <c r="J46" s="73">
        <f>H46*I46</f>
        <v>0</v>
      </c>
      <c r="K46" s="73">
        <f>J46*0.1</f>
        <v>0</v>
      </c>
      <c r="L46" s="73">
        <f>J46*0.05</f>
        <v>0</v>
      </c>
      <c r="M46" s="73">
        <f>C46*G46*I46</f>
        <v>0</v>
      </c>
      <c r="N46" s="44">
        <f>(J46*'Base Data'!$C$5)+(K46*'Base Data'!$C$6)+(L46*'Base Data'!$C$7)</f>
        <v>0</v>
      </c>
      <c r="O46" s="44">
        <f>(D46+E46+F46)*G46*I46</f>
        <v>0</v>
      </c>
      <c r="P46" s="73">
        <f>G46*I46</f>
        <v>0</v>
      </c>
      <c r="Q46" s="75"/>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c r="R47" s="133"/>
    </row>
    <row r="48" spans="1:21" s="115" customFormat="1" ht="9">
      <c r="A48" s="113" t="s">
        <v>7</v>
      </c>
      <c r="B48" s="37"/>
      <c r="C48" s="37"/>
      <c r="D48" s="44"/>
      <c r="E48" s="44"/>
      <c r="F48" s="44"/>
      <c r="G48" s="37"/>
      <c r="H48" s="37"/>
      <c r="I48" s="72"/>
      <c r="J48" s="73">
        <f t="shared" ref="J48:O48" si="9">SUM(J4:J46)</f>
        <v>0</v>
      </c>
      <c r="K48" s="73">
        <f t="shared" si="9"/>
        <v>0</v>
      </c>
      <c r="L48" s="73">
        <f t="shared" si="9"/>
        <v>0</v>
      </c>
      <c r="M48" s="73">
        <f t="shared" si="9"/>
        <v>0</v>
      </c>
      <c r="N48" s="44">
        <f t="shared" si="9"/>
        <v>0</v>
      </c>
      <c r="O48" s="44">
        <f t="shared" si="9"/>
        <v>0</v>
      </c>
      <c r="P48" s="73">
        <f>SUM(P44:P46)</f>
        <v>0</v>
      </c>
      <c r="Q48" s="75"/>
      <c r="R48" s="118">
        <f>SUM(O7,O9:O19,O25,O28,O31,O34,O37,O40)</f>
        <v>0</v>
      </c>
      <c r="S48" s="117">
        <f>SUM(O24,O27,O30,O33,O36,O39)</f>
        <v>0</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0">B54*G54</f>
        <v>20</v>
      </c>
      <c r="I54" s="72">
        <f>$I$9</f>
        <v>0</v>
      </c>
      <c r="J54" s="73">
        <f t="shared" ref="J54:J60" si="11">H54*I54</f>
        <v>0</v>
      </c>
      <c r="K54" s="73">
        <f t="shared" ref="K54:K60" si="12">J54*0.1</f>
        <v>0</v>
      </c>
      <c r="L54" s="73">
        <f t="shared" ref="L54:L60" si="13">J54*0.05</f>
        <v>0</v>
      </c>
      <c r="M54" s="37"/>
      <c r="N54" s="44">
        <f>(J54*'Base Data'!$C$5)+(K54*'Base Data'!$C$6)+(L54*'Base Data'!$C$7)</f>
        <v>0</v>
      </c>
      <c r="O54" s="44">
        <f t="shared" ref="O54:O60" si="14">(D54+E54+F54)*G54*I54</f>
        <v>0</v>
      </c>
      <c r="P54" s="73">
        <v>0</v>
      </c>
      <c r="Q54" s="75"/>
    </row>
    <row r="55" spans="1:18" s="115" customFormat="1" ht="9">
      <c r="A55" s="111" t="s">
        <v>376</v>
      </c>
      <c r="B55" s="37">
        <v>15</v>
      </c>
      <c r="C55" s="37">
        <v>0</v>
      </c>
      <c r="D55" s="44">
        <v>0</v>
      </c>
      <c r="E55" s="44">
        <v>0</v>
      </c>
      <c r="F55" s="44">
        <v>0</v>
      </c>
      <c r="G55" s="37">
        <v>1</v>
      </c>
      <c r="H55" s="37">
        <f t="shared" si="10"/>
        <v>15</v>
      </c>
      <c r="I55" s="72">
        <f t="shared" ref="I55:I59" si="15">$I$9</f>
        <v>0</v>
      </c>
      <c r="J55" s="73">
        <f t="shared" si="11"/>
        <v>0</v>
      </c>
      <c r="K55" s="73">
        <f t="shared" si="12"/>
        <v>0</v>
      </c>
      <c r="L55" s="73">
        <f t="shared" si="13"/>
        <v>0</v>
      </c>
      <c r="M55" s="37">
        <f>C55*G55*I55</f>
        <v>0</v>
      </c>
      <c r="N55" s="44">
        <f>(J55*'Base Data'!$C$5)+(K55*'Base Data'!$C$6)+(L55*'Base Data'!$C$7)</f>
        <v>0</v>
      </c>
      <c r="O55" s="44">
        <f t="shared" si="14"/>
        <v>0</v>
      </c>
      <c r="P55" s="73">
        <v>0</v>
      </c>
      <c r="Q55" s="75"/>
    </row>
    <row r="56" spans="1:18" s="115" customFormat="1" ht="9.75" customHeight="1">
      <c r="A56" s="110" t="s">
        <v>377</v>
      </c>
      <c r="B56" s="37">
        <v>2</v>
      </c>
      <c r="C56" s="37"/>
      <c r="D56" s="44">
        <v>0</v>
      </c>
      <c r="E56" s="44">
        <v>0</v>
      </c>
      <c r="F56" s="44">
        <v>0</v>
      </c>
      <c r="G56" s="37">
        <v>1</v>
      </c>
      <c r="H56" s="37">
        <f t="shared" si="10"/>
        <v>2</v>
      </c>
      <c r="I56" s="72">
        <f t="shared" si="15"/>
        <v>0</v>
      </c>
      <c r="J56" s="73">
        <f t="shared" si="11"/>
        <v>0</v>
      </c>
      <c r="K56" s="73">
        <f t="shared" si="12"/>
        <v>0</v>
      </c>
      <c r="L56" s="73">
        <f t="shared" si="13"/>
        <v>0</v>
      </c>
      <c r="M56" s="37"/>
      <c r="N56" s="44">
        <f>(J56*'Base Data'!$C$5)+(K56*'Base Data'!$C$6)+(L56*'Base Data'!$C$7)</f>
        <v>0</v>
      </c>
      <c r="O56" s="44">
        <f t="shared" si="14"/>
        <v>0</v>
      </c>
      <c r="P56" s="73">
        <v>0</v>
      </c>
      <c r="Q56" s="75"/>
    </row>
    <row r="57" spans="1:18" s="115" customFormat="1" ht="9">
      <c r="A57" s="111" t="s">
        <v>387</v>
      </c>
      <c r="B57" s="37">
        <v>2</v>
      </c>
      <c r="C57" s="37"/>
      <c r="D57" s="44">
        <v>0</v>
      </c>
      <c r="E57" s="44">
        <v>0</v>
      </c>
      <c r="F57" s="44">
        <v>0</v>
      </c>
      <c r="G57" s="37">
        <v>1</v>
      </c>
      <c r="H57" s="37">
        <f t="shared" si="10"/>
        <v>2</v>
      </c>
      <c r="I57" s="72">
        <f t="shared" si="15"/>
        <v>0</v>
      </c>
      <c r="J57" s="73">
        <f t="shared" si="11"/>
        <v>0</v>
      </c>
      <c r="K57" s="73">
        <f t="shared" si="12"/>
        <v>0</v>
      </c>
      <c r="L57" s="73">
        <f t="shared" si="13"/>
        <v>0</v>
      </c>
      <c r="M57" s="37"/>
      <c r="N57" s="44">
        <f>(J57*'Base Data'!$C$5)+(K57*'Base Data'!$C$6)+(L57*'Base Data'!$C$7)</f>
        <v>0</v>
      </c>
      <c r="O57" s="44">
        <f t="shared" si="14"/>
        <v>0</v>
      </c>
      <c r="P57" s="73">
        <v>0</v>
      </c>
      <c r="Q57" s="75"/>
    </row>
    <row r="58" spans="1:18" s="115" customFormat="1" ht="9">
      <c r="A58" s="111" t="s">
        <v>388</v>
      </c>
      <c r="B58" s="37">
        <v>2</v>
      </c>
      <c r="C58" s="37">
        <v>0</v>
      </c>
      <c r="D58" s="44">
        <v>0</v>
      </c>
      <c r="E58" s="44">
        <v>0</v>
      </c>
      <c r="F58" s="44">
        <v>0</v>
      </c>
      <c r="G58" s="37">
        <v>2</v>
      </c>
      <c r="H58" s="37">
        <f t="shared" si="10"/>
        <v>4</v>
      </c>
      <c r="I58" s="72">
        <f t="shared" si="15"/>
        <v>0</v>
      </c>
      <c r="J58" s="73">
        <f t="shared" si="11"/>
        <v>0</v>
      </c>
      <c r="K58" s="73">
        <f t="shared" si="12"/>
        <v>0</v>
      </c>
      <c r="L58" s="73">
        <f t="shared" si="13"/>
        <v>0</v>
      </c>
      <c r="M58" s="37">
        <f>C58*G58*I58</f>
        <v>0</v>
      </c>
      <c r="N58" s="44">
        <f>(J58*'Base Data'!$C$5)+(K58*'Base Data'!$C$6)+(L58*'Base Data'!$C$7)</f>
        <v>0</v>
      </c>
      <c r="O58" s="44">
        <f t="shared" si="14"/>
        <v>0</v>
      </c>
      <c r="P58" s="73">
        <v>0</v>
      </c>
      <c r="Q58" s="75"/>
    </row>
    <row r="59" spans="1:18" s="115" customFormat="1" ht="9">
      <c r="A59" s="111" t="s">
        <v>389</v>
      </c>
      <c r="B59" s="37">
        <v>0.5</v>
      </c>
      <c r="C59" s="37"/>
      <c r="D59" s="44">
        <v>0</v>
      </c>
      <c r="E59" s="44">
        <v>0</v>
      </c>
      <c r="F59" s="44">
        <v>0</v>
      </c>
      <c r="G59" s="37">
        <v>12</v>
      </c>
      <c r="H59" s="37">
        <f t="shared" si="10"/>
        <v>6</v>
      </c>
      <c r="I59" s="72">
        <f t="shared" si="15"/>
        <v>0</v>
      </c>
      <c r="J59" s="73">
        <f t="shared" si="11"/>
        <v>0</v>
      </c>
      <c r="K59" s="73">
        <f t="shared" si="12"/>
        <v>0</v>
      </c>
      <c r="L59" s="73">
        <f t="shared" si="13"/>
        <v>0</v>
      </c>
      <c r="M59" s="37"/>
      <c r="N59" s="44">
        <f>(J59*'Base Data'!$C$5)+(K59*'Base Data'!$C$6)+(L59*'Base Data'!$C$7)</f>
        <v>0</v>
      </c>
      <c r="O59" s="44">
        <f t="shared" si="14"/>
        <v>0</v>
      </c>
      <c r="P59" s="73">
        <v>0</v>
      </c>
      <c r="Q59" s="75"/>
    </row>
    <row r="60" spans="1:18" s="115" customFormat="1" ht="9">
      <c r="A60" s="110" t="s">
        <v>378</v>
      </c>
      <c r="B60" s="37">
        <v>40</v>
      </c>
      <c r="C60" s="37"/>
      <c r="D60" s="44">
        <v>0</v>
      </c>
      <c r="E60" s="44">
        <v>0</v>
      </c>
      <c r="F60" s="44">
        <v>0</v>
      </c>
      <c r="G60" s="37">
        <v>1</v>
      </c>
      <c r="H60" s="37">
        <f t="shared" si="10"/>
        <v>40</v>
      </c>
      <c r="I60" s="72">
        <f>$I$7</f>
        <v>0</v>
      </c>
      <c r="J60" s="73">
        <f t="shared" si="11"/>
        <v>0</v>
      </c>
      <c r="K60" s="73">
        <f t="shared" si="12"/>
        <v>0</v>
      </c>
      <c r="L60" s="73">
        <f t="shared" si="13"/>
        <v>0</v>
      </c>
      <c r="M60" s="37"/>
      <c r="N60" s="44">
        <f>(J60*'Base Data'!$C$5)+(K60*'Base Data'!$C$6)+(L60*'Base Data'!$C$7)</f>
        <v>0</v>
      </c>
      <c r="O60" s="44">
        <f t="shared" si="14"/>
        <v>0</v>
      </c>
      <c r="P60" s="73">
        <v>0</v>
      </c>
      <c r="Q60" s="75"/>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 t="shared" ref="J62:O62" si="16">SUM(J50:J61)</f>
        <v>0</v>
      </c>
      <c r="K62" s="186">
        <f t="shared" si="16"/>
        <v>0</v>
      </c>
      <c r="L62" s="186">
        <f t="shared" si="16"/>
        <v>0</v>
      </c>
      <c r="M62" s="185">
        <f t="shared" si="16"/>
        <v>0</v>
      </c>
      <c r="N62" s="185">
        <f t="shared" si="16"/>
        <v>0</v>
      </c>
      <c r="O62" s="185">
        <f t="shared" si="16"/>
        <v>0</v>
      </c>
      <c r="P62" s="186"/>
      <c r="Q62" s="187"/>
      <c r="R62" s="44">
        <f>SUM(R50:R61)</f>
        <v>0</v>
      </c>
    </row>
    <row r="63" spans="1:18" s="134" customFormat="1">
      <c r="A63" s="135" t="s">
        <v>351</v>
      </c>
      <c r="B63" s="136"/>
      <c r="C63" s="136"/>
      <c r="D63" s="136"/>
      <c r="E63" s="136"/>
      <c r="F63" s="137"/>
      <c r="G63" s="136"/>
      <c r="H63" s="136"/>
      <c r="I63" s="138"/>
      <c r="J63" s="139">
        <f t="shared" ref="J63:P63" si="17">J48+J62</f>
        <v>0</v>
      </c>
      <c r="K63" s="139">
        <f t="shared" si="17"/>
        <v>0</v>
      </c>
      <c r="L63" s="139">
        <f t="shared" si="17"/>
        <v>0</v>
      </c>
      <c r="M63" s="140">
        <f t="shared" si="17"/>
        <v>0</v>
      </c>
      <c r="N63" s="140">
        <f t="shared" si="17"/>
        <v>0</v>
      </c>
      <c r="O63" s="140">
        <f t="shared" si="17"/>
        <v>0</v>
      </c>
      <c r="P63" s="139">
        <f t="shared" si="17"/>
        <v>0</v>
      </c>
      <c r="Q63" s="141"/>
    </row>
    <row r="64" spans="1:18" ht="6" customHeight="1"/>
    <row r="65" spans="1:17" s="45" customFormat="1" ht="9">
      <c r="A65" s="499" t="s">
        <v>552</v>
      </c>
      <c r="B65" s="499"/>
      <c r="C65" s="499"/>
      <c r="D65" s="499"/>
      <c r="E65" s="499"/>
      <c r="F65" s="499"/>
      <c r="G65" s="499"/>
      <c r="H65" s="499"/>
      <c r="I65" s="499"/>
      <c r="J65" s="499"/>
      <c r="K65" s="499"/>
      <c r="L65" s="499"/>
      <c r="M65" s="499"/>
      <c r="N65" s="499"/>
      <c r="O65" s="499"/>
      <c r="P65" s="460"/>
      <c r="Q65" s="48"/>
    </row>
    <row r="66" spans="1:17" s="45" customFormat="1" ht="9">
      <c r="B66" s="48"/>
      <c r="C66" s="48"/>
      <c r="D66" s="48"/>
      <c r="E66" s="48"/>
      <c r="F66" s="48"/>
      <c r="G66" s="48"/>
      <c r="H66" s="48"/>
      <c r="I66" s="49"/>
      <c r="J66" s="48"/>
      <c r="K66" s="48"/>
      <c r="L66" s="48"/>
      <c r="M66" s="48"/>
      <c r="N66" s="48"/>
      <c r="O66" s="146"/>
      <c r="P66" s="146"/>
      <c r="Q66" s="48"/>
    </row>
    <row r="67" spans="1:17" s="45" customFormat="1" ht="9">
      <c r="B67" s="48"/>
      <c r="C67" s="48"/>
      <c r="D67" s="48"/>
      <c r="E67" s="48"/>
      <c r="F67" s="48"/>
      <c r="G67" s="48"/>
      <c r="H67" s="48"/>
      <c r="I67" s="49"/>
      <c r="J67" s="48"/>
      <c r="K67" s="48"/>
      <c r="L67" s="48"/>
      <c r="M67" s="48"/>
      <c r="N67" s="48"/>
      <c r="O67" s="146"/>
      <c r="P67" s="146"/>
      <c r="Q67" s="48"/>
    </row>
    <row r="68" spans="1:17" s="45" customFormat="1" ht="9">
      <c r="B68" s="48"/>
      <c r="C68" s="48"/>
      <c r="D68" s="48"/>
      <c r="E68" s="48"/>
      <c r="F68" s="48"/>
      <c r="G68" s="48"/>
      <c r="H68" s="48"/>
      <c r="I68" s="49"/>
      <c r="J68" s="48"/>
      <c r="K68" s="48"/>
      <c r="L68" s="48"/>
      <c r="M68" s="48"/>
      <c r="N68" s="48"/>
      <c r="O68" s="146"/>
      <c r="P68" s="146"/>
      <c r="Q68" s="48"/>
    </row>
    <row r="69" spans="1:17" s="45" customFormat="1" ht="9">
      <c r="B69" s="48"/>
      <c r="C69" s="48"/>
      <c r="D69" s="48"/>
      <c r="E69" s="48"/>
      <c r="F69" s="48"/>
      <c r="G69" s="48"/>
      <c r="H69" s="48"/>
      <c r="I69" s="49"/>
      <c r="J69" s="48"/>
      <c r="K69" s="48"/>
      <c r="L69" s="48"/>
      <c r="M69" s="48"/>
      <c r="N69" s="48"/>
      <c r="O69" s="146"/>
      <c r="P69" s="146"/>
      <c r="Q69" s="48"/>
    </row>
    <row r="70" spans="1:17" s="45" customFormat="1" ht="9">
      <c r="B70" s="48"/>
      <c r="C70" s="48"/>
      <c r="D70" s="48"/>
      <c r="E70" s="48"/>
      <c r="F70" s="48"/>
      <c r="G70" s="48"/>
      <c r="H70" s="48"/>
      <c r="I70" s="49"/>
      <c r="J70" s="48"/>
      <c r="K70" s="48"/>
      <c r="L70" s="48"/>
      <c r="M70" s="48"/>
      <c r="N70" s="48"/>
      <c r="O70" s="146"/>
      <c r="P70" s="146"/>
      <c r="Q70" s="48"/>
    </row>
    <row r="71" spans="1:17" s="45" customFormat="1" ht="9">
      <c r="B71" s="48"/>
      <c r="C71" s="48"/>
      <c r="D71" s="48"/>
      <c r="E71" s="48"/>
      <c r="F71" s="48"/>
      <c r="G71" s="48"/>
      <c r="H71" s="48"/>
      <c r="I71" s="49"/>
      <c r="J71" s="48"/>
      <c r="K71" s="48"/>
      <c r="L71" s="48"/>
      <c r="M71" s="48"/>
      <c r="N71" s="48"/>
      <c r="O71" s="146"/>
      <c r="P71" s="146"/>
      <c r="Q71" s="48"/>
    </row>
    <row r="72" spans="1:17" s="45" customFormat="1" ht="9">
      <c r="B72" s="48"/>
      <c r="C72" s="48"/>
      <c r="D72" s="48"/>
      <c r="E72" s="48"/>
      <c r="F72" s="48"/>
      <c r="G72" s="48"/>
      <c r="H72" s="48"/>
      <c r="I72" s="49"/>
      <c r="J72" s="48"/>
      <c r="K72" s="48"/>
      <c r="L72" s="48"/>
      <c r="M72" s="48"/>
      <c r="N72" s="48"/>
      <c r="O72" s="146"/>
      <c r="P72" s="146"/>
      <c r="Q72" s="48"/>
    </row>
    <row r="73" spans="1:17" s="45" customFormat="1" ht="9">
      <c r="B73" s="48"/>
      <c r="C73" s="48"/>
      <c r="D73" s="48"/>
      <c r="E73" s="48"/>
      <c r="F73" s="48"/>
      <c r="G73" s="48"/>
      <c r="H73" s="48"/>
      <c r="I73" s="49"/>
      <c r="J73" s="48"/>
      <c r="K73" s="48"/>
      <c r="L73" s="48"/>
      <c r="M73" s="48"/>
      <c r="N73" s="48"/>
      <c r="O73" s="146"/>
      <c r="P73" s="146"/>
      <c r="Q73" s="48"/>
    </row>
    <row r="74" spans="1:17" s="45" customFormat="1" ht="9">
      <c r="B74" s="48"/>
      <c r="C74" s="48"/>
      <c r="D74" s="48"/>
      <c r="E74" s="48"/>
      <c r="F74" s="48"/>
      <c r="G74" s="48"/>
      <c r="H74" s="48"/>
      <c r="I74" s="49"/>
      <c r="J74" s="48"/>
      <c r="K74" s="48"/>
      <c r="L74" s="48"/>
      <c r="M74" s="48"/>
      <c r="N74" s="48"/>
      <c r="O74" s="146"/>
      <c r="P74" s="146"/>
      <c r="Q74" s="48"/>
    </row>
    <row r="75" spans="1:17" s="45" customFormat="1" ht="9">
      <c r="B75" s="48"/>
      <c r="C75" s="48"/>
      <c r="D75" s="48"/>
      <c r="E75" s="48"/>
      <c r="F75" s="48"/>
      <c r="G75" s="48"/>
      <c r="H75" s="48"/>
      <c r="I75" s="49"/>
      <c r="J75" s="48"/>
      <c r="K75" s="48"/>
      <c r="L75" s="48"/>
      <c r="M75" s="48"/>
      <c r="N75" s="48"/>
      <c r="O75" s="146"/>
      <c r="P75" s="146"/>
      <c r="Q75" s="48"/>
    </row>
    <row r="76" spans="1:17" s="45" customFormat="1" ht="9">
      <c r="B76" s="48"/>
      <c r="C76" s="48"/>
      <c r="D76" s="48"/>
      <c r="E76" s="48"/>
      <c r="F76" s="48"/>
      <c r="G76" s="48"/>
      <c r="H76" s="48"/>
      <c r="I76" s="49"/>
      <c r="J76" s="48"/>
      <c r="K76" s="48"/>
      <c r="L76" s="48"/>
      <c r="M76" s="48"/>
      <c r="N76" s="48"/>
      <c r="O76" s="146"/>
      <c r="P76" s="146"/>
      <c r="Q76" s="48"/>
    </row>
    <row r="77" spans="1:17" s="45" customFormat="1" ht="9">
      <c r="B77" s="48"/>
      <c r="C77" s="48"/>
      <c r="D77" s="48"/>
      <c r="E77" s="48"/>
      <c r="F77" s="48"/>
      <c r="G77" s="48"/>
      <c r="H77" s="48"/>
      <c r="I77" s="49"/>
      <c r="J77" s="48"/>
      <c r="K77" s="48"/>
      <c r="L77" s="48"/>
      <c r="M77" s="48"/>
      <c r="N77" s="48"/>
      <c r="O77" s="146"/>
      <c r="P77" s="146"/>
      <c r="Q77" s="48"/>
    </row>
    <row r="78" spans="1:17" s="45" customFormat="1" ht="9">
      <c r="B78" s="48"/>
      <c r="C78" s="48"/>
      <c r="D78" s="48"/>
      <c r="E78" s="48"/>
      <c r="F78" s="48"/>
      <c r="G78" s="48"/>
      <c r="H78" s="48"/>
      <c r="I78" s="49"/>
      <c r="J78" s="48"/>
      <c r="K78" s="48"/>
      <c r="L78" s="48"/>
      <c r="M78" s="48"/>
      <c r="N78" s="48"/>
      <c r="O78" s="146"/>
      <c r="P78" s="146"/>
      <c r="Q78" s="48"/>
    </row>
    <row r="79" spans="1:17" s="45" customFormat="1" ht="9">
      <c r="B79" s="48"/>
      <c r="C79" s="48"/>
      <c r="D79" s="48"/>
      <c r="E79" s="48"/>
      <c r="F79" s="48"/>
      <c r="G79" s="48"/>
      <c r="H79" s="48"/>
      <c r="I79" s="49"/>
      <c r="J79" s="48"/>
      <c r="K79" s="48"/>
      <c r="L79" s="48"/>
      <c r="M79" s="48"/>
      <c r="N79" s="48"/>
      <c r="O79" s="146"/>
      <c r="P79" s="146"/>
      <c r="Q79" s="48"/>
    </row>
    <row r="80" spans="1:17"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8" s="45" customFormat="1" ht="9">
      <c r="B97" s="48"/>
      <c r="C97" s="48"/>
      <c r="D97" s="48"/>
      <c r="E97" s="48"/>
      <c r="F97" s="48"/>
      <c r="G97" s="48"/>
      <c r="H97" s="48"/>
      <c r="I97" s="49"/>
      <c r="J97" s="48"/>
      <c r="K97" s="48"/>
      <c r="L97" s="48"/>
      <c r="M97" s="48"/>
      <c r="N97" s="48"/>
      <c r="O97" s="146"/>
      <c r="P97" s="146"/>
      <c r="Q97" s="48"/>
    </row>
    <row r="98" spans="2:18" s="45" customFormat="1" ht="9">
      <c r="B98" s="48"/>
      <c r="C98" s="48"/>
      <c r="D98" s="48"/>
      <c r="E98" s="48"/>
      <c r="F98" s="48"/>
      <c r="G98" s="48"/>
      <c r="H98" s="48"/>
      <c r="I98" s="49"/>
      <c r="J98" s="48"/>
      <c r="K98" s="48"/>
      <c r="L98" s="48"/>
      <c r="M98" s="48"/>
      <c r="N98" s="48"/>
      <c r="O98" s="146"/>
      <c r="P98" s="146"/>
      <c r="Q98" s="48"/>
    </row>
    <row r="99" spans="2:18" s="45" customFormat="1" ht="9">
      <c r="B99" s="48"/>
      <c r="C99" s="48"/>
      <c r="D99" s="48"/>
      <c r="E99" s="48"/>
      <c r="F99" s="48"/>
      <c r="G99" s="48"/>
      <c r="H99" s="48"/>
      <c r="I99" s="49"/>
      <c r="J99" s="48"/>
      <c r="K99" s="48"/>
      <c r="L99" s="48"/>
      <c r="M99" s="48"/>
      <c r="N99" s="48"/>
      <c r="O99" s="146"/>
      <c r="P99" s="146"/>
      <c r="Q99" s="48"/>
    </row>
    <row r="100" spans="2:18" s="45" customFormat="1" ht="9">
      <c r="B100" s="48"/>
      <c r="C100" s="48"/>
      <c r="D100" s="48"/>
      <c r="E100" s="48"/>
      <c r="F100" s="48"/>
      <c r="G100" s="48"/>
      <c r="H100" s="48"/>
      <c r="I100" s="49"/>
      <c r="J100" s="48"/>
      <c r="K100" s="48"/>
      <c r="L100" s="48"/>
      <c r="M100" s="48"/>
      <c r="N100" s="48"/>
      <c r="O100" s="146"/>
      <c r="P100" s="146"/>
      <c r="Q100" s="48"/>
    </row>
    <row r="101" spans="2:18" s="45" customFormat="1" ht="9">
      <c r="B101" s="48"/>
      <c r="C101" s="48"/>
      <c r="D101" s="48"/>
      <c r="E101" s="48"/>
      <c r="F101" s="48"/>
      <c r="G101" s="48"/>
      <c r="H101" s="48"/>
      <c r="I101" s="49"/>
      <c r="J101" s="48"/>
      <c r="K101" s="48"/>
      <c r="L101" s="48"/>
      <c r="M101" s="48"/>
      <c r="N101" s="48"/>
      <c r="O101" s="146"/>
      <c r="P101" s="146"/>
      <c r="Q101" s="48"/>
    </row>
    <row r="102" spans="2:18" s="45" customFormat="1" ht="9">
      <c r="B102" s="48"/>
      <c r="C102" s="48"/>
      <c r="D102" s="48"/>
      <c r="E102" s="48"/>
      <c r="F102" s="48"/>
      <c r="G102" s="48"/>
      <c r="H102" s="48"/>
      <c r="I102" s="49"/>
      <c r="J102" s="48"/>
      <c r="K102" s="48"/>
      <c r="L102" s="48"/>
      <c r="M102" s="48"/>
      <c r="N102" s="48"/>
      <c r="O102" s="146"/>
      <c r="P102" s="146"/>
      <c r="Q102" s="48"/>
    </row>
    <row r="103" spans="2:18" s="45" customFormat="1" ht="9">
      <c r="B103" s="48"/>
      <c r="C103" s="48"/>
      <c r="D103" s="48"/>
      <c r="E103" s="48"/>
      <c r="F103" s="48"/>
      <c r="G103" s="48"/>
      <c r="H103" s="48"/>
      <c r="I103" s="49"/>
      <c r="J103" s="48"/>
      <c r="K103" s="48"/>
      <c r="L103" s="48"/>
      <c r="M103" s="48"/>
      <c r="N103" s="48"/>
      <c r="O103" s="146"/>
      <c r="P103" s="146"/>
      <c r="Q103" s="48"/>
    </row>
    <row r="104" spans="2:18" s="45" customFormat="1" ht="9">
      <c r="B104" s="48"/>
      <c r="C104" s="48"/>
      <c r="D104" s="48"/>
      <c r="E104" s="48"/>
      <c r="F104" s="48"/>
      <c r="G104" s="48"/>
      <c r="H104" s="48"/>
      <c r="I104" s="49"/>
      <c r="J104" s="48"/>
      <c r="K104" s="48"/>
      <c r="L104" s="48"/>
      <c r="M104" s="48"/>
      <c r="N104" s="48"/>
      <c r="O104" s="146"/>
      <c r="P104" s="146"/>
      <c r="Q104" s="48"/>
    </row>
    <row r="105" spans="2:18" s="45" customFormat="1">
      <c r="B105" s="48"/>
      <c r="C105" s="48"/>
      <c r="D105" s="48"/>
      <c r="E105" s="48"/>
      <c r="F105" s="48"/>
      <c r="G105" s="48"/>
      <c r="H105" s="48"/>
      <c r="I105" s="49"/>
      <c r="J105" s="48"/>
      <c r="K105" s="48"/>
      <c r="L105" s="48"/>
      <c r="M105" s="48"/>
      <c r="N105" s="48"/>
      <c r="O105" s="146"/>
      <c r="P105" s="146"/>
      <c r="Q105" s="48"/>
      <c r="R105" s="88"/>
    </row>
  </sheetData>
  <mergeCells count="3">
    <mergeCell ref="A1:Q1"/>
    <mergeCell ref="A2:Q2"/>
    <mergeCell ref="A65:O65"/>
  </mergeCells>
  <phoneticPr fontId="9" type="noConversion"/>
  <pageMargins left="0.25" right="0.25" top="0.5" bottom="0.5" header="0.5" footer="0.5"/>
  <pageSetup scale="67" orientation="portrait"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U105"/>
  <sheetViews>
    <sheetView zoomScale="110" zoomScaleNormal="110" workbookViewId="0">
      <pane xSplit="1" ySplit="3" topLeftCell="B4" activePane="bottomRight" state="frozen"/>
      <selection activeCell="O55" sqref="O55"/>
      <selection pane="topRight" activeCell="O55" sqref="O55"/>
      <selection pane="bottomLeft" activeCell="O55" sqref="O55"/>
      <selection pane="bottomRight" activeCell="N23" sqref="N23"/>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8.5703125" style="46" customWidth="1"/>
    <col min="9" max="9" width="9.42578125" style="47" bestFit="1" customWidth="1"/>
    <col min="10" max="11" width="6.85546875" style="46" bestFit="1" customWidth="1"/>
    <col min="12" max="12" width="8.5703125" style="46" customWidth="1"/>
    <col min="13" max="13" width="7.85546875" style="46" hidden="1" customWidth="1"/>
    <col min="14" max="14" width="9.28515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191</v>
      </c>
      <c r="B1" s="496"/>
      <c r="C1" s="496"/>
      <c r="D1" s="496"/>
      <c r="E1" s="496"/>
      <c r="F1" s="496"/>
      <c r="G1" s="496"/>
      <c r="H1" s="496"/>
      <c r="I1" s="496"/>
      <c r="J1" s="496"/>
      <c r="K1" s="496"/>
      <c r="L1" s="496"/>
      <c r="M1" s="496"/>
      <c r="N1" s="496"/>
      <c r="O1" s="496"/>
      <c r="P1" s="496"/>
      <c r="Q1" s="496"/>
    </row>
    <row r="2" spans="1:21">
      <c r="A2" s="497" t="s">
        <v>190</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ROUND(SUM('Base Data'!$H$79:$H$81)/3,0)</f>
        <v>0</v>
      </c>
      <c r="J7" s="73">
        <f>H7*I7</f>
        <v>0</v>
      </c>
      <c r="K7" s="73">
        <f>J7*0.1</f>
        <v>0</v>
      </c>
      <c r="L7" s="72">
        <f>J7*0.05</f>
        <v>0</v>
      </c>
      <c r="M7" s="37">
        <f>C7*G7*I7</f>
        <v>0</v>
      </c>
      <c r="N7" s="44">
        <f>(J7*'Base Data'!$C$5)+(K7*'Base Data'!$C$6)+(L7*'Base Data'!$C$7)</f>
        <v>0</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ROUND(SUM('Base Data'!$D$79:$D$80)/3,0)</f>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c r="U11" s="144"/>
    </row>
    <row r="12" spans="1:21" s="115" customFormat="1" ht="9">
      <c r="A12" s="111" t="s">
        <v>126</v>
      </c>
      <c r="B12" s="37">
        <v>12</v>
      </c>
      <c r="C12" s="37"/>
      <c r="D12" s="44">
        <v>0</v>
      </c>
      <c r="E12" s="44">
        <f>'Testing Costs'!$B$14</f>
        <v>7000</v>
      </c>
      <c r="F12" s="44">
        <v>0</v>
      </c>
      <c r="G12" s="37">
        <v>1</v>
      </c>
      <c r="H12" s="37">
        <f t="shared" si="0"/>
        <v>12</v>
      </c>
      <c r="I12" s="72">
        <f>ROUND(SUM('Base Data'!$D$79:$D$81)/3,0)</f>
        <v>0</v>
      </c>
      <c r="J12" s="73">
        <f t="shared" si="1"/>
        <v>0</v>
      </c>
      <c r="K12" s="73">
        <f t="shared" si="2"/>
        <v>0</v>
      </c>
      <c r="L12" s="73">
        <f t="shared" si="3"/>
        <v>0</v>
      </c>
      <c r="M12" s="74"/>
      <c r="N12" s="44">
        <f>(J12*'Base Data'!$C$5)+(K12*'Base Data'!$C$6)+(L12*'Base Data'!$C$7)</f>
        <v>0</v>
      </c>
      <c r="O12" s="44">
        <f t="shared" si="4"/>
        <v>0</v>
      </c>
      <c r="P12" s="73">
        <v>0</v>
      </c>
      <c r="Q12" s="75"/>
      <c r="U12" s="144"/>
    </row>
    <row r="13" spans="1:21" s="115" customFormat="1" ht="9" customHeight="1">
      <c r="A13" s="111" t="s">
        <v>535</v>
      </c>
      <c r="B13" s="37">
        <v>12</v>
      </c>
      <c r="C13" s="37"/>
      <c r="D13" s="44">
        <v>0</v>
      </c>
      <c r="E13" s="44">
        <f>'Testing Costs'!$B$13</f>
        <v>5000</v>
      </c>
      <c r="F13" s="44">
        <v>0</v>
      </c>
      <c r="G13" s="37">
        <v>1</v>
      </c>
      <c r="H13" s="37">
        <f t="shared" si="0"/>
        <v>12</v>
      </c>
      <c r="I13" s="72">
        <f>'Fac-NewLrgLiquid-Yr1'!I9</f>
        <v>0</v>
      </c>
      <c r="J13" s="73">
        <f t="shared" si="1"/>
        <v>0</v>
      </c>
      <c r="K13" s="73">
        <f t="shared" si="2"/>
        <v>0</v>
      </c>
      <c r="L13" s="73">
        <f t="shared" si="3"/>
        <v>0</v>
      </c>
      <c r="M13" s="74"/>
      <c r="N13" s="44">
        <f>(J13*'Base Data'!$C$5)+(K13*'Base Data'!$C$6)+(L13*'Base Data'!$C$7)</f>
        <v>0</v>
      </c>
      <c r="O13" s="44">
        <f t="shared" si="4"/>
        <v>0</v>
      </c>
      <c r="P13" s="73">
        <v>0</v>
      </c>
      <c r="Q13" s="75"/>
      <c r="U13" s="144"/>
    </row>
    <row r="14" spans="1:21" s="115" customFormat="1" ht="9">
      <c r="A14" s="111" t="s">
        <v>536</v>
      </c>
      <c r="B14" s="37">
        <v>12</v>
      </c>
      <c r="C14" s="37"/>
      <c r="D14" s="44">
        <v>0</v>
      </c>
      <c r="E14" s="44">
        <f>'Testing Costs'!$B$17</f>
        <v>8000</v>
      </c>
      <c r="F14" s="44">
        <v>0</v>
      </c>
      <c r="G14" s="37">
        <v>1</v>
      </c>
      <c r="H14" s="37">
        <f t="shared" si="0"/>
        <v>12</v>
      </c>
      <c r="I14" s="72">
        <f>'Fac-NewLrgLiquid-Yr1'!I10</f>
        <v>0</v>
      </c>
      <c r="J14" s="73">
        <f t="shared" si="1"/>
        <v>0</v>
      </c>
      <c r="K14" s="73">
        <f t="shared" si="2"/>
        <v>0</v>
      </c>
      <c r="L14" s="73">
        <f t="shared" si="3"/>
        <v>0</v>
      </c>
      <c r="M14" s="74"/>
      <c r="N14" s="44">
        <f>(J14*'Base Data'!$C$5)+(K14*'Base Data'!$C$6)+(L14*'Base Data'!$C$7)</f>
        <v>0</v>
      </c>
      <c r="O14" s="44">
        <f t="shared" si="4"/>
        <v>0</v>
      </c>
      <c r="P14" s="73">
        <v>0</v>
      </c>
      <c r="Q14" s="75"/>
      <c r="U14" s="144"/>
    </row>
    <row r="15" spans="1:21" s="115" customFormat="1" ht="9">
      <c r="A15" s="111" t="s">
        <v>537</v>
      </c>
      <c r="B15" s="37">
        <v>12</v>
      </c>
      <c r="C15" s="37"/>
      <c r="D15" s="44">
        <v>0</v>
      </c>
      <c r="E15" s="44">
        <f>'Testing Costs'!$B$15</f>
        <v>8000</v>
      </c>
      <c r="F15" s="44">
        <v>0</v>
      </c>
      <c r="G15" s="37">
        <v>1</v>
      </c>
      <c r="H15" s="37">
        <f t="shared" si="0"/>
        <v>12</v>
      </c>
      <c r="I15" s="72">
        <f>'Fac-NewLrgLiquid-Yr1'!I11</f>
        <v>0</v>
      </c>
      <c r="J15" s="73">
        <f t="shared" si="1"/>
        <v>0</v>
      </c>
      <c r="K15" s="73">
        <f t="shared" si="2"/>
        <v>0</v>
      </c>
      <c r="L15" s="73">
        <f t="shared" si="3"/>
        <v>0</v>
      </c>
      <c r="M15" s="74"/>
      <c r="N15" s="44">
        <f>(J15*'Base Data'!$C$5)+(K15*'Base Data'!$C$6)+(L15*'Base Data'!$C$7)</f>
        <v>0</v>
      </c>
      <c r="O15" s="44">
        <f t="shared" si="4"/>
        <v>0</v>
      </c>
      <c r="P15" s="73">
        <v>0</v>
      </c>
      <c r="Q15" s="75"/>
      <c r="U15" s="144"/>
    </row>
    <row r="16" spans="1:21" s="115" customFormat="1" ht="9">
      <c r="A16" s="111" t="s">
        <v>538</v>
      </c>
      <c r="B16" s="37">
        <v>12</v>
      </c>
      <c r="C16" s="37"/>
      <c r="D16" s="44">
        <v>0</v>
      </c>
      <c r="E16" s="44">
        <f>'Testing Costs'!$B$14</f>
        <v>7000</v>
      </c>
      <c r="F16" s="44">
        <v>0</v>
      </c>
      <c r="G16" s="37">
        <v>1</v>
      </c>
      <c r="H16" s="37">
        <f t="shared" si="0"/>
        <v>12</v>
      </c>
      <c r="I16" s="72">
        <f>'Fac-NewLrgLiquid-Yr1'!I12</f>
        <v>0</v>
      </c>
      <c r="J16" s="73">
        <f t="shared" si="1"/>
        <v>0</v>
      </c>
      <c r="K16" s="73">
        <f t="shared" si="2"/>
        <v>0</v>
      </c>
      <c r="L16" s="73">
        <f t="shared" si="3"/>
        <v>0</v>
      </c>
      <c r="M16" s="74"/>
      <c r="N16" s="44">
        <f>(J16*'Base Data'!$C$5)+(K16*'Base Data'!$C$6)+(L16*'Base Data'!$C$7)</f>
        <v>0</v>
      </c>
      <c r="O16" s="44">
        <f t="shared" si="4"/>
        <v>0</v>
      </c>
      <c r="P16" s="73">
        <v>0</v>
      </c>
      <c r="Q16" s="75"/>
      <c r="U16" s="144"/>
    </row>
    <row r="17" spans="1:21" s="115" customFormat="1" ht="18">
      <c r="A17" s="259" t="s">
        <v>539</v>
      </c>
      <c r="B17" s="37">
        <v>24</v>
      </c>
      <c r="C17" s="258"/>
      <c r="D17" s="44">
        <v>0</v>
      </c>
      <c r="E17" s="44">
        <f>$E$10+$E$11</f>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row>
    <row r="18" spans="1:21" s="115" customFormat="1" ht="9" customHeight="1">
      <c r="A18" s="111" t="s">
        <v>540</v>
      </c>
      <c r="B18" s="37">
        <v>5</v>
      </c>
      <c r="C18" s="37"/>
      <c r="D18" s="44">
        <v>0</v>
      </c>
      <c r="E18" s="44">
        <v>400</v>
      </c>
      <c r="F18" s="44">
        <v>0</v>
      </c>
      <c r="G18" s="37">
        <v>1</v>
      </c>
      <c r="H18" s="37">
        <f t="shared" si="0"/>
        <v>5</v>
      </c>
      <c r="I18" s="72">
        <f>ROUND(SUM('Base Data'!$D$79:$D$81)/3,0)</f>
        <v>0</v>
      </c>
      <c r="J18" s="73">
        <f t="shared" si="1"/>
        <v>0</v>
      </c>
      <c r="K18" s="73">
        <f t="shared" si="2"/>
        <v>0</v>
      </c>
      <c r="L18" s="73">
        <f t="shared" si="3"/>
        <v>0</v>
      </c>
      <c r="M18" s="74"/>
      <c r="N18" s="44">
        <f>(J18*'Base Data'!$C$5)+(K18*'Base Data'!$C$6)+(L18*'Base Data'!$C$7)</f>
        <v>0</v>
      </c>
      <c r="O18" s="44">
        <f t="shared" si="4"/>
        <v>0</v>
      </c>
      <c r="P18" s="73">
        <v>0</v>
      </c>
      <c r="Q18" s="75"/>
      <c r="U18" s="144"/>
    </row>
    <row r="19" spans="1:21" s="115" customFormat="1" ht="9" customHeight="1">
      <c r="A19" s="111" t="s">
        <v>541</v>
      </c>
      <c r="B19" s="37">
        <v>5</v>
      </c>
      <c r="C19" s="37"/>
      <c r="D19" s="44">
        <v>0</v>
      </c>
      <c r="E19" s="44">
        <v>400</v>
      </c>
      <c r="F19" s="44">
        <v>0</v>
      </c>
      <c r="G19" s="37">
        <v>12</v>
      </c>
      <c r="H19" s="37">
        <f t="shared" si="0"/>
        <v>60</v>
      </c>
      <c r="I19" s="72">
        <f>'Fac-NewLrgLiquid-Yr1'!I18</f>
        <v>0</v>
      </c>
      <c r="J19" s="73">
        <f t="shared" si="1"/>
        <v>0</v>
      </c>
      <c r="K19" s="73">
        <f t="shared" si="2"/>
        <v>0</v>
      </c>
      <c r="L19" s="73">
        <f t="shared" si="3"/>
        <v>0</v>
      </c>
      <c r="M19" s="74"/>
      <c r="N19" s="44">
        <f>(J19*'Base Data'!$C$5)+(K19*'Base Data'!$C$6)+(L19*'Base Data'!$C$7)</f>
        <v>0</v>
      </c>
      <c r="O19" s="44">
        <f t="shared" si="4"/>
        <v>0</v>
      </c>
      <c r="P19" s="73">
        <v>0</v>
      </c>
      <c r="Q19" s="75"/>
      <c r="U19" s="144"/>
    </row>
    <row r="20" spans="1:21" s="115" customFormat="1" ht="9">
      <c r="A20" s="110" t="s">
        <v>542</v>
      </c>
      <c r="B20" s="37">
        <v>12</v>
      </c>
      <c r="C20" s="37"/>
      <c r="D20" s="44">
        <v>0</v>
      </c>
      <c r="E20" s="44">
        <v>2875</v>
      </c>
      <c r="F20" s="44">
        <v>0</v>
      </c>
      <c r="G20" s="37">
        <v>1</v>
      </c>
      <c r="H20" s="37">
        <f>B20*G20</f>
        <v>12</v>
      </c>
      <c r="I20" s="72">
        <v>0</v>
      </c>
      <c r="J20" s="72">
        <f>H20*I20</f>
        <v>0</v>
      </c>
      <c r="K20" s="72">
        <f>J20*0.1</f>
        <v>0</v>
      </c>
      <c r="L20" s="72">
        <f>J20*0.05</f>
        <v>0</v>
      </c>
      <c r="M20" s="73"/>
      <c r="N20" s="44">
        <f>(J20*'Base Data'!$C$5)+(K20*'Base Data'!$C$6)+(L20*'Base Data'!$C$7)</f>
        <v>0</v>
      </c>
      <c r="O20" s="44">
        <f>(D20+E20+F20)*G20*I20</f>
        <v>0</v>
      </c>
      <c r="P20" s="73">
        <v>0</v>
      </c>
      <c r="Q20" s="75"/>
      <c r="R20" s="342" t="s">
        <v>532</v>
      </c>
    </row>
    <row r="21" spans="1:21" s="115" customFormat="1" ht="9">
      <c r="A21" s="111" t="s">
        <v>527</v>
      </c>
      <c r="B21" s="37"/>
      <c r="C21" s="37"/>
      <c r="D21" s="44"/>
      <c r="E21" s="44"/>
      <c r="F21" s="44"/>
      <c r="G21" s="37"/>
      <c r="H21" s="37"/>
      <c r="I21" s="73"/>
      <c r="J21" s="73"/>
      <c r="K21" s="73"/>
      <c r="L21" s="73"/>
      <c r="M21" s="74"/>
      <c r="N21" s="44"/>
      <c r="O21" s="44"/>
      <c r="P21" s="73"/>
      <c r="Q21" s="75"/>
      <c r="U21" s="144"/>
    </row>
    <row r="22" spans="1:21" s="115" customFormat="1" ht="9">
      <c r="A22" s="111" t="s">
        <v>383</v>
      </c>
      <c r="B22" s="37">
        <v>40</v>
      </c>
      <c r="C22" s="37"/>
      <c r="D22" s="44">
        <v>0</v>
      </c>
      <c r="E22" s="44"/>
      <c r="F22" s="44">
        <v>0</v>
      </c>
      <c r="G22" s="37">
        <v>1</v>
      </c>
      <c r="H22" s="37">
        <f>B22*G22</f>
        <v>40</v>
      </c>
      <c r="I22" s="72">
        <f>ROUND(SUM('Base Data'!$H$79:$H$81)/3,0)</f>
        <v>0</v>
      </c>
      <c r="J22" s="73">
        <f>H22*I22</f>
        <v>0</v>
      </c>
      <c r="K22" s="73">
        <f>J22*0.1</f>
        <v>0</v>
      </c>
      <c r="L22" s="73">
        <f>J22*0.05</f>
        <v>0</v>
      </c>
      <c r="M22" s="74"/>
      <c r="N22" s="44">
        <f>(J22*'Base Data'!$C$5)+(K22*'Base Data'!$C$6)+(L22*'Base Data'!$C$7)</f>
        <v>0</v>
      </c>
      <c r="O22" s="44">
        <f>(D22+E22+F22)*G22*I22</f>
        <v>0</v>
      </c>
      <c r="P22" s="73">
        <v>0</v>
      </c>
      <c r="Q22" s="75"/>
      <c r="U22" s="144"/>
    </row>
    <row r="23" spans="1:21" s="115" customFormat="1" ht="9">
      <c r="A23" s="110" t="s">
        <v>361</v>
      </c>
      <c r="B23" s="37"/>
      <c r="C23" s="37"/>
      <c r="D23" s="44"/>
      <c r="E23" s="44"/>
      <c r="F23" s="44"/>
      <c r="G23" s="37"/>
      <c r="H23" s="37"/>
      <c r="I23" s="73"/>
      <c r="J23" s="73"/>
      <c r="K23" s="73"/>
      <c r="L23" s="73"/>
      <c r="M23" s="74"/>
      <c r="N23" s="44"/>
      <c r="O23" s="44"/>
      <c r="P23" s="73">
        <v>0</v>
      </c>
      <c r="Q23" s="75"/>
      <c r="U23" s="144"/>
    </row>
    <row r="24" spans="1:21" s="115" customFormat="1" ht="9">
      <c r="A24" s="110" t="s">
        <v>362</v>
      </c>
      <c r="B24" s="37">
        <v>10</v>
      </c>
      <c r="C24" s="37"/>
      <c r="D24" s="44">
        <v>0</v>
      </c>
      <c r="E24" s="44">
        <v>0</v>
      </c>
      <c r="F24" s="44">
        <v>43100</v>
      </c>
      <c r="G24" s="37">
        <v>1</v>
      </c>
      <c r="H24" s="37">
        <f>B24*G24</f>
        <v>10</v>
      </c>
      <c r="I24" s="72">
        <f>SUM(Monitors!$C$23/3,0)</f>
        <v>0</v>
      </c>
      <c r="J24" s="73">
        <f>H24*I24</f>
        <v>0</v>
      </c>
      <c r="K24" s="73">
        <f>J24*0.1</f>
        <v>0</v>
      </c>
      <c r="L24" s="73">
        <f>J24*0.05</f>
        <v>0</v>
      </c>
      <c r="M24" s="74"/>
      <c r="N24" s="44">
        <f>(J24*'Base Data'!$C$5)+(K24*'Base Data'!$C$6)+(L24*'Base Data'!$C$7)</f>
        <v>0</v>
      </c>
      <c r="O24" s="44">
        <f>(D24+E24+F24)*G24*I24</f>
        <v>0</v>
      </c>
      <c r="P24" s="73">
        <v>0</v>
      </c>
      <c r="Q24" s="75"/>
      <c r="U24" s="144"/>
    </row>
    <row r="25" spans="1:21" s="115" customFormat="1" ht="9">
      <c r="A25" s="110" t="s">
        <v>365</v>
      </c>
      <c r="B25" s="37">
        <v>10</v>
      </c>
      <c r="C25" s="37"/>
      <c r="D25" s="44">
        <v>0</v>
      </c>
      <c r="E25" s="44">
        <v>0</v>
      </c>
      <c r="F25" s="44">
        <v>14700</v>
      </c>
      <c r="G25" s="37">
        <v>1</v>
      </c>
      <c r="H25" s="37">
        <f>B25*G25</f>
        <v>10</v>
      </c>
      <c r="I25" s="72">
        <f>SUM(Monitors!$C$23/3,0)+'Fac-NewLrgLiquid-Yr1'!I25</f>
        <v>0</v>
      </c>
      <c r="J25" s="73">
        <f>H25*I25</f>
        <v>0</v>
      </c>
      <c r="K25" s="73">
        <f>J25*0.1</f>
        <v>0</v>
      </c>
      <c r="L25" s="73">
        <f>J25*0.05</f>
        <v>0</v>
      </c>
      <c r="M25" s="74"/>
      <c r="N25" s="44">
        <f>(J25*'Base Data'!$C$5)+(K25*'Base Data'!$C$6)+(L25*'Base Data'!$C$7)</f>
        <v>0</v>
      </c>
      <c r="O25" s="44">
        <f>(D25+E25+F25)*G25*I25</f>
        <v>0</v>
      </c>
      <c r="P25" s="73">
        <v>0</v>
      </c>
      <c r="Q25" s="75"/>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c r="U27" s="144"/>
    </row>
    <row r="28" spans="1:21" s="115" customFormat="1" ht="9">
      <c r="A28" s="110" t="s">
        <v>365</v>
      </c>
      <c r="B28" s="37">
        <v>10</v>
      </c>
      <c r="C28" s="37"/>
      <c r="D28" s="44">
        <v>0</v>
      </c>
      <c r="E28" s="44">
        <v>0</v>
      </c>
      <c r="F28" s="44">
        <v>56100</v>
      </c>
      <c r="G28" s="37">
        <v>1</v>
      </c>
      <c r="H28" s="37">
        <f>B28*G28</f>
        <v>10</v>
      </c>
      <c r="I28" s="72">
        <f>'Fac-NewLrgLiquid-Yr1'!I27</f>
        <v>0</v>
      </c>
      <c r="J28" s="73">
        <f>H28*I28</f>
        <v>0</v>
      </c>
      <c r="K28" s="73">
        <f>J28*0.1</f>
        <v>0</v>
      </c>
      <c r="L28" s="73">
        <f>J28*0.05</f>
        <v>0</v>
      </c>
      <c r="M28" s="74"/>
      <c r="N28" s="44">
        <f>(J28*'Base Data'!$C$5)+(K28*'Base Data'!$C$6)+(L28*'Base Data'!$C$7)</f>
        <v>0</v>
      </c>
      <c r="O28" s="44">
        <f>(D28+E28+F28)*G28*I28</f>
        <v>0</v>
      </c>
      <c r="P28" s="73">
        <v>0</v>
      </c>
      <c r="Q28" s="75"/>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5">B30*G30</f>
        <v>10</v>
      </c>
      <c r="I30" s="72">
        <f>ROUND(Monitors!$F$23/3,0)</f>
        <v>0</v>
      </c>
      <c r="J30" s="73">
        <f t="shared" ref="J30:J31" si="6">H30*I30</f>
        <v>0</v>
      </c>
      <c r="K30" s="73">
        <f t="shared" ref="K30:K31" si="7">J30*0.1</f>
        <v>0</v>
      </c>
      <c r="L30" s="73">
        <f t="shared" ref="L30:L31" si="8">J30*0.05</f>
        <v>0</v>
      </c>
      <c r="M30" s="74"/>
      <c r="N30" s="44">
        <f>(J30*'Base Data'!$C$5)+(K30*'Base Data'!$C$6)+(L30*'Base Data'!$C$7)</f>
        <v>0</v>
      </c>
      <c r="O30" s="44">
        <f>(D30+E30+F30)*G30*I30</f>
        <v>0</v>
      </c>
      <c r="P30" s="73">
        <v>0</v>
      </c>
      <c r="Q30" s="75"/>
    </row>
    <row r="31" spans="1:21" s="115" customFormat="1" ht="9">
      <c r="A31" s="110" t="s">
        <v>365</v>
      </c>
      <c r="B31" s="37">
        <v>10</v>
      </c>
      <c r="C31" s="37"/>
      <c r="D31" s="44">
        <v>0</v>
      </c>
      <c r="E31" s="44">
        <v>0</v>
      </c>
      <c r="F31" s="44">
        <f>Monitors!$G$32</f>
        <v>1436</v>
      </c>
      <c r="G31" s="37">
        <v>1</v>
      </c>
      <c r="H31" s="37">
        <f t="shared" si="5"/>
        <v>10</v>
      </c>
      <c r="I31" s="72">
        <f>ROUND(Monitors!$F$23/3,0)+'Fac-NewLrgLiquid-Yr1'!I31</f>
        <v>0</v>
      </c>
      <c r="J31" s="73">
        <f t="shared" si="6"/>
        <v>0</v>
      </c>
      <c r="K31" s="73">
        <f t="shared" si="7"/>
        <v>0</v>
      </c>
      <c r="L31" s="73">
        <f t="shared" si="8"/>
        <v>0</v>
      </c>
      <c r="M31" s="74"/>
      <c r="N31" s="44">
        <f>(J31*'Base Data'!$C$5)+(K31*'Base Data'!$C$6)+(L31*'Base Data'!$C$7)</f>
        <v>0</v>
      </c>
      <c r="O31" s="44">
        <f>(D31+E31+F31)*G31*I31</f>
        <v>0</v>
      </c>
      <c r="P31" s="73">
        <v>0</v>
      </c>
      <c r="Q31" s="75"/>
    </row>
    <row r="32" spans="1:21" s="115" customFormat="1" ht="18">
      <c r="A32" s="111" t="s">
        <v>160</v>
      </c>
      <c r="B32" s="37"/>
      <c r="C32" s="37"/>
      <c r="D32" s="44"/>
      <c r="E32" s="44"/>
      <c r="F32" s="76"/>
      <c r="G32" s="37"/>
      <c r="H32" s="37"/>
      <c r="I32" s="77"/>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f>ROUND(Monitors!$D$23/3,0)</f>
        <v>0</v>
      </c>
      <c r="J33" s="73">
        <f>H33*I33</f>
        <v>0</v>
      </c>
      <c r="K33" s="73">
        <f>J33*0.1</f>
        <v>0</v>
      </c>
      <c r="L33" s="73">
        <f>J33*0.05</f>
        <v>0</v>
      </c>
      <c r="M33" s="74"/>
      <c r="N33" s="44">
        <f>(J33*'Base Data'!$C$5)+(K33*'Base Data'!$C$6)+(L33*'Base Data'!$C$7)</f>
        <v>0</v>
      </c>
      <c r="O33" s="44">
        <f>(D33+E33+F33)*G33*I33</f>
        <v>0</v>
      </c>
      <c r="P33" s="73">
        <v>0</v>
      </c>
      <c r="Q33" s="75"/>
      <c r="U33" s="144"/>
    </row>
    <row r="34" spans="1:21" s="115" customFormat="1" ht="9">
      <c r="A34" s="110" t="s">
        <v>365</v>
      </c>
      <c r="B34" s="37">
        <v>10</v>
      </c>
      <c r="C34" s="37"/>
      <c r="D34" s="44">
        <v>0</v>
      </c>
      <c r="E34" s="44">
        <v>0</v>
      </c>
      <c r="F34" s="44">
        <v>5600</v>
      </c>
      <c r="G34" s="37">
        <v>1</v>
      </c>
      <c r="H34" s="37">
        <f>B34*G34</f>
        <v>10</v>
      </c>
      <c r="I34" s="72">
        <f>ROUND(Monitors!$D$23/3,0)+'Fac-NewLrgLiquid-Yr1'!I34</f>
        <v>0</v>
      </c>
      <c r="J34" s="73">
        <f>H34*I34</f>
        <v>0</v>
      </c>
      <c r="K34" s="73">
        <f>J34*0.1</f>
        <v>0</v>
      </c>
      <c r="L34" s="73">
        <f>J34*0.05</f>
        <v>0</v>
      </c>
      <c r="M34" s="74"/>
      <c r="N34" s="44">
        <f>(J34*'Base Data'!$C$5)+(K34*'Base Data'!$C$6)+(L34*'Base Data'!$C$7)</f>
        <v>0</v>
      </c>
      <c r="O34" s="44">
        <f>(D34+E34+F34)*G34*I34</f>
        <v>0</v>
      </c>
      <c r="P34" s="73">
        <v>0</v>
      </c>
      <c r="Q34" s="75"/>
      <c r="U34" s="144"/>
    </row>
    <row r="35" spans="1:21" s="115" customFormat="1" ht="18">
      <c r="A35" s="111" t="s">
        <v>425</v>
      </c>
      <c r="B35" s="37"/>
      <c r="C35" s="37"/>
      <c r="D35" s="44"/>
      <c r="E35" s="44"/>
      <c r="F35" s="44"/>
      <c r="G35" s="37"/>
      <c r="H35" s="37"/>
      <c r="I35" s="77"/>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ROUND(Monitors!$B$23/3,0)</f>
        <v>0</v>
      </c>
      <c r="J36" s="73">
        <f>H36*I36</f>
        <v>0</v>
      </c>
      <c r="K36" s="73">
        <f>J36*0.1</f>
        <v>0</v>
      </c>
      <c r="L36" s="73">
        <f>J36*0.05</f>
        <v>0</v>
      </c>
      <c r="M36" s="74"/>
      <c r="N36" s="44">
        <f>(J36*'Base Data'!$C$5)+(K36*'Base Data'!$C$6)+(L36*'Base Data'!$C$7)</f>
        <v>0</v>
      </c>
      <c r="O36" s="44">
        <f>(D36+E36+F36)*G36*I36</f>
        <v>0</v>
      </c>
      <c r="P36" s="73">
        <v>0</v>
      </c>
      <c r="Q36" s="75"/>
      <c r="U36" s="144"/>
    </row>
    <row r="37" spans="1:21" s="115" customFormat="1" ht="9">
      <c r="A37" s="110" t="s">
        <v>365</v>
      </c>
      <c r="B37" s="37">
        <v>10</v>
      </c>
      <c r="C37" s="37"/>
      <c r="D37" s="44">
        <v>0</v>
      </c>
      <c r="E37" s="44">
        <v>0</v>
      </c>
      <c r="F37" s="44">
        <v>9700</v>
      </c>
      <c r="G37" s="37">
        <v>1</v>
      </c>
      <c r="H37" s="37">
        <f>B37*G37</f>
        <v>10</v>
      </c>
      <c r="I37" s="72">
        <f>ROUND(Monitors!$B$23/3,0)+'Fac-NewLrgLiquid-Yr1'!I37</f>
        <v>0</v>
      </c>
      <c r="J37" s="73">
        <f>H37*I37</f>
        <v>0</v>
      </c>
      <c r="K37" s="73">
        <f>J37*0.1</f>
        <v>0</v>
      </c>
      <c r="L37" s="73">
        <f>J37*0.05</f>
        <v>0</v>
      </c>
      <c r="M37" s="74"/>
      <c r="N37" s="44">
        <f>(J37*'Base Data'!$C$5)+(K37*'Base Data'!$C$6)+(L37*'Base Data'!$C$7)</f>
        <v>0</v>
      </c>
      <c r="O37" s="44">
        <f>(D37+E37+F37)*G37*I37</f>
        <v>0</v>
      </c>
      <c r="P37" s="73">
        <v>0</v>
      </c>
      <c r="Q37" s="75"/>
      <c r="U37" s="144"/>
    </row>
    <row r="38" spans="1:21" s="115" customFormat="1" ht="18">
      <c r="A38" s="111" t="s">
        <v>161</v>
      </c>
      <c r="B38" s="37"/>
      <c r="C38" s="37"/>
      <c r="D38" s="44"/>
      <c r="E38" s="44"/>
      <c r="F38" s="44"/>
      <c r="G38" s="37"/>
      <c r="H38" s="37"/>
      <c r="I38" s="77"/>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f>ROUND(Monitors!$E$23/3,0)</f>
        <v>0</v>
      </c>
      <c r="J39" s="73">
        <f>H39*I39</f>
        <v>0</v>
      </c>
      <c r="K39" s="73">
        <f>J39*0.1</f>
        <v>0</v>
      </c>
      <c r="L39" s="73">
        <f>J39*0.05</f>
        <v>0</v>
      </c>
      <c r="M39" s="74"/>
      <c r="N39" s="44">
        <f>(J39*'Base Data'!$C$5)+(K39*'Base Data'!$C$6)+(L39*'Base Data'!$C$7)</f>
        <v>0</v>
      </c>
      <c r="O39" s="44">
        <f>(D39+E39+F39)*G39*I39</f>
        <v>0</v>
      </c>
      <c r="P39" s="73">
        <v>0</v>
      </c>
      <c r="Q39" s="75"/>
      <c r="U39" s="144"/>
    </row>
    <row r="40" spans="1:21" s="115" customFormat="1" ht="9">
      <c r="A40" s="110" t="s">
        <v>365</v>
      </c>
      <c r="B40" s="37">
        <v>10</v>
      </c>
      <c r="C40" s="37"/>
      <c r="D40" s="44">
        <v>0</v>
      </c>
      <c r="E40" s="44">
        <v>0</v>
      </c>
      <c r="F40" s="44">
        <v>9700</v>
      </c>
      <c r="G40" s="37">
        <v>1</v>
      </c>
      <c r="H40" s="37">
        <f>B40*G40</f>
        <v>10</v>
      </c>
      <c r="I40" s="72">
        <f>ROUND(Monitors!$E$23/3,0)+'Fac-NewLrgLiquid-Yr1'!I40</f>
        <v>0</v>
      </c>
      <c r="J40" s="73">
        <f>H40*I40</f>
        <v>0</v>
      </c>
      <c r="K40" s="73">
        <f>J40*0.1</f>
        <v>0</v>
      </c>
      <c r="L40" s="73">
        <f>J40*0.05</f>
        <v>0</v>
      </c>
      <c r="M40" s="74"/>
      <c r="N40" s="44">
        <f>(J40*'Base Data'!$C$5)+(K40*'Base Data'!$C$6)+(L40*'Base Data'!$C$7)</f>
        <v>0</v>
      </c>
      <c r="O40" s="44">
        <f>(D40+E40+F40)*G40*I40</f>
        <v>0</v>
      </c>
      <c r="P40" s="73">
        <v>0</v>
      </c>
      <c r="Q40" s="75"/>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0</v>
      </c>
      <c r="J44" s="73">
        <f>H44*I44</f>
        <v>0</v>
      </c>
      <c r="K44" s="73">
        <f>J44*0.1</f>
        <v>0</v>
      </c>
      <c r="L44" s="73">
        <f>J44*0.05</f>
        <v>0</v>
      </c>
      <c r="M44" s="37">
        <f>C44*G44*I44</f>
        <v>0</v>
      </c>
      <c r="N44" s="44">
        <f>(J44*'Base Data'!$C$5)+(K44*'Base Data'!$C$6)+(L44*'Base Data'!$C$7)</f>
        <v>0</v>
      </c>
      <c r="O44" s="44">
        <f>(D44+E44+F44)*G44*I44</f>
        <v>0</v>
      </c>
      <c r="P44" s="73">
        <f>G44*I44</f>
        <v>0</v>
      </c>
      <c r="Q44" s="75"/>
    </row>
    <row r="45" spans="1:21" s="115" customFormat="1" ht="9" customHeight="1">
      <c r="A45" s="126" t="s">
        <v>328</v>
      </c>
      <c r="B45" s="37">
        <v>8</v>
      </c>
      <c r="C45" s="37"/>
      <c r="D45" s="44">
        <v>0</v>
      </c>
      <c r="E45" s="44">
        <v>0</v>
      </c>
      <c r="F45" s="44">
        <v>0</v>
      </c>
      <c r="G45" s="37">
        <v>1</v>
      </c>
      <c r="H45" s="37">
        <f>B45*G45</f>
        <v>8</v>
      </c>
      <c r="I45" s="72">
        <f>$I$7</f>
        <v>0</v>
      </c>
      <c r="J45" s="73">
        <f>H45*I45</f>
        <v>0</v>
      </c>
      <c r="K45" s="73">
        <f>J45*0.1</f>
        <v>0</v>
      </c>
      <c r="L45" s="73">
        <f>J45*0.05</f>
        <v>0</v>
      </c>
      <c r="M45" s="37">
        <f>C45*G45*I45</f>
        <v>0</v>
      </c>
      <c r="N45" s="44">
        <f>(J45*'Base Data'!$C$5)+(K45*'Base Data'!$C$6)+(L45*'Base Data'!$C$7)</f>
        <v>0</v>
      </c>
      <c r="O45" s="44">
        <f>(D45+E45+F45)*G45*I45</f>
        <v>0</v>
      </c>
      <c r="P45" s="73">
        <f>G45*I45</f>
        <v>0</v>
      </c>
      <c r="Q45" s="75"/>
    </row>
    <row r="46" spans="1:21" s="115" customFormat="1" ht="9">
      <c r="A46" s="112" t="s">
        <v>435</v>
      </c>
      <c r="B46" s="37">
        <v>20</v>
      </c>
      <c r="C46" s="37">
        <v>0</v>
      </c>
      <c r="D46" s="44">
        <v>0</v>
      </c>
      <c r="E46" s="44">
        <v>0</v>
      </c>
      <c r="F46" s="44">
        <v>0</v>
      </c>
      <c r="G46" s="37">
        <v>2</v>
      </c>
      <c r="H46" s="37">
        <f>B46*G46</f>
        <v>40</v>
      </c>
      <c r="I46" s="72">
        <f>$I$7+'Fac-NewLrgLiquid-Yr1'!I46</f>
        <v>0</v>
      </c>
      <c r="J46" s="73">
        <f>H46*I46</f>
        <v>0</v>
      </c>
      <c r="K46" s="73">
        <f>J46*0.1</f>
        <v>0</v>
      </c>
      <c r="L46" s="73">
        <f>J46*0.05</f>
        <v>0</v>
      </c>
      <c r="M46" s="73">
        <f>C46*G46*I46</f>
        <v>0</v>
      </c>
      <c r="N46" s="44">
        <f>(J46*'Base Data'!$C$5)+(K46*'Base Data'!$C$6)+(L46*'Base Data'!$C$7)</f>
        <v>0</v>
      </c>
      <c r="O46" s="44">
        <f>(D46+E46+F46)*G46*I46</f>
        <v>0</v>
      </c>
      <c r="P46" s="73">
        <f>G46*I46</f>
        <v>0</v>
      </c>
      <c r="Q46" s="75"/>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c r="R47" s="133"/>
    </row>
    <row r="48" spans="1:21" s="115" customFormat="1" ht="9">
      <c r="A48" s="113" t="s">
        <v>7</v>
      </c>
      <c r="B48" s="37"/>
      <c r="C48" s="37"/>
      <c r="D48" s="44"/>
      <c r="E48" s="44"/>
      <c r="F48" s="44"/>
      <c r="G48" s="37"/>
      <c r="H48" s="37"/>
      <c r="I48" s="72"/>
      <c r="J48" s="73">
        <f t="shared" ref="J48:O48" si="9">SUM(J4:J46)</f>
        <v>0</v>
      </c>
      <c r="K48" s="73">
        <f t="shared" si="9"/>
        <v>0</v>
      </c>
      <c r="L48" s="73">
        <f t="shared" si="9"/>
        <v>0</v>
      </c>
      <c r="M48" s="73">
        <f t="shared" si="9"/>
        <v>0</v>
      </c>
      <c r="N48" s="44">
        <f t="shared" si="9"/>
        <v>0</v>
      </c>
      <c r="O48" s="44">
        <f t="shared" si="9"/>
        <v>0</v>
      </c>
      <c r="P48" s="73">
        <f>SUM(P44:P46)</f>
        <v>0</v>
      </c>
      <c r="Q48" s="75"/>
      <c r="R48" s="118">
        <f>SUM(O7,O9:O19,O25,O28,O31,O34,O37,O40)</f>
        <v>0</v>
      </c>
      <c r="S48" s="117">
        <f>SUM(O24,O27,O30,O33,O36,O39)</f>
        <v>0</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0">B54*G54</f>
        <v>20</v>
      </c>
      <c r="I54" s="72">
        <f>$I$9+'Fac-NewLrgLiquid-Yr1'!I54</f>
        <v>0</v>
      </c>
      <c r="J54" s="73">
        <f t="shared" ref="J54:J60" si="11">H54*I54</f>
        <v>0</v>
      </c>
      <c r="K54" s="73">
        <f t="shared" ref="K54:K60" si="12">J54*0.1</f>
        <v>0</v>
      </c>
      <c r="L54" s="73">
        <f t="shared" ref="L54:L60" si="13">J54*0.05</f>
        <v>0</v>
      </c>
      <c r="M54" s="37"/>
      <c r="N54" s="44">
        <f>(J54*'Base Data'!$C$5)+(K54*'Base Data'!$C$6)+(L54*'Base Data'!$C$7)</f>
        <v>0</v>
      </c>
      <c r="O54" s="44">
        <f t="shared" ref="O54:O60" si="14">(D54+E54+F54)*G54*I54</f>
        <v>0</v>
      </c>
      <c r="P54" s="73">
        <v>0</v>
      </c>
      <c r="Q54" s="75"/>
    </row>
    <row r="55" spans="1:18" s="115" customFormat="1" ht="9">
      <c r="A55" s="111" t="s">
        <v>376</v>
      </c>
      <c r="B55" s="37">
        <v>15</v>
      </c>
      <c r="C55" s="37">
        <v>0</v>
      </c>
      <c r="D55" s="44">
        <v>0</v>
      </c>
      <c r="E55" s="44">
        <v>0</v>
      </c>
      <c r="F55" s="44">
        <v>0</v>
      </c>
      <c r="G55" s="37">
        <v>1</v>
      </c>
      <c r="H55" s="37">
        <f t="shared" si="10"/>
        <v>15</v>
      </c>
      <c r="I55" s="72">
        <f>$I$9+'Fac-NewLrgLiquid-Yr1'!I55</f>
        <v>0</v>
      </c>
      <c r="J55" s="73">
        <f t="shared" si="11"/>
        <v>0</v>
      </c>
      <c r="K55" s="73">
        <f t="shared" si="12"/>
        <v>0</v>
      </c>
      <c r="L55" s="73">
        <f t="shared" si="13"/>
        <v>0</v>
      </c>
      <c r="M55" s="37">
        <f>C55*G55*I55</f>
        <v>0</v>
      </c>
      <c r="N55" s="44">
        <f>(J55*'Base Data'!$C$5)+(K55*'Base Data'!$C$6)+(L55*'Base Data'!$C$7)</f>
        <v>0</v>
      </c>
      <c r="O55" s="44">
        <f t="shared" si="14"/>
        <v>0</v>
      </c>
      <c r="P55" s="73">
        <v>0</v>
      </c>
      <c r="Q55" s="75"/>
    </row>
    <row r="56" spans="1:18" s="115" customFormat="1" ht="9.75" customHeight="1">
      <c r="A56" s="110" t="s">
        <v>377</v>
      </c>
      <c r="B56" s="37">
        <v>2</v>
      </c>
      <c r="C56" s="37"/>
      <c r="D56" s="44">
        <v>0</v>
      </c>
      <c r="E56" s="44">
        <v>0</v>
      </c>
      <c r="F56" s="44">
        <v>0</v>
      </c>
      <c r="G56" s="37">
        <v>1</v>
      </c>
      <c r="H56" s="37">
        <f t="shared" si="10"/>
        <v>2</v>
      </c>
      <c r="I56" s="72">
        <f>$I$9+'Fac-NewLrgLiquid-Yr1'!I56</f>
        <v>0</v>
      </c>
      <c r="J56" s="73">
        <f t="shared" si="11"/>
        <v>0</v>
      </c>
      <c r="K56" s="73">
        <f t="shared" si="12"/>
        <v>0</v>
      </c>
      <c r="L56" s="73">
        <f t="shared" si="13"/>
        <v>0</v>
      </c>
      <c r="M56" s="37"/>
      <c r="N56" s="44">
        <f>(J56*'Base Data'!$C$5)+(K56*'Base Data'!$C$6)+(L56*'Base Data'!$C$7)</f>
        <v>0</v>
      </c>
      <c r="O56" s="44">
        <f t="shared" si="14"/>
        <v>0</v>
      </c>
      <c r="P56" s="73">
        <v>0</v>
      </c>
      <c r="Q56" s="75"/>
    </row>
    <row r="57" spans="1:18" s="115" customFormat="1" ht="9">
      <c r="A57" s="111" t="s">
        <v>387</v>
      </c>
      <c r="B57" s="37">
        <v>2</v>
      </c>
      <c r="C57" s="37"/>
      <c r="D57" s="44">
        <v>0</v>
      </c>
      <c r="E57" s="44">
        <v>0</v>
      </c>
      <c r="F57" s="44">
        <v>0</v>
      </c>
      <c r="G57" s="37">
        <v>1</v>
      </c>
      <c r="H57" s="37">
        <f t="shared" si="10"/>
        <v>2</v>
      </c>
      <c r="I57" s="72">
        <f>$I$9+'Fac-NewLrgLiquid-Yr1'!I57</f>
        <v>0</v>
      </c>
      <c r="J57" s="73">
        <f t="shared" si="11"/>
        <v>0</v>
      </c>
      <c r="K57" s="73">
        <f t="shared" si="12"/>
        <v>0</v>
      </c>
      <c r="L57" s="73">
        <f t="shared" si="13"/>
        <v>0</v>
      </c>
      <c r="M57" s="37"/>
      <c r="N57" s="44">
        <f>(J57*'Base Data'!$C$5)+(K57*'Base Data'!$C$6)+(L57*'Base Data'!$C$7)</f>
        <v>0</v>
      </c>
      <c r="O57" s="44">
        <f t="shared" si="14"/>
        <v>0</v>
      </c>
      <c r="P57" s="73">
        <v>0</v>
      </c>
      <c r="Q57" s="75"/>
    </row>
    <row r="58" spans="1:18" s="115" customFormat="1" ht="9">
      <c r="A58" s="111" t="s">
        <v>388</v>
      </c>
      <c r="B58" s="37">
        <v>2</v>
      </c>
      <c r="C58" s="37">
        <v>0</v>
      </c>
      <c r="D58" s="44">
        <v>0</v>
      </c>
      <c r="E58" s="44">
        <v>0</v>
      </c>
      <c r="F58" s="44">
        <v>0</v>
      </c>
      <c r="G58" s="37">
        <v>2</v>
      </c>
      <c r="H58" s="37">
        <f t="shared" si="10"/>
        <v>4</v>
      </c>
      <c r="I58" s="72">
        <f>$I$9+'Fac-NewLrgLiquid-Yr1'!I58</f>
        <v>0</v>
      </c>
      <c r="J58" s="73">
        <f t="shared" si="11"/>
        <v>0</v>
      </c>
      <c r="K58" s="73">
        <f t="shared" si="12"/>
        <v>0</v>
      </c>
      <c r="L58" s="73">
        <f t="shared" si="13"/>
        <v>0</v>
      </c>
      <c r="M58" s="37">
        <f>C58*G58*I58</f>
        <v>0</v>
      </c>
      <c r="N58" s="44">
        <f>(J58*'Base Data'!$C$5)+(K58*'Base Data'!$C$6)+(L58*'Base Data'!$C$7)</f>
        <v>0</v>
      </c>
      <c r="O58" s="44">
        <f t="shared" si="14"/>
        <v>0</v>
      </c>
      <c r="P58" s="73">
        <v>0</v>
      </c>
      <c r="Q58" s="75"/>
    </row>
    <row r="59" spans="1:18" s="115" customFormat="1" ht="9">
      <c r="A59" s="111" t="s">
        <v>389</v>
      </c>
      <c r="B59" s="37">
        <v>0.5</v>
      </c>
      <c r="C59" s="37"/>
      <c r="D59" s="44">
        <v>0</v>
      </c>
      <c r="E59" s="44">
        <v>0</v>
      </c>
      <c r="F59" s="44">
        <v>0</v>
      </c>
      <c r="G59" s="37">
        <v>12</v>
      </c>
      <c r="H59" s="37">
        <f t="shared" si="10"/>
        <v>6</v>
      </c>
      <c r="I59" s="72">
        <f>$I$9+'Fac-NewLrgLiquid-Yr1'!I59</f>
        <v>0</v>
      </c>
      <c r="J59" s="73">
        <f t="shared" si="11"/>
        <v>0</v>
      </c>
      <c r="K59" s="73">
        <f t="shared" si="12"/>
        <v>0</v>
      </c>
      <c r="L59" s="73">
        <f t="shared" si="13"/>
        <v>0</v>
      </c>
      <c r="M59" s="37"/>
      <c r="N59" s="44">
        <f>(J59*'Base Data'!$C$5)+(K59*'Base Data'!$C$6)+(L59*'Base Data'!$C$7)</f>
        <v>0</v>
      </c>
      <c r="O59" s="44">
        <f t="shared" si="14"/>
        <v>0</v>
      </c>
      <c r="P59" s="73">
        <v>0</v>
      </c>
      <c r="Q59" s="75"/>
    </row>
    <row r="60" spans="1:18" s="115" customFormat="1" ht="9">
      <c r="A60" s="110" t="s">
        <v>378</v>
      </c>
      <c r="B60" s="37">
        <v>40</v>
      </c>
      <c r="C60" s="37"/>
      <c r="D60" s="44">
        <v>0</v>
      </c>
      <c r="E60" s="44">
        <v>0</v>
      </c>
      <c r="F60" s="44">
        <v>0</v>
      </c>
      <c r="G60" s="37">
        <v>1</v>
      </c>
      <c r="H60" s="37">
        <f t="shared" si="10"/>
        <v>40</v>
      </c>
      <c r="I60" s="72">
        <f>$I$7</f>
        <v>0</v>
      </c>
      <c r="J60" s="73">
        <f t="shared" si="11"/>
        <v>0</v>
      </c>
      <c r="K60" s="73">
        <f t="shared" si="12"/>
        <v>0</v>
      </c>
      <c r="L60" s="73">
        <f t="shared" si="13"/>
        <v>0</v>
      </c>
      <c r="M60" s="37"/>
      <c r="N60" s="44">
        <f>(J60*'Base Data'!$C$5)+(K60*'Base Data'!$C$6)+(L60*'Base Data'!$C$7)</f>
        <v>0</v>
      </c>
      <c r="O60" s="44">
        <f t="shared" si="14"/>
        <v>0</v>
      </c>
      <c r="P60" s="73">
        <v>0</v>
      </c>
      <c r="Q60" s="75"/>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 t="shared" ref="J62:P62" si="15">SUM(J50:J61)</f>
        <v>0</v>
      </c>
      <c r="K62" s="186">
        <f t="shared" si="15"/>
        <v>0</v>
      </c>
      <c r="L62" s="186">
        <f t="shared" si="15"/>
        <v>0</v>
      </c>
      <c r="M62" s="185">
        <f t="shared" si="15"/>
        <v>0</v>
      </c>
      <c r="N62" s="185">
        <f t="shared" si="15"/>
        <v>0</v>
      </c>
      <c r="O62" s="185">
        <f t="shared" si="15"/>
        <v>0</v>
      </c>
      <c r="P62" s="73">
        <f t="shared" si="15"/>
        <v>0</v>
      </c>
      <c r="Q62" s="187"/>
      <c r="R62" s="44">
        <f>SUM(R50:R61)</f>
        <v>0</v>
      </c>
    </row>
    <row r="63" spans="1:18" s="134" customFormat="1">
      <c r="A63" s="135" t="s">
        <v>351</v>
      </c>
      <c r="B63" s="136"/>
      <c r="C63" s="136"/>
      <c r="D63" s="136"/>
      <c r="E63" s="136"/>
      <c r="F63" s="137"/>
      <c r="G63" s="136"/>
      <c r="H63" s="136"/>
      <c r="I63" s="138"/>
      <c r="J63" s="139">
        <f t="shared" ref="J63:P63" si="16">J48+J62</f>
        <v>0</v>
      </c>
      <c r="K63" s="139">
        <f t="shared" si="16"/>
        <v>0</v>
      </c>
      <c r="L63" s="139">
        <f t="shared" si="16"/>
        <v>0</v>
      </c>
      <c r="M63" s="140">
        <f t="shared" si="16"/>
        <v>0</v>
      </c>
      <c r="N63" s="140">
        <f t="shared" si="16"/>
        <v>0</v>
      </c>
      <c r="O63" s="140">
        <f t="shared" si="16"/>
        <v>0</v>
      </c>
      <c r="P63" s="139">
        <f t="shared" si="16"/>
        <v>0</v>
      </c>
      <c r="Q63" s="141"/>
    </row>
    <row r="64" spans="1:18" ht="6" customHeight="1"/>
    <row r="65" spans="1:17" s="45" customFormat="1" ht="9">
      <c r="A65" s="499" t="s">
        <v>552</v>
      </c>
      <c r="B65" s="499"/>
      <c r="C65" s="499"/>
      <c r="D65" s="499"/>
      <c r="E65" s="499"/>
      <c r="F65" s="499"/>
      <c r="G65" s="499"/>
      <c r="H65" s="499"/>
      <c r="I65" s="499"/>
      <c r="J65" s="499"/>
      <c r="K65" s="499"/>
      <c r="L65" s="499"/>
      <c r="M65" s="499"/>
      <c r="N65" s="499"/>
      <c r="O65" s="499"/>
      <c r="P65" s="460"/>
      <c r="Q65" s="48"/>
    </row>
    <row r="66" spans="1:17" s="45" customFormat="1" ht="9">
      <c r="B66" s="48"/>
      <c r="C66" s="48"/>
      <c r="D66" s="48"/>
      <c r="E66" s="48"/>
      <c r="F66" s="48"/>
      <c r="G66" s="48"/>
      <c r="H66" s="48"/>
      <c r="I66" s="49"/>
      <c r="J66" s="48"/>
      <c r="K66" s="48"/>
      <c r="L66" s="48"/>
      <c r="M66" s="48"/>
      <c r="N66" s="48"/>
      <c r="O66" s="146"/>
      <c r="P66" s="146"/>
      <c r="Q66" s="48"/>
    </row>
    <row r="67" spans="1:17" s="45" customFormat="1" ht="9">
      <c r="B67" s="48"/>
      <c r="C67" s="48"/>
      <c r="D67" s="48"/>
      <c r="E67" s="48"/>
      <c r="F67" s="48"/>
      <c r="G67" s="48"/>
      <c r="H67" s="48"/>
      <c r="I67" s="49"/>
      <c r="J67" s="48"/>
      <c r="K67" s="48"/>
      <c r="L67" s="48"/>
      <c r="M67" s="48"/>
      <c r="N67" s="48"/>
      <c r="O67" s="146"/>
      <c r="P67" s="146"/>
      <c r="Q67" s="48"/>
    </row>
    <row r="68" spans="1:17" s="45" customFormat="1" ht="9">
      <c r="B68" s="48"/>
      <c r="C68" s="48"/>
      <c r="D68" s="48"/>
      <c r="E68" s="48"/>
      <c r="F68" s="48"/>
      <c r="G68" s="48"/>
      <c r="H68" s="48"/>
      <c r="I68" s="49"/>
      <c r="J68" s="48"/>
      <c r="K68" s="48"/>
      <c r="L68" s="48"/>
      <c r="M68" s="48"/>
      <c r="N68" s="48"/>
      <c r="O68" s="146"/>
      <c r="P68" s="146"/>
      <c r="Q68" s="48"/>
    </row>
    <row r="69" spans="1:17" s="45" customFormat="1" ht="9">
      <c r="B69" s="48"/>
      <c r="C69" s="48"/>
      <c r="D69" s="48"/>
      <c r="E69" s="48"/>
      <c r="F69" s="48"/>
      <c r="G69" s="48"/>
      <c r="H69" s="48"/>
      <c r="I69" s="49"/>
      <c r="J69" s="48"/>
      <c r="K69" s="48"/>
      <c r="L69" s="48"/>
      <c r="M69" s="48"/>
      <c r="N69" s="48"/>
      <c r="O69" s="146"/>
      <c r="P69" s="146"/>
      <c r="Q69" s="48"/>
    </row>
    <row r="70" spans="1:17" s="45" customFormat="1" ht="9">
      <c r="B70" s="48"/>
      <c r="C70" s="48"/>
      <c r="D70" s="48"/>
      <c r="E70" s="48"/>
      <c r="F70" s="48"/>
      <c r="G70" s="48"/>
      <c r="H70" s="48"/>
      <c r="I70" s="49"/>
      <c r="J70" s="48"/>
      <c r="K70" s="48"/>
      <c r="L70" s="48"/>
      <c r="M70" s="48"/>
      <c r="N70" s="48"/>
      <c r="O70" s="146"/>
      <c r="P70" s="146"/>
      <c r="Q70" s="48"/>
    </row>
    <row r="71" spans="1:17" s="45" customFormat="1" ht="9">
      <c r="B71" s="48"/>
      <c r="C71" s="48"/>
      <c r="D71" s="48"/>
      <c r="E71" s="48"/>
      <c r="F71" s="48"/>
      <c r="G71" s="48"/>
      <c r="H71" s="48"/>
      <c r="I71" s="49"/>
      <c r="J71" s="48"/>
      <c r="K71" s="48"/>
      <c r="L71" s="48"/>
      <c r="M71" s="48"/>
      <c r="N71" s="48"/>
      <c r="O71" s="146"/>
      <c r="P71" s="146"/>
      <c r="Q71" s="48"/>
    </row>
    <row r="72" spans="1:17" s="45" customFormat="1" ht="9">
      <c r="B72" s="48"/>
      <c r="C72" s="48"/>
      <c r="D72" s="48"/>
      <c r="E72" s="48"/>
      <c r="F72" s="48"/>
      <c r="G72" s="48"/>
      <c r="H72" s="48"/>
      <c r="I72" s="49"/>
      <c r="J72" s="48"/>
      <c r="K72" s="48"/>
      <c r="L72" s="48"/>
      <c r="M72" s="48"/>
      <c r="N72" s="48"/>
      <c r="O72" s="146"/>
      <c r="P72" s="146"/>
      <c r="Q72" s="48"/>
    </row>
    <row r="73" spans="1:17" s="45" customFormat="1" ht="9">
      <c r="B73" s="48"/>
      <c r="C73" s="48"/>
      <c r="D73" s="48"/>
      <c r="E73" s="48"/>
      <c r="F73" s="48"/>
      <c r="G73" s="48"/>
      <c r="H73" s="48"/>
      <c r="I73" s="49"/>
      <c r="J73" s="48"/>
      <c r="K73" s="48"/>
      <c r="L73" s="48"/>
      <c r="M73" s="48"/>
      <c r="N73" s="48"/>
      <c r="O73" s="146"/>
      <c r="P73" s="146"/>
      <c r="Q73" s="48"/>
    </row>
    <row r="74" spans="1:17" s="45" customFormat="1" ht="9">
      <c r="B74" s="48"/>
      <c r="C74" s="48"/>
      <c r="D74" s="48"/>
      <c r="E74" s="48"/>
      <c r="F74" s="48"/>
      <c r="G74" s="48"/>
      <c r="H74" s="48"/>
      <c r="I74" s="49"/>
      <c r="J74" s="48"/>
      <c r="K74" s="48"/>
      <c r="L74" s="48"/>
      <c r="M74" s="48"/>
      <c r="N74" s="48"/>
      <c r="O74" s="146"/>
      <c r="P74" s="146"/>
      <c r="Q74" s="48"/>
    </row>
    <row r="75" spans="1:17" s="45" customFormat="1" ht="9">
      <c r="B75" s="48"/>
      <c r="C75" s="48"/>
      <c r="D75" s="48"/>
      <c r="E75" s="48"/>
      <c r="F75" s="48"/>
      <c r="G75" s="48"/>
      <c r="H75" s="48"/>
      <c r="I75" s="49"/>
      <c r="J75" s="48"/>
      <c r="K75" s="48"/>
      <c r="L75" s="48"/>
      <c r="M75" s="48"/>
      <c r="N75" s="48"/>
      <c r="O75" s="146"/>
      <c r="P75" s="146"/>
      <c r="Q75" s="48"/>
    </row>
    <row r="76" spans="1:17" s="45" customFormat="1" ht="9">
      <c r="B76" s="48"/>
      <c r="C76" s="48"/>
      <c r="D76" s="48"/>
      <c r="E76" s="48"/>
      <c r="F76" s="48"/>
      <c r="G76" s="48"/>
      <c r="H76" s="48"/>
      <c r="I76" s="49"/>
      <c r="J76" s="48"/>
      <c r="K76" s="48"/>
      <c r="L76" s="48"/>
      <c r="M76" s="48"/>
      <c r="N76" s="48"/>
      <c r="O76" s="146"/>
      <c r="P76" s="146"/>
      <c r="Q76" s="48"/>
    </row>
    <row r="77" spans="1:17" s="45" customFormat="1" ht="9">
      <c r="B77" s="48"/>
      <c r="C77" s="48"/>
      <c r="D77" s="48"/>
      <c r="E77" s="48"/>
      <c r="F77" s="48"/>
      <c r="G77" s="48"/>
      <c r="H77" s="48"/>
      <c r="I77" s="49"/>
      <c r="J77" s="48"/>
      <c r="K77" s="48"/>
      <c r="L77" s="48"/>
      <c r="M77" s="48"/>
      <c r="N77" s="48"/>
      <c r="O77" s="146"/>
      <c r="P77" s="146"/>
      <c r="Q77" s="48"/>
    </row>
    <row r="78" spans="1:17" s="45" customFormat="1" ht="9">
      <c r="B78" s="48"/>
      <c r="C78" s="48"/>
      <c r="D78" s="48"/>
      <c r="E78" s="48"/>
      <c r="F78" s="48"/>
      <c r="G78" s="48"/>
      <c r="H78" s="48"/>
      <c r="I78" s="49"/>
      <c r="J78" s="48"/>
      <c r="K78" s="48"/>
      <c r="L78" s="48"/>
      <c r="M78" s="48"/>
      <c r="N78" s="48"/>
      <c r="O78" s="146"/>
      <c r="P78" s="146"/>
      <c r="Q78" s="48"/>
    </row>
    <row r="79" spans="1:17" s="45" customFormat="1" ht="9">
      <c r="B79" s="48"/>
      <c r="C79" s="48"/>
      <c r="D79" s="48"/>
      <c r="E79" s="48"/>
      <c r="F79" s="48"/>
      <c r="G79" s="48"/>
      <c r="H79" s="48"/>
      <c r="I79" s="49"/>
      <c r="J79" s="48"/>
      <c r="K79" s="48"/>
      <c r="L79" s="48"/>
      <c r="M79" s="48"/>
      <c r="N79" s="48"/>
      <c r="O79" s="146"/>
      <c r="P79" s="146"/>
      <c r="Q79" s="48"/>
    </row>
    <row r="80" spans="1:17"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8" s="45" customFormat="1" ht="9">
      <c r="B97" s="48"/>
      <c r="C97" s="48"/>
      <c r="D97" s="48"/>
      <c r="E97" s="48"/>
      <c r="F97" s="48"/>
      <c r="G97" s="48"/>
      <c r="H97" s="48"/>
      <c r="I97" s="49"/>
      <c r="J97" s="48"/>
      <c r="K97" s="48"/>
      <c r="L97" s="48"/>
      <c r="M97" s="48"/>
      <c r="N97" s="48"/>
      <c r="O97" s="146"/>
      <c r="P97" s="146"/>
      <c r="Q97" s="48"/>
    </row>
    <row r="98" spans="2:18" s="45" customFormat="1" ht="9">
      <c r="B98" s="48"/>
      <c r="C98" s="48"/>
      <c r="D98" s="48"/>
      <c r="E98" s="48"/>
      <c r="F98" s="48"/>
      <c r="G98" s="48"/>
      <c r="H98" s="48"/>
      <c r="I98" s="49"/>
      <c r="J98" s="48"/>
      <c r="K98" s="48"/>
      <c r="L98" s="48"/>
      <c r="M98" s="48"/>
      <c r="N98" s="48"/>
      <c r="O98" s="146"/>
      <c r="P98" s="146"/>
      <c r="Q98" s="48"/>
    </row>
    <row r="99" spans="2:18" s="45" customFormat="1">
      <c r="B99" s="48"/>
      <c r="C99" s="48"/>
      <c r="D99" s="48"/>
      <c r="E99" s="48"/>
      <c r="F99" s="48"/>
      <c r="G99" s="48"/>
      <c r="H99" s="48"/>
      <c r="I99" s="49"/>
      <c r="J99" s="48"/>
      <c r="K99" s="48"/>
      <c r="L99" s="48"/>
      <c r="M99" s="48"/>
      <c r="N99" s="48"/>
      <c r="O99" s="146"/>
      <c r="P99" s="146"/>
      <c r="Q99" s="48"/>
      <c r="R99" s="88"/>
    </row>
    <row r="100" spans="2:18">
      <c r="Q100" s="48"/>
    </row>
    <row r="101" spans="2:18">
      <c r="Q101" s="48"/>
    </row>
    <row r="102" spans="2:18">
      <c r="Q102" s="48"/>
    </row>
    <row r="103" spans="2:18">
      <c r="Q103" s="48"/>
    </row>
    <row r="104" spans="2:18">
      <c r="Q104" s="48"/>
    </row>
    <row r="105" spans="2:18">
      <c r="Q105" s="48"/>
    </row>
  </sheetData>
  <mergeCells count="3">
    <mergeCell ref="A1:Q1"/>
    <mergeCell ref="A2:Q2"/>
    <mergeCell ref="A65:O65"/>
  </mergeCells>
  <phoneticPr fontId="9" type="noConversion"/>
  <pageMargins left="0.25" right="0.25" top="0.5" bottom="0.75" header="0.5" footer="0.5"/>
  <pageSetup scale="67" orientation="portrait"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U105"/>
  <sheetViews>
    <sheetView zoomScale="110" zoomScaleNormal="110" workbookViewId="0">
      <pane xSplit="1" ySplit="3" topLeftCell="B46" activePane="bottomRight" state="frozen"/>
      <selection activeCell="O55" sqref="O55"/>
      <selection pane="topRight" activeCell="O55" sqref="O55"/>
      <selection pane="bottomLeft" activeCell="O55" sqref="O55"/>
      <selection pane="bottomRight" activeCell="A10" sqref="A10"/>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570312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9.140625" style="88" hidden="1" customWidth="1"/>
    <col min="20" max="20" width="11.140625" style="88" customWidth="1"/>
    <col min="21" max="21" width="8.5703125" style="88" customWidth="1"/>
    <col min="22" max="16384" width="9.140625" style="88"/>
  </cols>
  <sheetData>
    <row r="1" spans="1:21">
      <c r="A1" s="496" t="s">
        <v>193</v>
      </c>
      <c r="B1" s="496"/>
      <c r="C1" s="496"/>
      <c r="D1" s="496"/>
      <c r="E1" s="496"/>
      <c r="F1" s="496"/>
      <c r="G1" s="496"/>
      <c r="H1" s="496"/>
      <c r="I1" s="496"/>
      <c r="J1" s="496"/>
      <c r="K1" s="496"/>
      <c r="L1" s="496"/>
      <c r="M1" s="496"/>
      <c r="N1" s="496"/>
      <c r="O1" s="496"/>
      <c r="P1" s="496"/>
      <c r="Q1" s="496"/>
    </row>
    <row r="2" spans="1:21">
      <c r="A2" s="497" t="s">
        <v>192</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ROUND(SUM('Base Data'!$H$79:$H$81)/3,0)</f>
        <v>0</v>
      </c>
      <c r="J7" s="73">
        <f>H7*I7</f>
        <v>0</v>
      </c>
      <c r="K7" s="73">
        <f>J7*0.1</f>
        <v>0</v>
      </c>
      <c r="L7" s="72">
        <f>J7*0.05</f>
        <v>0</v>
      </c>
      <c r="M7" s="37">
        <f>C7*G7*I7</f>
        <v>0</v>
      </c>
      <c r="N7" s="44">
        <f>(J7*'Base Data'!$C$5)+(K7*'Base Data'!$C$6)+(L7*'Base Data'!$C$7)</f>
        <v>0</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f>ROUND(SUM('Base Data'!$D$79:$D$80)/3,0)</f>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c r="U11" s="144"/>
    </row>
    <row r="12" spans="1:21" s="115" customFormat="1" ht="9">
      <c r="A12" s="111" t="s">
        <v>126</v>
      </c>
      <c r="B12" s="37">
        <v>12</v>
      </c>
      <c r="C12" s="37"/>
      <c r="D12" s="44">
        <v>0</v>
      </c>
      <c r="E12" s="44">
        <f>'Testing Costs'!$B$14</f>
        <v>7000</v>
      </c>
      <c r="F12" s="44">
        <v>0</v>
      </c>
      <c r="G12" s="37">
        <v>1</v>
      </c>
      <c r="H12" s="37">
        <f t="shared" si="0"/>
        <v>12</v>
      </c>
      <c r="I12" s="72">
        <f>ROUND(SUM('Base Data'!$D$79:$D$81)/3,0)</f>
        <v>0</v>
      </c>
      <c r="J12" s="73">
        <f t="shared" si="1"/>
        <v>0</v>
      </c>
      <c r="K12" s="73">
        <f t="shared" si="2"/>
        <v>0</v>
      </c>
      <c r="L12" s="73">
        <f t="shared" si="3"/>
        <v>0</v>
      </c>
      <c r="M12" s="74"/>
      <c r="N12" s="44">
        <f>(J12*'Base Data'!$C$5)+(K12*'Base Data'!$C$6)+(L12*'Base Data'!$C$7)</f>
        <v>0</v>
      </c>
      <c r="O12" s="44">
        <f t="shared" si="4"/>
        <v>0</v>
      </c>
      <c r="P12" s="73">
        <v>0</v>
      </c>
      <c r="Q12" s="75"/>
      <c r="U12" s="144"/>
    </row>
    <row r="13" spans="1:21" s="115" customFormat="1" ht="9" customHeight="1">
      <c r="A13" s="111" t="s">
        <v>535</v>
      </c>
      <c r="B13" s="37">
        <v>12</v>
      </c>
      <c r="C13" s="37"/>
      <c r="D13" s="44">
        <v>0</v>
      </c>
      <c r="E13" s="44">
        <f>'Testing Costs'!$B$13</f>
        <v>5000</v>
      </c>
      <c r="F13" s="44">
        <v>0</v>
      </c>
      <c r="G13" s="37">
        <v>1</v>
      </c>
      <c r="H13" s="37">
        <f t="shared" si="0"/>
        <v>12</v>
      </c>
      <c r="I13" s="72">
        <f>'Fac-NewLrgLiquid-Yr2'!I9+'Fac-NewLrgLiquid-Yr2'!I13</f>
        <v>0</v>
      </c>
      <c r="J13" s="73">
        <f t="shared" si="1"/>
        <v>0</v>
      </c>
      <c r="K13" s="73">
        <f t="shared" si="2"/>
        <v>0</v>
      </c>
      <c r="L13" s="73">
        <f t="shared" si="3"/>
        <v>0</v>
      </c>
      <c r="M13" s="74"/>
      <c r="N13" s="44">
        <f>(J13*'Base Data'!$C$5)+(K13*'Base Data'!$C$6)+(L13*'Base Data'!$C$7)</f>
        <v>0</v>
      </c>
      <c r="O13" s="44">
        <f t="shared" si="4"/>
        <v>0</v>
      </c>
      <c r="P13" s="73">
        <v>0</v>
      </c>
      <c r="Q13" s="75"/>
      <c r="U13" s="144"/>
    </row>
    <row r="14" spans="1:21" s="115" customFormat="1" ht="9">
      <c r="A14" s="111" t="s">
        <v>536</v>
      </c>
      <c r="B14" s="37">
        <v>12</v>
      </c>
      <c r="C14" s="37"/>
      <c r="D14" s="44">
        <v>0</v>
      </c>
      <c r="E14" s="44">
        <f>'Testing Costs'!$B$17</f>
        <v>8000</v>
      </c>
      <c r="F14" s="44">
        <v>0</v>
      </c>
      <c r="G14" s="37">
        <v>1</v>
      </c>
      <c r="H14" s="37">
        <f t="shared" si="0"/>
        <v>12</v>
      </c>
      <c r="I14" s="72">
        <f>'Fac-NewLrgLiquid-Yr2'!I10+'Fac-NewLrgLiquid-Yr2'!I14</f>
        <v>0</v>
      </c>
      <c r="J14" s="73">
        <f t="shared" si="1"/>
        <v>0</v>
      </c>
      <c r="K14" s="73">
        <f t="shared" si="2"/>
        <v>0</v>
      </c>
      <c r="L14" s="73">
        <f t="shared" si="3"/>
        <v>0</v>
      </c>
      <c r="M14" s="74"/>
      <c r="N14" s="44">
        <f>(J14*'Base Data'!$C$5)+(K14*'Base Data'!$C$6)+(L14*'Base Data'!$C$7)</f>
        <v>0</v>
      </c>
      <c r="O14" s="44">
        <f t="shared" si="4"/>
        <v>0</v>
      </c>
      <c r="P14" s="73">
        <v>0</v>
      </c>
      <c r="Q14" s="75"/>
      <c r="U14" s="144"/>
    </row>
    <row r="15" spans="1:21" s="115" customFormat="1" ht="9">
      <c r="A15" s="111" t="s">
        <v>537</v>
      </c>
      <c r="B15" s="37">
        <v>12</v>
      </c>
      <c r="C15" s="37"/>
      <c r="D15" s="44">
        <v>0</v>
      </c>
      <c r="E15" s="44">
        <f>'Testing Costs'!$B$15</f>
        <v>8000</v>
      </c>
      <c r="F15" s="44">
        <v>0</v>
      </c>
      <c r="G15" s="37">
        <v>1</v>
      </c>
      <c r="H15" s="37">
        <f t="shared" si="0"/>
        <v>12</v>
      </c>
      <c r="I15" s="72">
        <f>'Fac-NewLrgLiquid-Yr2'!I11+'Fac-NewLrgLiquid-Yr2'!I15</f>
        <v>0</v>
      </c>
      <c r="J15" s="73">
        <f t="shared" si="1"/>
        <v>0</v>
      </c>
      <c r="K15" s="73">
        <f t="shared" si="2"/>
        <v>0</v>
      </c>
      <c r="L15" s="73">
        <f t="shared" si="3"/>
        <v>0</v>
      </c>
      <c r="M15" s="74"/>
      <c r="N15" s="44">
        <f>(J15*'Base Data'!$C$5)+(K15*'Base Data'!$C$6)+(L15*'Base Data'!$C$7)</f>
        <v>0</v>
      </c>
      <c r="O15" s="44">
        <f t="shared" si="4"/>
        <v>0</v>
      </c>
      <c r="P15" s="73">
        <v>0</v>
      </c>
      <c r="Q15" s="75"/>
      <c r="U15" s="144"/>
    </row>
    <row r="16" spans="1:21" s="115" customFormat="1" ht="9">
      <c r="A16" s="111" t="s">
        <v>538</v>
      </c>
      <c r="B16" s="37">
        <v>12</v>
      </c>
      <c r="C16" s="37"/>
      <c r="D16" s="44">
        <v>0</v>
      </c>
      <c r="E16" s="44">
        <f>'Testing Costs'!$B$14</f>
        <v>7000</v>
      </c>
      <c r="F16" s="44">
        <v>0</v>
      </c>
      <c r="G16" s="37">
        <v>1</v>
      </c>
      <c r="H16" s="37">
        <f t="shared" si="0"/>
        <v>12</v>
      </c>
      <c r="I16" s="72">
        <f>'Fac-NewLrgLiquid-Yr2'!I12+'Fac-NewLrgLiquid-Yr2'!I16</f>
        <v>0</v>
      </c>
      <c r="J16" s="73">
        <f t="shared" si="1"/>
        <v>0</v>
      </c>
      <c r="K16" s="73">
        <f t="shared" si="2"/>
        <v>0</v>
      </c>
      <c r="L16" s="73">
        <f t="shared" si="3"/>
        <v>0</v>
      </c>
      <c r="M16" s="74"/>
      <c r="N16" s="44">
        <f>(J16*'Base Data'!$C$5)+(K16*'Base Data'!$C$6)+(L16*'Base Data'!$C$7)</f>
        <v>0</v>
      </c>
      <c r="O16" s="44">
        <f t="shared" si="4"/>
        <v>0</v>
      </c>
      <c r="P16" s="73">
        <v>0</v>
      </c>
      <c r="Q16" s="75"/>
      <c r="U16" s="144"/>
    </row>
    <row r="17" spans="1:21" s="115" customFormat="1" ht="18">
      <c r="A17" s="259" t="s">
        <v>539</v>
      </c>
      <c r="B17" s="37">
        <v>24</v>
      </c>
      <c r="C17" s="258"/>
      <c r="D17" s="44">
        <v>0</v>
      </c>
      <c r="E17" s="44">
        <f>$E$10+$E$11</f>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row>
    <row r="18" spans="1:21" s="115" customFormat="1" ht="9" customHeight="1">
      <c r="A18" s="111" t="s">
        <v>540</v>
      </c>
      <c r="B18" s="37">
        <v>5</v>
      </c>
      <c r="C18" s="37"/>
      <c r="D18" s="44">
        <v>0</v>
      </c>
      <c r="E18" s="44">
        <v>400</v>
      </c>
      <c r="F18" s="44">
        <v>0</v>
      </c>
      <c r="G18" s="37">
        <v>1</v>
      </c>
      <c r="H18" s="37">
        <f t="shared" si="0"/>
        <v>5</v>
      </c>
      <c r="I18" s="72">
        <f>ROUND(SUM('Base Data'!$D$79:$D$81)/3,0)</f>
        <v>0</v>
      </c>
      <c r="J18" s="73">
        <f t="shared" si="1"/>
        <v>0</v>
      </c>
      <c r="K18" s="73">
        <f t="shared" si="2"/>
        <v>0</v>
      </c>
      <c r="L18" s="73">
        <f t="shared" si="3"/>
        <v>0</v>
      </c>
      <c r="M18" s="74"/>
      <c r="N18" s="44">
        <f>(J18*'Base Data'!$C$5)+(K18*'Base Data'!$C$6)+(L18*'Base Data'!$C$7)</f>
        <v>0</v>
      </c>
      <c r="O18" s="44">
        <f t="shared" si="4"/>
        <v>0</v>
      </c>
      <c r="P18" s="73">
        <v>0</v>
      </c>
      <c r="Q18" s="75"/>
      <c r="U18" s="144"/>
    </row>
    <row r="19" spans="1:21" s="115" customFormat="1" ht="9" customHeight="1">
      <c r="A19" s="111" t="s">
        <v>541</v>
      </c>
      <c r="B19" s="37">
        <v>5</v>
      </c>
      <c r="C19" s="37"/>
      <c r="D19" s="44">
        <v>0</v>
      </c>
      <c r="E19" s="44">
        <v>400</v>
      </c>
      <c r="F19" s="44">
        <v>0</v>
      </c>
      <c r="G19" s="37">
        <v>12</v>
      </c>
      <c r="H19" s="37">
        <f t="shared" si="0"/>
        <v>60</v>
      </c>
      <c r="I19" s="72">
        <f>'Fac-NewLrgLiquid-Yr2'!I19+'Fac-NewLrgLiquid-Yr2'!I18</f>
        <v>0</v>
      </c>
      <c r="J19" s="73">
        <f t="shared" si="1"/>
        <v>0</v>
      </c>
      <c r="K19" s="73">
        <f t="shared" si="2"/>
        <v>0</v>
      </c>
      <c r="L19" s="73">
        <f t="shared" si="3"/>
        <v>0</v>
      </c>
      <c r="M19" s="74"/>
      <c r="N19" s="44">
        <f>(J19*'Base Data'!$C$5)+(K19*'Base Data'!$C$6)+(L19*'Base Data'!$C$7)</f>
        <v>0</v>
      </c>
      <c r="O19" s="44">
        <f t="shared" si="4"/>
        <v>0</v>
      </c>
      <c r="P19" s="73">
        <v>0</v>
      </c>
      <c r="Q19" s="75"/>
      <c r="U19" s="144"/>
    </row>
    <row r="20" spans="1:21" s="115" customFormat="1" ht="9">
      <c r="A20" s="110" t="s">
        <v>542</v>
      </c>
      <c r="B20" s="37">
        <v>12</v>
      </c>
      <c r="C20" s="37"/>
      <c r="D20" s="44">
        <v>0</v>
      </c>
      <c r="E20" s="44">
        <v>2875</v>
      </c>
      <c r="F20" s="44">
        <v>0</v>
      </c>
      <c r="G20" s="37">
        <v>1</v>
      </c>
      <c r="H20" s="37">
        <f>B20*G20</f>
        <v>12</v>
      </c>
      <c r="I20" s="72">
        <v>0</v>
      </c>
      <c r="J20" s="72">
        <f>H20*I20</f>
        <v>0</v>
      </c>
      <c r="K20" s="72">
        <f>J20*0.1</f>
        <v>0</v>
      </c>
      <c r="L20" s="72">
        <f>J20*0.05</f>
        <v>0</v>
      </c>
      <c r="M20" s="73"/>
      <c r="N20" s="44">
        <f>(J20*'Base Data'!$C$5)+(K20*'Base Data'!$C$6)+(L20*'Base Data'!$C$7)</f>
        <v>0</v>
      </c>
      <c r="O20" s="44">
        <f>(D20+E20+F20)*G20*I20</f>
        <v>0</v>
      </c>
      <c r="P20" s="73">
        <v>0</v>
      </c>
      <c r="Q20" s="75"/>
      <c r="R20" s="342" t="s">
        <v>532</v>
      </c>
    </row>
    <row r="21" spans="1:21" s="115" customFormat="1" ht="9">
      <c r="A21" s="111" t="s">
        <v>527</v>
      </c>
      <c r="B21" s="37"/>
      <c r="C21" s="37"/>
      <c r="D21" s="44"/>
      <c r="E21" s="44"/>
      <c r="F21" s="44"/>
      <c r="G21" s="37"/>
      <c r="H21" s="37"/>
      <c r="I21" s="73"/>
      <c r="J21" s="73"/>
      <c r="K21" s="73"/>
      <c r="L21" s="73"/>
      <c r="M21" s="74"/>
      <c r="N21" s="44"/>
      <c r="O21" s="44"/>
      <c r="P21" s="73"/>
      <c r="Q21" s="75"/>
      <c r="U21" s="144"/>
    </row>
    <row r="22" spans="1:21" s="115" customFormat="1" ht="9">
      <c r="A22" s="111" t="s">
        <v>383</v>
      </c>
      <c r="B22" s="37">
        <v>40</v>
      </c>
      <c r="C22" s="37"/>
      <c r="D22" s="44">
        <v>0</v>
      </c>
      <c r="E22" s="44"/>
      <c r="F22" s="44">
        <v>0</v>
      </c>
      <c r="G22" s="37">
        <v>1</v>
      </c>
      <c r="H22" s="37">
        <f>B22*G22</f>
        <v>40</v>
      </c>
      <c r="I22" s="72">
        <f>ROUND(SUM('Base Data'!$H$79:$H$81)/3,0)</f>
        <v>0</v>
      </c>
      <c r="J22" s="73">
        <f>H22*I22</f>
        <v>0</v>
      </c>
      <c r="K22" s="73">
        <f>J22*0.1</f>
        <v>0</v>
      </c>
      <c r="L22" s="73">
        <f>J22*0.05</f>
        <v>0</v>
      </c>
      <c r="M22" s="74"/>
      <c r="N22" s="44">
        <f>(J22*'Base Data'!$C$5)+(K22*'Base Data'!$C$6)+(L22*'Base Data'!$C$7)</f>
        <v>0</v>
      </c>
      <c r="O22" s="44">
        <f>(D22+E22+F22)*G22*I22</f>
        <v>0</v>
      </c>
      <c r="P22" s="73">
        <v>0</v>
      </c>
      <c r="Q22" s="75"/>
      <c r="U22" s="144"/>
    </row>
    <row r="23" spans="1:21" s="115" customFormat="1" ht="9">
      <c r="A23" s="110" t="s">
        <v>361</v>
      </c>
      <c r="B23" s="37"/>
      <c r="C23" s="37"/>
      <c r="D23" s="44"/>
      <c r="E23" s="44"/>
      <c r="F23" s="44"/>
      <c r="G23" s="37"/>
      <c r="H23" s="37"/>
      <c r="I23" s="73"/>
      <c r="J23" s="73"/>
      <c r="K23" s="73"/>
      <c r="L23" s="73"/>
      <c r="M23" s="74"/>
      <c r="N23" s="44"/>
      <c r="O23" s="44"/>
      <c r="P23" s="73">
        <v>0</v>
      </c>
      <c r="Q23" s="75"/>
      <c r="U23" s="144"/>
    </row>
    <row r="24" spans="1:21" s="115" customFormat="1" ht="9">
      <c r="A24" s="110" t="s">
        <v>362</v>
      </c>
      <c r="B24" s="37">
        <v>10</v>
      </c>
      <c r="C24" s="37"/>
      <c r="D24" s="44">
        <v>0</v>
      </c>
      <c r="E24" s="44">
        <v>0</v>
      </c>
      <c r="F24" s="44">
        <v>43100</v>
      </c>
      <c r="G24" s="37">
        <v>1</v>
      </c>
      <c r="H24" s="37">
        <f>B24*G24</f>
        <v>10</v>
      </c>
      <c r="I24" s="72">
        <f>SUM(Monitors!$C$23/3,0)</f>
        <v>0</v>
      </c>
      <c r="J24" s="73">
        <f>H24*I24</f>
        <v>0</v>
      </c>
      <c r="K24" s="73">
        <f>J24*0.1</f>
        <v>0</v>
      </c>
      <c r="L24" s="73">
        <f>J24*0.05</f>
        <v>0</v>
      </c>
      <c r="M24" s="74"/>
      <c r="N24" s="44">
        <f>(J24*'Base Data'!$C$5)+(K24*'Base Data'!$C$6)+(L24*'Base Data'!$C$7)</f>
        <v>0</v>
      </c>
      <c r="O24" s="44">
        <f>(D24+E24+F24)*G24*I24</f>
        <v>0</v>
      </c>
      <c r="P24" s="73">
        <v>0</v>
      </c>
      <c r="Q24" s="75"/>
      <c r="U24" s="144"/>
    </row>
    <row r="25" spans="1:21" s="115" customFormat="1" ht="9">
      <c r="A25" s="110" t="s">
        <v>365</v>
      </c>
      <c r="B25" s="37">
        <v>10</v>
      </c>
      <c r="C25" s="37"/>
      <c r="D25" s="44">
        <v>0</v>
      </c>
      <c r="E25" s="44">
        <v>0</v>
      </c>
      <c r="F25" s="44">
        <v>14700</v>
      </c>
      <c r="G25" s="37">
        <v>1</v>
      </c>
      <c r="H25" s="37">
        <f>B25*G25</f>
        <v>10</v>
      </c>
      <c r="I25" s="72">
        <f>SUM(Monitors!$C$23/3,0)+'Fac-NewLrgLiquid-Yr2'!I25</f>
        <v>0</v>
      </c>
      <c r="J25" s="73">
        <f>H25*I25</f>
        <v>0</v>
      </c>
      <c r="K25" s="73">
        <f>J25*0.1</f>
        <v>0</v>
      </c>
      <c r="L25" s="73">
        <f>J25*0.05</f>
        <v>0</v>
      </c>
      <c r="M25" s="74"/>
      <c r="N25" s="44">
        <f>(J25*'Base Data'!$C$5)+(K25*'Base Data'!$C$6)+(L25*'Base Data'!$C$7)</f>
        <v>0</v>
      </c>
      <c r="O25" s="44">
        <f>(D25+E25+F25)*G25*I25</f>
        <v>0</v>
      </c>
      <c r="P25" s="73">
        <v>0</v>
      </c>
      <c r="Q25" s="75"/>
      <c r="U25" s="144"/>
    </row>
    <row r="26" spans="1:21" s="115" customFormat="1" ht="9">
      <c r="A26" s="110" t="s">
        <v>310</v>
      </c>
      <c r="B26" s="37"/>
      <c r="C26" s="37"/>
      <c r="D26" s="44"/>
      <c r="E26" s="44"/>
      <c r="F26" s="44"/>
      <c r="G26" s="37"/>
      <c r="H26" s="37"/>
      <c r="I26" s="73"/>
      <c r="J26" s="73"/>
      <c r="K26" s="73"/>
      <c r="L26" s="73"/>
      <c r="M26" s="74"/>
      <c r="N26" s="44"/>
      <c r="O26" s="44"/>
      <c r="P26" s="73"/>
      <c r="Q26" s="75"/>
      <c r="U26" s="144"/>
    </row>
    <row r="27" spans="1:21" s="115" customFormat="1" ht="9">
      <c r="A27" s="110" t="s">
        <v>362</v>
      </c>
      <c r="B27" s="37">
        <v>10</v>
      </c>
      <c r="C27" s="37"/>
      <c r="D27" s="44">
        <v>0</v>
      </c>
      <c r="E27" s="44">
        <v>0</v>
      </c>
      <c r="F27" s="44">
        <v>158000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c r="U27" s="144"/>
    </row>
    <row r="28" spans="1:21" s="115" customFormat="1" ht="9">
      <c r="A28" s="110" t="s">
        <v>365</v>
      </c>
      <c r="B28" s="37">
        <v>10</v>
      </c>
      <c r="C28" s="37"/>
      <c r="D28" s="44">
        <v>0</v>
      </c>
      <c r="E28" s="44">
        <v>0</v>
      </c>
      <c r="F28" s="44">
        <v>56100</v>
      </c>
      <c r="G28" s="37">
        <v>1</v>
      </c>
      <c r="H28" s="37">
        <f>B28*G28</f>
        <v>10</v>
      </c>
      <c r="I28" s="72">
        <f>'Fac-NewLrgLiquid-Yr2'!I28</f>
        <v>0</v>
      </c>
      <c r="J28" s="73">
        <f>H28*I28</f>
        <v>0</v>
      </c>
      <c r="K28" s="73">
        <f>J28*0.1</f>
        <v>0</v>
      </c>
      <c r="L28" s="73">
        <f>J28*0.05</f>
        <v>0</v>
      </c>
      <c r="M28" s="74"/>
      <c r="N28" s="44">
        <f>(J28*'Base Data'!$C$5)+(K28*'Base Data'!$C$6)+(L28*'Base Data'!$C$7)</f>
        <v>0</v>
      </c>
      <c r="O28" s="44">
        <f>(D28+E28+F28)*G28*I28</f>
        <v>0</v>
      </c>
      <c r="P28" s="73">
        <v>0</v>
      </c>
      <c r="Q28" s="75"/>
      <c r="U28" s="144"/>
    </row>
    <row r="29" spans="1:21" s="115" customFormat="1" ht="9">
      <c r="A29" s="110" t="s">
        <v>461</v>
      </c>
      <c r="B29" s="37"/>
      <c r="C29" s="37"/>
      <c r="D29" s="44"/>
      <c r="E29" s="44"/>
      <c r="F29" s="44"/>
      <c r="G29" s="37"/>
      <c r="H29" s="37"/>
      <c r="I29" s="72"/>
      <c r="J29" s="73"/>
      <c r="K29" s="73"/>
      <c r="L29" s="73"/>
      <c r="M29" s="74"/>
      <c r="N29" s="44"/>
      <c r="O29" s="44"/>
      <c r="P29" s="73"/>
      <c r="Q29" s="75"/>
    </row>
    <row r="30" spans="1:21" s="115" customFormat="1" ht="9">
      <c r="A30" s="110" t="s">
        <v>362</v>
      </c>
      <c r="B30" s="37">
        <v>10</v>
      </c>
      <c r="C30" s="37"/>
      <c r="D30" s="44">
        <v>0</v>
      </c>
      <c r="E30" s="44">
        <v>0</v>
      </c>
      <c r="F30" s="44">
        <f>Monitors!$F$32</f>
        <v>8523</v>
      </c>
      <c r="G30" s="37">
        <v>1</v>
      </c>
      <c r="H30" s="37">
        <f t="shared" ref="H30:H31" si="5">B30*G30</f>
        <v>10</v>
      </c>
      <c r="I30" s="72">
        <f>ROUND(Monitors!$F$23/3,0)</f>
        <v>0</v>
      </c>
      <c r="J30" s="73">
        <f t="shared" ref="J30:J31" si="6">H30*I30</f>
        <v>0</v>
      </c>
      <c r="K30" s="73">
        <f t="shared" ref="K30:K31" si="7">J30*0.1</f>
        <v>0</v>
      </c>
      <c r="L30" s="73">
        <f t="shared" ref="L30:L31" si="8">J30*0.05</f>
        <v>0</v>
      </c>
      <c r="M30" s="74"/>
      <c r="N30" s="44">
        <f>(J30*'Base Data'!$C$5)+(K30*'Base Data'!$C$6)+(L30*'Base Data'!$C$7)</f>
        <v>0</v>
      </c>
      <c r="O30" s="44">
        <f>(D30+E30+F30)*G30*I30</f>
        <v>0</v>
      </c>
      <c r="P30" s="73">
        <v>0</v>
      </c>
      <c r="Q30" s="75"/>
    </row>
    <row r="31" spans="1:21" s="115" customFormat="1" ht="9">
      <c r="A31" s="110" t="s">
        <v>365</v>
      </c>
      <c r="B31" s="37">
        <v>10</v>
      </c>
      <c r="C31" s="37"/>
      <c r="D31" s="44">
        <v>0</v>
      </c>
      <c r="E31" s="44">
        <v>0</v>
      </c>
      <c r="F31" s="44">
        <f>Monitors!$G$32</f>
        <v>1436</v>
      </c>
      <c r="G31" s="37">
        <v>1</v>
      </c>
      <c r="H31" s="37">
        <f t="shared" si="5"/>
        <v>10</v>
      </c>
      <c r="I31" s="72">
        <f>ROUND(Monitors!$F$23/3,0)+'Fac-NewLrgLiquid-Yr2'!I31</f>
        <v>0</v>
      </c>
      <c r="J31" s="73">
        <f t="shared" si="6"/>
        <v>0</v>
      </c>
      <c r="K31" s="73">
        <f t="shared" si="7"/>
        <v>0</v>
      </c>
      <c r="L31" s="73">
        <f t="shared" si="8"/>
        <v>0</v>
      </c>
      <c r="M31" s="74"/>
      <c r="N31" s="44">
        <f>(J31*'Base Data'!$C$5)+(K31*'Base Data'!$C$6)+(L31*'Base Data'!$C$7)</f>
        <v>0</v>
      </c>
      <c r="O31" s="44">
        <f>(D31+E31+F31)*G31*I31</f>
        <v>0</v>
      </c>
      <c r="P31" s="73">
        <v>0</v>
      </c>
      <c r="Q31" s="75"/>
    </row>
    <row r="32" spans="1:21" s="115" customFormat="1" ht="18">
      <c r="A32" s="111" t="s">
        <v>160</v>
      </c>
      <c r="B32" s="37"/>
      <c r="C32" s="37"/>
      <c r="D32" s="44"/>
      <c r="E32" s="44"/>
      <c r="F32" s="76"/>
      <c r="G32" s="37"/>
      <c r="H32" s="37"/>
      <c r="I32" s="77"/>
      <c r="J32" s="73"/>
      <c r="K32" s="73"/>
      <c r="L32" s="73"/>
      <c r="M32" s="74"/>
      <c r="N32" s="44"/>
      <c r="O32" s="44"/>
      <c r="P32" s="73"/>
      <c r="Q32" s="75"/>
      <c r="U32" s="144"/>
    </row>
    <row r="33" spans="1:21" s="115" customFormat="1" ht="9">
      <c r="A33" s="110" t="s">
        <v>362</v>
      </c>
      <c r="B33" s="37">
        <v>10</v>
      </c>
      <c r="C33" s="37"/>
      <c r="D33" s="44">
        <v>0</v>
      </c>
      <c r="E33" s="44">
        <v>0</v>
      </c>
      <c r="F33" s="44">
        <v>24300</v>
      </c>
      <c r="G33" s="37">
        <v>1</v>
      </c>
      <c r="H33" s="37">
        <f>B33*G33</f>
        <v>10</v>
      </c>
      <c r="I33" s="72">
        <f>ROUND(Monitors!$D$23/3,0)</f>
        <v>0</v>
      </c>
      <c r="J33" s="73">
        <f>H33*I33</f>
        <v>0</v>
      </c>
      <c r="K33" s="73">
        <f>J33*0.1</f>
        <v>0</v>
      </c>
      <c r="L33" s="73">
        <f>J33*0.05</f>
        <v>0</v>
      </c>
      <c r="M33" s="74"/>
      <c r="N33" s="44">
        <f>(J33*'Base Data'!$C$5)+(K33*'Base Data'!$C$6)+(L33*'Base Data'!$C$7)</f>
        <v>0</v>
      </c>
      <c r="O33" s="44">
        <f>(D33+E33+F33)*G33*I33</f>
        <v>0</v>
      </c>
      <c r="P33" s="73">
        <v>0</v>
      </c>
      <c r="Q33" s="75"/>
      <c r="U33" s="144"/>
    </row>
    <row r="34" spans="1:21" s="115" customFormat="1" ht="9">
      <c r="A34" s="110" t="s">
        <v>365</v>
      </c>
      <c r="B34" s="37">
        <v>10</v>
      </c>
      <c r="C34" s="37"/>
      <c r="D34" s="44">
        <v>0</v>
      </c>
      <c r="E34" s="44">
        <v>0</v>
      </c>
      <c r="F34" s="44">
        <v>5600</v>
      </c>
      <c r="G34" s="37">
        <v>1</v>
      </c>
      <c r="H34" s="37">
        <f>B34*G34</f>
        <v>10</v>
      </c>
      <c r="I34" s="72">
        <f>ROUND(Monitors!$D$23/3,0)+'Fac-NewLrgLiquid-Yr2'!I34</f>
        <v>0</v>
      </c>
      <c r="J34" s="73">
        <f>H34*I34</f>
        <v>0</v>
      </c>
      <c r="K34" s="73">
        <f>J34*0.1</f>
        <v>0</v>
      </c>
      <c r="L34" s="73">
        <f>J34*0.05</f>
        <v>0</v>
      </c>
      <c r="M34" s="74"/>
      <c r="N34" s="44">
        <f>(J34*'Base Data'!$C$5)+(K34*'Base Data'!$C$6)+(L34*'Base Data'!$C$7)</f>
        <v>0</v>
      </c>
      <c r="O34" s="44">
        <f>(D34+E34+F34)*G34*I34</f>
        <v>0</v>
      </c>
      <c r="P34" s="73">
        <v>0</v>
      </c>
      <c r="Q34" s="75"/>
      <c r="U34" s="144"/>
    </row>
    <row r="35" spans="1:21" s="115" customFormat="1" ht="18">
      <c r="A35" s="111" t="s">
        <v>425</v>
      </c>
      <c r="B35" s="37"/>
      <c r="C35" s="37"/>
      <c r="D35" s="44"/>
      <c r="E35" s="44"/>
      <c r="F35" s="44"/>
      <c r="G35" s="37"/>
      <c r="H35" s="37"/>
      <c r="I35" s="77"/>
      <c r="J35" s="73"/>
      <c r="K35" s="73"/>
      <c r="L35" s="73"/>
      <c r="M35" s="74"/>
      <c r="N35" s="44"/>
      <c r="O35" s="183"/>
      <c r="P35" s="73"/>
      <c r="Q35" s="75"/>
      <c r="U35" s="144"/>
    </row>
    <row r="36" spans="1:21" s="115" customFormat="1" ht="9">
      <c r="A36" s="110" t="s">
        <v>362</v>
      </c>
      <c r="B36" s="37">
        <v>10</v>
      </c>
      <c r="C36" s="37"/>
      <c r="D36" s="44">
        <v>0</v>
      </c>
      <c r="E36" s="44">
        <v>0</v>
      </c>
      <c r="F36" s="44">
        <f>25500</f>
        <v>25500</v>
      </c>
      <c r="G36" s="37">
        <v>1</v>
      </c>
      <c r="H36" s="37">
        <f>B36*G36</f>
        <v>10</v>
      </c>
      <c r="I36" s="72">
        <f>ROUND(Monitors!$B$23/3,0)</f>
        <v>0</v>
      </c>
      <c r="J36" s="73">
        <f>H36*I36</f>
        <v>0</v>
      </c>
      <c r="K36" s="73">
        <f>J36*0.1</f>
        <v>0</v>
      </c>
      <c r="L36" s="73">
        <f>J36*0.05</f>
        <v>0</v>
      </c>
      <c r="M36" s="74"/>
      <c r="N36" s="44">
        <f>(J36*'Base Data'!$C$5)+(K36*'Base Data'!$C$6)+(L36*'Base Data'!$C$7)</f>
        <v>0</v>
      </c>
      <c r="O36" s="44">
        <f>(D36+E36+F36)*G36*I36</f>
        <v>0</v>
      </c>
      <c r="P36" s="73">
        <v>0</v>
      </c>
      <c r="Q36" s="75"/>
      <c r="U36" s="144"/>
    </row>
    <row r="37" spans="1:21" s="115" customFormat="1" ht="9">
      <c r="A37" s="110" t="s">
        <v>365</v>
      </c>
      <c r="B37" s="37">
        <v>10</v>
      </c>
      <c r="C37" s="37"/>
      <c r="D37" s="44">
        <v>0</v>
      </c>
      <c r="E37" s="44">
        <v>0</v>
      </c>
      <c r="F37" s="44">
        <v>9700</v>
      </c>
      <c r="G37" s="37">
        <v>1</v>
      </c>
      <c r="H37" s="37">
        <f>B37*G37</f>
        <v>10</v>
      </c>
      <c r="I37" s="72">
        <f>ROUND(Monitors!$B$23/3,0)+'Fac-NewLrgLiquid-Yr2'!I37</f>
        <v>0</v>
      </c>
      <c r="J37" s="73">
        <f>H37*I37</f>
        <v>0</v>
      </c>
      <c r="K37" s="73">
        <f>J37*0.1</f>
        <v>0</v>
      </c>
      <c r="L37" s="73">
        <f>J37*0.05</f>
        <v>0</v>
      </c>
      <c r="M37" s="74"/>
      <c r="N37" s="44">
        <f>(J37*'Base Data'!$C$5)+(K37*'Base Data'!$C$6)+(L37*'Base Data'!$C$7)</f>
        <v>0</v>
      </c>
      <c r="O37" s="44">
        <f>(D37+E37+F37)*G37*I37</f>
        <v>0</v>
      </c>
      <c r="P37" s="73">
        <v>0</v>
      </c>
      <c r="Q37" s="75"/>
      <c r="U37" s="144"/>
    </row>
    <row r="38" spans="1:21" s="115" customFormat="1" ht="18">
      <c r="A38" s="111" t="s">
        <v>161</v>
      </c>
      <c r="B38" s="37"/>
      <c r="C38" s="37"/>
      <c r="D38" s="44"/>
      <c r="E38" s="44"/>
      <c r="F38" s="44"/>
      <c r="G38" s="37"/>
      <c r="H38" s="37"/>
      <c r="I38" s="77"/>
      <c r="J38" s="73"/>
      <c r="K38" s="73"/>
      <c r="L38" s="73"/>
      <c r="M38" s="74"/>
      <c r="N38" s="44"/>
      <c r="O38" s="44"/>
      <c r="P38" s="73"/>
      <c r="Q38" s="75"/>
      <c r="U38" s="144"/>
    </row>
    <row r="39" spans="1:21" s="115" customFormat="1" ht="9">
      <c r="A39" s="110" t="s">
        <v>362</v>
      </c>
      <c r="B39" s="37">
        <v>10</v>
      </c>
      <c r="C39" s="37"/>
      <c r="D39" s="44">
        <v>0</v>
      </c>
      <c r="E39" s="44">
        <v>0</v>
      </c>
      <c r="F39" s="44">
        <v>115000</v>
      </c>
      <c r="G39" s="37">
        <v>1</v>
      </c>
      <c r="H39" s="37">
        <f>B39*G39</f>
        <v>10</v>
      </c>
      <c r="I39" s="72">
        <f>ROUNDDOWN(Monitors!$E$23/3,0)</f>
        <v>0</v>
      </c>
      <c r="J39" s="73">
        <f>H39*I39</f>
        <v>0</v>
      </c>
      <c r="K39" s="73">
        <f>J39*0.1</f>
        <v>0</v>
      </c>
      <c r="L39" s="73">
        <f>J39*0.05</f>
        <v>0</v>
      </c>
      <c r="M39" s="74"/>
      <c r="N39" s="44">
        <f>(J39*'Base Data'!$C$5)+(K39*'Base Data'!$C$6)+(L39*'Base Data'!$C$7)</f>
        <v>0</v>
      </c>
      <c r="O39" s="44">
        <f>(D39+E39+F39)*G39*I39</f>
        <v>0</v>
      </c>
      <c r="P39" s="73">
        <v>0</v>
      </c>
      <c r="Q39" s="75"/>
      <c r="U39" s="144"/>
    </row>
    <row r="40" spans="1:21" s="115" customFormat="1" ht="9">
      <c r="A40" s="110" t="s">
        <v>365</v>
      </c>
      <c r="B40" s="37">
        <v>10</v>
      </c>
      <c r="C40" s="37"/>
      <c r="D40" s="44">
        <v>0</v>
      </c>
      <c r="E40" s="44">
        <v>0</v>
      </c>
      <c r="F40" s="44">
        <v>9700</v>
      </c>
      <c r="G40" s="37">
        <v>1</v>
      </c>
      <c r="H40" s="37">
        <f>B40*G40</f>
        <v>10</v>
      </c>
      <c r="I40" s="72">
        <f>ROUNDDOWN(Monitors!$E$23/3,0)+'Fac-NewLrgLiquid-Yr2'!I40</f>
        <v>0</v>
      </c>
      <c r="J40" s="73">
        <f>H40*I40</f>
        <v>0</v>
      </c>
      <c r="K40" s="73">
        <f>J40*0.1</f>
        <v>0</v>
      </c>
      <c r="L40" s="73">
        <f>J40*0.05</f>
        <v>0</v>
      </c>
      <c r="M40" s="74"/>
      <c r="N40" s="44">
        <f>(J40*'Base Data'!$C$5)+(K40*'Base Data'!$C$6)+(L40*'Base Data'!$C$7)</f>
        <v>0</v>
      </c>
      <c r="O40" s="44">
        <f>(D40+E40+F40)*G40*I40</f>
        <v>0</v>
      </c>
      <c r="P40" s="73">
        <v>0</v>
      </c>
      <c r="Q40" s="75"/>
      <c r="U40" s="144"/>
    </row>
    <row r="41" spans="1:21" s="115" customFormat="1" ht="9">
      <c r="A41" s="110" t="s">
        <v>366</v>
      </c>
      <c r="B41" s="37" t="s">
        <v>384</v>
      </c>
      <c r="C41" s="37"/>
      <c r="D41" s="44"/>
      <c r="E41" s="44"/>
      <c r="F41" s="44"/>
      <c r="G41" s="37"/>
      <c r="H41" s="37"/>
      <c r="I41" s="73"/>
      <c r="J41" s="73"/>
      <c r="K41" s="73"/>
      <c r="L41" s="73"/>
      <c r="M41" s="37"/>
      <c r="N41" s="44"/>
      <c r="O41" s="44"/>
      <c r="P41" s="73"/>
      <c r="Q41" s="75"/>
      <c r="U41" s="144"/>
    </row>
    <row r="42" spans="1:21" s="115" customFormat="1" ht="9">
      <c r="A42" s="110" t="s">
        <v>367</v>
      </c>
      <c r="B42" s="37" t="s">
        <v>384</v>
      </c>
      <c r="C42" s="37"/>
      <c r="D42" s="44"/>
      <c r="E42" s="44"/>
      <c r="F42" s="44"/>
      <c r="G42" s="37"/>
      <c r="H42" s="37"/>
      <c r="I42" s="73"/>
      <c r="J42" s="73"/>
      <c r="K42" s="73"/>
      <c r="L42" s="73"/>
      <c r="M42" s="37"/>
      <c r="N42" s="44"/>
      <c r="O42" s="44"/>
      <c r="P42" s="73"/>
      <c r="Q42" s="75"/>
    </row>
    <row r="43" spans="1:21" s="115" customFormat="1" ht="9">
      <c r="A43" s="110" t="s">
        <v>368</v>
      </c>
      <c r="B43" s="37"/>
      <c r="C43" s="37"/>
      <c r="D43" s="44"/>
      <c r="E43" s="44"/>
      <c r="F43" s="44"/>
      <c r="G43" s="37"/>
      <c r="H43" s="37"/>
      <c r="I43" s="73"/>
      <c r="J43" s="73"/>
      <c r="K43" s="73"/>
      <c r="L43" s="73"/>
      <c r="M43" s="37"/>
      <c r="N43" s="44"/>
      <c r="O43" s="44"/>
      <c r="P43" s="73"/>
      <c r="Q43" s="75"/>
    </row>
    <row r="44" spans="1:21" s="115" customFormat="1" ht="9">
      <c r="A44" s="126" t="s">
        <v>386</v>
      </c>
      <c r="B44" s="37">
        <v>2</v>
      </c>
      <c r="C44" s="37"/>
      <c r="D44" s="44">
        <v>0</v>
      </c>
      <c r="E44" s="44">
        <v>0</v>
      </c>
      <c r="F44" s="44">
        <v>0</v>
      </c>
      <c r="G44" s="37">
        <v>1</v>
      </c>
      <c r="H44" s="37">
        <f>B44*G44</f>
        <v>2</v>
      </c>
      <c r="I44" s="72">
        <f>$I$7</f>
        <v>0</v>
      </c>
      <c r="J44" s="73">
        <f>H44*I44</f>
        <v>0</v>
      </c>
      <c r="K44" s="73">
        <f>J44*0.1</f>
        <v>0</v>
      </c>
      <c r="L44" s="73">
        <f>J44*0.05</f>
        <v>0</v>
      </c>
      <c r="M44" s="37">
        <f>C44*G44*I44</f>
        <v>0</v>
      </c>
      <c r="N44" s="44">
        <f>(J44*'Base Data'!$C$5)+(K44*'Base Data'!$C$6)+(L44*'Base Data'!$C$7)</f>
        <v>0</v>
      </c>
      <c r="O44" s="44">
        <f>(D44+E44+F44)*G44*I44</f>
        <v>0</v>
      </c>
      <c r="P44" s="73">
        <f>G44*I44</f>
        <v>0</v>
      </c>
      <c r="Q44" s="75"/>
    </row>
    <row r="45" spans="1:21" s="115" customFormat="1" ht="9" customHeight="1">
      <c r="A45" s="126" t="s">
        <v>328</v>
      </c>
      <c r="B45" s="37">
        <v>8</v>
      </c>
      <c r="C45" s="37"/>
      <c r="D45" s="44">
        <v>0</v>
      </c>
      <c r="E45" s="44">
        <v>0</v>
      </c>
      <c r="F45" s="44">
        <v>0</v>
      </c>
      <c r="G45" s="37">
        <v>1</v>
      </c>
      <c r="H45" s="37">
        <f>B45*G45</f>
        <v>8</v>
      </c>
      <c r="I45" s="72">
        <f>$I$7</f>
        <v>0</v>
      </c>
      <c r="J45" s="73">
        <f>H45*I45</f>
        <v>0</v>
      </c>
      <c r="K45" s="73">
        <f>J45*0.1</f>
        <v>0</v>
      </c>
      <c r="L45" s="73">
        <f>J45*0.05</f>
        <v>0</v>
      </c>
      <c r="M45" s="37">
        <f>C45*G45*I45</f>
        <v>0</v>
      </c>
      <c r="N45" s="44">
        <f>(J45*'Base Data'!$C$5)+(K45*'Base Data'!$C$6)+(L45*'Base Data'!$C$7)</f>
        <v>0</v>
      </c>
      <c r="O45" s="44">
        <f>(D45+E45+F45)*G45*I45</f>
        <v>0</v>
      </c>
      <c r="P45" s="73">
        <f>G45*I45</f>
        <v>0</v>
      </c>
      <c r="Q45" s="75"/>
    </row>
    <row r="46" spans="1:21" s="115" customFormat="1" ht="9">
      <c r="A46" s="112" t="s">
        <v>435</v>
      </c>
      <c r="B46" s="37">
        <v>20</v>
      </c>
      <c r="C46" s="37">
        <v>0</v>
      </c>
      <c r="D46" s="44">
        <v>0</v>
      </c>
      <c r="E46" s="44">
        <v>0</v>
      </c>
      <c r="F46" s="44">
        <v>0</v>
      </c>
      <c r="G46" s="37">
        <v>2</v>
      </c>
      <c r="H46" s="37">
        <f>B46*G46</f>
        <v>40</v>
      </c>
      <c r="I46" s="72">
        <f>$I$7+'Fac-NewLrgLiquid-Yr2'!I46</f>
        <v>0</v>
      </c>
      <c r="J46" s="73">
        <f>H46*I46</f>
        <v>0</v>
      </c>
      <c r="K46" s="73">
        <f>J46*0.1</f>
        <v>0</v>
      </c>
      <c r="L46" s="73">
        <f>J46*0.05</f>
        <v>0</v>
      </c>
      <c r="M46" s="73">
        <f>C46*G46*I46</f>
        <v>0</v>
      </c>
      <c r="N46" s="44">
        <f>(J46*'Base Data'!$C$5)+(K46*'Base Data'!$C$6)+(L46*'Base Data'!$C$7)</f>
        <v>0</v>
      </c>
      <c r="O46" s="44">
        <f>(D46+E46+F46)*G46*I46</f>
        <v>0</v>
      </c>
      <c r="P46" s="73">
        <f>G46*I46</f>
        <v>0</v>
      </c>
      <c r="Q46" s="75"/>
      <c r="R46" s="133"/>
    </row>
    <row r="47" spans="1:21" s="115" customFormat="1" ht="9">
      <c r="A47" s="112" t="s">
        <v>510</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c r="R47" s="133"/>
    </row>
    <row r="48" spans="1:21" s="115" customFormat="1" ht="9">
      <c r="A48" s="113" t="s">
        <v>7</v>
      </c>
      <c r="B48" s="37"/>
      <c r="C48" s="37"/>
      <c r="D48" s="44"/>
      <c r="E48" s="44"/>
      <c r="F48" s="44"/>
      <c r="G48" s="37"/>
      <c r="H48" s="37"/>
      <c r="I48" s="72"/>
      <c r="J48" s="73">
        <f t="shared" ref="J48:O48" si="9">SUM(J4:J46)</f>
        <v>0</v>
      </c>
      <c r="K48" s="73">
        <f t="shared" si="9"/>
        <v>0</v>
      </c>
      <c r="L48" s="73">
        <f t="shared" si="9"/>
        <v>0</v>
      </c>
      <c r="M48" s="73">
        <f t="shared" si="9"/>
        <v>0</v>
      </c>
      <c r="N48" s="44">
        <f t="shared" si="9"/>
        <v>0</v>
      </c>
      <c r="O48" s="44">
        <f t="shared" si="9"/>
        <v>0</v>
      </c>
      <c r="P48" s="73">
        <f>SUM(P44:P46)</f>
        <v>0</v>
      </c>
      <c r="Q48" s="75"/>
      <c r="R48" s="118">
        <f>SUM(O7,O9:O19,O25,O28,O31,O34,O37,O40)</f>
        <v>0</v>
      </c>
      <c r="S48" s="117">
        <f>SUM(O24,O27,O30,O33,O36,O39)</f>
        <v>0</v>
      </c>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0" si="10">B54*G54</f>
        <v>20</v>
      </c>
      <c r="I54" s="72">
        <f>$I$9+'Fac-NewLrgLiquid-Yr2'!I54</f>
        <v>0</v>
      </c>
      <c r="J54" s="73">
        <f t="shared" ref="J54:J60" si="11">H54*I54</f>
        <v>0</v>
      </c>
      <c r="K54" s="73">
        <f t="shared" ref="K54:K60" si="12">J54*0.1</f>
        <v>0</v>
      </c>
      <c r="L54" s="73">
        <f t="shared" ref="L54:L60" si="13">J54*0.05</f>
        <v>0</v>
      </c>
      <c r="M54" s="37"/>
      <c r="N54" s="44">
        <f>(J54*'Base Data'!$C$5)+(K54*'Base Data'!$C$6)+(L54*'Base Data'!$C$7)</f>
        <v>0</v>
      </c>
      <c r="O54" s="44">
        <f t="shared" ref="O54:O60" si="14">(D54+E54+F54)*G54*I54</f>
        <v>0</v>
      </c>
      <c r="P54" s="73">
        <v>0</v>
      </c>
      <c r="Q54" s="75"/>
    </row>
    <row r="55" spans="1:18" s="115" customFormat="1" ht="9">
      <c r="A55" s="111" t="s">
        <v>376</v>
      </c>
      <c r="B55" s="37">
        <v>15</v>
      </c>
      <c r="C55" s="37">
        <v>0</v>
      </c>
      <c r="D55" s="44">
        <v>0</v>
      </c>
      <c r="E55" s="44">
        <v>0</v>
      </c>
      <c r="F55" s="44">
        <v>0</v>
      </c>
      <c r="G55" s="37">
        <v>1</v>
      </c>
      <c r="H55" s="37">
        <f t="shared" si="10"/>
        <v>15</v>
      </c>
      <c r="I55" s="72">
        <f>$I$9+'Fac-NewLrgLiquid-Yr2'!I55</f>
        <v>0</v>
      </c>
      <c r="J55" s="73">
        <f t="shared" si="11"/>
        <v>0</v>
      </c>
      <c r="K55" s="73">
        <f t="shared" si="12"/>
        <v>0</v>
      </c>
      <c r="L55" s="73">
        <f t="shared" si="13"/>
        <v>0</v>
      </c>
      <c r="M55" s="37">
        <f>C55*G55*I55</f>
        <v>0</v>
      </c>
      <c r="N55" s="44">
        <f>(J55*'Base Data'!$C$5)+(K55*'Base Data'!$C$6)+(L55*'Base Data'!$C$7)</f>
        <v>0</v>
      </c>
      <c r="O55" s="44">
        <f t="shared" si="14"/>
        <v>0</v>
      </c>
      <c r="P55" s="73">
        <v>0</v>
      </c>
      <c r="Q55" s="75"/>
    </row>
    <row r="56" spans="1:18" s="115" customFormat="1" ht="9.75" customHeight="1">
      <c r="A56" s="110" t="s">
        <v>377</v>
      </c>
      <c r="B56" s="37">
        <v>2</v>
      </c>
      <c r="C56" s="37"/>
      <c r="D56" s="44">
        <v>0</v>
      </c>
      <c r="E56" s="44">
        <v>0</v>
      </c>
      <c r="F56" s="44">
        <v>0</v>
      </c>
      <c r="G56" s="37">
        <v>1</v>
      </c>
      <c r="H56" s="37">
        <f t="shared" si="10"/>
        <v>2</v>
      </c>
      <c r="I56" s="72">
        <f>$I$9+'Fac-NewLrgLiquid-Yr2'!I56</f>
        <v>0</v>
      </c>
      <c r="J56" s="73">
        <f t="shared" si="11"/>
        <v>0</v>
      </c>
      <c r="K56" s="73">
        <f t="shared" si="12"/>
        <v>0</v>
      </c>
      <c r="L56" s="73">
        <f t="shared" si="13"/>
        <v>0</v>
      </c>
      <c r="M56" s="37"/>
      <c r="N56" s="44">
        <f>(J56*'Base Data'!$C$5)+(K56*'Base Data'!$C$6)+(L56*'Base Data'!$C$7)</f>
        <v>0</v>
      </c>
      <c r="O56" s="44">
        <f t="shared" si="14"/>
        <v>0</v>
      </c>
      <c r="P56" s="73">
        <v>0</v>
      </c>
      <c r="Q56" s="75"/>
    </row>
    <row r="57" spans="1:18" s="115" customFormat="1" ht="9">
      <c r="A57" s="111" t="s">
        <v>387</v>
      </c>
      <c r="B57" s="37">
        <v>2</v>
      </c>
      <c r="C57" s="37"/>
      <c r="D57" s="44">
        <v>0</v>
      </c>
      <c r="E57" s="44">
        <v>0</v>
      </c>
      <c r="F57" s="44">
        <v>0</v>
      </c>
      <c r="G57" s="37">
        <v>1</v>
      </c>
      <c r="H57" s="37">
        <f t="shared" si="10"/>
        <v>2</v>
      </c>
      <c r="I57" s="72">
        <f>$I$9+'Fac-NewLrgLiquid-Yr2'!I57</f>
        <v>0</v>
      </c>
      <c r="J57" s="73">
        <f t="shared" si="11"/>
        <v>0</v>
      </c>
      <c r="K57" s="73">
        <f t="shared" si="12"/>
        <v>0</v>
      </c>
      <c r="L57" s="73">
        <f t="shared" si="13"/>
        <v>0</v>
      </c>
      <c r="M57" s="37"/>
      <c r="N57" s="44">
        <f>(J57*'Base Data'!$C$5)+(K57*'Base Data'!$C$6)+(L57*'Base Data'!$C$7)</f>
        <v>0</v>
      </c>
      <c r="O57" s="44">
        <f t="shared" si="14"/>
        <v>0</v>
      </c>
      <c r="P57" s="73">
        <v>0</v>
      </c>
      <c r="Q57" s="75"/>
    </row>
    <row r="58" spans="1:18" s="115" customFormat="1" ht="9">
      <c r="A58" s="111" t="s">
        <v>388</v>
      </c>
      <c r="B58" s="37">
        <v>2</v>
      </c>
      <c r="C58" s="37">
        <v>0</v>
      </c>
      <c r="D58" s="44">
        <v>0</v>
      </c>
      <c r="E58" s="44">
        <v>0</v>
      </c>
      <c r="F58" s="44">
        <v>0</v>
      </c>
      <c r="G58" s="37">
        <v>2</v>
      </c>
      <c r="H58" s="37">
        <f t="shared" si="10"/>
        <v>4</v>
      </c>
      <c r="I58" s="72">
        <f>$I$9+'Fac-NewLrgLiquid-Yr2'!I58</f>
        <v>0</v>
      </c>
      <c r="J58" s="73">
        <f t="shared" si="11"/>
        <v>0</v>
      </c>
      <c r="K58" s="73">
        <f t="shared" si="12"/>
        <v>0</v>
      </c>
      <c r="L58" s="73">
        <f t="shared" si="13"/>
        <v>0</v>
      </c>
      <c r="M58" s="37">
        <f>C58*G58*I58</f>
        <v>0</v>
      </c>
      <c r="N58" s="44">
        <f>(J58*'Base Data'!$C$5)+(K58*'Base Data'!$C$6)+(L58*'Base Data'!$C$7)</f>
        <v>0</v>
      </c>
      <c r="O58" s="44">
        <f t="shared" si="14"/>
        <v>0</v>
      </c>
      <c r="P58" s="73">
        <v>0</v>
      </c>
      <c r="Q58" s="75"/>
    </row>
    <row r="59" spans="1:18" s="115" customFormat="1" ht="9">
      <c r="A59" s="111" t="s">
        <v>389</v>
      </c>
      <c r="B59" s="37">
        <v>0.5</v>
      </c>
      <c r="C59" s="37"/>
      <c r="D59" s="44">
        <v>0</v>
      </c>
      <c r="E59" s="44">
        <v>0</v>
      </c>
      <c r="F59" s="44">
        <v>0</v>
      </c>
      <c r="G59" s="37">
        <v>12</v>
      </c>
      <c r="H59" s="37">
        <f t="shared" si="10"/>
        <v>6</v>
      </c>
      <c r="I59" s="72">
        <f>$I$9+'Fac-NewLrgLiquid-Yr2'!I59</f>
        <v>0</v>
      </c>
      <c r="J59" s="73">
        <f t="shared" si="11"/>
        <v>0</v>
      </c>
      <c r="K59" s="73">
        <f t="shared" si="12"/>
        <v>0</v>
      </c>
      <c r="L59" s="73">
        <f t="shared" si="13"/>
        <v>0</v>
      </c>
      <c r="M59" s="37"/>
      <c r="N59" s="44">
        <f>(J59*'Base Data'!$C$5)+(K59*'Base Data'!$C$6)+(L59*'Base Data'!$C$7)</f>
        <v>0</v>
      </c>
      <c r="O59" s="44">
        <f t="shared" si="14"/>
        <v>0</v>
      </c>
      <c r="P59" s="73">
        <v>0</v>
      </c>
      <c r="Q59" s="75"/>
    </row>
    <row r="60" spans="1:18" s="115" customFormat="1" ht="9">
      <c r="A60" s="110" t="s">
        <v>378</v>
      </c>
      <c r="B60" s="37">
        <v>40</v>
      </c>
      <c r="C60" s="37"/>
      <c r="D60" s="44">
        <v>0</v>
      </c>
      <c r="E60" s="44">
        <v>0</v>
      </c>
      <c r="F60" s="44">
        <v>0</v>
      </c>
      <c r="G60" s="37">
        <v>1</v>
      </c>
      <c r="H60" s="37">
        <f t="shared" si="10"/>
        <v>40</v>
      </c>
      <c r="I60" s="72">
        <f>$I$7</f>
        <v>0</v>
      </c>
      <c r="J60" s="73">
        <f t="shared" si="11"/>
        <v>0</v>
      </c>
      <c r="K60" s="73">
        <f t="shared" si="12"/>
        <v>0</v>
      </c>
      <c r="L60" s="73">
        <f t="shared" si="13"/>
        <v>0</v>
      </c>
      <c r="M60" s="37"/>
      <c r="N60" s="44">
        <f>(J60*'Base Data'!$C$5)+(K60*'Base Data'!$C$6)+(L60*'Base Data'!$C$7)</f>
        <v>0</v>
      </c>
      <c r="O60" s="44">
        <f t="shared" si="14"/>
        <v>0</v>
      </c>
      <c r="P60" s="73">
        <v>0</v>
      </c>
      <c r="Q60" s="75"/>
    </row>
    <row r="61" spans="1:18" s="115" customFormat="1" ht="9">
      <c r="A61" s="110" t="s">
        <v>379</v>
      </c>
      <c r="B61" s="37" t="s">
        <v>384</v>
      </c>
      <c r="C61" s="37"/>
      <c r="D61" s="44"/>
      <c r="E61" s="44"/>
      <c r="F61" s="44"/>
      <c r="G61" s="37"/>
      <c r="H61" s="37"/>
      <c r="I61" s="73"/>
      <c r="J61" s="73"/>
      <c r="K61" s="73"/>
      <c r="L61" s="73"/>
      <c r="M61" s="37"/>
      <c r="N61" s="44"/>
      <c r="O61" s="44"/>
      <c r="P61" s="73"/>
      <c r="Q61" s="75"/>
    </row>
    <row r="62" spans="1:18" s="115" customFormat="1" ht="9">
      <c r="A62" s="190" t="s">
        <v>26</v>
      </c>
      <c r="B62" s="184"/>
      <c r="C62" s="184"/>
      <c r="D62" s="185"/>
      <c r="E62" s="185"/>
      <c r="F62" s="185"/>
      <c r="G62" s="184"/>
      <c r="H62" s="184"/>
      <c r="I62" s="186"/>
      <c r="J62" s="186">
        <f t="shared" ref="J62:P62" si="15">SUM(J50:J61)</f>
        <v>0</v>
      </c>
      <c r="K62" s="186">
        <f t="shared" si="15"/>
        <v>0</v>
      </c>
      <c r="L62" s="186">
        <f t="shared" si="15"/>
        <v>0</v>
      </c>
      <c r="M62" s="185">
        <f t="shared" si="15"/>
        <v>0</v>
      </c>
      <c r="N62" s="185">
        <f t="shared" si="15"/>
        <v>0</v>
      </c>
      <c r="O62" s="185">
        <f t="shared" si="15"/>
        <v>0</v>
      </c>
      <c r="P62" s="73">
        <f t="shared" si="15"/>
        <v>0</v>
      </c>
      <c r="Q62" s="187"/>
      <c r="R62" s="44">
        <f>SUM(R50:R61)</f>
        <v>0</v>
      </c>
    </row>
    <row r="63" spans="1:18" s="134" customFormat="1">
      <c r="A63" s="135" t="s">
        <v>351</v>
      </c>
      <c r="B63" s="136"/>
      <c r="C63" s="136"/>
      <c r="D63" s="136"/>
      <c r="E63" s="136"/>
      <c r="F63" s="137"/>
      <c r="G63" s="136"/>
      <c r="H63" s="136"/>
      <c r="I63" s="138"/>
      <c r="J63" s="139">
        <f t="shared" ref="J63:P63" si="16">J48+J62</f>
        <v>0</v>
      </c>
      <c r="K63" s="139">
        <f t="shared" si="16"/>
        <v>0</v>
      </c>
      <c r="L63" s="139">
        <f t="shared" si="16"/>
        <v>0</v>
      </c>
      <c r="M63" s="140">
        <f t="shared" si="16"/>
        <v>0</v>
      </c>
      <c r="N63" s="140">
        <f t="shared" si="16"/>
        <v>0</v>
      </c>
      <c r="O63" s="140">
        <f t="shared" si="16"/>
        <v>0</v>
      </c>
      <c r="P63" s="139">
        <f t="shared" si="16"/>
        <v>0</v>
      </c>
      <c r="Q63" s="141"/>
    </row>
    <row r="64" spans="1:18" ht="6" customHeight="1"/>
    <row r="65" spans="1:17" s="45" customFormat="1" ht="9">
      <c r="A65" s="499" t="s">
        <v>552</v>
      </c>
      <c r="B65" s="499"/>
      <c r="C65" s="499"/>
      <c r="D65" s="499"/>
      <c r="E65" s="499"/>
      <c r="F65" s="499"/>
      <c r="G65" s="499"/>
      <c r="H65" s="499"/>
      <c r="I65" s="499"/>
      <c r="J65" s="499"/>
      <c r="K65" s="499"/>
      <c r="L65" s="499"/>
      <c r="M65" s="499"/>
      <c r="N65" s="499"/>
      <c r="O65" s="499"/>
      <c r="P65" s="460"/>
      <c r="Q65" s="48"/>
    </row>
    <row r="66" spans="1:17" s="45" customFormat="1" ht="9">
      <c r="B66" s="48"/>
      <c r="C66" s="48"/>
      <c r="D66" s="48"/>
      <c r="E66" s="48"/>
      <c r="F66" s="48"/>
      <c r="G66" s="48"/>
      <c r="H66" s="48"/>
      <c r="I66" s="49"/>
      <c r="J66" s="48"/>
      <c r="K66" s="48"/>
      <c r="L66" s="48"/>
      <c r="M66" s="48"/>
      <c r="N66" s="48"/>
      <c r="O66" s="146"/>
      <c r="P66" s="146"/>
      <c r="Q66" s="48"/>
    </row>
    <row r="67" spans="1:17" s="45" customFormat="1" ht="9">
      <c r="B67" s="48"/>
      <c r="C67" s="48"/>
      <c r="D67" s="48"/>
      <c r="E67" s="48"/>
      <c r="F67" s="48"/>
      <c r="G67" s="48"/>
      <c r="H67" s="48"/>
      <c r="I67" s="49"/>
      <c r="J67" s="48"/>
      <c r="K67" s="48"/>
      <c r="L67" s="48"/>
      <c r="M67" s="48"/>
      <c r="N67" s="48"/>
      <c r="O67" s="146"/>
      <c r="P67" s="146"/>
      <c r="Q67" s="48"/>
    </row>
    <row r="68" spans="1:17" s="45" customFormat="1" ht="9">
      <c r="B68" s="48"/>
      <c r="C68" s="48"/>
      <c r="D68" s="48"/>
      <c r="E68" s="48"/>
      <c r="F68" s="48"/>
      <c r="G68" s="48"/>
      <c r="H68" s="48"/>
      <c r="I68" s="49"/>
      <c r="J68" s="48"/>
      <c r="K68" s="48"/>
      <c r="L68" s="48"/>
      <c r="M68" s="48"/>
      <c r="N68" s="48"/>
      <c r="O68" s="146"/>
      <c r="P68" s="146"/>
      <c r="Q68" s="48"/>
    </row>
    <row r="69" spans="1:17" s="45" customFormat="1" ht="9">
      <c r="B69" s="48"/>
      <c r="C69" s="48"/>
      <c r="D69" s="48"/>
      <c r="E69" s="48"/>
      <c r="F69" s="48"/>
      <c r="G69" s="48"/>
      <c r="H69" s="48"/>
      <c r="I69" s="49"/>
      <c r="J69" s="48"/>
      <c r="K69" s="48"/>
      <c r="L69" s="48"/>
      <c r="M69" s="48"/>
      <c r="N69" s="48"/>
      <c r="O69" s="146"/>
      <c r="P69" s="146"/>
      <c r="Q69" s="48"/>
    </row>
    <row r="70" spans="1:17" s="45" customFormat="1" ht="9">
      <c r="B70" s="48"/>
      <c r="C70" s="48"/>
      <c r="D70" s="48"/>
      <c r="E70" s="48"/>
      <c r="F70" s="48"/>
      <c r="G70" s="48"/>
      <c r="H70" s="48"/>
      <c r="I70" s="49"/>
      <c r="J70" s="48"/>
      <c r="K70" s="48"/>
      <c r="L70" s="48"/>
      <c r="M70" s="48"/>
      <c r="N70" s="48"/>
      <c r="O70" s="146"/>
      <c r="P70" s="146"/>
      <c r="Q70" s="48"/>
    </row>
    <row r="71" spans="1:17" s="45" customFormat="1" ht="9">
      <c r="B71" s="48"/>
      <c r="C71" s="48"/>
      <c r="D71" s="48"/>
      <c r="E71" s="48"/>
      <c r="F71" s="48"/>
      <c r="G71" s="48"/>
      <c r="H71" s="48"/>
      <c r="I71" s="49"/>
      <c r="J71" s="48"/>
      <c r="K71" s="48"/>
      <c r="L71" s="48"/>
      <c r="M71" s="48"/>
      <c r="N71" s="48"/>
      <c r="O71" s="146"/>
      <c r="P71" s="146"/>
      <c r="Q71" s="48"/>
    </row>
    <row r="72" spans="1:17" s="45" customFormat="1" ht="9">
      <c r="B72" s="48"/>
      <c r="C72" s="48"/>
      <c r="D72" s="48"/>
      <c r="E72" s="48"/>
      <c r="F72" s="48"/>
      <c r="G72" s="48"/>
      <c r="H72" s="48"/>
      <c r="I72" s="49"/>
      <c r="J72" s="48"/>
      <c r="K72" s="48"/>
      <c r="L72" s="48"/>
      <c r="M72" s="48"/>
      <c r="N72" s="48"/>
      <c r="O72" s="146"/>
      <c r="P72" s="146"/>
      <c r="Q72" s="48"/>
    </row>
    <row r="73" spans="1:17" s="45" customFormat="1" ht="9">
      <c r="B73" s="48"/>
      <c r="C73" s="48"/>
      <c r="D73" s="48"/>
      <c r="E73" s="48"/>
      <c r="F73" s="48"/>
      <c r="G73" s="48"/>
      <c r="H73" s="48"/>
      <c r="I73" s="49"/>
      <c r="J73" s="48"/>
      <c r="K73" s="48"/>
      <c r="L73" s="48"/>
      <c r="M73" s="48"/>
      <c r="N73" s="48"/>
      <c r="O73" s="146"/>
      <c r="P73" s="146"/>
      <c r="Q73" s="48"/>
    </row>
    <row r="74" spans="1:17" s="45" customFormat="1" ht="9">
      <c r="B74" s="48"/>
      <c r="C74" s="48"/>
      <c r="D74" s="48"/>
      <c r="E74" s="48"/>
      <c r="F74" s="48"/>
      <c r="G74" s="48"/>
      <c r="H74" s="48"/>
      <c r="I74" s="49"/>
      <c r="J74" s="48"/>
      <c r="K74" s="48"/>
      <c r="L74" s="48"/>
      <c r="M74" s="48"/>
      <c r="N74" s="48"/>
      <c r="O74" s="146"/>
      <c r="P74" s="146"/>
      <c r="Q74" s="48"/>
    </row>
    <row r="75" spans="1:17" s="45" customFormat="1" ht="9">
      <c r="B75" s="48"/>
      <c r="C75" s="48"/>
      <c r="D75" s="48"/>
      <c r="E75" s="48"/>
      <c r="F75" s="48"/>
      <c r="G75" s="48"/>
      <c r="H75" s="48"/>
      <c r="I75" s="49"/>
      <c r="J75" s="48"/>
      <c r="K75" s="48"/>
      <c r="L75" s="48"/>
      <c r="M75" s="48"/>
      <c r="N75" s="48"/>
      <c r="O75" s="146"/>
      <c r="P75" s="146"/>
      <c r="Q75" s="48"/>
    </row>
    <row r="76" spans="1:17" s="45" customFormat="1" ht="9">
      <c r="B76" s="48"/>
      <c r="C76" s="48"/>
      <c r="D76" s="48"/>
      <c r="E76" s="48"/>
      <c r="F76" s="48"/>
      <c r="G76" s="48"/>
      <c r="H76" s="48"/>
      <c r="I76" s="49"/>
      <c r="J76" s="48"/>
      <c r="K76" s="48"/>
      <c r="L76" s="48"/>
      <c r="M76" s="48"/>
      <c r="N76" s="48"/>
      <c r="O76" s="146"/>
      <c r="P76" s="146"/>
      <c r="Q76" s="48"/>
    </row>
    <row r="77" spans="1:17" s="45" customFormat="1" ht="9">
      <c r="B77" s="48"/>
      <c r="C77" s="48"/>
      <c r="D77" s="48"/>
      <c r="E77" s="48"/>
      <c r="F77" s="48"/>
      <c r="G77" s="48"/>
      <c r="H77" s="48"/>
      <c r="I77" s="49"/>
      <c r="J77" s="48"/>
      <c r="K77" s="48"/>
      <c r="L77" s="48"/>
      <c r="M77" s="48"/>
      <c r="N77" s="48"/>
      <c r="O77" s="146"/>
      <c r="P77" s="146"/>
      <c r="Q77" s="48"/>
    </row>
    <row r="78" spans="1:17" s="45" customFormat="1" ht="9">
      <c r="B78" s="48"/>
      <c r="C78" s="48"/>
      <c r="D78" s="48"/>
      <c r="E78" s="48"/>
      <c r="F78" s="48"/>
      <c r="G78" s="48"/>
      <c r="H78" s="48"/>
      <c r="I78" s="49"/>
      <c r="J78" s="48"/>
      <c r="K78" s="48"/>
      <c r="L78" s="48"/>
      <c r="M78" s="48"/>
      <c r="N78" s="48"/>
      <c r="O78" s="146"/>
      <c r="P78" s="146"/>
      <c r="Q78" s="48"/>
    </row>
    <row r="79" spans="1:17" s="45" customFormat="1" ht="9">
      <c r="B79" s="48"/>
      <c r="C79" s="48"/>
      <c r="D79" s="48"/>
      <c r="E79" s="48"/>
      <c r="F79" s="48"/>
      <c r="G79" s="48"/>
      <c r="H79" s="48"/>
      <c r="I79" s="49"/>
      <c r="J79" s="48"/>
      <c r="K79" s="48"/>
      <c r="L79" s="48"/>
      <c r="M79" s="48"/>
      <c r="N79" s="48"/>
      <c r="O79" s="146"/>
      <c r="P79" s="146"/>
      <c r="Q79" s="48"/>
    </row>
    <row r="80" spans="1:17"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c r="Q105" s="48"/>
    </row>
  </sheetData>
  <mergeCells count="3">
    <mergeCell ref="A1:Q1"/>
    <mergeCell ref="A2:Q2"/>
    <mergeCell ref="A65:O65"/>
  </mergeCells>
  <phoneticPr fontId="9" type="noConversion"/>
  <pageMargins left="0.25" right="0.25" top="0.5" bottom="0.5" header="0.5" footer="0.5"/>
  <pageSetup scale="67" orientation="portrait"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U93"/>
  <sheetViews>
    <sheetView zoomScale="110" zoomScaleNormal="110" workbookViewId="0">
      <pane xSplit="1" ySplit="3" topLeftCell="B4" activePane="bottomRight" state="frozen"/>
      <selection activeCell="O55" sqref="O55"/>
      <selection pane="topRight" activeCell="O55" sqref="O55"/>
      <selection pane="bottomLeft" activeCell="O55" sqref="O55"/>
      <selection pane="bottomRight" activeCell="F20" sqref="F20"/>
    </sheetView>
  </sheetViews>
  <sheetFormatPr defaultRowHeight="11.25"/>
  <cols>
    <col min="1" max="1" width="35.28515625" style="88" customWidth="1"/>
    <col min="2" max="2" width="8.85546875" style="46" bestFit="1" customWidth="1"/>
    <col min="3" max="3" width="8" style="46" hidden="1" customWidth="1"/>
    <col min="4" max="4" width="8.42578125" style="46" bestFit="1" customWidth="1"/>
    <col min="5" max="5" width="8.85546875" style="46" bestFit="1" customWidth="1"/>
    <col min="6" max="6" width="8.140625" style="46" customWidth="1"/>
    <col min="7" max="7" width="9.28515625" style="46" bestFit="1" customWidth="1"/>
    <col min="8" max="8" width="7.85546875" style="46" bestFit="1" customWidth="1"/>
    <col min="9" max="9" width="8.85546875" style="47" customWidth="1"/>
    <col min="10" max="11" width="6.85546875" style="46" bestFit="1" customWidth="1"/>
    <col min="12" max="12" width="9" style="46" customWidth="1"/>
    <col min="13" max="13" width="7.85546875" style="46" hidden="1" customWidth="1"/>
    <col min="14" max="14" width="8.28515625" style="46" customWidth="1"/>
    <col min="15" max="15" width="9.42578125" style="145" customWidth="1"/>
    <col min="16" max="16" width="7.42578125" style="145" customWidth="1"/>
    <col min="17" max="17" width="4" style="46" bestFit="1" customWidth="1"/>
    <col min="18" max="19" width="9.140625" style="88" hidden="1" customWidth="1"/>
    <col min="20" max="20" width="11.140625" style="88" customWidth="1"/>
    <col min="21" max="21" width="8.5703125" style="88" customWidth="1"/>
    <col min="22" max="16384" width="9.140625" style="88"/>
  </cols>
  <sheetData>
    <row r="1" spans="1:21">
      <c r="A1" s="496" t="s">
        <v>262</v>
      </c>
      <c r="B1" s="496"/>
      <c r="C1" s="496"/>
      <c r="D1" s="496"/>
      <c r="E1" s="496"/>
      <c r="F1" s="496"/>
      <c r="G1" s="496"/>
      <c r="H1" s="496"/>
      <c r="I1" s="496"/>
      <c r="J1" s="496"/>
      <c r="K1" s="496"/>
      <c r="L1" s="496"/>
      <c r="M1" s="496"/>
      <c r="N1" s="496"/>
      <c r="O1" s="496"/>
      <c r="P1" s="496"/>
      <c r="Q1" s="496"/>
    </row>
    <row r="2" spans="1:21">
      <c r="A2" s="497" t="s">
        <v>102</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ROUNDUP(SUM('Base Data'!$H$71:$H$73)/3,0)</f>
        <v>33</v>
      </c>
      <c r="J7" s="73">
        <f>H7*I7</f>
        <v>1320</v>
      </c>
      <c r="K7" s="73">
        <f>J7*0.1</f>
        <v>132</v>
      </c>
      <c r="L7" s="72">
        <f>J7*0.05</f>
        <v>66</v>
      </c>
      <c r="M7" s="37">
        <f>C7*G7*I7</f>
        <v>0</v>
      </c>
      <c r="N7" s="44">
        <f>(J7*'Base Data'!$C$5)+(K7*'Base Data'!$C$6)+(L7*'Base Data'!$C$7)</f>
        <v>143586.29999999999</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t="s">
        <v>340</v>
      </c>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t="s">
        <v>340</v>
      </c>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t="s">
        <v>340</v>
      </c>
      <c r="U11" s="144"/>
    </row>
    <row r="12" spans="1:21" s="115" customFormat="1" ht="9">
      <c r="A12" s="111" t="s">
        <v>126</v>
      </c>
      <c r="B12" s="37">
        <v>12</v>
      </c>
      <c r="C12" s="37"/>
      <c r="D12" s="44">
        <v>0</v>
      </c>
      <c r="E12" s="44">
        <f>'Testing Costs'!$B$14</f>
        <v>7000</v>
      </c>
      <c r="F12" s="44">
        <v>0</v>
      </c>
      <c r="G12" s="37">
        <v>1</v>
      </c>
      <c r="H12" s="37">
        <f t="shared" si="0"/>
        <v>12</v>
      </c>
      <c r="I12" s="72">
        <v>0</v>
      </c>
      <c r="J12" s="73">
        <f t="shared" si="1"/>
        <v>0</v>
      </c>
      <c r="K12" s="73">
        <f t="shared" si="2"/>
        <v>0</v>
      </c>
      <c r="L12" s="73">
        <f t="shared" si="3"/>
        <v>0</v>
      </c>
      <c r="M12" s="74"/>
      <c r="N12" s="44">
        <f>(J12*'Base Data'!$C$5)+(K12*'Base Data'!$C$6)+(L12*'Base Data'!$C$7)</f>
        <v>0</v>
      </c>
      <c r="O12" s="44">
        <f t="shared" si="4"/>
        <v>0</v>
      </c>
      <c r="P12" s="73">
        <v>0</v>
      </c>
      <c r="Q12" s="75" t="s">
        <v>340</v>
      </c>
      <c r="U12" s="144"/>
    </row>
    <row r="13" spans="1:21" s="115" customFormat="1" ht="9" customHeight="1">
      <c r="A13" s="111" t="s">
        <v>137</v>
      </c>
      <c r="B13" s="37">
        <v>12</v>
      </c>
      <c r="C13" s="37"/>
      <c r="D13" s="44">
        <v>0</v>
      </c>
      <c r="E13" s="44">
        <f>'Testing Costs'!$B$13</f>
        <v>5000</v>
      </c>
      <c r="F13" s="44">
        <v>0</v>
      </c>
      <c r="G13" s="37">
        <v>1</v>
      </c>
      <c r="H13" s="37">
        <f t="shared" si="0"/>
        <v>12</v>
      </c>
      <c r="I13" s="72">
        <v>0</v>
      </c>
      <c r="J13" s="73">
        <f t="shared" si="1"/>
        <v>0</v>
      </c>
      <c r="K13" s="73">
        <f t="shared" si="2"/>
        <v>0</v>
      </c>
      <c r="L13" s="73">
        <f t="shared" si="3"/>
        <v>0</v>
      </c>
      <c r="M13" s="74"/>
      <c r="N13" s="44">
        <f>(J13*'Base Data'!$C$5)+(K13*'Base Data'!$C$6)+(L13*'Base Data'!$C$7)</f>
        <v>0</v>
      </c>
      <c r="O13" s="44">
        <f t="shared" si="4"/>
        <v>0</v>
      </c>
      <c r="P13" s="73">
        <v>0</v>
      </c>
      <c r="Q13" s="75" t="s">
        <v>338</v>
      </c>
      <c r="U13" s="144"/>
    </row>
    <row r="14" spans="1:21" s="115" customFormat="1" ht="9">
      <c r="A14" s="111" t="s">
        <v>138</v>
      </c>
      <c r="B14" s="37">
        <v>12</v>
      </c>
      <c r="C14" s="37"/>
      <c r="D14" s="44">
        <v>0</v>
      </c>
      <c r="E14" s="44">
        <f>'Testing Costs'!$B$17</f>
        <v>8000</v>
      </c>
      <c r="F14" s="44">
        <v>0</v>
      </c>
      <c r="G14" s="37">
        <v>1</v>
      </c>
      <c r="H14" s="37">
        <f t="shared" si="0"/>
        <v>12</v>
      </c>
      <c r="I14" s="72">
        <v>0</v>
      </c>
      <c r="J14" s="73">
        <f t="shared" si="1"/>
        <v>0</v>
      </c>
      <c r="K14" s="73">
        <f t="shared" si="2"/>
        <v>0</v>
      </c>
      <c r="L14" s="73">
        <f t="shared" si="3"/>
        <v>0</v>
      </c>
      <c r="M14" s="74"/>
      <c r="N14" s="44">
        <f>(J14*'Base Data'!$C$5)+(K14*'Base Data'!$C$6)+(L14*'Base Data'!$C$7)</f>
        <v>0</v>
      </c>
      <c r="O14" s="44">
        <f t="shared" si="4"/>
        <v>0</v>
      </c>
      <c r="P14" s="73">
        <v>0</v>
      </c>
      <c r="Q14" s="75" t="s">
        <v>338</v>
      </c>
      <c r="U14" s="144"/>
    </row>
    <row r="15" spans="1:21" s="115" customFormat="1" ht="9">
      <c r="A15" s="111" t="s">
        <v>139</v>
      </c>
      <c r="B15" s="37">
        <v>12</v>
      </c>
      <c r="C15" s="37"/>
      <c r="D15" s="44">
        <v>0</v>
      </c>
      <c r="E15" s="44">
        <f>'Testing Costs'!$B$15</f>
        <v>8000</v>
      </c>
      <c r="F15" s="44">
        <v>0</v>
      </c>
      <c r="G15" s="37">
        <v>1</v>
      </c>
      <c r="H15" s="37">
        <f t="shared" si="0"/>
        <v>12</v>
      </c>
      <c r="I15" s="72">
        <v>0</v>
      </c>
      <c r="J15" s="73">
        <f t="shared" si="1"/>
        <v>0</v>
      </c>
      <c r="K15" s="73">
        <f t="shared" si="2"/>
        <v>0</v>
      </c>
      <c r="L15" s="73">
        <f t="shared" si="3"/>
        <v>0</v>
      </c>
      <c r="M15" s="74"/>
      <c r="N15" s="44">
        <f>(J15*'Base Data'!$C$5)+(K15*'Base Data'!$C$6)+(L15*'Base Data'!$C$7)</f>
        <v>0</v>
      </c>
      <c r="O15" s="44">
        <f t="shared" si="4"/>
        <v>0</v>
      </c>
      <c r="P15" s="73">
        <v>0</v>
      </c>
      <c r="Q15" s="75" t="s">
        <v>338</v>
      </c>
      <c r="U15" s="144"/>
    </row>
    <row r="16" spans="1:21" s="115" customFormat="1" ht="9">
      <c r="A16" s="111" t="s">
        <v>140</v>
      </c>
      <c r="B16" s="37">
        <v>12</v>
      </c>
      <c r="C16" s="37"/>
      <c r="D16" s="44">
        <v>0</v>
      </c>
      <c r="E16" s="44">
        <f>'Testing Costs'!$B$14</f>
        <v>7000</v>
      </c>
      <c r="F16" s="44">
        <v>0</v>
      </c>
      <c r="G16" s="37">
        <v>1</v>
      </c>
      <c r="H16" s="37">
        <f t="shared" si="0"/>
        <v>12</v>
      </c>
      <c r="I16" s="72">
        <v>0</v>
      </c>
      <c r="J16" s="73">
        <f t="shared" si="1"/>
        <v>0</v>
      </c>
      <c r="K16" s="73">
        <f t="shared" si="2"/>
        <v>0</v>
      </c>
      <c r="L16" s="73">
        <f t="shared" si="3"/>
        <v>0</v>
      </c>
      <c r="M16" s="74"/>
      <c r="N16" s="44">
        <f>(J16*'Base Data'!$C$5)+(K16*'Base Data'!$C$6)+(L16*'Base Data'!$C$7)</f>
        <v>0</v>
      </c>
      <c r="O16" s="44">
        <f t="shared" si="4"/>
        <v>0</v>
      </c>
      <c r="P16" s="73">
        <v>0</v>
      </c>
      <c r="Q16" s="75" t="s">
        <v>338</v>
      </c>
      <c r="U16" s="144"/>
    </row>
    <row r="17" spans="1:21" s="115" customFormat="1" ht="18">
      <c r="A17" s="259" t="s">
        <v>430</v>
      </c>
      <c r="B17" s="37">
        <v>24</v>
      </c>
      <c r="C17" s="258"/>
      <c r="D17" s="44">
        <v>0</v>
      </c>
      <c r="E17" s="44">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t="s">
        <v>499</v>
      </c>
    </row>
    <row r="18" spans="1:21" s="115" customFormat="1" ht="9" customHeight="1">
      <c r="A18" s="111" t="s">
        <v>243</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v>0</v>
      </c>
      <c r="Q18" s="75" t="s">
        <v>497</v>
      </c>
      <c r="U18" s="144"/>
    </row>
    <row r="19" spans="1:21" s="115" customFormat="1" ht="9" customHeight="1">
      <c r="A19" s="111" t="s">
        <v>244</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v>0</v>
      </c>
      <c r="Q19" s="75" t="s">
        <v>497</v>
      </c>
      <c r="U19" s="144"/>
    </row>
    <row r="20" spans="1:21" s="115" customFormat="1" ht="9">
      <c r="A20" s="111" t="s">
        <v>245</v>
      </c>
      <c r="B20" s="37"/>
      <c r="C20" s="37"/>
      <c r="D20" s="44"/>
      <c r="E20" s="44"/>
      <c r="F20" s="44"/>
      <c r="G20" s="37"/>
      <c r="H20" s="37"/>
      <c r="I20" s="73"/>
      <c r="J20" s="73"/>
      <c r="K20" s="73"/>
      <c r="L20" s="73"/>
      <c r="M20" s="74"/>
      <c r="N20" s="44"/>
      <c r="O20" s="44"/>
      <c r="P20" s="73"/>
      <c r="Q20" s="75" t="s">
        <v>490</v>
      </c>
      <c r="U20" s="144"/>
    </row>
    <row r="21" spans="1:21" s="115" customFormat="1" ht="9">
      <c r="A21" s="111" t="s">
        <v>383</v>
      </c>
      <c r="B21" s="37">
        <v>40</v>
      </c>
      <c r="C21" s="37"/>
      <c r="D21" s="44">
        <v>0</v>
      </c>
      <c r="E21" s="44"/>
      <c r="F21" s="44">
        <v>0</v>
      </c>
      <c r="G21" s="37">
        <v>1</v>
      </c>
      <c r="H21" s="37">
        <f>B21*G21</f>
        <v>40</v>
      </c>
      <c r="I21" s="72">
        <v>0</v>
      </c>
      <c r="J21" s="73">
        <f>H21*I21</f>
        <v>0</v>
      </c>
      <c r="K21" s="73">
        <f>J21*0.1</f>
        <v>0</v>
      </c>
      <c r="L21" s="73">
        <f>J21*0.05</f>
        <v>0</v>
      </c>
      <c r="M21" s="74"/>
      <c r="N21" s="44">
        <f>(J21*'Base Data'!$C$5)+(K21*'Base Data'!$C$6)+(L21*'Base Data'!$C$7)</f>
        <v>0</v>
      </c>
      <c r="O21" s="44">
        <f>(D21+E21+F21)*G21*I21</f>
        <v>0</v>
      </c>
      <c r="P21" s="73">
        <v>0</v>
      </c>
      <c r="Q21" s="75" t="s">
        <v>338</v>
      </c>
      <c r="U21" s="144"/>
    </row>
    <row r="22" spans="1:21" s="115" customFormat="1" ht="9">
      <c r="A22" s="110" t="s">
        <v>361</v>
      </c>
      <c r="B22" s="37"/>
      <c r="C22" s="37"/>
      <c r="D22" s="44"/>
      <c r="E22" s="44"/>
      <c r="F22" s="44"/>
      <c r="G22" s="37"/>
      <c r="H22" s="37"/>
      <c r="I22" s="73"/>
      <c r="J22" s="73"/>
      <c r="K22" s="73"/>
      <c r="L22" s="73"/>
      <c r="M22" s="74"/>
      <c r="N22" s="44"/>
      <c r="O22" s="44"/>
      <c r="P22" s="73"/>
      <c r="Q22" s="75"/>
      <c r="U22" s="144"/>
    </row>
    <row r="23" spans="1:21" s="115" customFormat="1" ht="9">
      <c r="A23" s="110" t="s">
        <v>362</v>
      </c>
      <c r="B23" s="37">
        <v>10</v>
      </c>
      <c r="C23" s="37"/>
      <c r="D23" s="44">
        <v>0</v>
      </c>
      <c r="E23" s="44">
        <v>0</v>
      </c>
      <c r="F23" s="44">
        <v>43100</v>
      </c>
      <c r="G23" s="37">
        <v>1</v>
      </c>
      <c r="H23" s="37">
        <f>B23*G23</f>
        <v>10</v>
      </c>
      <c r="I23" s="72">
        <f>SUM(Monitors!$C$25/3,0)</f>
        <v>0</v>
      </c>
      <c r="J23" s="73">
        <f>H23*I23</f>
        <v>0</v>
      </c>
      <c r="K23" s="73">
        <f>J23*0.1</f>
        <v>0</v>
      </c>
      <c r="L23" s="73">
        <f>J23*0.05</f>
        <v>0</v>
      </c>
      <c r="M23" s="74"/>
      <c r="N23" s="44">
        <f>(J23*'Base Data'!$C$5)+(K23*'Base Data'!$C$6)+(L23*'Base Data'!$C$7)</f>
        <v>0</v>
      </c>
      <c r="O23" s="44">
        <f>(D23+E23+F23)*G23*I23</f>
        <v>0</v>
      </c>
      <c r="P23" s="73">
        <v>0</v>
      </c>
      <c r="Q23" s="75" t="s">
        <v>338</v>
      </c>
      <c r="U23" s="144"/>
    </row>
    <row r="24" spans="1:21" s="115" customFormat="1" ht="9">
      <c r="A24" s="110" t="s">
        <v>365</v>
      </c>
      <c r="B24" s="37">
        <v>10</v>
      </c>
      <c r="C24" s="37"/>
      <c r="D24" s="44">
        <v>0</v>
      </c>
      <c r="E24" s="44">
        <v>0</v>
      </c>
      <c r="F24" s="44">
        <v>14700</v>
      </c>
      <c r="G24" s="37">
        <v>1</v>
      </c>
      <c r="H24" s="37">
        <f>B24*G24</f>
        <v>10</v>
      </c>
      <c r="I24" s="72">
        <v>0</v>
      </c>
      <c r="J24" s="73">
        <f>H24*I24</f>
        <v>0</v>
      </c>
      <c r="K24" s="73">
        <f>J24*0.1</f>
        <v>0</v>
      </c>
      <c r="L24" s="73">
        <f>J24*0.05</f>
        <v>0</v>
      </c>
      <c r="M24" s="74"/>
      <c r="N24" s="44">
        <f>(J24*'Base Data'!$C$5)+(K24*'Base Data'!$C$6)+(L24*'Base Data'!$C$7)</f>
        <v>0</v>
      </c>
      <c r="O24" s="44">
        <f>(D24+E24+F24)*G24*I24</f>
        <v>0</v>
      </c>
      <c r="P24" s="73">
        <v>0</v>
      </c>
      <c r="Q24" s="75" t="s">
        <v>338</v>
      </c>
      <c r="U24" s="144"/>
    </row>
    <row r="25" spans="1:21" s="115" customFormat="1" ht="9">
      <c r="A25" s="110" t="s">
        <v>310</v>
      </c>
      <c r="B25" s="37"/>
      <c r="C25" s="37"/>
      <c r="D25" s="44"/>
      <c r="E25" s="44"/>
      <c r="F25" s="44"/>
      <c r="G25" s="37"/>
      <c r="H25" s="37"/>
      <c r="I25" s="73"/>
      <c r="J25" s="73"/>
      <c r="K25" s="73"/>
      <c r="L25" s="73"/>
      <c r="M25" s="74"/>
      <c r="N25" s="44"/>
      <c r="O25" s="44"/>
      <c r="P25" s="73"/>
      <c r="Q25" s="75"/>
      <c r="U25" s="144"/>
    </row>
    <row r="26" spans="1:21" s="115" customFormat="1" ht="9">
      <c r="A26" s="110" t="s">
        <v>362</v>
      </c>
      <c r="B26" s="37">
        <v>10</v>
      </c>
      <c r="C26" s="37"/>
      <c r="D26" s="44">
        <v>0</v>
      </c>
      <c r="E26" s="44">
        <v>0</v>
      </c>
      <c r="F26" s="44">
        <v>158000</v>
      </c>
      <c r="G26" s="37">
        <v>1</v>
      </c>
      <c r="H26" s="37">
        <f>B26*G26</f>
        <v>10</v>
      </c>
      <c r="I26" s="72">
        <v>0</v>
      </c>
      <c r="J26" s="73">
        <f>H26*I26</f>
        <v>0</v>
      </c>
      <c r="K26" s="73">
        <f>J26*0.1</f>
        <v>0</v>
      </c>
      <c r="L26" s="73">
        <f>J26*0.05</f>
        <v>0</v>
      </c>
      <c r="M26" s="74"/>
      <c r="N26" s="44">
        <f>(J26*'Base Data'!$C$5)+(K26*'Base Data'!$C$6)+(L26*'Base Data'!$C$7)</f>
        <v>0</v>
      </c>
      <c r="O26" s="44">
        <f>(D26+E26+F26)*G26*I26</f>
        <v>0</v>
      </c>
      <c r="P26" s="73">
        <v>0</v>
      </c>
      <c r="Q26" s="75" t="s">
        <v>338</v>
      </c>
      <c r="U26" s="144"/>
    </row>
    <row r="27" spans="1:21" s="115" customFormat="1" ht="9">
      <c r="A27" s="110" t="s">
        <v>365</v>
      </c>
      <c r="B27" s="37">
        <v>10</v>
      </c>
      <c r="C27" s="37"/>
      <c r="D27" s="44">
        <v>0</v>
      </c>
      <c r="E27" s="44">
        <v>0</v>
      </c>
      <c r="F27" s="44">
        <v>56100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338</v>
      </c>
      <c r="U27" s="144"/>
    </row>
    <row r="28" spans="1:21" s="115" customFormat="1" ht="9">
      <c r="A28" s="110" t="s">
        <v>461</v>
      </c>
      <c r="B28" s="37"/>
      <c r="C28" s="37"/>
      <c r="D28" s="44"/>
      <c r="E28" s="44"/>
      <c r="F28" s="44"/>
      <c r="G28" s="37"/>
      <c r="H28" s="37"/>
      <c r="I28" s="72"/>
      <c r="J28" s="73"/>
      <c r="K28" s="73"/>
      <c r="L28" s="73"/>
      <c r="M28" s="74"/>
      <c r="N28" s="44"/>
      <c r="O28" s="44"/>
      <c r="P28" s="73"/>
      <c r="Q28" s="75"/>
    </row>
    <row r="29" spans="1:21" s="115" customFormat="1" ht="9">
      <c r="A29" s="110" t="s">
        <v>362</v>
      </c>
      <c r="B29" s="37">
        <v>10</v>
      </c>
      <c r="C29" s="37"/>
      <c r="D29" s="44">
        <v>0</v>
      </c>
      <c r="E29" s="44">
        <v>0</v>
      </c>
      <c r="F29" s="44">
        <f>Monitors!$F$32</f>
        <v>8523</v>
      </c>
      <c r="G29" s="37">
        <v>1</v>
      </c>
      <c r="H29" s="37">
        <f t="shared" ref="H29:H30" si="5">B29*G29</f>
        <v>10</v>
      </c>
      <c r="I29" s="72">
        <v>0</v>
      </c>
      <c r="J29" s="73">
        <f t="shared" ref="J29:J30" si="6">H29*I29</f>
        <v>0</v>
      </c>
      <c r="K29" s="73">
        <f t="shared" ref="K29:K30" si="7">J29*0.1</f>
        <v>0</v>
      </c>
      <c r="L29" s="73">
        <f t="shared" ref="L29:L30" si="8">J29*0.05</f>
        <v>0</v>
      </c>
      <c r="M29" s="74"/>
      <c r="N29" s="44">
        <f>(J29*'Base Data'!$C$5)+(K29*'Base Data'!$C$6)+(L29*'Base Data'!$C$7)</f>
        <v>0</v>
      </c>
      <c r="O29" s="44">
        <f>(D29+E29+F29)*G29*I29</f>
        <v>0</v>
      </c>
      <c r="P29" s="73">
        <v>0</v>
      </c>
      <c r="Q29" s="75" t="s">
        <v>338</v>
      </c>
    </row>
    <row r="30" spans="1:21" s="115" customFormat="1" ht="9">
      <c r="A30" s="110" t="s">
        <v>365</v>
      </c>
      <c r="B30" s="37">
        <v>10</v>
      </c>
      <c r="C30" s="37"/>
      <c r="D30" s="44">
        <v>0</v>
      </c>
      <c r="E30" s="44">
        <v>0</v>
      </c>
      <c r="F30" s="44">
        <f>Monitors!$G$32</f>
        <v>1436</v>
      </c>
      <c r="G30" s="37">
        <v>1</v>
      </c>
      <c r="H30" s="37">
        <f t="shared" si="5"/>
        <v>10</v>
      </c>
      <c r="I30" s="72">
        <v>0</v>
      </c>
      <c r="J30" s="73">
        <f t="shared" si="6"/>
        <v>0</v>
      </c>
      <c r="K30" s="73">
        <f t="shared" si="7"/>
        <v>0</v>
      </c>
      <c r="L30" s="73">
        <f t="shared" si="8"/>
        <v>0</v>
      </c>
      <c r="M30" s="74"/>
      <c r="N30" s="44">
        <f>(J30*'Base Data'!$C$5)+(K30*'Base Data'!$C$6)+(L30*'Base Data'!$C$7)</f>
        <v>0</v>
      </c>
      <c r="O30" s="44">
        <f>(D30+E30+F30)*G30*I30</f>
        <v>0</v>
      </c>
      <c r="P30" s="73">
        <v>0</v>
      </c>
      <c r="Q30" s="75" t="s">
        <v>338</v>
      </c>
    </row>
    <row r="31" spans="1:21" s="115" customFormat="1" ht="18">
      <c r="A31" s="111" t="s">
        <v>160</v>
      </c>
      <c r="B31" s="37"/>
      <c r="C31" s="37"/>
      <c r="D31" s="44"/>
      <c r="E31" s="44"/>
      <c r="F31" s="76"/>
      <c r="G31" s="37"/>
      <c r="H31" s="37"/>
      <c r="I31" s="77"/>
      <c r="J31" s="73"/>
      <c r="K31" s="73"/>
      <c r="L31" s="73"/>
      <c r="M31" s="74"/>
      <c r="N31" s="44"/>
      <c r="O31" s="44"/>
      <c r="P31" s="73"/>
      <c r="Q31" s="75"/>
      <c r="U31" s="144"/>
    </row>
    <row r="32" spans="1:21" s="115" customFormat="1" ht="9">
      <c r="A32" s="110" t="s">
        <v>362</v>
      </c>
      <c r="B32" s="37">
        <v>10</v>
      </c>
      <c r="C32" s="37"/>
      <c r="D32" s="44">
        <v>0</v>
      </c>
      <c r="E32" s="44">
        <v>0</v>
      </c>
      <c r="F32" s="44">
        <v>24300</v>
      </c>
      <c r="G32" s="37">
        <v>1</v>
      </c>
      <c r="H32" s="37">
        <f>B32*G32</f>
        <v>10</v>
      </c>
      <c r="I32" s="72">
        <f>ROUND(Monitors!$D$25/3,0)</f>
        <v>0</v>
      </c>
      <c r="J32" s="73">
        <f>H32*I32</f>
        <v>0</v>
      </c>
      <c r="K32" s="73">
        <f>J32*0.1</f>
        <v>0</v>
      </c>
      <c r="L32" s="73">
        <f>J32*0.05</f>
        <v>0</v>
      </c>
      <c r="M32" s="74"/>
      <c r="N32" s="44">
        <f>(J32*'Base Data'!$C$5)+(K32*'Base Data'!$C$6)+(L32*'Base Data'!$C$7)</f>
        <v>0</v>
      </c>
      <c r="O32" s="44">
        <f>(D32+E32+F32)*G32*I32</f>
        <v>0</v>
      </c>
      <c r="P32" s="73">
        <v>0</v>
      </c>
      <c r="Q32" s="75" t="s">
        <v>338</v>
      </c>
      <c r="U32" s="144"/>
    </row>
    <row r="33" spans="1:21" s="115" customFormat="1" ht="9">
      <c r="A33" s="110" t="s">
        <v>365</v>
      </c>
      <c r="B33" s="37">
        <v>10</v>
      </c>
      <c r="C33" s="37"/>
      <c r="D33" s="44">
        <v>0</v>
      </c>
      <c r="E33" s="44">
        <v>0</v>
      </c>
      <c r="F33" s="44">
        <v>5600</v>
      </c>
      <c r="G33" s="37">
        <v>1</v>
      </c>
      <c r="H33" s="37">
        <f>B33*G33</f>
        <v>10</v>
      </c>
      <c r="I33" s="72">
        <f>ROUND(Monitors!$D$25/3,0)</f>
        <v>0</v>
      </c>
      <c r="J33" s="73">
        <f>H33*I33</f>
        <v>0</v>
      </c>
      <c r="K33" s="73">
        <f>J33*0.1</f>
        <v>0</v>
      </c>
      <c r="L33" s="73">
        <f>J33*0.05</f>
        <v>0</v>
      </c>
      <c r="M33" s="74"/>
      <c r="N33" s="44">
        <f>(J33*'Base Data'!$C$5)+(K33*'Base Data'!$C$6)+(L33*'Base Data'!$C$7)</f>
        <v>0</v>
      </c>
      <c r="O33" s="44">
        <f>(D33+E33+F33)*G33*I33</f>
        <v>0</v>
      </c>
      <c r="P33" s="73">
        <v>0</v>
      </c>
      <c r="Q33" s="75" t="s">
        <v>338</v>
      </c>
      <c r="U33" s="144"/>
    </row>
    <row r="34" spans="1:21" s="115" customFormat="1" ht="18">
      <c r="A34" s="111" t="s">
        <v>425</v>
      </c>
      <c r="B34" s="37"/>
      <c r="C34" s="37"/>
      <c r="D34" s="44"/>
      <c r="E34" s="44"/>
      <c r="F34" s="44"/>
      <c r="G34" s="37"/>
      <c r="H34" s="37"/>
      <c r="I34" s="77"/>
      <c r="J34" s="73"/>
      <c r="K34" s="73"/>
      <c r="L34" s="73"/>
      <c r="M34" s="74"/>
      <c r="N34" s="44"/>
      <c r="O34" s="183"/>
      <c r="P34" s="73"/>
      <c r="Q34" s="75"/>
      <c r="U34" s="144"/>
    </row>
    <row r="35" spans="1:21" s="115" customFormat="1" ht="9">
      <c r="A35" s="110" t="s">
        <v>362</v>
      </c>
      <c r="B35" s="37">
        <v>10</v>
      </c>
      <c r="C35" s="37"/>
      <c r="D35" s="44">
        <v>0</v>
      </c>
      <c r="E35" s="44">
        <v>0</v>
      </c>
      <c r="F35" s="44">
        <f>25500</f>
        <v>25500</v>
      </c>
      <c r="G35" s="37">
        <v>1</v>
      </c>
      <c r="H35" s="37">
        <f>B35*G35</f>
        <v>10</v>
      </c>
      <c r="I35" s="72">
        <f>ROUND(Monitors!$B$25/3,0)</f>
        <v>0</v>
      </c>
      <c r="J35" s="73">
        <f>H35*I35</f>
        <v>0</v>
      </c>
      <c r="K35" s="73">
        <f>J35*0.1</f>
        <v>0</v>
      </c>
      <c r="L35" s="73">
        <f>J35*0.05</f>
        <v>0</v>
      </c>
      <c r="M35" s="74"/>
      <c r="N35" s="44">
        <f>(J35*'Base Data'!$C$5)+(K35*'Base Data'!$C$6)+(L35*'Base Data'!$C$7)</f>
        <v>0</v>
      </c>
      <c r="O35" s="44">
        <f>(D35+E35+F35)*G35*I35</f>
        <v>0</v>
      </c>
      <c r="P35" s="73">
        <v>0</v>
      </c>
      <c r="Q35" s="75" t="s">
        <v>338</v>
      </c>
      <c r="U35" s="144"/>
    </row>
    <row r="36" spans="1:21" s="115" customFormat="1" ht="9">
      <c r="A36" s="110" t="s">
        <v>365</v>
      </c>
      <c r="B36" s="37">
        <v>10</v>
      </c>
      <c r="C36" s="37"/>
      <c r="D36" s="44">
        <v>0</v>
      </c>
      <c r="E36" s="44">
        <v>0</v>
      </c>
      <c r="F36" s="44">
        <v>9700</v>
      </c>
      <c r="G36" s="37">
        <v>1</v>
      </c>
      <c r="H36" s="37">
        <f>B36*G36</f>
        <v>10</v>
      </c>
      <c r="I36" s="72">
        <f>ROUND(Monitors!$B$25/3,0)</f>
        <v>0</v>
      </c>
      <c r="J36" s="73">
        <f>H36*I36</f>
        <v>0</v>
      </c>
      <c r="K36" s="73">
        <f>J36*0.1</f>
        <v>0</v>
      </c>
      <c r="L36" s="73">
        <f>J36*0.05</f>
        <v>0</v>
      </c>
      <c r="M36" s="74"/>
      <c r="N36" s="44">
        <f>(J36*'Base Data'!$C$5)+(K36*'Base Data'!$C$6)+(L36*'Base Data'!$C$7)</f>
        <v>0</v>
      </c>
      <c r="O36" s="44">
        <f>(D36+E36+F36)*G36*I36</f>
        <v>0</v>
      </c>
      <c r="P36" s="73">
        <v>0</v>
      </c>
      <c r="Q36" s="75" t="s">
        <v>338</v>
      </c>
      <c r="U36" s="144"/>
    </row>
    <row r="37" spans="1:21" s="115" customFormat="1" ht="9">
      <c r="A37" s="110" t="s">
        <v>252</v>
      </c>
      <c r="B37" s="37">
        <v>12</v>
      </c>
      <c r="C37" s="37"/>
      <c r="D37" s="44">
        <v>0</v>
      </c>
      <c r="E37" s="44">
        <v>2875</v>
      </c>
      <c r="F37" s="44">
        <v>0</v>
      </c>
      <c r="G37" s="37">
        <v>1</v>
      </c>
      <c r="H37" s="37">
        <f>B37*G37</f>
        <v>12</v>
      </c>
      <c r="I37" s="72">
        <f>ROUNDUP(SUM('Base Data'!$D$71:$D$73)/3,0)</f>
        <v>262</v>
      </c>
      <c r="J37" s="72">
        <f>H37*I37</f>
        <v>3144</v>
      </c>
      <c r="K37" s="72">
        <f>J37*0.1</f>
        <v>314.40000000000003</v>
      </c>
      <c r="L37" s="72">
        <f>J37*0.05</f>
        <v>157.20000000000002</v>
      </c>
      <c r="M37" s="73"/>
      <c r="N37" s="44">
        <f>(J37*'Base Data'!$C$5)+(K37*'Base Data'!$C$6)+(L37*'Base Data'!$C$7)</f>
        <v>341996.45999999996</v>
      </c>
      <c r="O37" s="44">
        <f>(D37+E37+F37)*G37*I37</f>
        <v>753250</v>
      </c>
      <c r="P37" s="73">
        <v>0</v>
      </c>
      <c r="Q37" s="75" t="s">
        <v>339</v>
      </c>
      <c r="U37" s="144"/>
    </row>
    <row r="38" spans="1:21" s="115" customFormat="1" ht="9">
      <c r="A38" s="110" t="s">
        <v>543</v>
      </c>
      <c r="B38" s="37">
        <v>5</v>
      </c>
      <c r="C38" s="37"/>
      <c r="D38" s="44">
        <v>0</v>
      </c>
      <c r="E38" s="44">
        <v>200</v>
      </c>
      <c r="F38" s="44">
        <v>0</v>
      </c>
      <c r="G38" s="37">
        <v>12</v>
      </c>
      <c r="H38" s="37">
        <f>B38*G38</f>
        <v>60</v>
      </c>
      <c r="I38" s="73">
        <v>0</v>
      </c>
      <c r="J38" s="72">
        <f>H38*I38</f>
        <v>0</v>
      </c>
      <c r="K38" s="72">
        <f>J38*0.1</f>
        <v>0</v>
      </c>
      <c r="L38" s="72">
        <f>J38*0.05</f>
        <v>0</v>
      </c>
      <c r="M38" s="73"/>
      <c r="N38" s="44">
        <f>(J38*'Base Data'!$C$5)+(K38*'Base Data'!$C$6)+(L38*'Base Data'!$C$7)</f>
        <v>0</v>
      </c>
      <c r="O38" s="44">
        <f>(D38+E38+F38)*G38*I38</f>
        <v>0</v>
      </c>
      <c r="P38" s="73">
        <v>0</v>
      </c>
      <c r="Q38" s="75" t="s">
        <v>77</v>
      </c>
    </row>
    <row r="39" spans="1:21" s="115" customFormat="1" ht="9">
      <c r="A39" s="110" t="s">
        <v>366</v>
      </c>
      <c r="B39" s="37" t="s">
        <v>384</v>
      </c>
      <c r="C39" s="37"/>
      <c r="D39" s="44"/>
      <c r="E39" s="44"/>
      <c r="F39" s="44"/>
      <c r="G39" s="37"/>
      <c r="H39" s="37"/>
      <c r="I39" s="73"/>
      <c r="J39" s="73"/>
      <c r="K39" s="73"/>
      <c r="L39" s="73"/>
      <c r="M39" s="37"/>
      <c r="N39" s="44"/>
      <c r="O39" s="44"/>
      <c r="P39" s="73"/>
      <c r="Q39" s="75"/>
      <c r="U39" s="144"/>
    </row>
    <row r="40" spans="1:21" s="115" customFormat="1" ht="9">
      <c r="A40" s="110" t="s">
        <v>367</v>
      </c>
      <c r="B40" s="37" t="s">
        <v>384</v>
      </c>
      <c r="C40" s="37"/>
      <c r="D40" s="44"/>
      <c r="E40" s="44"/>
      <c r="F40" s="44"/>
      <c r="G40" s="37"/>
      <c r="H40" s="37"/>
      <c r="I40" s="73"/>
      <c r="J40" s="73"/>
      <c r="K40" s="73"/>
      <c r="L40" s="73"/>
      <c r="M40" s="37"/>
      <c r="N40" s="44"/>
      <c r="O40" s="44"/>
      <c r="P40" s="73"/>
      <c r="Q40" s="75"/>
    </row>
    <row r="41" spans="1:21" s="115" customFormat="1" ht="9">
      <c r="A41" s="110" t="s">
        <v>368</v>
      </c>
      <c r="B41" s="37"/>
      <c r="C41" s="37"/>
      <c r="D41" s="44"/>
      <c r="E41" s="44"/>
      <c r="F41" s="44"/>
      <c r="G41" s="37"/>
      <c r="H41" s="37"/>
      <c r="I41" s="73"/>
      <c r="J41" s="73"/>
      <c r="K41" s="73"/>
      <c r="L41" s="73"/>
      <c r="M41" s="37"/>
      <c r="N41" s="44"/>
      <c r="O41" s="44"/>
      <c r="P41" s="73"/>
      <c r="Q41" s="75"/>
    </row>
    <row r="42" spans="1:21" s="115" customFormat="1" ht="9">
      <c r="A42" s="126" t="s">
        <v>386</v>
      </c>
      <c r="B42" s="37">
        <v>2</v>
      </c>
      <c r="C42" s="37"/>
      <c r="D42" s="44">
        <v>0</v>
      </c>
      <c r="E42" s="44">
        <v>0</v>
      </c>
      <c r="F42" s="44">
        <v>0</v>
      </c>
      <c r="G42" s="37">
        <v>1</v>
      </c>
      <c r="H42" s="37">
        <f>B42*G42</f>
        <v>2</v>
      </c>
      <c r="I42" s="72">
        <f>$I$7</f>
        <v>33</v>
      </c>
      <c r="J42" s="73">
        <f>H42*I42</f>
        <v>66</v>
      </c>
      <c r="K42" s="73">
        <f>J42*0.1</f>
        <v>6.6000000000000005</v>
      </c>
      <c r="L42" s="73">
        <f>J42*0.05</f>
        <v>3.3000000000000003</v>
      </c>
      <c r="M42" s="37">
        <f>C42*G42*I42</f>
        <v>0</v>
      </c>
      <c r="N42" s="44">
        <f>(J42*'Base Data'!$C$5)+(K42*'Base Data'!$C$6)+(L42*'Base Data'!$C$7)</f>
        <v>7179.3149999999996</v>
      </c>
      <c r="O42" s="44">
        <f>(D42+E42+F42)*G42*I42</f>
        <v>0</v>
      </c>
      <c r="P42" s="73">
        <f>G42*I42</f>
        <v>33</v>
      </c>
      <c r="Q42" s="75" t="s">
        <v>338</v>
      </c>
    </row>
    <row r="43" spans="1:21" s="115" customFormat="1" ht="9" customHeight="1">
      <c r="A43" s="126" t="s">
        <v>328</v>
      </c>
      <c r="B43" s="37">
        <v>8</v>
      </c>
      <c r="C43" s="37"/>
      <c r="D43" s="44">
        <v>0</v>
      </c>
      <c r="E43" s="44">
        <v>0</v>
      </c>
      <c r="F43" s="44">
        <v>0</v>
      </c>
      <c r="G43" s="37">
        <v>1</v>
      </c>
      <c r="H43" s="37">
        <f>B43*G43</f>
        <v>8</v>
      </c>
      <c r="I43" s="72">
        <f>$I$7</f>
        <v>33</v>
      </c>
      <c r="J43" s="73">
        <f>H43*I43</f>
        <v>264</v>
      </c>
      <c r="K43" s="73">
        <f>J43*0.1</f>
        <v>26.400000000000002</v>
      </c>
      <c r="L43" s="73">
        <f>J43*0.05</f>
        <v>13.200000000000001</v>
      </c>
      <c r="M43" s="37">
        <f>C43*G43*I43</f>
        <v>0</v>
      </c>
      <c r="N43" s="44">
        <f>(J43*'Base Data'!$C$5)+(K43*'Base Data'!$C$6)+(L43*'Base Data'!$C$7)</f>
        <v>28717.26</v>
      </c>
      <c r="O43" s="44">
        <f>(D43+E43+F43)*G43*I43</f>
        <v>0</v>
      </c>
      <c r="P43" s="73">
        <f>G43*I43</f>
        <v>33</v>
      </c>
      <c r="Q43" s="75" t="s">
        <v>338</v>
      </c>
    </row>
    <row r="44" spans="1:21" s="115" customFormat="1" ht="9">
      <c r="A44" s="112" t="s">
        <v>436</v>
      </c>
      <c r="B44" s="37">
        <v>20</v>
      </c>
      <c r="C44" s="37">
        <v>0</v>
      </c>
      <c r="D44" s="44">
        <v>0</v>
      </c>
      <c r="E44" s="44">
        <v>0</v>
      </c>
      <c r="F44" s="44">
        <v>0</v>
      </c>
      <c r="G44" s="37">
        <v>1</v>
      </c>
      <c r="H44" s="37">
        <f>B44*G44</f>
        <v>20</v>
      </c>
      <c r="I44" s="72">
        <f>$I$7</f>
        <v>33</v>
      </c>
      <c r="J44" s="73">
        <f>H44*I44</f>
        <v>660</v>
      </c>
      <c r="K44" s="73">
        <f>J44*0.1</f>
        <v>66</v>
      </c>
      <c r="L44" s="73">
        <f>J44*0.05</f>
        <v>33</v>
      </c>
      <c r="M44" s="73">
        <f>C44*G44*I44</f>
        <v>0</v>
      </c>
      <c r="N44" s="44">
        <f>(J44*'Base Data'!$C$5)+(K44*'Base Data'!$C$6)+(L44*'Base Data'!$C$7)</f>
        <v>71793.149999999994</v>
      </c>
      <c r="O44" s="44">
        <f>(D44+E44+F44)*G44*I44</f>
        <v>0</v>
      </c>
      <c r="P44" s="73">
        <f>G44*I44</f>
        <v>33</v>
      </c>
      <c r="Q44" s="75" t="s">
        <v>478</v>
      </c>
    </row>
    <row r="45" spans="1:21" s="115" customFormat="1" ht="9">
      <c r="A45" s="112" t="s">
        <v>407</v>
      </c>
      <c r="B45" s="37">
        <v>20</v>
      </c>
      <c r="C45" s="37">
        <v>0</v>
      </c>
      <c r="D45" s="44">
        <v>0</v>
      </c>
      <c r="E45" s="44">
        <v>0</v>
      </c>
      <c r="F45" s="44">
        <v>0</v>
      </c>
      <c r="G45" s="37">
        <v>2</v>
      </c>
      <c r="H45" s="37">
        <f>B45*G45</f>
        <v>40</v>
      </c>
      <c r="I45" s="72">
        <v>0</v>
      </c>
      <c r="J45" s="73">
        <f>H45*I45</f>
        <v>0</v>
      </c>
      <c r="K45" s="73">
        <f>J45*0.1</f>
        <v>0</v>
      </c>
      <c r="L45" s="73">
        <f>J45*0.05</f>
        <v>0</v>
      </c>
      <c r="M45" s="73">
        <f>C45*G45*I45</f>
        <v>0</v>
      </c>
      <c r="N45" s="44">
        <f>(J45*'Base Data'!$C$5)+(K45*'Base Data'!$C$6)+(L45*'Base Data'!$C$7)</f>
        <v>0</v>
      </c>
      <c r="O45" s="44">
        <f>(D45+E45+F45)*G45*I45</f>
        <v>0</v>
      </c>
      <c r="P45" s="73">
        <f>G45*I45</f>
        <v>0</v>
      </c>
      <c r="Q45" s="75" t="s">
        <v>478</v>
      </c>
      <c r="R45" s="118">
        <f>SUM(O7,O9:O19,O24,O27,O30,O33,O36:O38)</f>
        <v>753250</v>
      </c>
      <c r="S45" s="117">
        <f>SUM(O23,O26,O29,O32,O35)</f>
        <v>0</v>
      </c>
    </row>
    <row r="46" spans="1:21" s="115" customFormat="1" ht="9">
      <c r="A46" s="112" t="s">
        <v>437</v>
      </c>
      <c r="B46" s="37">
        <v>5</v>
      </c>
      <c r="C46" s="37"/>
      <c r="D46" s="44">
        <v>0</v>
      </c>
      <c r="E46" s="44">
        <v>0</v>
      </c>
      <c r="F46" s="44">
        <v>0</v>
      </c>
      <c r="G46" s="37">
        <v>1</v>
      </c>
      <c r="H46" s="37">
        <f t="shared" ref="H46" si="9">B46*G46</f>
        <v>5</v>
      </c>
      <c r="I46" s="72">
        <v>0</v>
      </c>
      <c r="J46" s="73">
        <f t="shared" ref="J46" si="10">H46*I46</f>
        <v>0</v>
      </c>
      <c r="K46" s="73">
        <f t="shared" ref="K46" si="11">J46*0.1</f>
        <v>0</v>
      </c>
      <c r="L46" s="73">
        <f t="shared" ref="L46" si="12">J46*0.05</f>
        <v>0</v>
      </c>
      <c r="M46" s="73">
        <f t="shared" ref="M46" si="13">C46*G46*I46</f>
        <v>0</v>
      </c>
      <c r="N46" s="44">
        <f>(J46*'Base Data'!$C$5)+(K46*'Base Data'!$C$6)+(L46*'Base Data'!$C$7)</f>
        <v>0</v>
      </c>
      <c r="O46" s="44">
        <f t="shared" ref="O46" si="14">(D46+E46+F46)*G46*I46</f>
        <v>0</v>
      </c>
      <c r="P46" s="73">
        <f t="shared" ref="P46" si="15">G46*I46</f>
        <v>0</v>
      </c>
      <c r="Q46" s="75" t="s">
        <v>83</v>
      </c>
    </row>
    <row r="47" spans="1:21" s="115" customFormat="1" ht="9">
      <c r="A47" s="112" t="s">
        <v>511</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t="s">
        <v>16</v>
      </c>
      <c r="R47" s="133"/>
    </row>
    <row r="48" spans="1:21" s="115" customFormat="1" ht="9">
      <c r="A48" s="113" t="s">
        <v>7</v>
      </c>
      <c r="B48" s="37"/>
      <c r="C48" s="37"/>
      <c r="D48" s="44"/>
      <c r="E48" s="44"/>
      <c r="F48" s="44"/>
      <c r="G48" s="37"/>
      <c r="H48" s="37"/>
      <c r="I48" s="72"/>
      <c r="J48" s="73">
        <f t="shared" ref="J48:O48" si="16">SUM(J4:J45)</f>
        <v>5454</v>
      </c>
      <c r="K48" s="73">
        <f t="shared" si="16"/>
        <v>545.40000000000009</v>
      </c>
      <c r="L48" s="73">
        <f t="shared" si="16"/>
        <v>272.70000000000005</v>
      </c>
      <c r="M48" s="73">
        <f t="shared" si="16"/>
        <v>0</v>
      </c>
      <c r="N48" s="44">
        <f t="shared" si="16"/>
        <v>593272.48499999999</v>
      </c>
      <c r="O48" s="44">
        <f t="shared" si="16"/>
        <v>753250</v>
      </c>
      <c r="P48" s="73">
        <f>SUM(P42:P45)</f>
        <v>99</v>
      </c>
      <c r="Q48" s="75"/>
    </row>
    <row r="49" spans="1:18" s="115" customFormat="1" ht="9">
      <c r="A49" s="110" t="s">
        <v>382</v>
      </c>
      <c r="B49" s="37"/>
      <c r="C49" s="37"/>
      <c r="D49" s="44"/>
      <c r="E49" s="44"/>
      <c r="F49" s="44"/>
      <c r="G49" s="37"/>
      <c r="H49" s="37"/>
      <c r="I49" s="73"/>
      <c r="J49" s="73"/>
      <c r="K49" s="73"/>
      <c r="L49" s="73"/>
      <c r="M49" s="37"/>
      <c r="N49" s="44"/>
      <c r="O49" s="44"/>
      <c r="P49" s="73"/>
      <c r="Q49" s="75"/>
      <c r="R49" s="118"/>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247</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2" si="17">B54*G54</f>
        <v>20</v>
      </c>
      <c r="I54" s="72">
        <v>0</v>
      </c>
      <c r="J54" s="73">
        <f t="shared" ref="J54:J62" si="18">H54*I54</f>
        <v>0</v>
      </c>
      <c r="K54" s="73">
        <f t="shared" ref="K54:K62" si="19">J54*0.1</f>
        <v>0</v>
      </c>
      <c r="L54" s="73">
        <f t="shared" ref="L54:L62" si="20">J54*0.05</f>
        <v>0</v>
      </c>
      <c r="M54" s="37"/>
      <c r="N54" s="44">
        <f>(J54*'Base Data'!$C$5)+(K54*'Base Data'!$C$6)+(L54*'Base Data'!$C$7)</f>
        <v>0</v>
      </c>
      <c r="O54" s="44">
        <f t="shared" ref="O54:O62" si="21">(D54+E54+F54)*G54*I54</f>
        <v>0</v>
      </c>
      <c r="P54" s="73">
        <v>0</v>
      </c>
      <c r="Q54" s="75" t="s">
        <v>338</v>
      </c>
    </row>
    <row r="55" spans="1:18" s="115" customFormat="1" ht="9">
      <c r="A55" s="111" t="s">
        <v>376</v>
      </c>
      <c r="B55" s="37">
        <v>15</v>
      </c>
      <c r="C55" s="37">
        <v>0</v>
      </c>
      <c r="D55" s="44">
        <v>0</v>
      </c>
      <c r="E55" s="44">
        <v>0</v>
      </c>
      <c r="F55" s="44">
        <v>0</v>
      </c>
      <c r="G55" s="37">
        <v>1</v>
      </c>
      <c r="H55" s="37">
        <f t="shared" si="17"/>
        <v>15</v>
      </c>
      <c r="I55" s="72">
        <v>0</v>
      </c>
      <c r="J55" s="73">
        <f t="shared" si="18"/>
        <v>0</v>
      </c>
      <c r="K55" s="73">
        <f t="shared" si="19"/>
        <v>0</v>
      </c>
      <c r="L55" s="73">
        <f t="shared" si="20"/>
        <v>0</v>
      </c>
      <c r="M55" s="37">
        <f>C55*G55*I55</f>
        <v>0</v>
      </c>
      <c r="N55" s="44">
        <f>(J55*'Base Data'!$C$5)+(K55*'Base Data'!$C$6)+(L55*'Base Data'!$C$7)</f>
        <v>0</v>
      </c>
      <c r="O55" s="44">
        <f t="shared" si="21"/>
        <v>0</v>
      </c>
      <c r="P55" s="73">
        <v>0</v>
      </c>
      <c r="Q55" s="75" t="s">
        <v>338</v>
      </c>
    </row>
    <row r="56" spans="1:18" s="115" customFormat="1" ht="9.75" customHeight="1">
      <c r="A56" s="110" t="s">
        <v>377</v>
      </c>
      <c r="B56" s="37">
        <v>2</v>
      </c>
      <c r="C56" s="37"/>
      <c r="D56" s="44">
        <v>0</v>
      </c>
      <c r="E56" s="44">
        <v>0</v>
      </c>
      <c r="F56" s="44">
        <v>0</v>
      </c>
      <c r="G56" s="37">
        <v>1</v>
      </c>
      <c r="H56" s="37">
        <f t="shared" si="17"/>
        <v>2</v>
      </c>
      <c r="I56" s="72">
        <v>0</v>
      </c>
      <c r="J56" s="73">
        <f t="shared" si="18"/>
        <v>0</v>
      </c>
      <c r="K56" s="73">
        <f t="shared" si="19"/>
        <v>0</v>
      </c>
      <c r="L56" s="73">
        <f t="shared" si="20"/>
        <v>0</v>
      </c>
      <c r="M56" s="37"/>
      <c r="N56" s="44">
        <f>(J56*'Base Data'!$C$5)+(K56*'Base Data'!$C$6)+(L56*'Base Data'!$C$7)</f>
        <v>0</v>
      </c>
      <c r="O56" s="44">
        <f t="shared" si="21"/>
        <v>0</v>
      </c>
      <c r="P56" s="73">
        <v>0</v>
      </c>
      <c r="Q56" s="75" t="s">
        <v>338</v>
      </c>
    </row>
    <row r="57" spans="1:18" s="115" customFormat="1" ht="9">
      <c r="A57" s="111" t="s">
        <v>387</v>
      </c>
      <c r="B57" s="37">
        <v>2</v>
      </c>
      <c r="C57" s="37"/>
      <c r="D57" s="44">
        <v>0</v>
      </c>
      <c r="E57" s="44">
        <v>0</v>
      </c>
      <c r="F57" s="44">
        <v>0</v>
      </c>
      <c r="G57" s="37">
        <v>1</v>
      </c>
      <c r="H57" s="37">
        <f t="shared" si="17"/>
        <v>2</v>
      </c>
      <c r="I57" s="72">
        <v>0</v>
      </c>
      <c r="J57" s="73">
        <f t="shared" si="18"/>
        <v>0</v>
      </c>
      <c r="K57" s="73">
        <f t="shared" si="19"/>
        <v>0</v>
      </c>
      <c r="L57" s="73">
        <f t="shared" si="20"/>
        <v>0</v>
      </c>
      <c r="M57" s="37"/>
      <c r="N57" s="44">
        <f>(J57*'Base Data'!$C$5)+(K57*'Base Data'!$C$6)+(L57*'Base Data'!$C$7)</f>
        <v>0</v>
      </c>
      <c r="O57" s="44">
        <f t="shared" si="21"/>
        <v>0</v>
      </c>
      <c r="P57" s="73">
        <v>0</v>
      </c>
      <c r="Q57" s="75" t="s">
        <v>338</v>
      </c>
    </row>
    <row r="58" spans="1:18" s="115" customFormat="1" ht="9" customHeight="1">
      <c r="A58" s="111" t="s">
        <v>227</v>
      </c>
      <c r="B58" s="37">
        <v>2</v>
      </c>
      <c r="C58" s="37">
        <v>0</v>
      </c>
      <c r="D58" s="44">
        <v>0</v>
      </c>
      <c r="E58" s="44">
        <v>0</v>
      </c>
      <c r="F58" s="44">
        <v>0</v>
      </c>
      <c r="G58" s="37">
        <v>2</v>
      </c>
      <c r="H58" s="37">
        <f>B58*G58</f>
        <v>4</v>
      </c>
      <c r="I58" s="72">
        <f>$I$7</f>
        <v>33</v>
      </c>
      <c r="J58" s="73">
        <f>H58*I58</f>
        <v>132</v>
      </c>
      <c r="K58" s="73">
        <f t="shared" si="19"/>
        <v>13.200000000000001</v>
      </c>
      <c r="L58" s="73">
        <f>J58*0.05</f>
        <v>6.6000000000000005</v>
      </c>
      <c r="M58" s="37">
        <f>C58*G58*I58</f>
        <v>0</v>
      </c>
      <c r="N58" s="44">
        <f>(J58*'Base Data'!$C$5)+(K58*'Base Data'!$C$6)+(L58*'Base Data'!$C$7)</f>
        <v>14358.63</v>
      </c>
      <c r="O58" s="44">
        <f>(D58+E58+F58)*G58*I58</f>
        <v>0</v>
      </c>
      <c r="P58" s="73">
        <v>0</v>
      </c>
      <c r="Q58" s="75" t="s">
        <v>478</v>
      </c>
    </row>
    <row r="59" spans="1:18" s="115" customFormat="1" ht="27">
      <c r="A59" s="111" t="s">
        <v>432</v>
      </c>
      <c r="B59" s="37">
        <v>2</v>
      </c>
      <c r="C59" s="37">
        <v>0</v>
      </c>
      <c r="D59" s="44">
        <v>0</v>
      </c>
      <c r="E59" s="44">
        <v>0</v>
      </c>
      <c r="F59" s="44">
        <v>0</v>
      </c>
      <c r="G59" s="37">
        <v>2</v>
      </c>
      <c r="H59" s="37">
        <f t="shared" si="17"/>
        <v>4</v>
      </c>
      <c r="I59" s="72">
        <f>I45</f>
        <v>0</v>
      </c>
      <c r="J59" s="73">
        <f t="shared" si="18"/>
        <v>0</v>
      </c>
      <c r="K59" s="73">
        <f t="shared" si="19"/>
        <v>0</v>
      </c>
      <c r="L59" s="73">
        <f t="shared" si="20"/>
        <v>0</v>
      </c>
      <c r="M59" s="37">
        <f>C59*G59*I59</f>
        <v>0</v>
      </c>
      <c r="N59" s="44">
        <f>(J59*'Base Data'!$C$5)+(K59*'Base Data'!$C$6)+(L59*'Base Data'!$C$7)</f>
        <v>0</v>
      </c>
      <c r="O59" s="44">
        <f t="shared" si="21"/>
        <v>0</v>
      </c>
      <c r="P59" s="73">
        <v>0</v>
      </c>
      <c r="Q59" s="75" t="s">
        <v>478</v>
      </c>
    </row>
    <row r="60" spans="1:18" s="115" customFormat="1" ht="9">
      <c r="A60" s="111" t="s">
        <v>232</v>
      </c>
      <c r="B60" s="37">
        <v>0.5</v>
      </c>
      <c r="C60" s="37"/>
      <c r="D60" s="44">
        <v>0</v>
      </c>
      <c r="E60" s="44">
        <v>0</v>
      </c>
      <c r="F60" s="44">
        <v>0</v>
      </c>
      <c r="G60" s="37">
        <v>12</v>
      </c>
      <c r="H60" s="37">
        <f t="shared" si="17"/>
        <v>6</v>
      </c>
      <c r="I60" s="72">
        <f>$I$37</f>
        <v>262</v>
      </c>
      <c r="J60" s="73">
        <f t="shared" si="18"/>
        <v>1572</v>
      </c>
      <c r="K60" s="73">
        <f t="shared" si="19"/>
        <v>157.20000000000002</v>
      </c>
      <c r="L60" s="73">
        <f t="shared" si="20"/>
        <v>78.600000000000009</v>
      </c>
      <c r="M60" s="37"/>
      <c r="N60" s="44">
        <f>(J60*'Base Data'!$C$5)+(K60*'Base Data'!$C$6)+(L60*'Base Data'!$C$7)</f>
        <v>170998.22999999998</v>
      </c>
      <c r="O60" s="44">
        <f t="shared" si="21"/>
        <v>0</v>
      </c>
      <c r="P60" s="73">
        <v>0</v>
      </c>
      <c r="Q60" s="75" t="s">
        <v>338</v>
      </c>
    </row>
    <row r="61" spans="1:18" s="115" customFormat="1" ht="9">
      <c r="A61" s="260" t="s">
        <v>433</v>
      </c>
      <c r="B61" s="37">
        <v>0.25</v>
      </c>
      <c r="C61" s="37"/>
      <c r="D61" s="44">
        <v>0</v>
      </c>
      <c r="E61" s="44">
        <v>0</v>
      </c>
      <c r="F61" s="44">
        <v>0</v>
      </c>
      <c r="G61" s="37">
        <v>1</v>
      </c>
      <c r="H61" s="37">
        <f>B61*G61</f>
        <v>0.25</v>
      </c>
      <c r="I61" s="72">
        <f>$I$37</f>
        <v>262</v>
      </c>
      <c r="J61" s="72">
        <f>H61*I61</f>
        <v>65.5</v>
      </c>
      <c r="K61" s="72">
        <f>J61*0.1</f>
        <v>6.5500000000000007</v>
      </c>
      <c r="L61" s="72">
        <f>J61*0.05</f>
        <v>3.2750000000000004</v>
      </c>
      <c r="M61" s="37">
        <f>C61*G61*I61</f>
        <v>0</v>
      </c>
      <c r="N61" s="44">
        <f>(J61*'Base Data'!$C$5)+(K61*'Base Data'!$C$6)+(L61*'Base Data'!$C$7)</f>
        <v>7124.9262500000004</v>
      </c>
      <c r="O61" s="44">
        <f>(D61+E61+F61)*G61*I61</f>
        <v>0</v>
      </c>
      <c r="P61" s="73">
        <f>G61*I61</f>
        <v>262</v>
      </c>
      <c r="Q61" s="75" t="s">
        <v>339</v>
      </c>
    </row>
    <row r="62" spans="1:18" s="115" customFormat="1" ht="9">
      <c r="A62" s="110" t="s">
        <v>378</v>
      </c>
      <c r="B62" s="37">
        <v>40</v>
      </c>
      <c r="C62" s="37"/>
      <c r="D62" s="44">
        <v>0</v>
      </c>
      <c r="E62" s="44">
        <v>0</v>
      </c>
      <c r="F62" s="44">
        <v>0</v>
      </c>
      <c r="G62" s="37">
        <v>1</v>
      </c>
      <c r="H62" s="37">
        <f t="shared" si="17"/>
        <v>40</v>
      </c>
      <c r="I62" s="72">
        <f>$I$7</f>
        <v>33</v>
      </c>
      <c r="J62" s="73">
        <f t="shared" si="18"/>
        <v>1320</v>
      </c>
      <c r="K62" s="73">
        <f t="shared" si="19"/>
        <v>132</v>
      </c>
      <c r="L62" s="73">
        <f t="shared" si="20"/>
        <v>66</v>
      </c>
      <c r="M62" s="37"/>
      <c r="N62" s="44">
        <f>(J62*'Base Data'!$C$5)+(K62*'Base Data'!$C$6)+(L62*'Base Data'!$C$7)</f>
        <v>143586.29999999999</v>
      </c>
      <c r="O62" s="44">
        <f t="shared" si="21"/>
        <v>0</v>
      </c>
      <c r="P62" s="73">
        <v>0</v>
      </c>
      <c r="Q62" s="75" t="s">
        <v>68</v>
      </c>
    </row>
    <row r="63" spans="1:18" s="115" customFormat="1">
      <c r="A63" s="110" t="s">
        <v>379</v>
      </c>
      <c r="B63" s="37" t="s">
        <v>384</v>
      </c>
      <c r="C63" s="37"/>
      <c r="D63" s="44"/>
      <c r="E63" s="44"/>
      <c r="F63" s="44"/>
      <c r="G63" s="37"/>
      <c r="H63" s="37"/>
      <c r="I63" s="73"/>
      <c r="J63" s="73"/>
      <c r="K63" s="73"/>
      <c r="L63" s="73"/>
      <c r="M63" s="37"/>
      <c r="N63" s="44"/>
      <c r="O63" s="44"/>
      <c r="P63" s="73"/>
      <c r="Q63" s="75"/>
      <c r="R63" s="134"/>
    </row>
    <row r="64" spans="1:18" s="115" customFormat="1">
      <c r="A64" s="190" t="s">
        <v>26</v>
      </c>
      <c r="B64" s="184"/>
      <c r="C64" s="184"/>
      <c r="D64" s="185"/>
      <c r="E64" s="185"/>
      <c r="F64" s="185"/>
      <c r="G64" s="184"/>
      <c r="H64" s="184"/>
      <c r="I64" s="186"/>
      <c r="J64" s="186">
        <f t="shared" ref="J64:O64" si="22">SUM(J50:J63)</f>
        <v>3089.5</v>
      </c>
      <c r="K64" s="186">
        <f t="shared" si="22"/>
        <v>308.95000000000005</v>
      </c>
      <c r="L64" s="186">
        <f t="shared" si="22"/>
        <v>154.47500000000002</v>
      </c>
      <c r="M64" s="185">
        <f t="shared" si="22"/>
        <v>0</v>
      </c>
      <c r="N64" s="185">
        <f t="shared" si="22"/>
        <v>336068.08624999993</v>
      </c>
      <c r="O64" s="185">
        <f t="shared" si="22"/>
        <v>0</v>
      </c>
      <c r="P64" s="186"/>
      <c r="Q64" s="187"/>
      <c r="R64" s="88"/>
    </row>
    <row r="65" spans="1:18" s="134" customFormat="1">
      <c r="A65" s="135" t="s">
        <v>351</v>
      </c>
      <c r="B65" s="136"/>
      <c r="C65" s="136"/>
      <c r="D65" s="136"/>
      <c r="E65" s="136"/>
      <c r="F65" s="137"/>
      <c r="G65" s="136"/>
      <c r="H65" s="136"/>
      <c r="I65" s="138"/>
      <c r="J65" s="139">
        <f t="shared" ref="J65:P65" si="23">J48+J64</f>
        <v>8543.5</v>
      </c>
      <c r="K65" s="139">
        <f t="shared" si="23"/>
        <v>854.35000000000014</v>
      </c>
      <c r="L65" s="139">
        <f t="shared" si="23"/>
        <v>427.17500000000007</v>
      </c>
      <c r="M65" s="140">
        <f t="shared" si="23"/>
        <v>0</v>
      </c>
      <c r="N65" s="140">
        <f t="shared" si="23"/>
        <v>929340.57124999992</v>
      </c>
      <c r="O65" s="140">
        <f t="shared" si="23"/>
        <v>753250</v>
      </c>
      <c r="P65" s="139">
        <f t="shared" si="23"/>
        <v>99</v>
      </c>
      <c r="Q65" s="141"/>
      <c r="R65" s="45"/>
    </row>
    <row r="66" spans="1:18" ht="6" customHeight="1">
      <c r="R66" s="45"/>
    </row>
    <row r="67" spans="1:18" s="45" customFormat="1" ht="9" customHeight="1">
      <c r="A67" s="499" t="s">
        <v>620</v>
      </c>
      <c r="B67" s="499"/>
      <c r="C67" s="499"/>
      <c r="D67" s="499"/>
      <c r="E67" s="499"/>
      <c r="F67" s="499"/>
      <c r="G67" s="499"/>
      <c r="H67" s="499"/>
      <c r="I67" s="499"/>
      <c r="J67" s="499"/>
      <c r="K67" s="499"/>
      <c r="L67" s="499"/>
      <c r="M67" s="499"/>
      <c r="N67" s="499"/>
      <c r="O67" s="499"/>
      <c r="P67" s="284"/>
    </row>
    <row r="68" spans="1:18" s="45" customFormat="1" ht="9" customHeight="1">
      <c r="A68" s="494" t="s">
        <v>334</v>
      </c>
      <c r="B68" s="494"/>
      <c r="C68" s="494"/>
      <c r="D68" s="494"/>
      <c r="E68" s="494"/>
      <c r="F68" s="494"/>
      <c r="G68" s="494"/>
      <c r="H68" s="494"/>
      <c r="I68" s="494"/>
      <c r="J68" s="494"/>
      <c r="K68" s="494"/>
      <c r="L68" s="494"/>
      <c r="M68" s="494"/>
      <c r="N68" s="494"/>
      <c r="O68" s="494"/>
      <c r="P68" s="284"/>
    </row>
    <row r="69" spans="1:18" s="285" customFormat="1" ht="9">
      <c r="A69" s="494" t="s">
        <v>544</v>
      </c>
      <c r="B69" s="494"/>
      <c r="C69" s="494"/>
      <c r="D69" s="494"/>
      <c r="E69" s="494"/>
      <c r="F69" s="494"/>
      <c r="G69" s="494"/>
      <c r="H69" s="494"/>
      <c r="I69" s="494"/>
      <c r="J69" s="494"/>
      <c r="K69" s="494"/>
      <c r="L69" s="494"/>
      <c r="M69" s="494"/>
      <c r="N69" s="494"/>
      <c r="O69" s="494"/>
      <c r="P69" s="494"/>
      <c r="Q69" s="45"/>
      <c r="R69" s="45"/>
    </row>
    <row r="70" spans="1:18" s="45" customFormat="1">
      <c r="A70" s="494" t="s">
        <v>246</v>
      </c>
      <c r="B70" s="494"/>
      <c r="C70" s="494"/>
      <c r="D70" s="494"/>
      <c r="E70" s="494"/>
      <c r="F70" s="494"/>
      <c r="G70" s="494"/>
      <c r="H70" s="494"/>
      <c r="I70" s="494"/>
      <c r="J70" s="494"/>
      <c r="K70" s="494"/>
      <c r="L70" s="494"/>
      <c r="M70" s="494"/>
      <c r="N70" s="494"/>
      <c r="O70" s="494"/>
      <c r="P70" s="494"/>
      <c r="Q70" s="88"/>
    </row>
    <row r="71" spans="1:18" s="45" customFormat="1" ht="21" customHeight="1">
      <c r="A71" s="494" t="s">
        <v>498</v>
      </c>
      <c r="B71" s="494"/>
      <c r="C71" s="494"/>
      <c r="D71" s="494"/>
      <c r="E71" s="494"/>
      <c r="F71" s="494"/>
      <c r="G71" s="494"/>
      <c r="H71" s="494"/>
      <c r="I71" s="494"/>
      <c r="J71" s="494"/>
      <c r="K71" s="494"/>
      <c r="L71" s="494"/>
      <c r="M71" s="494"/>
      <c r="N71" s="494"/>
      <c r="O71" s="494"/>
      <c r="P71" s="459"/>
    </row>
    <row r="72" spans="1:18" s="45" customFormat="1" ht="9" customHeight="1">
      <c r="A72" s="78" t="s">
        <v>479</v>
      </c>
      <c r="B72" s="459"/>
      <c r="C72" s="459"/>
      <c r="D72" s="459"/>
      <c r="E72" s="459"/>
      <c r="F72" s="459"/>
      <c r="G72" s="459"/>
      <c r="H72" s="459"/>
      <c r="I72" s="459"/>
      <c r="J72" s="459"/>
      <c r="K72" s="459"/>
      <c r="L72" s="459"/>
      <c r="M72" s="459"/>
      <c r="N72" s="459"/>
      <c r="O72" s="459"/>
      <c r="P72" s="459"/>
    </row>
    <row r="73" spans="1:18" s="45" customFormat="1" ht="9">
      <c r="A73" s="45" t="s">
        <v>500</v>
      </c>
      <c r="B73" s="48"/>
      <c r="C73" s="48"/>
      <c r="D73" s="48"/>
      <c r="E73" s="48"/>
      <c r="F73" s="48"/>
      <c r="G73" s="48"/>
      <c r="H73" s="48"/>
      <c r="I73" s="49"/>
      <c r="J73" s="48"/>
      <c r="K73" s="48"/>
      <c r="L73" s="48"/>
      <c r="M73" s="48"/>
      <c r="N73" s="48"/>
      <c r="O73" s="146"/>
      <c r="P73" s="146"/>
      <c r="Q73" s="48"/>
    </row>
    <row r="74" spans="1:18" s="45" customFormat="1" ht="9">
      <c r="A74" s="45" t="s">
        <v>505</v>
      </c>
      <c r="C74" s="48"/>
      <c r="D74" s="48"/>
      <c r="E74" s="48"/>
      <c r="F74" s="48"/>
      <c r="G74" s="48"/>
      <c r="H74" s="48"/>
      <c r="I74" s="48"/>
      <c r="J74" s="49"/>
      <c r="K74" s="48"/>
      <c r="L74" s="48"/>
      <c r="M74" s="48"/>
      <c r="N74" s="48"/>
      <c r="O74" s="48"/>
      <c r="P74" s="146"/>
      <c r="Q74" s="48"/>
    </row>
    <row r="75" spans="1:18" s="45" customFormat="1" ht="9">
      <c r="A75" s="107" t="s">
        <v>506</v>
      </c>
      <c r="B75" s="494"/>
      <c r="C75" s="494"/>
      <c r="D75" s="494"/>
      <c r="E75" s="494"/>
      <c r="F75" s="494"/>
      <c r="G75" s="494"/>
      <c r="H75" s="494"/>
      <c r="I75" s="494"/>
      <c r="J75" s="494"/>
      <c r="K75" s="494"/>
      <c r="L75" s="494"/>
      <c r="M75" s="494"/>
      <c r="N75" s="494"/>
      <c r="O75" s="494"/>
      <c r="P75" s="494"/>
      <c r="Q75" s="48"/>
    </row>
    <row r="76" spans="1:18" s="45" customFormat="1" ht="9">
      <c r="A76" s="94" t="s">
        <v>512</v>
      </c>
      <c r="B76" s="48"/>
      <c r="C76" s="48"/>
      <c r="D76" s="48"/>
      <c r="E76" s="48"/>
      <c r="F76" s="48"/>
      <c r="G76" s="48"/>
      <c r="H76" s="48"/>
      <c r="I76" s="49"/>
      <c r="J76" s="48"/>
      <c r="K76" s="48"/>
      <c r="L76" s="48"/>
      <c r="M76" s="48"/>
      <c r="N76" s="48"/>
      <c r="O76" s="146"/>
      <c r="P76" s="146"/>
      <c r="Q76" s="48"/>
    </row>
    <row r="77" spans="1:18" s="45" customFormat="1" ht="9">
      <c r="A77" s="494" t="s">
        <v>667</v>
      </c>
      <c r="B77" s="494"/>
      <c r="C77" s="494"/>
      <c r="D77" s="494"/>
      <c r="E77" s="494"/>
      <c r="F77" s="494"/>
      <c r="G77" s="494"/>
      <c r="H77" s="494"/>
      <c r="I77" s="494"/>
      <c r="J77" s="494"/>
      <c r="K77" s="494"/>
      <c r="L77" s="494"/>
      <c r="M77" s="494"/>
      <c r="N77" s="494"/>
      <c r="O77" s="494"/>
      <c r="P77" s="494"/>
      <c r="Q77" s="494"/>
    </row>
    <row r="78" spans="1:18" s="45" customFormat="1" ht="9">
      <c r="A78" s="494"/>
      <c r="B78" s="494"/>
      <c r="C78" s="494"/>
      <c r="D78" s="494"/>
      <c r="E78" s="494"/>
      <c r="F78" s="494"/>
      <c r="G78" s="494"/>
      <c r="H78" s="494"/>
      <c r="I78" s="494"/>
      <c r="J78" s="494"/>
      <c r="K78" s="494"/>
      <c r="L78" s="494"/>
      <c r="M78" s="494"/>
      <c r="N78" s="494"/>
      <c r="O78" s="494"/>
      <c r="P78" s="494"/>
      <c r="Q78" s="494"/>
    </row>
    <row r="79" spans="1:18" s="45" customFormat="1" ht="9">
      <c r="A79" s="494"/>
      <c r="B79" s="494"/>
      <c r="C79" s="494"/>
      <c r="D79" s="494"/>
      <c r="E79" s="494"/>
      <c r="F79" s="494"/>
      <c r="G79" s="494"/>
      <c r="H79" s="494"/>
      <c r="I79" s="494"/>
      <c r="J79" s="494"/>
      <c r="K79" s="494"/>
      <c r="L79" s="494"/>
      <c r="M79" s="494"/>
      <c r="N79" s="494"/>
      <c r="O79" s="494"/>
      <c r="P79" s="494"/>
      <c r="Q79" s="494"/>
    </row>
    <row r="80" spans="1:18" s="45" customFormat="1" ht="9">
      <c r="B80" s="48"/>
      <c r="C80" s="48"/>
      <c r="D80" s="48"/>
      <c r="E80" s="48"/>
      <c r="F80" s="48"/>
      <c r="G80" s="48"/>
      <c r="H80" s="48"/>
      <c r="I80" s="49"/>
      <c r="J80" s="48"/>
      <c r="K80" s="48"/>
      <c r="L80" s="48"/>
      <c r="M80" s="48"/>
      <c r="N80" s="48"/>
      <c r="O80" s="146"/>
      <c r="P80" s="146"/>
      <c r="Q80" s="48"/>
    </row>
    <row r="81" spans="2:18" s="45" customFormat="1" ht="9">
      <c r="B81" s="48"/>
      <c r="C81" s="48"/>
      <c r="D81" s="48"/>
      <c r="E81" s="48"/>
      <c r="F81" s="48"/>
      <c r="G81" s="48"/>
      <c r="H81" s="48"/>
      <c r="I81" s="49"/>
      <c r="J81" s="48"/>
      <c r="K81" s="48"/>
      <c r="L81" s="48"/>
      <c r="M81" s="48"/>
      <c r="N81" s="48"/>
      <c r="O81" s="146"/>
      <c r="P81" s="146"/>
      <c r="Q81" s="48"/>
    </row>
    <row r="82" spans="2:18" s="45" customFormat="1" ht="9">
      <c r="B82" s="48"/>
      <c r="C82" s="48"/>
      <c r="D82" s="48"/>
      <c r="E82" s="48"/>
      <c r="F82" s="48"/>
      <c r="G82" s="48"/>
      <c r="H82" s="48"/>
      <c r="I82" s="49"/>
      <c r="J82" s="48"/>
      <c r="K82" s="48"/>
      <c r="L82" s="48"/>
      <c r="M82" s="48"/>
      <c r="N82" s="48"/>
      <c r="O82" s="146"/>
      <c r="P82" s="146"/>
      <c r="Q82" s="48"/>
    </row>
    <row r="83" spans="2:18" s="45" customFormat="1" ht="9">
      <c r="B83" s="48"/>
      <c r="C83" s="48"/>
      <c r="D83" s="48"/>
      <c r="E83" s="48"/>
      <c r="F83" s="48"/>
      <c r="G83" s="48"/>
      <c r="H83" s="48"/>
      <c r="I83" s="49"/>
      <c r="J83" s="48"/>
      <c r="K83" s="48"/>
      <c r="L83" s="48"/>
      <c r="M83" s="48"/>
      <c r="N83" s="48"/>
      <c r="O83" s="146"/>
      <c r="P83" s="146"/>
      <c r="Q83" s="48"/>
    </row>
    <row r="84" spans="2:18" s="45" customFormat="1" ht="9">
      <c r="B84" s="48"/>
      <c r="C84" s="48"/>
      <c r="D84" s="48"/>
      <c r="E84" s="48"/>
      <c r="F84" s="48"/>
      <c r="G84" s="48"/>
      <c r="H84" s="48"/>
      <c r="I84" s="49"/>
      <c r="J84" s="48"/>
      <c r="K84" s="48"/>
      <c r="L84" s="48"/>
      <c r="M84" s="48"/>
      <c r="N84" s="48"/>
      <c r="O84" s="146"/>
      <c r="P84" s="146"/>
      <c r="Q84" s="48"/>
    </row>
    <row r="85" spans="2:18" s="45" customFormat="1" ht="9">
      <c r="B85" s="48"/>
      <c r="C85" s="48"/>
      <c r="D85" s="48"/>
      <c r="E85" s="48"/>
      <c r="F85" s="48"/>
      <c r="G85" s="48"/>
      <c r="H85" s="48"/>
      <c r="I85" s="49"/>
      <c r="J85" s="48"/>
      <c r="K85" s="48"/>
      <c r="L85" s="48"/>
      <c r="M85" s="48"/>
      <c r="N85" s="48"/>
      <c r="O85" s="146"/>
      <c r="P85" s="146"/>
      <c r="Q85" s="48"/>
    </row>
    <row r="86" spans="2:18" s="45" customFormat="1" ht="9">
      <c r="B86" s="48"/>
      <c r="C86" s="48"/>
      <c r="D86" s="48"/>
      <c r="E86" s="48"/>
      <c r="F86" s="48"/>
      <c r="G86" s="48"/>
      <c r="H86" s="48"/>
      <c r="I86" s="49"/>
      <c r="J86" s="48"/>
      <c r="K86" s="48"/>
      <c r="L86" s="48"/>
      <c r="M86" s="48"/>
      <c r="N86" s="48"/>
      <c r="O86" s="146"/>
      <c r="P86" s="146"/>
      <c r="Q86" s="48"/>
    </row>
    <row r="87" spans="2:18" s="45" customFormat="1" ht="9">
      <c r="B87" s="48"/>
      <c r="C87" s="48"/>
      <c r="D87" s="48"/>
      <c r="E87" s="48"/>
      <c r="F87" s="48"/>
      <c r="G87" s="48"/>
      <c r="H87" s="48"/>
      <c r="I87" s="49"/>
      <c r="J87" s="48"/>
      <c r="K87" s="48"/>
      <c r="L87" s="48"/>
      <c r="M87" s="48"/>
      <c r="N87" s="48"/>
      <c r="O87" s="146"/>
      <c r="P87" s="146"/>
      <c r="Q87" s="48"/>
    </row>
    <row r="88" spans="2:18" s="45" customFormat="1" ht="9">
      <c r="B88" s="48"/>
      <c r="C88" s="48"/>
      <c r="D88" s="48"/>
      <c r="E88" s="48"/>
      <c r="F88" s="48"/>
      <c r="G88" s="48"/>
      <c r="H88" s="48"/>
      <c r="I88" s="49"/>
      <c r="J88" s="48"/>
      <c r="K88" s="48"/>
      <c r="L88" s="48"/>
      <c r="M88" s="48"/>
      <c r="N88" s="48"/>
      <c r="O88" s="146"/>
      <c r="P88" s="146"/>
      <c r="Q88" s="48"/>
    </row>
    <row r="89" spans="2:18" s="45" customFormat="1">
      <c r="B89" s="48"/>
      <c r="C89" s="48"/>
      <c r="D89" s="48"/>
      <c r="E89" s="48"/>
      <c r="F89" s="48"/>
      <c r="G89" s="48"/>
      <c r="H89" s="48"/>
      <c r="I89" s="49"/>
      <c r="J89" s="48"/>
      <c r="K89" s="48"/>
      <c r="L89" s="48"/>
      <c r="M89" s="48"/>
      <c r="N89" s="48"/>
      <c r="O89" s="146"/>
      <c r="P89" s="146"/>
      <c r="Q89" s="48"/>
      <c r="R89" s="88"/>
    </row>
    <row r="90" spans="2:18" s="45" customFormat="1">
      <c r="B90" s="48"/>
      <c r="C90" s="48"/>
      <c r="D90" s="48"/>
      <c r="E90" s="48"/>
      <c r="F90" s="48"/>
      <c r="G90" s="48"/>
      <c r="H90" s="48"/>
      <c r="I90" s="49"/>
      <c r="J90" s="48"/>
      <c r="K90" s="48"/>
      <c r="L90" s="48"/>
      <c r="M90" s="48"/>
      <c r="N90" s="48"/>
      <c r="O90" s="146"/>
      <c r="P90" s="146"/>
      <c r="Q90" s="48"/>
      <c r="R90" s="88"/>
    </row>
    <row r="91" spans="2:18">
      <c r="Q91" s="48"/>
    </row>
    <row r="92" spans="2:18">
      <c r="Q92" s="48"/>
    </row>
    <row r="93" spans="2:18">
      <c r="Q93" s="48"/>
    </row>
  </sheetData>
  <mergeCells count="9">
    <mergeCell ref="A77:Q79"/>
    <mergeCell ref="B75:P75"/>
    <mergeCell ref="A70:P70"/>
    <mergeCell ref="A71:O71"/>
    <mergeCell ref="A1:Q1"/>
    <mergeCell ref="A2:Q2"/>
    <mergeCell ref="A68:O68"/>
    <mergeCell ref="A67:O67"/>
    <mergeCell ref="A69:P69"/>
  </mergeCells>
  <phoneticPr fontId="9" type="noConversion"/>
  <pageMargins left="0.25" right="0.25" top="0.5" bottom="0.5" header="0.5" footer="0.5"/>
  <pageSetup scale="70" orientation="portrait"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U120"/>
  <sheetViews>
    <sheetView zoomScale="110" zoomScaleNormal="110" workbookViewId="0">
      <pane xSplit="1" ySplit="3" topLeftCell="B61" activePane="bottomRight" state="frozen"/>
      <selection activeCell="O55" sqref="O55"/>
      <selection pane="topRight" activeCell="O55" sqref="O55"/>
      <selection pane="bottomLeft" activeCell="O55" sqref="O55"/>
      <selection pane="bottomRight" activeCell="E34" sqref="E34"/>
    </sheetView>
  </sheetViews>
  <sheetFormatPr defaultRowHeight="11.25"/>
  <cols>
    <col min="1" max="1" width="34.28515625" style="88" customWidth="1"/>
    <col min="2" max="2" width="8.85546875" style="46" bestFit="1" customWidth="1"/>
    <col min="3" max="3" width="8" style="46" hidden="1" customWidth="1"/>
    <col min="4" max="4" width="8.42578125" style="46" bestFit="1" customWidth="1"/>
    <col min="5" max="5" width="8.85546875" style="46" bestFit="1" customWidth="1"/>
    <col min="6" max="6" width="7.85546875" style="46" bestFit="1" customWidth="1"/>
    <col min="7" max="7" width="9.28515625" style="46" bestFit="1" customWidth="1"/>
    <col min="8" max="8" width="7.85546875" style="46" bestFit="1" customWidth="1"/>
    <col min="9" max="9" width="9.42578125" style="47" bestFit="1" customWidth="1"/>
    <col min="10" max="11" width="6.85546875" style="46" bestFit="1" customWidth="1"/>
    <col min="12" max="12" width="8.85546875" style="46" bestFit="1" customWidth="1"/>
    <col min="13" max="13" width="7.85546875" style="46" hidden="1" customWidth="1"/>
    <col min="14" max="14" width="8.42578125" style="46" bestFit="1" customWidth="1"/>
    <col min="15" max="15" width="10.140625" style="145" bestFit="1" customWidth="1"/>
    <col min="16" max="16" width="7.85546875" style="145" customWidth="1"/>
    <col min="17" max="17" width="4" style="46" bestFit="1" customWidth="1"/>
    <col min="18" max="19" width="9.140625" style="88" hidden="1" customWidth="1"/>
    <col min="20" max="20" width="11.140625" style="88" customWidth="1"/>
    <col min="21" max="21" width="8.5703125" style="88" customWidth="1"/>
    <col min="22" max="16384" width="9.140625" style="88"/>
  </cols>
  <sheetData>
    <row r="1" spans="1:21">
      <c r="A1" s="496" t="s">
        <v>263</v>
      </c>
      <c r="B1" s="496"/>
      <c r="C1" s="496"/>
      <c r="D1" s="496"/>
      <c r="E1" s="496"/>
      <c r="F1" s="496"/>
      <c r="G1" s="496"/>
      <c r="H1" s="496"/>
      <c r="I1" s="496"/>
      <c r="J1" s="496"/>
      <c r="K1" s="496"/>
      <c r="L1" s="496"/>
      <c r="M1" s="496"/>
      <c r="N1" s="496"/>
      <c r="O1" s="496"/>
      <c r="P1" s="496"/>
      <c r="Q1" s="496"/>
    </row>
    <row r="2" spans="1:21">
      <c r="A2" s="497" t="s">
        <v>270</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ROUND(SUM('Base Data'!$H$71:$H$73)/3,0)</f>
        <v>33</v>
      </c>
      <c r="J7" s="73">
        <f>H7*I7</f>
        <v>1320</v>
      </c>
      <c r="K7" s="73">
        <f>J7*0.1</f>
        <v>132</v>
      </c>
      <c r="L7" s="72">
        <f>J7*0.05</f>
        <v>66</v>
      </c>
      <c r="M7" s="37">
        <f>C7*G7*I7</f>
        <v>0</v>
      </c>
      <c r="N7" s="44">
        <f>(J7*'Base Data'!$C$5)+(K7*'Base Data'!$C$6)+(L7*'Base Data'!$C$7)</f>
        <v>143586.29999999999</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t="s">
        <v>340</v>
      </c>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t="s">
        <v>340</v>
      </c>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t="s">
        <v>340</v>
      </c>
      <c r="U11" s="144"/>
    </row>
    <row r="12" spans="1:21" s="115" customFormat="1" ht="9">
      <c r="A12" s="111" t="s">
        <v>126</v>
      </c>
      <c r="B12" s="37">
        <v>12</v>
      </c>
      <c r="C12" s="37"/>
      <c r="D12" s="44">
        <v>0</v>
      </c>
      <c r="E12" s="44">
        <f>'Testing Costs'!$B$14</f>
        <v>7000</v>
      </c>
      <c r="F12" s="44">
        <v>0</v>
      </c>
      <c r="G12" s="37">
        <v>1</v>
      </c>
      <c r="H12" s="37">
        <f t="shared" si="0"/>
        <v>12</v>
      </c>
      <c r="I12" s="72">
        <v>0</v>
      </c>
      <c r="J12" s="73">
        <f t="shared" si="1"/>
        <v>0</v>
      </c>
      <c r="K12" s="73">
        <f t="shared" si="2"/>
        <v>0</v>
      </c>
      <c r="L12" s="73">
        <f t="shared" si="3"/>
        <v>0</v>
      </c>
      <c r="M12" s="74"/>
      <c r="N12" s="44">
        <f>(J12*'Base Data'!$C$5)+(K12*'Base Data'!$C$6)+(L12*'Base Data'!$C$7)</f>
        <v>0</v>
      </c>
      <c r="O12" s="44">
        <f t="shared" si="4"/>
        <v>0</v>
      </c>
      <c r="P12" s="73">
        <v>0</v>
      </c>
      <c r="Q12" s="75" t="s">
        <v>340</v>
      </c>
      <c r="U12" s="144"/>
    </row>
    <row r="13" spans="1:21" s="115" customFormat="1" ht="9" customHeight="1">
      <c r="A13" s="111" t="s">
        <v>137</v>
      </c>
      <c r="B13" s="37">
        <v>12</v>
      </c>
      <c r="C13" s="37"/>
      <c r="D13" s="44">
        <v>0</v>
      </c>
      <c r="E13" s="44">
        <f>'Testing Costs'!$B$13</f>
        <v>5000</v>
      </c>
      <c r="F13" s="44">
        <v>0</v>
      </c>
      <c r="G13" s="37">
        <v>1</v>
      </c>
      <c r="H13" s="37">
        <f t="shared" si="0"/>
        <v>12</v>
      </c>
      <c r="I13" s="72">
        <f>'Fac-NewLrgGas-Yr1'!I9</f>
        <v>0</v>
      </c>
      <c r="J13" s="73">
        <f t="shared" si="1"/>
        <v>0</v>
      </c>
      <c r="K13" s="73">
        <f t="shared" si="2"/>
        <v>0</v>
      </c>
      <c r="L13" s="73">
        <f t="shared" si="3"/>
        <v>0</v>
      </c>
      <c r="M13" s="74"/>
      <c r="N13" s="44">
        <f>(J13*'Base Data'!$C$5)+(K13*'Base Data'!$C$6)+(L13*'Base Data'!$C$7)</f>
        <v>0</v>
      </c>
      <c r="O13" s="44">
        <f t="shared" si="4"/>
        <v>0</v>
      </c>
      <c r="P13" s="73">
        <v>0</v>
      </c>
      <c r="Q13" s="75" t="s">
        <v>338</v>
      </c>
      <c r="U13" s="144"/>
    </row>
    <row r="14" spans="1:21" s="115" customFormat="1" ht="9">
      <c r="A14" s="111" t="s">
        <v>138</v>
      </c>
      <c r="B14" s="37">
        <v>12</v>
      </c>
      <c r="C14" s="37"/>
      <c r="D14" s="44">
        <v>0</v>
      </c>
      <c r="E14" s="44">
        <f>'Testing Costs'!$B$17</f>
        <v>8000</v>
      </c>
      <c r="F14" s="44">
        <v>0</v>
      </c>
      <c r="G14" s="37">
        <v>1</v>
      </c>
      <c r="H14" s="37">
        <f t="shared" si="0"/>
        <v>12</v>
      </c>
      <c r="I14" s="72">
        <f>'Fac-NewLrgGas-Yr1'!I10</f>
        <v>0</v>
      </c>
      <c r="J14" s="73">
        <f t="shared" si="1"/>
        <v>0</v>
      </c>
      <c r="K14" s="73">
        <f t="shared" si="2"/>
        <v>0</v>
      </c>
      <c r="L14" s="73">
        <f t="shared" si="3"/>
        <v>0</v>
      </c>
      <c r="M14" s="74"/>
      <c r="N14" s="44">
        <f>(J14*'Base Data'!$C$5)+(K14*'Base Data'!$C$6)+(L14*'Base Data'!$C$7)</f>
        <v>0</v>
      </c>
      <c r="O14" s="44">
        <f t="shared" si="4"/>
        <v>0</v>
      </c>
      <c r="P14" s="73">
        <v>0</v>
      </c>
      <c r="Q14" s="75" t="s">
        <v>338</v>
      </c>
      <c r="U14" s="144"/>
    </row>
    <row r="15" spans="1:21" s="115" customFormat="1" ht="9">
      <c r="A15" s="111" t="s">
        <v>139</v>
      </c>
      <c r="B15" s="37">
        <v>12</v>
      </c>
      <c r="C15" s="37"/>
      <c r="D15" s="44">
        <v>0</v>
      </c>
      <c r="E15" s="44">
        <f>'Testing Costs'!$B$15</f>
        <v>8000</v>
      </c>
      <c r="F15" s="44">
        <v>0</v>
      </c>
      <c r="G15" s="37">
        <v>1</v>
      </c>
      <c r="H15" s="37">
        <f t="shared" si="0"/>
        <v>12</v>
      </c>
      <c r="I15" s="72">
        <f>'Fac-NewLrgGas-Yr1'!I11</f>
        <v>0</v>
      </c>
      <c r="J15" s="73">
        <f t="shared" si="1"/>
        <v>0</v>
      </c>
      <c r="K15" s="73">
        <f t="shared" si="2"/>
        <v>0</v>
      </c>
      <c r="L15" s="73">
        <f t="shared" si="3"/>
        <v>0</v>
      </c>
      <c r="M15" s="74"/>
      <c r="N15" s="44">
        <f>(J15*'Base Data'!$C$5)+(K15*'Base Data'!$C$6)+(L15*'Base Data'!$C$7)</f>
        <v>0</v>
      </c>
      <c r="O15" s="44">
        <f t="shared" si="4"/>
        <v>0</v>
      </c>
      <c r="P15" s="73">
        <v>0</v>
      </c>
      <c r="Q15" s="75" t="s">
        <v>338</v>
      </c>
      <c r="U15" s="144"/>
    </row>
    <row r="16" spans="1:21" s="115" customFormat="1" ht="9">
      <c r="A16" s="111" t="s">
        <v>140</v>
      </c>
      <c r="B16" s="37">
        <v>12</v>
      </c>
      <c r="C16" s="37"/>
      <c r="D16" s="44">
        <v>0</v>
      </c>
      <c r="E16" s="44">
        <f>'Testing Costs'!$B$14</f>
        <v>7000</v>
      </c>
      <c r="F16" s="44">
        <v>0</v>
      </c>
      <c r="G16" s="37">
        <v>1</v>
      </c>
      <c r="H16" s="37">
        <f t="shared" si="0"/>
        <v>12</v>
      </c>
      <c r="I16" s="72">
        <f>'Fac-NewLrgGas-Yr1'!I12</f>
        <v>0</v>
      </c>
      <c r="J16" s="73">
        <f t="shared" si="1"/>
        <v>0</v>
      </c>
      <c r="K16" s="73">
        <f t="shared" si="2"/>
        <v>0</v>
      </c>
      <c r="L16" s="73">
        <f t="shared" si="3"/>
        <v>0</v>
      </c>
      <c r="M16" s="74"/>
      <c r="N16" s="44">
        <f>(J16*'Base Data'!$C$5)+(K16*'Base Data'!$C$6)+(L16*'Base Data'!$C$7)</f>
        <v>0</v>
      </c>
      <c r="O16" s="44">
        <f t="shared" si="4"/>
        <v>0</v>
      </c>
      <c r="P16" s="73">
        <v>0</v>
      </c>
      <c r="Q16" s="75" t="s">
        <v>338</v>
      </c>
      <c r="U16" s="144"/>
    </row>
    <row r="17" spans="1:21" s="115" customFormat="1" ht="18.75" customHeight="1">
      <c r="A17" s="259" t="s">
        <v>430</v>
      </c>
      <c r="B17" s="37">
        <v>24</v>
      </c>
      <c r="C17" s="258"/>
      <c r="D17" s="44">
        <v>0</v>
      </c>
      <c r="E17" s="44">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t="s">
        <v>499</v>
      </c>
    </row>
    <row r="18" spans="1:21" s="115" customFormat="1" ht="9" customHeight="1">
      <c r="A18" s="111" t="s">
        <v>243</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v>0</v>
      </c>
      <c r="Q18" s="75" t="s">
        <v>497</v>
      </c>
      <c r="U18" s="144"/>
    </row>
    <row r="19" spans="1:21" s="115" customFormat="1" ht="9" customHeight="1">
      <c r="A19" s="111" t="s">
        <v>244</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v>0</v>
      </c>
      <c r="Q19" s="75" t="s">
        <v>497</v>
      </c>
      <c r="U19" s="144"/>
    </row>
    <row r="20" spans="1:21" s="115" customFormat="1" ht="9">
      <c r="A20" s="111" t="s">
        <v>245</v>
      </c>
      <c r="B20" s="37"/>
      <c r="C20" s="37"/>
      <c r="D20" s="44"/>
      <c r="E20" s="44"/>
      <c r="F20" s="44"/>
      <c r="G20" s="37"/>
      <c r="H20" s="37"/>
      <c r="I20" s="73"/>
      <c r="J20" s="73"/>
      <c r="K20" s="73"/>
      <c r="L20" s="73"/>
      <c r="M20" s="74"/>
      <c r="N20" s="44"/>
      <c r="O20" s="44"/>
      <c r="P20" s="73"/>
      <c r="Q20" s="75" t="s">
        <v>490</v>
      </c>
      <c r="U20" s="144"/>
    </row>
    <row r="21" spans="1:21" s="115" customFormat="1" ht="9">
      <c r="A21" s="111" t="s">
        <v>383</v>
      </c>
      <c r="B21" s="37">
        <v>40</v>
      </c>
      <c r="C21" s="37"/>
      <c r="D21" s="44">
        <v>0</v>
      </c>
      <c r="E21" s="44"/>
      <c r="F21" s="44">
        <v>0</v>
      </c>
      <c r="G21" s="37">
        <v>1</v>
      </c>
      <c r="H21" s="37">
        <f>B21*G21</f>
        <v>40</v>
      </c>
      <c r="I21" s="72">
        <v>0</v>
      </c>
      <c r="J21" s="73">
        <f>H21*I21</f>
        <v>0</v>
      </c>
      <c r="K21" s="73">
        <f>J21*0.1</f>
        <v>0</v>
      </c>
      <c r="L21" s="73">
        <f>J21*0.05</f>
        <v>0</v>
      </c>
      <c r="M21" s="74"/>
      <c r="N21" s="44">
        <f>(J21*'Base Data'!$C$5)+(K21*'Base Data'!$C$6)+(L21*'Base Data'!$C$7)</f>
        <v>0</v>
      </c>
      <c r="O21" s="44">
        <f>(D21+E21+F21)*G21*I21</f>
        <v>0</v>
      </c>
      <c r="P21" s="73">
        <v>0</v>
      </c>
      <c r="Q21" s="75" t="s">
        <v>338</v>
      </c>
      <c r="U21" s="144"/>
    </row>
    <row r="22" spans="1:21" s="115" customFormat="1" ht="9">
      <c r="A22" s="110" t="s">
        <v>361</v>
      </c>
      <c r="B22" s="37"/>
      <c r="C22" s="37"/>
      <c r="D22" s="44"/>
      <c r="E22" s="44"/>
      <c r="F22" s="44"/>
      <c r="G22" s="37"/>
      <c r="H22" s="37"/>
      <c r="I22" s="73"/>
      <c r="J22" s="73"/>
      <c r="K22" s="73"/>
      <c r="L22" s="73"/>
      <c r="M22" s="74"/>
      <c r="N22" s="44"/>
      <c r="O22" s="44"/>
      <c r="P22" s="73"/>
      <c r="Q22" s="75"/>
      <c r="U22" s="144"/>
    </row>
    <row r="23" spans="1:21" s="115" customFormat="1" ht="9">
      <c r="A23" s="110" t="s">
        <v>362</v>
      </c>
      <c r="B23" s="37">
        <v>10</v>
      </c>
      <c r="C23" s="37"/>
      <c r="D23" s="44">
        <v>0</v>
      </c>
      <c r="E23" s="44">
        <v>0</v>
      </c>
      <c r="F23" s="44">
        <v>43100</v>
      </c>
      <c r="G23" s="37">
        <v>1</v>
      </c>
      <c r="H23" s="37">
        <f>B23*G23</f>
        <v>10</v>
      </c>
      <c r="I23" s="72">
        <v>0</v>
      </c>
      <c r="J23" s="73">
        <f>H23*I23</f>
        <v>0</v>
      </c>
      <c r="K23" s="73">
        <f>J23*0.1</f>
        <v>0</v>
      </c>
      <c r="L23" s="73">
        <f>J23*0.05</f>
        <v>0</v>
      </c>
      <c r="M23" s="74"/>
      <c r="N23" s="44">
        <f>(J23*'Base Data'!$C$5)+(K23*'Base Data'!$C$6)+(L23*'Base Data'!$C$7)</f>
        <v>0</v>
      </c>
      <c r="O23" s="44">
        <f>(D23+E23+F23)*G23*I23</f>
        <v>0</v>
      </c>
      <c r="P23" s="73">
        <v>0</v>
      </c>
      <c r="Q23" s="75" t="s">
        <v>338</v>
      </c>
      <c r="U23" s="144"/>
    </row>
    <row r="24" spans="1:21" s="115" customFormat="1" ht="9">
      <c r="A24" s="110" t="s">
        <v>365</v>
      </c>
      <c r="B24" s="37">
        <v>10</v>
      </c>
      <c r="C24" s="37"/>
      <c r="D24" s="44">
        <v>0</v>
      </c>
      <c r="E24" s="44">
        <v>0</v>
      </c>
      <c r="F24" s="44">
        <v>14700</v>
      </c>
      <c r="G24" s="37">
        <v>1</v>
      </c>
      <c r="H24" s="37">
        <f>B24*G24</f>
        <v>10</v>
      </c>
      <c r="I24" s="72">
        <v>0</v>
      </c>
      <c r="J24" s="73">
        <f>H24*I24</f>
        <v>0</v>
      </c>
      <c r="K24" s="73">
        <f>J24*0.1</f>
        <v>0</v>
      </c>
      <c r="L24" s="73">
        <f>J24*0.05</f>
        <v>0</v>
      </c>
      <c r="M24" s="74"/>
      <c r="N24" s="44">
        <f>(J24*'Base Data'!$C$5)+(K24*'Base Data'!$C$6)+(L24*'Base Data'!$C$7)</f>
        <v>0</v>
      </c>
      <c r="O24" s="44">
        <f>(D24+E24+F24)*G24*I24</f>
        <v>0</v>
      </c>
      <c r="P24" s="73">
        <v>0</v>
      </c>
      <c r="Q24" s="75" t="s">
        <v>338</v>
      </c>
      <c r="U24" s="144"/>
    </row>
    <row r="25" spans="1:21" s="115" customFormat="1" ht="9">
      <c r="A25" s="110" t="s">
        <v>310</v>
      </c>
      <c r="B25" s="37"/>
      <c r="C25" s="37"/>
      <c r="D25" s="44"/>
      <c r="E25" s="44"/>
      <c r="F25" s="44"/>
      <c r="G25" s="37"/>
      <c r="H25" s="37"/>
      <c r="I25" s="73"/>
      <c r="J25" s="73"/>
      <c r="K25" s="73"/>
      <c r="L25" s="73"/>
      <c r="M25" s="74"/>
      <c r="N25" s="44"/>
      <c r="O25" s="44"/>
      <c r="P25" s="73"/>
      <c r="Q25" s="75"/>
      <c r="U25" s="144"/>
    </row>
    <row r="26" spans="1:21" s="115" customFormat="1" ht="9">
      <c r="A26" s="110" t="s">
        <v>362</v>
      </c>
      <c r="B26" s="37">
        <v>10</v>
      </c>
      <c r="C26" s="37"/>
      <c r="D26" s="44">
        <v>0</v>
      </c>
      <c r="E26" s="44">
        <v>0</v>
      </c>
      <c r="F26" s="44">
        <v>158000</v>
      </c>
      <c r="G26" s="37">
        <v>1</v>
      </c>
      <c r="H26" s="37">
        <f>B26*G26</f>
        <v>10</v>
      </c>
      <c r="I26" s="72">
        <v>0</v>
      </c>
      <c r="J26" s="73">
        <f>H26*I26</f>
        <v>0</v>
      </c>
      <c r="K26" s="73">
        <f>J26*0.1</f>
        <v>0</v>
      </c>
      <c r="L26" s="73">
        <f>J26*0.05</f>
        <v>0</v>
      </c>
      <c r="M26" s="74"/>
      <c r="N26" s="44">
        <f>(J26*'Base Data'!$C$5)+(K26*'Base Data'!$C$6)+(L26*'Base Data'!$C$7)</f>
        <v>0</v>
      </c>
      <c r="O26" s="44">
        <f>(D26+E26+F26)*G26*I26</f>
        <v>0</v>
      </c>
      <c r="P26" s="73">
        <v>0</v>
      </c>
      <c r="Q26" s="75" t="s">
        <v>338</v>
      </c>
      <c r="U26" s="144"/>
    </row>
    <row r="27" spans="1:21" s="115" customFormat="1" ht="9">
      <c r="A27" s="110" t="s">
        <v>365</v>
      </c>
      <c r="B27" s="37">
        <v>10</v>
      </c>
      <c r="C27" s="37"/>
      <c r="D27" s="44">
        <v>0</v>
      </c>
      <c r="E27" s="44">
        <v>0</v>
      </c>
      <c r="F27" s="44">
        <v>56100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338</v>
      </c>
      <c r="U27" s="144"/>
    </row>
    <row r="28" spans="1:21" s="115" customFormat="1" ht="9">
      <c r="A28" s="110" t="s">
        <v>461</v>
      </c>
      <c r="B28" s="37"/>
      <c r="C28" s="37"/>
      <c r="D28" s="44"/>
      <c r="E28" s="44"/>
      <c r="F28" s="44"/>
      <c r="G28" s="37"/>
      <c r="H28" s="37"/>
      <c r="I28" s="72"/>
      <c r="J28" s="73"/>
      <c r="K28" s="73"/>
      <c r="L28" s="73"/>
      <c r="M28" s="74"/>
      <c r="N28" s="44"/>
      <c r="O28" s="44"/>
      <c r="P28" s="73"/>
      <c r="Q28" s="75"/>
    </row>
    <row r="29" spans="1:21" s="115" customFormat="1" ht="9">
      <c r="A29" s="110" t="s">
        <v>362</v>
      </c>
      <c r="B29" s="37">
        <v>10</v>
      </c>
      <c r="C29" s="37"/>
      <c r="D29" s="44">
        <v>0</v>
      </c>
      <c r="E29" s="44">
        <v>0</v>
      </c>
      <c r="F29" s="44">
        <f>Monitors!$F$32</f>
        <v>8523</v>
      </c>
      <c r="G29" s="37">
        <v>1</v>
      </c>
      <c r="H29" s="37">
        <f t="shared" ref="H29:H30" si="5">B29*G29</f>
        <v>10</v>
      </c>
      <c r="I29" s="72">
        <v>0</v>
      </c>
      <c r="J29" s="73">
        <f t="shared" ref="J29:J30" si="6">H29*I29</f>
        <v>0</v>
      </c>
      <c r="K29" s="73">
        <f t="shared" ref="K29:K30" si="7">J29*0.1</f>
        <v>0</v>
      </c>
      <c r="L29" s="73">
        <f t="shared" ref="L29:L30" si="8">J29*0.05</f>
        <v>0</v>
      </c>
      <c r="M29" s="74"/>
      <c r="N29" s="44">
        <f>(J29*'Base Data'!$C$5)+(K29*'Base Data'!$C$6)+(L29*'Base Data'!$C$7)</f>
        <v>0</v>
      </c>
      <c r="O29" s="44">
        <f>(D29+E29+F29)*G29*I29</f>
        <v>0</v>
      </c>
      <c r="P29" s="73">
        <v>0</v>
      </c>
      <c r="Q29" s="75" t="s">
        <v>338</v>
      </c>
    </row>
    <row r="30" spans="1:21" s="115" customFormat="1" ht="9">
      <c r="A30" s="110" t="s">
        <v>365</v>
      </c>
      <c r="B30" s="37">
        <v>10</v>
      </c>
      <c r="C30" s="37"/>
      <c r="D30" s="44">
        <v>0</v>
      </c>
      <c r="E30" s="44">
        <v>0</v>
      </c>
      <c r="F30" s="44">
        <f>Monitors!$G$32</f>
        <v>1436</v>
      </c>
      <c r="G30" s="37">
        <v>1</v>
      </c>
      <c r="H30" s="37">
        <f t="shared" si="5"/>
        <v>10</v>
      </c>
      <c r="I30" s="72">
        <v>0</v>
      </c>
      <c r="J30" s="73">
        <f t="shared" si="6"/>
        <v>0</v>
      </c>
      <c r="K30" s="73">
        <f t="shared" si="7"/>
        <v>0</v>
      </c>
      <c r="L30" s="73">
        <f t="shared" si="8"/>
        <v>0</v>
      </c>
      <c r="M30" s="74"/>
      <c r="N30" s="44">
        <f>(J30*'Base Data'!$C$5)+(K30*'Base Data'!$C$6)+(L30*'Base Data'!$C$7)</f>
        <v>0</v>
      </c>
      <c r="O30" s="44">
        <f>(D30+E30+F30)*G30*I30</f>
        <v>0</v>
      </c>
      <c r="P30" s="73">
        <v>0</v>
      </c>
      <c r="Q30" s="75" t="s">
        <v>338</v>
      </c>
    </row>
    <row r="31" spans="1:21" s="115" customFormat="1" ht="18">
      <c r="A31" s="111" t="s">
        <v>160</v>
      </c>
      <c r="B31" s="37"/>
      <c r="C31" s="37"/>
      <c r="D31" s="44"/>
      <c r="E31" s="44"/>
      <c r="F31" s="76"/>
      <c r="G31" s="37"/>
      <c r="H31" s="37"/>
      <c r="I31" s="77"/>
      <c r="J31" s="73"/>
      <c r="K31" s="73"/>
      <c r="L31" s="73"/>
      <c r="M31" s="74"/>
      <c r="N31" s="44"/>
      <c r="O31" s="44"/>
      <c r="P31" s="73"/>
      <c r="Q31" s="75"/>
      <c r="U31" s="144"/>
    </row>
    <row r="32" spans="1:21" s="115" customFormat="1" ht="9">
      <c r="A32" s="110" t="s">
        <v>362</v>
      </c>
      <c r="B32" s="37">
        <v>10</v>
      </c>
      <c r="C32" s="37"/>
      <c r="D32" s="44">
        <v>0</v>
      </c>
      <c r="E32" s="44">
        <v>0</v>
      </c>
      <c r="F32" s="44">
        <v>24300</v>
      </c>
      <c r="G32" s="37">
        <v>1</v>
      </c>
      <c r="H32" s="37">
        <f>B32*G32</f>
        <v>10</v>
      </c>
      <c r="I32" s="72">
        <f>ROUND(Monitors!$D$27/3,0)+ROUND(Monitors!$D$25/3,0)</f>
        <v>0</v>
      </c>
      <c r="J32" s="73">
        <f>H32*I32</f>
        <v>0</v>
      </c>
      <c r="K32" s="73">
        <f>J32*0.1</f>
        <v>0</v>
      </c>
      <c r="L32" s="73">
        <f>J32*0.05</f>
        <v>0</v>
      </c>
      <c r="M32" s="74"/>
      <c r="N32" s="44">
        <f>(J32*'Base Data'!$C$5)+(K32*'Base Data'!$C$6)+(L32*'Base Data'!$C$7)</f>
        <v>0</v>
      </c>
      <c r="O32" s="44">
        <f>(D32+E32+F32)*G32*I32</f>
        <v>0</v>
      </c>
      <c r="P32" s="73">
        <v>0</v>
      </c>
      <c r="Q32" s="75" t="s">
        <v>338</v>
      </c>
      <c r="U32" s="144"/>
    </row>
    <row r="33" spans="1:21" s="115" customFormat="1" ht="9">
      <c r="A33" s="110" t="s">
        <v>365</v>
      </c>
      <c r="B33" s="37">
        <v>10</v>
      </c>
      <c r="C33" s="37"/>
      <c r="D33" s="44">
        <v>0</v>
      </c>
      <c r="E33" s="44">
        <v>0</v>
      </c>
      <c r="F33" s="44">
        <v>5600</v>
      </c>
      <c r="G33" s="37">
        <v>1</v>
      </c>
      <c r="H33" s="37">
        <f>B33*G33</f>
        <v>10</v>
      </c>
      <c r="I33" s="72">
        <f>'Fac-NewLrgGas-Yr1'!I32+I32</f>
        <v>0</v>
      </c>
      <c r="J33" s="73">
        <f>H33*I33</f>
        <v>0</v>
      </c>
      <c r="K33" s="73">
        <f>J33*0.1</f>
        <v>0</v>
      </c>
      <c r="L33" s="73">
        <f>J33*0.05</f>
        <v>0</v>
      </c>
      <c r="M33" s="74"/>
      <c r="N33" s="44">
        <f>(J33*'Base Data'!$C$5)+(K33*'Base Data'!$C$6)+(L33*'Base Data'!$C$7)</f>
        <v>0</v>
      </c>
      <c r="O33" s="44">
        <f>(D33+E33+F33)*G33*I33</f>
        <v>0</v>
      </c>
      <c r="P33" s="73">
        <v>0</v>
      </c>
      <c r="Q33" s="75" t="s">
        <v>338</v>
      </c>
      <c r="U33" s="144"/>
    </row>
    <row r="34" spans="1:21" s="115" customFormat="1" ht="18">
      <c r="A34" s="111" t="s">
        <v>425</v>
      </c>
      <c r="B34" s="37"/>
      <c r="C34" s="37"/>
      <c r="D34" s="44"/>
      <c r="E34" s="44"/>
      <c r="F34" s="44"/>
      <c r="G34" s="37"/>
      <c r="H34" s="37"/>
      <c r="I34" s="77"/>
      <c r="J34" s="73"/>
      <c r="K34" s="73"/>
      <c r="L34" s="73"/>
      <c r="M34" s="74"/>
      <c r="N34" s="44"/>
      <c r="O34" s="183"/>
      <c r="P34" s="73"/>
      <c r="Q34" s="75"/>
      <c r="U34" s="144"/>
    </row>
    <row r="35" spans="1:21" s="115" customFormat="1" ht="9">
      <c r="A35" s="110" t="s">
        <v>362</v>
      </c>
      <c r="B35" s="37">
        <v>10</v>
      </c>
      <c r="C35" s="37"/>
      <c r="D35" s="44">
        <v>0</v>
      </c>
      <c r="E35" s="44">
        <v>0</v>
      </c>
      <c r="F35" s="44">
        <f>25500</f>
        <v>25500</v>
      </c>
      <c r="G35" s="37">
        <v>1</v>
      </c>
      <c r="H35" s="37">
        <f>B35*G35</f>
        <v>10</v>
      </c>
      <c r="I35" s="72">
        <f>ROUND(Monitors!$D$27/3,0)+ROUND(Monitors!$D$25/3,0)</f>
        <v>0</v>
      </c>
      <c r="J35" s="73">
        <f>H35*I35</f>
        <v>0</v>
      </c>
      <c r="K35" s="73">
        <f>J35*0.1</f>
        <v>0</v>
      </c>
      <c r="L35" s="73">
        <f>J35*0.05</f>
        <v>0</v>
      </c>
      <c r="M35" s="74"/>
      <c r="N35" s="44">
        <f>(J35*'Base Data'!$C$5)+(K35*'Base Data'!$C$6)+(L35*'Base Data'!$C$7)</f>
        <v>0</v>
      </c>
      <c r="O35" s="44">
        <f>(D35+E35+F35)*G35*I35</f>
        <v>0</v>
      </c>
      <c r="P35" s="73">
        <v>0</v>
      </c>
      <c r="Q35" s="75" t="s">
        <v>338</v>
      </c>
      <c r="U35" s="144"/>
    </row>
    <row r="36" spans="1:21" s="115" customFormat="1" ht="9">
      <c r="A36" s="110" t="s">
        <v>365</v>
      </c>
      <c r="B36" s="37">
        <v>10</v>
      </c>
      <c r="C36" s="37"/>
      <c r="D36" s="44">
        <v>0</v>
      </c>
      <c r="E36" s="44">
        <v>0</v>
      </c>
      <c r="F36" s="44">
        <v>9700</v>
      </c>
      <c r="G36" s="37">
        <v>1</v>
      </c>
      <c r="H36" s="37">
        <f>B36*G36</f>
        <v>10</v>
      </c>
      <c r="I36" s="72">
        <f>'Fac-NewLrgGas-Yr1'!I35+ROUND(Monitors!$D$27/3,0)+ROUND(Monitors!$D$25/3,0)</f>
        <v>0</v>
      </c>
      <c r="J36" s="73">
        <f>H36*I36</f>
        <v>0</v>
      </c>
      <c r="K36" s="73">
        <f>J36*0.1</f>
        <v>0</v>
      </c>
      <c r="L36" s="73">
        <f>J36*0.05</f>
        <v>0</v>
      </c>
      <c r="M36" s="74"/>
      <c r="N36" s="44">
        <f>(J36*'Base Data'!$C$5)+(K36*'Base Data'!$C$6)+(L36*'Base Data'!$C$7)</f>
        <v>0</v>
      </c>
      <c r="O36" s="44">
        <f>(D36+E36+F36)*G36*I36</f>
        <v>0</v>
      </c>
      <c r="P36" s="73">
        <v>0</v>
      </c>
      <c r="Q36" s="75" t="s">
        <v>338</v>
      </c>
      <c r="U36" s="144"/>
    </row>
    <row r="37" spans="1:21" s="115" customFormat="1" ht="9">
      <c r="A37" s="110" t="s">
        <v>252</v>
      </c>
      <c r="B37" s="37">
        <v>12</v>
      </c>
      <c r="C37" s="37"/>
      <c r="D37" s="44">
        <v>0</v>
      </c>
      <c r="E37" s="44">
        <v>2875</v>
      </c>
      <c r="F37" s="44">
        <v>0</v>
      </c>
      <c r="G37" s="37">
        <v>1</v>
      </c>
      <c r="H37" s="37">
        <f>B37*G37</f>
        <v>12</v>
      </c>
      <c r="I37" s="72">
        <f>ROUNDUP(SUM('Base Data'!$D$71:$D$73)/3,0)+'Fac-NewLrgGas-Yr1'!I37</f>
        <v>524</v>
      </c>
      <c r="J37" s="72">
        <f>H37*I37</f>
        <v>6288</v>
      </c>
      <c r="K37" s="72">
        <f>J37*0.1</f>
        <v>628.80000000000007</v>
      </c>
      <c r="L37" s="72">
        <f>J37*0.05</f>
        <v>314.40000000000003</v>
      </c>
      <c r="M37" s="73"/>
      <c r="N37" s="44">
        <f>(J37*'Base Data'!$C$5)+(K37*'Base Data'!$C$6)+(L37*'Base Data'!$C$7)</f>
        <v>683992.91999999993</v>
      </c>
      <c r="O37" s="44">
        <f>(D37+E37+F37)*G37*I37</f>
        <v>1506500</v>
      </c>
      <c r="P37" s="73">
        <v>0</v>
      </c>
      <c r="Q37" s="75" t="s">
        <v>339</v>
      </c>
      <c r="U37" s="144"/>
    </row>
    <row r="38" spans="1:21" s="115" customFormat="1" ht="9">
      <c r="A38" s="110" t="s">
        <v>543</v>
      </c>
      <c r="B38" s="37">
        <v>5</v>
      </c>
      <c r="C38" s="37"/>
      <c r="D38" s="44">
        <v>0</v>
      </c>
      <c r="E38" s="44">
        <v>200</v>
      </c>
      <c r="F38" s="44">
        <v>0</v>
      </c>
      <c r="G38" s="37">
        <v>12</v>
      </c>
      <c r="H38" s="37">
        <f>B38*G38</f>
        <v>60</v>
      </c>
      <c r="I38" s="73">
        <v>0</v>
      </c>
      <c r="J38" s="72">
        <f>H38*I38</f>
        <v>0</v>
      </c>
      <c r="K38" s="72">
        <f>J38*0.1</f>
        <v>0</v>
      </c>
      <c r="L38" s="72">
        <f>J38*0.05</f>
        <v>0</v>
      </c>
      <c r="M38" s="73"/>
      <c r="N38" s="44">
        <f>(J38*'Base Data'!$C$5)+(K38*'Base Data'!$C$6)+(L38*'Base Data'!$C$7)</f>
        <v>0</v>
      </c>
      <c r="O38" s="44">
        <f>(D38+E38+F38)*G38*I38</f>
        <v>0</v>
      </c>
      <c r="P38" s="73">
        <v>0</v>
      </c>
      <c r="Q38" s="75" t="s">
        <v>77</v>
      </c>
    </row>
    <row r="39" spans="1:21" s="115" customFormat="1" ht="9">
      <c r="A39" s="110" t="s">
        <v>366</v>
      </c>
      <c r="B39" s="37" t="s">
        <v>384</v>
      </c>
      <c r="C39" s="37"/>
      <c r="D39" s="44"/>
      <c r="E39" s="44"/>
      <c r="F39" s="44"/>
      <c r="G39" s="37"/>
      <c r="H39" s="37"/>
      <c r="I39" s="73"/>
      <c r="J39" s="73"/>
      <c r="K39" s="73"/>
      <c r="L39" s="73"/>
      <c r="M39" s="37"/>
      <c r="N39" s="44"/>
      <c r="O39" s="44"/>
      <c r="P39" s="73"/>
      <c r="Q39" s="75"/>
      <c r="U39" s="144"/>
    </row>
    <row r="40" spans="1:21" s="115" customFormat="1" ht="9">
      <c r="A40" s="110" t="s">
        <v>367</v>
      </c>
      <c r="B40" s="37" t="s">
        <v>384</v>
      </c>
      <c r="C40" s="37"/>
      <c r="D40" s="44"/>
      <c r="E40" s="44"/>
      <c r="F40" s="44"/>
      <c r="G40" s="37"/>
      <c r="H40" s="37"/>
      <c r="I40" s="73"/>
      <c r="J40" s="73"/>
      <c r="K40" s="73"/>
      <c r="L40" s="73"/>
      <c r="M40" s="37"/>
      <c r="N40" s="44"/>
      <c r="O40" s="44"/>
      <c r="P40" s="73"/>
      <c r="Q40" s="75"/>
    </row>
    <row r="41" spans="1:21" s="115" customFormat="1" ht="9">
      <c r="A41" s="110" t="s">
        <v>368</v>
      </c>
      <c r="B41" s="37"/>
      <c r="C41" s="37"/>
      <c r="D41" s="44"/>
      <c r="E41" s="44"/>
      <c r="F41" s="44"/>
      <c r="G41" s="37"/>
      <c r="H41" s="37"/>
      <c r="I41" s="73"/>
      <c r="J41" s="73"/>
      <c r="K41" s="73"/>
      <c r="L41" s="73"/>
      <c r="M41" s="37"/>
      <c r="N41" s="44"/>
      <c r="O41" s="44"/>
      <c r="P41" s="73"/>
      <c r="Q41" s="75"/>
    </row>
    <row r="42" spans="1:21" s="115" customFormat="1" ht="9">
      <c r="A42" s="126" t="s">
        <v>386</v>
      </c>
      <c r="B42" s="37">
        <v>2</v>
      </c>
      <c r="C42" s="37"/>
      <c r="D42" s="44">
        <v>0</v>
      </c>
      <c r="E42" s="44">
        <v>0</v>
      </c>
      <c r="F42" s="44">
        <v>0</v>
      </c>
      <c r="G42" s="37">
        <v>1</v>
      </c>
      <c r="H42" s="37">
        <f>B42*G42</f>
        <v>2</v>
      </c>
      <c r="I42" s="72">
        <f>$I$7</f>
        <v>33</v>
      </c>
      <c r="J42" s="73">
        <f>H42*I42</f>
        <v>66</v>
      </c>
      <c r="K42" s="73">
        <f>J42*0.1</f>
        <v>6.6000000000000005</v>
      </c>
      <c r="L42" s="73">
        <f>J42*0.05</f>
        <v>3.3000000000000003</v>
      </c>
      <c r="M42" s="37">
        <f>C42*G42*I42</f>
        <v>0</v>
      </c>
      <c r="N42" s="44">
        <f>(J42*'Base Data'!$C$5)+(K42*'Base Data'!$C$6)+(L42*'Base Data'!$C$7)</f>
        <v>7179.3149999999996</v>
      </c>
      <c r="O42" s="44">
        <f>(D42+E42+F42)*G42*I42</f>
        <v>0</v>
      </c>
      <c r="P42" s="73">
        <f>G42*I42</f>
        <v>33</v>
      </c>
      <c r="Q42" s="75" t="s">
        <v>338</v>
      </c>
    </row>
    <row r="43" spans="1:21" s="115" customFormat="1" ht="9" customHeight="1">
      <c r="A43" s="126" t="s">
        <v>328</v>
      </c>
      <c r="B43" s="37">
        <v>8</v>
      </c>
      <c r="C43" s="37"/>
      <c r="D43" s="44">
        <v>0</v>
      </c>
      <c r="E43" s="44">
        <v>0</v>
      </c>
      <c r="F43" s="44">
        <v>0</v>
      </c>
      <c r="G43" s="37">
        <v>1</v>
      </c>
      <c r="H43" s="37">
        <f>B43*G43</f>
        <v>8</v>
      </c>
      <c r="I43" s="72">
        <f>$I$7</f>
        <v>33</v>
      </c>
      <c r="J43" s="73">
        <f>H43*I43</f>
        <v>264</v>
      </c>
      <c r="K43" s="73">
        <f>J43*0.1</f>
        <v>26.400000000000002</v>
      </c>
      <c r="L43" s="73">
        <f>J43*0.05</f>
        <v>13.200000000000001</v>
      </c>
      <c r="M43" s="37">
        <f>C43*G43*I43</f>
        <v>0</v>
      </c>
      <c r="N43" s="44">
        <f>(J43*'Base Data'!$C$5)+(K43*'Base Data'!$C$6)+(L43*'Base Data'!$C$7)</f>
        <v>28717.26</v>
      </c>
      <c r="O43" s="44">
        <f>(D43+E43+F43)*G43*I43</f>
        <v>0</v>
      </c>
      <c r="P43" s="73">
        <f>G43*I43</f>
        <v>33</v>
      </c>
      <c r="Q43" s="75" t="s">
        <v>338</v>
      </c>
    </row>
    <row r="44" spans="1:21" s="115" customFormat="1" ht="9">
      <c r="A44" s="112" t="s">
        <v>436</v>
      </c>
      <c r="B44" s="37">
        <v>20</v>
      </c>
      <c r="C44" s="37">
        <v>0</v>
      </c>
      <c r="D44" s="44">
        <v>0</v>
      </c>
      <c r="E44" s="44">
        <v>0</v>
      </c>
      <c r="F44" s="44">
        <v>0</v>
      </c>
      <c r="G44" s="37">
        <v>1</v>
      </c>
      <c r="H44" s="37">
        <f>B44*G44</f>
        <v>20</v>
      </c>
      <c r="I44" s="72">
        <f>$I$7+'Fac-NewLrgGas-Yr1'!I44</f>
        <v>66</v>
      </c>
      <c r="J44" s="73">
        <f>H44*I44</f>
        <v>1320</v>
      </c>
      <c r="K44" s="73">
        <f>J44*0.1</f>
        <v>132</v>
      </c>
      <c r="L44" s="73">
        <f>J44*0.05</f>
        <v>66</v>
      </c>
      <c r="M44" s="73">
        <f>C44*G44*I44</f>
        <v>0</v>
      </c>
      <c r="N44" s="44">
        <f>(J44*'Base Data'!$C$5)+(K44*'Base Data'!$C$6)+(L44*'Base Data'!$C$7)</f>
        <v>143586.29999999999</v>
      </c>
      <c r="O44" s="44">
        <f>(D44+E44+F44)*G44*I44</f>
        <v>0</v>
      </c>
      <c r="P44" s="73">
        <f>G44*I44</f>
        <v>66</v>
      </c>
      <c r="Q44" s="75" t="s">
        <v>478</v>
      </c>
      <c r="R44" s="118"/>
    </row>
    <row r="45" spans="1:21" s="115" customFormat="1" ht="9">
      <c r="A45" s="112" t="s">
        <v>407</v>
      </c>
      <c r="B45" s="37">
        <v>20</v>
      </c>
      <c r="C45" s="37">
        <v>0</v>
      </c>
      <c r="D45" s="44">
        <v>0</v>
      </c>
      <c r="E45" s="44">
        <v>0</v>
      </c>
      <c r="F45" s="44">
        <v>0</v>
      </c>
      <c r="G45" s="37">
        <v>2</v>
      </c>
      <c r="H45" s="37">
        <f>B45*G45</f>
        <v>40</v>
      </c>
      <c r="I45" s="72">
        <v>0</v>
      </c>
      <c r="J45" s="73">
        <f>H45*I45</f>
        <v>0</v>
      </c>
      <c r="K45" s="73">
        <f>J45*0.1</f>
        <v>0</v>
      </c>
      <c r="L45" s="73">
        <f>J45*0.05</f>
        <v>0</v>
      </c>
      <c r="M45" s="73">
        <f>C45*G45*I45</f>
        <v>0</v>
      </c>
      <c r="N45" s="44">
        <f>(J45*'Base Data'!$C$5)+(K45*'Base Data'!$C$6)+(L45*'Base Data'!$C$7)</f>
        <v>0</v>
      </c>
      <c r="O45" s="44">
        <f>(D45+E45+F45)*G45*I45</f>
        <v>0</v>
      </c>
      <c r="P45" s="73">
        <f>G45*I45</f>
        <v>0</v>
      </c>
      <c r="Q45" s="75" t="s">
        <v>478</v>
      </c>
      <c r="R45" s="118">
        <f>SUM(O6,O8:O18,O23,O26,O29,O32,O35,O37:O38)</f>
        <v>1506500</v>
      </c>
      <c r="S45" s="117">
        <f>SUM(O23,O26,O29,O32,O35)</f>
        <v>0</v>
      </c>
    </row>
    <row r="46" spans="1:21" s="115" customFormat="1" ht="9">
      <c r="A46" s="112" t="s">
        <v>437</v>
      </c>
      <c r="B46" s="37">
        <v>5</v>
      </c>
      <c r="C46" s="37"/>
      <c r="D46" s="44">
        <v>0</v>
      </c>
      <c r="E46" s="44">
        <v>0</v>
      </c>
      <c r="F46" s="44">
        <v>0</v>
      </c>
      <c r="G46" s="37">
        <v>1</v>
      </c>
      <c r="H46" s="37">
        <f t="shared" ref="H46" si="9">B46*G46</f>
        <v>5</v>
      </c>
      <c r="I46" s="72">
        <v>0</v>
      </c>
      <c r="J46" s="73">
        <f t="shared" ref="J46" si="10">H46*I46</f>
        <v>0</v>
      </c>
      <c r="K46" s="73">
        <f t="shared" ref="K46" si="11">J46*0.1</f>
        <v>0</v>
      </c>
      <c r="L46" s="73">
        <f t="shared" ref="L46" si="12">J46*0.05</f>
        <v>0</v>
      </c>
      <c r="M46" s="73">
        <f t="shared" ref="M46" si="13">C46*G46*I46</f>
        <v>0</v>
      </c>
      <c r="N46" s="44">
        <f>(J46*'Base Data'!$C$5)+(K46*'Base Data'!$C$6)+(L46*'Base Data'!$C$7)</f>
        <v>0</v>
      </c>
      <c r="O46" s="44">
        <f t="shared" ref="O46" si="14">(D46+E46+F46)*G46*I46</f>
        <v>0</v>
      </c>
      <c r="P46" s="73">
        <f t="shared" ref="P46" si="15">G46*I46</f>
        <v>0</v>
      </c>
      <c r="Q46" s="75" t="s">
        <v>83</v>
      </c>
    </row>
    <row r="47" spans="1:21" s="115" customFormat="1" ht="9">
      <c r="A47" s="112" t="s">
        <v>511</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t="s">
        <v>16</v>
      </c>
      <c r="R47" s="133"/>
    </row>
    <row r="48" spans="1:21" s="115" customFormat="1" ht="9">
      <c r="A48" s="113" t="s">
        <v>7</v>
      </c>
      <c r="B48" s="37"/>
      <c r="C48" s="37"/>
      <c r="D48" s="44"/>
      <c r="E48" s="44"/>
      <c r="F48" s="44"/>
      <c r="G48" s="37"/>
      <c r="H48" s="37"/>
      <c r="I48" s="72"/>
      <c r="J48" s="73">
        <f t="shared" ref="J48:O48" si="16">SUM(J4:J45)</f>
        <v>9258</v>
      </c>
      <c r="K48" s="73">
        <f t="shared" si="16"/>
        <v>925.80000000000007</v>
      </c>
      <c r="L48" s="73">
        <f t="shared" si="16"/>
        <v>462.90000000000003</v>
      </c>
      <c r="M48" s="73">
        <f t="shared" si="16"/>
        <v>0</v>
      </c>
      <c r="N48" s="44">
        <f t="shared" si="16"/>
        <v>1007062.095</v>
      </c>
      <c r="O48" s="44">
        <f t="shared" si="16"/>
        <v>1506500</v>
      </c>
      <c r="P48" s="73">
        <f>SUM(P42:P45)</f>
        <v>132</v>
      </c>
      <c r="Q48" s="75"/>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247</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2" si="17">B54*G54</f>
        <v>20</v>
      </c>
      <c r="I54" s="72">
        <v>0</v>
      </c>
      <c r="J54" s="73">
        <f t="shared" ref="J54:J62" si="18">H54*I54</f>
        <v>0</v>
      </c>
      <c r="K54" s="73">
        <f t="shared" ref="K54:K62" si="19">J54*0.1</f>
        <v>0</v>
      </c>
      <c r="L54" s="73">
        <f t="shared" ref="L54:L62" si="20">J54*0.05</f>
        <v>0</v>
      </c>
      <c r="M54" s="37"/>
      <c r="N54" s="44">
        <f>(J54*'Base Data'!$C$5)+(K54*'Base Data'!$C$6)+(L54*'Base Data'!$C$7)</f>
        <v>0</v>
      </c>
      <c r="O54" s="44">
        <f t="shared" ref="O54:O62" si="21">(D54+E54+F54)*G54*I54</f>
        <v>0</v>
      </c>
      <c r="P54" s="73">
        <v>0</v>
      </c>
      <c r="Q54" s="75" t="s">
        <v>338</v>
      </c>
    </row>
    <row r="55" spans="1:18" s="115" customFormat="1" ht="9">
      <c r="A55" s="111" t="s">
        <v>376</v>
      </c>
      <c r="B55" s="37">
        <v>15</v>
      </c>
      <c r="C55" s="37">
        <v>0</v>
      </c>
      <c r="D55" s="44">
        <v>0</v>
      </c>
      <c r="E55" s="44">
        <v>0</v>
      </c>
      <c r="F55" s="44">
        <v>0</v>
      </c>
      <c r="G55" s="37">
        <v>1</v>
      </c>
      <c r="H55" s="37">
        <f t="shared" si="17"/>
        <v>15</v>
      </c>
      <c r="I55" s="72">
        <v>0</v>
      </c>
      <c r="J55" s="73">
        <f t="shared" si="18"/>
        <v>0</v>
      </c>
      <c r="K55" s="73">
        <f t="shared" si="19"/>
        <v>0</v>
      </c>
      <c r="L55" s="73">
        <f t="shared" si="20"/>
        <v>0</v>
      </c>
      <c r="M55" s="37">
        <f>C55*G55*I55</f>
        <v>0</v>
      </c>
      <c r="N55" s="44">
        <f>(J55*'Base Data'!$C$5)+(K55*'Base Data'!$C$6)+(L55*'Base Data'!$C$7)</f>
        <v>0</v>
      </c>
      <c r="O55" s="44">
        <f t="shared" si="21"/>
        <v>0</v>
      </c>
      <c r="P55" s="73">
        <v>0</v>
      </c>
      <c r="Q55" s="75" t="s">
        <v>338</v>
      </c>
    </row>
    <row r="56" spans="1:18" s="115" customFormat="1" ht="9.75" customHeight="1">
      <c r="A56" s="110" t="s">
        <v>377</v>
      </c>
      <c r="B56" s="37">
        <v>2</v>
      </c>
      <c r="C56" s="37"/>
      <c r="D56" s="44">
        <v>0</v>
      </c>
      <c r="E56" s="44">
        <v>0</v>
      </c>
      <c r="F56" s="44">
        <v>0</v>
      </c>
      <c r="G56" s="37">
        <v>1</v>
      </c>
      <c r="H56" s="37">
        <f t="shared" si="17"/>
        <v>2</v>
      </c>
      <c r="I56" s="72">
        <v>0</v>
      </c>
      <c r="J56" s="73">
        <f t="shared" si="18"/>
        <v>0</v>
      </c>
      <c r="K56" s="73">
        <f t="shared" si="19"/>
        <v>0</v>
      </c>
      <c r="L56" s="73">
        <f t="shared" si="20"/>
        <v>0</v>
      </c>
      <c r="M56" s="37"/>
      <c r="N56" s="44">
        <f>(J56*'Base Data'!$C$5)+(K56*'Base Data'!$C$6)+(L56*'Base Data'!$C$7)</f>
        <v>0</v>
      </c>
      <c r="O56" s="44">
        <f t="shared" si="21"/>
        <v>0</v>
      </c>
      <c r="P56" s="73">
        <v>0</v>
      </c>
      <c r="Q56" s="75" t="s">
        <v>338</v>
      </c>
    </row>
    <row r="57" spans="1:18" s="115" customFormat="1" ht="9">
      <c r="A57" s="111" t="s">
        <v>387</v>
      </c>
      <c r="B57" s="37">
        <v>2</v>
      </c>
      <c r="C57" s="37"/>
      <c r="D57" s="44">
        <v>0</v>
      </c>
      <c r="E57" s="44">
        <v>0</v>
      </c>
      <c r="F57" s="44">
        <v>0</v>
      </c>
      <c r="G57" s="37">
        <v>1</v>
      </c>
      <c r="H57" s="37">
        <f t="shared" si="17"/>
        <v>2</v>
      </c>
      <c r="I57" s="72">
        <v>0</v>
      </c>
      <c r="J57" s="73">
        <f t="shared" si="18"/>
        <v>0</v>
      </c>
      <c r="K57" s="73">
        <f t="shared" si="19"/>
        <v>0</v>
      </c>
      <c r="L57" s="73">
        <f t="shared" si="20"/>
        <v>0</v>
      </c>
      <c r="M57" s="37"/>
      <c r="N57" s="44">
        <f>(J57*'Base Data'!$C$5)+(K57*'Base Data'!$C$6)+(L57*'Base Data'!$C$7)</f>
        <v>0</v>
      </c>
      <c r="O57" s="44">
        <f t="shared" si="21"/>
        <v>0</v>
      </c>
      <c r="P57" s="73">
        <v>0</v>
      </c>
      <c r="Q57" s="75" t="s">
        <v>338</v>
      </c>
    </row>
    <row r="58" spans="1:18" s="115" customFormat="1" ht="9" customHeight="1">
      <c r="A58" s="111" t="s">
        <v>227</v>
      </c>
      <c r="B58" s="37">
        <v>2</v>
      </c>
      <c r="C58" s="37">
        <v>0</v>
      </c>
      <c r="D58" s="44">
        <v>0</v>
      </c>
      <c r="E58" s="44">
        <v>0</v>
      </c>
      <c r="F58" s="44">
        <v>0</v>
      </c>
      <c r="G58" s="37">
        <v>2</v>
      </c>
      <c r="H58" s="37">
        <f>B58*G58</f>
        <v>4</v>
      </c>
      <c r="I58" s="72">
        <f>I44</f>
        <v>66</v>
      </c>
      <c r="J58" s="73">
        <f>H58*I58</f>
        <v>264</v>
      </c>
      <c r="K58" s="73">
        <f t="shared" si="19"/>
        <v>26.400000000000002</v>
      </c>
      <c r="L58" s="73">
        <f>J58*0.05</f>
        <v>13.200000000000001</v>
      </c>
      <c r="M58" s="37">
        <f>C58*G58*I58</f>
        <v>0</v>
      </c>
      <c r="N58" s="44">
        <f>(J58*'Base Data'!$C$5)+(K58*'Base Data'!$C$6)+(L58*'Base Data'!$C$7)</f>
        <v>28717.26</v>
      </c>
      <c r="O58" s="44">
        <f>(D58+E58+F58)*G58*I58</f>
        <v>0</v>
      </c>
      <c r="P58" s="73">
        <v>0</v>
      </c>
      <c r="Q58" s="75" t="s">
        <v>478</v>
      </c>
    </row>
    <row r="59" spans="1:18" s="115" customFormat="1" ht="18.75" customHeight="1">
      <c r="A59" s="111" t="s">
        <v>432</v>
      </c>
      <c r="B59" s="37">
        <v>2</v>
      </c>
      <c r="C59" s="37">
        <v>0</v>
      </c>
      <c r="D59" s="44">
        <v>0</v>
      </c>
      <c r="E59" s="44">
        <v>0</v>
      </c>
      <c r="F59" s="44">
        <v>0</v>
      </c>
      <c r="G59" s="37">
        <v>2</v>
      </c>
      <c r="H59" s="37">
        <f t="shared" si="17"/>
        <v>4</v>
      </c>
      <c r="I59" s="72">
        <f>I45</f>
        <v>0</v>
      </c>
      <c r="J59" s="73">
        <f t="shared" si="18"/>
        <v>0</v>
      </c>
      <c r="K59" s="73">
        <f t="shared" si="19"/>
        <v>0</v>
      </c>
      <c r="L59" s="73">
        <f t="shared" si="20"/>
        <v>0</v>
      </c>
      <c r="M59" s="37">
        <f>C59*G59*I59</f>
        <v>0</v>
      </c>
      <c r="N59" s="44">
        <f>(J59*'Base Data'!$C$5)+(K59*'Base Data'!$C$6)+(L59*'Base Data'!$C$7)</f>
        <v>0</v>
      </c>
      <c r="O59" s="44">
        <f t="shared" si="21"/>
        <v>0</v>
      </c>
      <c r="P59" s="73">
        <v>0</v>
      </c>
      <c r="Q59" s="75" t="s">
        <v>478</v>
      </c>
    </row>
    <row r="60" spans="1:18" s="115" customFormat="1" ht="9">
      <c r="A60" s="111" t="s">
        <v>231</v>
      </c>
      <c r="B60" s="37">
        <v>0.5</v>
      </c>
      <c r="C60" s="37"/>
      <c r="D60" s="44">
        <v>0</v>
      </c>
      <c r="E60" s="44">
        <v>0</v>
      </c>
      <c r="F60" s="44">
        <v>0</v>
      </c>
      <c r="G60" s="37">
        <v>12</v>
      </c>
      <c r="H60" s="37">
        <f t="shared" si="17"/>
        <v>6</v>
      </c>
      <c r="I60" s="72">
        <f>$I$37</f>
        <v>524</v>
      </c>
      <c r="J60" s="73">
        <f t="shared" si="18"/>
        <v>3144</v>
      </c>
      <c r="K60" s="73">
        <f t="shared" si="19"/>
        <v>314.40000000000003</v>
      </c>
      <c r="L60" s="73">
        <f t="shared" si="20"/>
        <v>157.20000000000002</v>
      </c>
      <c r="M60" s="37"/>
      <c r="N60" s="44">
        <f>(J60*'Base Data'!$C$5)+(K60*'Base Data'!$C$6)+(L60*'Base Data'!$C$7)</f>
        <v>341996.45999999996</v>
      </c>
      <c r="O60" s="44">
        <f t="shared" si="21"/>
        <v>0</v>
      </c>
      <c r="P60" s="73">
        <v>0</v>
      </c>
      <c r="Q60" s="75" t="s">
        <v>338</v>
      </c>
    </row>
    <row r="61" spans="1:18" s="115" customFormat="1" ht="9">
      <c r="A61" s="260" t="s">
        <v>433</v>
      </c>
      <c r="B61" s="37">
        <v>0.25</v>
      </c>
      <c r="C61" s="37"/>
      <c r="D61" s="44">
        <v>0</v>
      </c>
      <c r="E61" s="44">
        <v>0</v>
      </c>
      <c r="F61" s="44">
        <v>0</v>
      </c>
      <c r="G61" s="37">
        <v>1</v>
      </c>
      <c r="H61" s="37">
        <f>B61*G61</f>
        <v>0.25</v>
      </c>
      <c r="I61" s="72">
        <f>$I$37</f>
        <v>524</v>
      </c>
      <c r="J61" s="72">
        <f>H61*I61</f>
        <v>131</v>
      </c>
      <c r="K61" s="72">
        <f>J61*0.1</f>
        <v>13.100000000000001</v>
      </c>
      <c r="L61" s="72">
        <f>J61*0.05</f>
        <v>6.5500000000000007</v>
      </c>
      <c r="M61" s="37">
        <f>C61*G61*I61</f>
        <v>0</v>
      </c>
      <c r="N61" s="44">
        <f>(J61*'Base Data'!$C$5)+(K61*'Base Data'!$C$6)+(L61*'Base Data'!$C$7)</f>
        <v>14249.852500000001</v>
      </c>
      <c r="O61" s="44">
        <f>(D61+E61+F61)*G61*I61</f>
        <v>0</v>
      </c>
      <c r="P61" s="73">
        <f>G61*I61</f>
        <v>524</v>
      </c>
      <c r="Q61" s="75" t="s">
        <v>339</v>
      </c>
    </row>
    <row r="62" spans="1:18" s="115" customFormat="1" ht="9">
      <c r="A62" s="110" t="s">
        <v>378</v>
      </c>
      <c r="B62" s="37">
        <v>40</v>
      </c>
      <c r="C62" s="37"/>
      <c r="D62" s="44">
        <v>0</v>
      </c>
      <c r="E62" s="44">
        <v>0</v>
      </c>
      <c r="F62" s="44">
        <v>0</v>
      </c>
      <c r="G62" s="37">
        <v>1</v>
      </c>
      <c r="H62" s="37">
        <f t="shared" si="17"/>
        <v>40</v>
      </c>
      <c r="I62" s="72">
        <f>$I$7</f>
        <v>33</v>
      </c>
      <c r="J62" s="73">
        <f t="shared" si="18"/>
        <v>1320</v>
      </c>
      <c r="K62" s="73">
        <f t="shared" si="19"/>
        <v>132</v>
      </c>
      <c r="L62" s="73">
        <f t="shared" si="20"/>
        <v>66</v>
      </c>
      <c r="M62" s="37"/>
      <c r="N62" s="44">
        <f>(J62*'Base Data'!$C$5)+(K62*'Base Data'!$C$6)+(L62*'Base Data'!$C$7)</f>
        <v>143586.29999999999</v>
      </c>
      <c r="O62" s="44">
        <f t="shared" si="21"/>
        <v>0</v>
      </c>
      <c r="P62" s="73">
        <v>0</v>
      </c>
      <c r="Q62" s="75" t="s">
        <v>68</v>
      </c>
    </row>
    <row r="63" spans="1:18" s="115" customFormat="1">
      <c r="A63" s="110" t="s">
        <v>379</v>
      </c>
      <c r="B63" s="37" t="s">
        <v>384</v>
      </c>
      <c r="C63" s="37"/>
      <c r="D63" s="44"/>
      <c r="E63" s="44"/>
      <c r="F63" s="44"/>
      <c r="G63" s="37"/>
      <c r="H63" s="37"/>
      <c r="I63" s="73"/>
      <c r="J63" s="73"/>
      <c r="K63" s="73"/>
      <c r="L63" s="73"/>
      <c r="M63" s="37"/>
      <c r="N63" s="44"/>
      <c r="O63" s="44"/>
      <c r="P63" s="73"/>
      <c r="Q63" s="75"/>
      <c r="R63" s="134"/>
    </row>
    <row r="64" spans="1:18" s="115" customFormat="1">
      <c r="A64" s="190" t="s">
        <v>26</v>
      </c>
      <c r="B64" s="184"/>
      <c r="C64" s="184"/>
      <c r="D64" s="185"/>
      <c r="E64" s="185"/>
      <c r="F64" s="185"/>
      <c r="G64" s="184"/>
      <c r="H64" s="184"/>
      <c r="I64" s="186"/>
      <c r="J64" s="186">
        <f t="shared" ref="J64:O64" si="22">SUM(J50:J63)</f>
        <v>4859</v>
      </c>
      <c r="K64" s="186">
        <f t="shared" si="22"/>
        <v>485.90000000000003</v>
      </c>
      <c r="L64" s="186">
        <f t="shared" si="22"/>
        <v>242.95000000000002</v>
      </c>
      <c r="M64" s="185">
        <f t="shared" si="22"/>
        <v>0</v>
      </c>
      <c r="N64" s="185">
        <f t="shared" si="22"/>
        <v>528549.87249999994</v>
      </c>
      <c r="O64" s="185">
        <f t="shared" si="22"/>
        <v>0</v>
      </c>
      <c r="P64" s="186"/>
      <c r="Q64" s="187"/>
      <c r="R64" s="88"/>
    </row>
    <row r="65" spans="1:20" s="134" customFormat="1">
      <c r="A65" s="135" t="s">
        <v>351</v>
      </c>
      <c r="B65" s="136"/>
      <c r="C65" s="136"/>
      <c r="D65" s="136"/>
      <c r="E65" s="136"/>
      <c r="F65" s="137"/>
      <c r="G65" s="136"/>
      <c r="H65" s="136"/>
      <c r="I65" s="138"/>
      <c r="J65" s="139">
        <f t="shared" ref="J65:P65" si="23">J48+J64</f>
        <v>14117</v>
      </c>
      <c r="K65" s="139">
        <f t="shared" si="23"/>
        <v>1411.7</v>
      </c>
      <c r="L65" s="139">
        <f t="shared" si="23"/>
        <v>705.85</v>
      </c>
      <c r="M65" s="140">
        <f t="shared" si="23"/>
        <v>0</v>
      </c>
      <c r="N65" s="140">
        <f t="shared" si="23"/>
        <v>1535611.9674999998</v>
      </c>
      <c r="O65" s="140">
        <f t="shared" si="23"/>
        <v>1506500</v>
      </c>
      <c r="P65" s="139">
        <f t="shared" si="23"/>
        <v>132</v>
      </c>
      <c r="Q65" s="141"/>
      <c r="R65" s="45"/>
    </row>
    <row r="66" spans="1:20" ht="6" customHeight="1">
      <c r="R66" s="45"/>
    </row>
    <row r="67" spans="1:20" s="45" customFormat="1" ht="9" customHeight="1">
      <c r="A67" s="499" t="s">
        <v>620</v>
      </c>
      <c r="B67" s="499"/>
      <c r="C67" s="499"/>
      <c r="D67" s="499"/>
      <c r="E67" s="499"/>
      <c r="F67" s="499"/>
      <c r="G67" s="499"/>
      <c r="H67" s="499"/>
      <c r="I67" s="499"/>
      <c r="J67" s="499"/>
      <c r="K67" s="499"/>
      <c r="L67" s="499"/>
      <c r="M67" s="499"/>
      <c r="N67" s="499"/>
      <c r="O67" s="499"/>
      <c r="P67" s="284"/>
    </row>
    <row r="68" spans="1:20" s="45" customFormat="1" ht="9" customHeight="1">
      <c r="A68" s="494" t="s">
        <v>334</v>
      </c>
      <c r="B68" s="494"/>
      <c r="C68" s="494"/>
      <c r="D68" s="494"/>
      <c r="E68" s="494"/>
      <c r="F68" s="494"/>
      <c r="G68" s="494"/>
      <c r="H68" s="494"/>
      <c r="I68" s="494"/>
      <c r="J68" s="494"/>
      <c r="K68" s="494"/>
      <c r="L68" s="494"/>
      <c r="M68" s="494"/>
      <c r="N68" s="494"/>
      <c r="O68" s="494"/>
      <c r="P68" s="284"/>
    </row>
    <row r="69" spans="1:20" s="45" customFormat="1" ht="9" customHeight="1">
      <c r="A69" s="494" t="s">
        <v>482</v>
      </c>
      <c r="B69" s="494"/>
      <c r="C69" s="494"/>
      <c r="D69" s="494"/>
      <c r="E69" s="494"/>
      <c r="F69" s="494"/>
      <c r="G69" s="494"/>
      <c r="H69" s="494"/>
      <c r="I69" s="494"/>
      <c r="J69" s="494"/>
      <c r="K69" s="494"/>
      <c r="L69" s="494"/>
      <c r="M69" s="494"/>
      <c r="N69" s="494"/>
      <c r="O69" s="494"/>
      <c r="P69" s="494"/>
    </row>
    <row r="70" spans="1:20">
      <c r="A70" s="494" t="s">
        <v>246</v>
      </c>
      <c r="B70" s="494"/>
      <c r="C70" s="494"/>
      <c r="D70" s="494"/>
      <c r="E70" s="494"/>
      <c r="F70" s="494"/>
      <c r="G70" s="494"/>
      <c r="H70" s="494"/>
      <c r="I70" s="494"/>
      <c r="J70" s="494"/>
      <c r="K70" s="494"/>
      <c r="L70" s="494"/>
      <c r="M70" s="494"/>
      <c r="N70" s="494"/>
      <c r="O70" s="494"/>
      <c r="P70" s="494"/>
      <c r="Q70" s="88"/>
      <c r="R70" s="45"/>
    </row>
    <row r="71" spans="1:20" s="45" customFormat="1" ht="17.25" customHeight="1">
      <c r="A71" s="494" t="s">
        <v>498</v>
      </c>
      <c r="B71" s="494"/>
      <c r="C71" s="494"/>
      <c r="D71" s="494"/>
      <c r="E71" s="494"/>
      <c r="F71" s="494"/>
      <c r="G71" s="494"/>
      <c r="H71" s="494"/>
      <c r="I71" s="494"/>
      <c r="J71" s="494"/>
      <c r="K71" s="494"/>
      <c r="L71" s="494"/>
      <c r="M71" s="494"/>
      <c r="N71" s="494"/>
      <c r="O71" s="494"/>
      <c r="P71" s="459"/>
    </row>
    <row r="72" spans="1:20" s="45" customFormat="1" ht="9" customHeight="1">
      <c r="A72" s="78" t="s">
        <v>479</v>
      </c>
      <c r="B72" s="459"/>
      <c r="C72" s="459"/>
      <c r="D72" s="459"/>
      <c r="E72" s="459"/>
      <c r="F72" s="459"/>
      <c r="G72" s="459"/>
      <c r="H72" s="459"/>
      <c r="I72" s="459"/>
      <c r="J72" s="459"/>
      <c r="K72" s="459"/>
      <c r="L72" s="459"/>
      <c r="M72" s="459"/>
      <c r="N72" s="459"/>
      <c r="O72" s="459"/>
      <c r="P72" s="459"/>
    </row>
    <row r="73" spans="1:20" s="45" customFormat="1" ht="9">
      <c r="A73" s="45" t="s">
        <v>500</v>
      </c>
      <c r="B73" s="48"/>
      <c r="C73" s="48"/>
      <c r="D73" s="48"/>
      <c r="E73" s="48"/>
      <c r="F73" s="48"/>
      <c r="G73" s="48"/>
      <c r="H73" s="48"/>
      <c r="I73" s="49"/>
      <c r="J73" s="48"/>
      <c r="K73" s="48"/>
      <c r="L73" s="48"/>
      <c r="M73" s="48"/>
      <c r="N73" s="48"/>
      <c r="O73" s="146"/>
      <c r="P73" s="146"/>
      <c r="Q73" s="48"/>
    </row>
    <row r="74" spans="1:20" s="45" customFormat="1" ht="9">
      <c r="A74" s="45" t="s">
        <v>505</v>
      </c>
      <c r="P74" s="93"/>
      <c r="Q74" s="93"/>
      <c r="R74" s="93"/>
      <c r="S74" s="93"/>
      <c r="T74" s="93"/>
    </row>
    <row r="75" spans="1:20" s="45" customFormat="1" ht="9">
      <c r="A75" s="107" t="s">
        <v>506</v>
      </c>
      <c r="B75" s="48"/>
      <c r="C75" s="48"/>
      <c r="D75" s="85"/>
      <c r="E75" s="48"/>
      <c r="F75" s="48"/>
      <c r="G75" s="48"/>
      <c r="H75" s="48"/>
      <c r="I75" s="49"/>
      <c r="J75" s="48"/>
      <c r="K75" s="48"/>
      <c r="L75" s="48"/>
      <c r="M75" s="48"/>
      <c r="N75" s="48"/>
      <c r="O75" s="146"/>
      <c r="P75" s="146"/>
      <c r="Q75" s="48"/>
    </row>
    <row r="76" spans="1:20" s="45" customFormat="1" ht="9">
      <c r="A76" s="94" t="s">
        <v>512</v>
      </c>
      <c r="B76" s="48"/>
      <c r="C76" s="48"/>
      <c r="D76" s="48"/>
      <c r="E76" s="48"/>
      <c r="F76" s="48"/>
      <c r="G76" s="48"/>
      <c r="H76" s="48"/>
      <c r="I76" s="49"/>
      <c r="J76" s="48"/>
      <c r="K76" s="48"/>
      <c r="L76" s="48"/>
      <c r="M76" s="48"/>
      <c r="N76" s="48"/>
      <c r="O76" s="146"/>
      <c r="P76" s="146"/>
      <c r="Q76" s="48"/>
    </row>
    <row r="77" spans="1:20" s="45" customFormat="1" ht="9">
      <c r="A77" s="494" t="s">
        <v>667</v>
      </c>
      <c r="B77" s="494"/>
      <c r="C77" s="494"/>
      <c r="D77" s="494"/>
      <c r="E77" s="494"/>
      <c r="F77" s="494"/>
      <c r="G77" s="494"/>
      <c r="H77" s="494"/>
      <c r="I77" s="494"/>
      <c r="J77" s="494"/>
      <c r="K77" s="494"/>
      <c r="L77" s="494"/>
      <c r="M77" s="494"/>
      <c r="N77" s="494"/>
      <c r="O77" s="494"/>
      <c r="P77" s="494"/>
      <c r="Q77" s="494"/>
    </row>
    <row r="78" spans="1:20" s="45" customFormat="1" ht="9">
      <c r="A78" s="494"/>
      <c r="B78" s="494"/>
      <c r="C78" s="494"/>
      <c r="D78" s="494"/>
      <c r="E78" s="494"/>
      <c r="F78" s="494"/>
      <c r="G78" s="494"/>
      <c r="H78" s="494"/>
      <c r="I78" s="494"/>
      <c r="J78" s="494"/>
      <c r="K78" s="494"/>
      <c r="L78" s="494"/>
      <c r="M78" s="494"/>
      <c r="N78" s="494"/>
      <c r="O78" s="494"/>
      <c r="P78" s="494"/>
      <c r="Q78" s="494"/>
    </row>
    <row r="79" spans="1:20" s="45" customFormat="1" ht="9">
      <c r="A79" s="494"/>
      <c r="B79" s="494"/>
      <c r="C79" s="494"/>
      <c r="D79" s="494"/>
      <c r="E79" s="494"/>
      <c r="F79" s="494"/>
      <c r="G79" s="494"/>
      <c r="H79" s="494"/>
      <c r="I79" s="494"/>
      <c r="J79" s="494"/>
      <c r="K79" s="494"/>
      <c r="L79" s="494"/>
      <c r="M79" s="494"/>
      <c r="N79" s="494"/>
      <c r="O79" s="494"/>
      <c r="P79" s="494"/>
      <c r="Q79" s="494"/>
    </row>
    <row r="80" spans="1:20"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8" s="45" customFormat="1" ht="9">
      <c r="B113" s="48"/>
      <c r="C113" s="48"/>
      <c r="D113" s="48"/>
      <c r="E113" s="48"/>
      <c r="F113" s="48"/>
      <c r="G113" s="48"/>
      <c r="H113" s="48"/>
      <c r="I113" s="49"/>
      <c r="J113" s="48"/>
      <c r="K113" s="48"/>
      <c r="L113" s="48"/>
      <c r="M113" s="48"/>
      <c r="N113" s="48"/>
      <c r="O113" s="146"/>
      <c r="P113" s="146"/>
      <c r="Q113" s="48"/>
    </row>
    <row r="114" spans="2:18" s="45" customFormat="1" ht="9">
      <c r="B114" s="48"/>
      <c r="C114" s="48"/>
      <c r="D114" s="48"/>
      <c r="E114" s="48"/>
      <c r="F114" s="48"/>
      <c r="G114" s="48"/>
      <c r="H114" s="48"/>
      <c r="I114" s="49"/>
      <c r="J114" s="48"/>
      <c r="K114" s="48"/>
      <c r="L114" s="48"/>
      <c r="M114" s="48"/>
      <c r="N114" s="48"/>
      <c r="O114" s="146"/>
      <c r="P114" s="146"/>
      <c r="Q114" s="48"/>
    </row>
    <row r="115" spans="2:18" s="45" customFormat="1" ht="9">
      <c r="B115" s="48"/>
      <c r="C115" s="48"/>
      <c r="D115" s="48"/>
      <c r="E115" s="48"/>
      <c r="F115" s="48"/>
      <c r="G115" s="48"/>
      <c r="H115" s="48"/>
      <c r="I115" s="49"/>
      <c r="J115" s="48"/>
      <c r="K115" s="48"/>
      <c r="L115" s="48"/>
      <c r="M115" s="48"/>
      <c r="N115" s="48"/>
      <c r="O115" s="146"/>
      <c r="P115" s="146"/>
      <c r="Q115" s="48"/>
    </row>
    <row r="116" spans="2:18" s="45" customFormat="1" ht="9">
      <c r="B116" s="48"/>
      <c r="C116" s="48"/>
      <c r="D116" s="48"/>
      <c r="E116" s="48"/>
      <c r="F116" s="48"/>
      <c r="G116" s="48"/>
      <c r="H116" s="48"/>
      <c r="I116" s="49"/>
      <c r="J116" s="48"/>
      <c r="K116" s="48"/>
      <c r="L116" s="48"/>
      <c r="M116" s="48"/>
      <c r="N116" s="48"/>
      <c r="O116" s="146"/>
      <c r="P116" s="146"/>
      <c r="Q116" s="48"/>
    </row>
    <row r="117" spans="2:18" s="45" customFormat="1" ht="9">
      <c r="B117" s="48"/>
      <c r="C117" s="48"/>
      <c r="D117" s="48"/>
      <c r="E117" s="48"/>
      <c r="F117" s="48"/>
      <c r="G117" s="48"/>
      <c r="H117" s="48"/>
      <c r="I117" s="49"/>
      <c r="J117" s="48"/>
      <c r="K117" s="48"/>
      <c r="L117" s="48"/>
      <c r="M117" s="48"/>
      <c r="N117" s="48"/>
      <c r="O117" s="146"/>
      <c r="P117" s="146"/>
      <c r="Q117" s="48"/>
    </row>
    <row r="118" spans="2:18" s="45" customFormat="1" ht="9">
      <c r="B118" s="48"/>
      <c r="C118" s="48"/>
      <c r="D118" s="48"/>
      <c r="E118" s="48"/>
      <c r="F118" s="48"/>
      <c r="G118" s="48"/>
      <c r="H118" s="48"/>
      <c r="I118" s="49"/>
      <c r="J118" s="48"/>
      <c r="K118" s="48"/>
      <c r="L118" s="48"/>
      <c r="M118" s="48"/>
      <c r="N118" s="48"/>
      <c r="O118" s="146"/>
      <c r="P118" s="146"/>
      <c r="Q118" s="48"/>
    </row>
    <row r="119" spans="2:18" s="45" customFormat="1" ht="9">
      <c r="B119" s="48"/>
      <c r="C119" s="48"/>
      <c r="D119" s="48"/>
      <c r="E119" s="48"/>
      <c r="F119" s="48"/>
      <c r="G119" s="48"/>
      <c r="H119" s="48"/>
      <c r="I119" s="49"/>
      <c r="J119" s="48"/>
      <c r="K119" s="48"/>
      <c r="L119" s="48"/>
      <c r="M119" s="48"/>
      <c r="N119" s="48"/>
      <c r="O119" s="146"/>
      <c r="P119" s="146"/>
      <c r="Q119" s="48"/>
    </row>
    <row r="120" spans="2:18">
      <c r="R120" s="45"/>
    </row>
  </sheetData>
  <mergeCells count="8">
    <mergeCell ref="A77:Q79"/>
    <mergeCell ref="A71:O71"/>
    <mergeCell ref="A1:Q1"/>
    <mergeCell ref="A2:Q2"/>
    <mergeCell ref="A68:O68"/>
    <mergeCell ref="A67:O67"/>
    <mergeCell ref="A69:P69"/>
    <mergeCell ref="A70:P70"/>
  </mergeCells>
  <phoneticPr fontId="9" type="noConversion"/>
  <pageMargins left="0.25" right="0.25" top="0.5" bottom="0.5" header="0.5" footer="0.5"/>
  <pageSetup scale="70" orientation="portrait"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V119"/>
  <sheetViews>
    <sheetView zoomScale="110" zoomScaleNormal="110" workbookViewId="0">
      <pane xSplit="1" ySplit="3" topLeftCell="B4" activePane="bottomRight" state="frozen"/>
      <selection activeCell="O55" sqref="O55"/>
      <selection pane="topRight" activeCell="O55" sqref="O55"/>
      <selection pane="bottomLeft" activeCell="O55" sqref="O55"/>
      <selection pane="bottomRight" activeCell="E15" sqref="E15"/>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8.85546875" style="46" bestFit="1" customWidth="1"/>
    <col min="6" max="6" width="7.85546875" style="46" bestFit="1" customWidth="1"/>
    <col min="7" max="7" width="9.28515625" style="46" bestFit="1" customWidth="1"/>
    <col min="8" max="8" width="7.85546875" style="46" bestFit="1" customWidth="1"/>
    <col min="9" max="9" width="9.42578125" style="47" bestFit="1" customWidth="1"/>
    <col min="10" max="11" width="6.85546875" style="46" bestFit="1" customWidth="1"/>
    <col min="12" max="12" width="8.85546875" style="46" bestFit="1" customWidth="1"/>
    <col min="13" max="13" width="7.85546875" style="46" hidden="1" customWidth="1"/>
    <col min="14" max="14" width="8.42578125" style="46" bestFit="1" customWidth="1"/>
    <col min="15" max="15" width="10.140625" style="145" bestFit="1" customWidth="1"/>
    <col min="16" max="16" width="7.85546875" style="145" customWidth="1"/>
    <col min="17" max="17" width="4" style="46" bestFit="1" customWidth="1"/>
    <col min="18" max="19" width="9.140625" style="88" hidden="1" customWidth="1"/>
    <col min="20" max="20" width="11.140625" style="88" customWidth="1"/>
    <col min="21" max="21" width="8.5703125" style="88" customWidth="1"/>
    <col min="22" max="16384" width="9.140625" style="88"/>
  </cols>
  <sheetData>
    <row r="1" spans="1:21">
      <c r="A1" s="496" t="s">
        <v>0</v>
      </c>
      <c r="B1" s="496"/>
      <c r="C1" s="496"/>
      <c r="D1" s="496"/>
      <c r="E1" s="496"/>
      <c r="F1" s="496"/>
      <c r="G1" s="496"/>
      <c r="H1" s="496"/>
      <c r="I1" s="496"/>
      <c r="J1" s="496"/>
      <c r="K1" s="496"/>
      <c r="L1" s="496"/>
      <c r="M1" s="496"/>
      <c r="N1" s="496"/>
      <c r="O1" s="496"/>
      <c r="P1" s="496"/>
      <c r="Q1" s="496"/>
    </row>
    <row r="2" spans="1:21">
      <c r="A2" s="497" t="s">
        <v>1</v>
      </c>
      <c r="B2" s="497"/>
      <c r="C2" s="497"/>
      <c r="D2" s="497"/>
      <c r="E2" s="497"/>
      <c r="F2" s="497"/>
      <c r="G2" s="497"/>
      <c r="H2" s="497"/>
      <c r="I2" s="497"/>
      <c r="J2" s="497"/>
      <c r="K2" s="497"/>
      <c r="L2" s="497"/>
      <c r="M2" s="497"/>
      <c r="N2" s="497"/>
      <c r="O2" s="497"/>
      <c r="P2" s="497"/>
      <c r="Q2" s="497"/>
    </row>
    <row r="3" spans="1:21" s="142" customFormat="1" ht="63">
      <c r="A3" s="38" t="s">
        <v>343</v>
      </c>
      <c r="B3" s="38" t="s">
        <v>344</v>
      </c>
      <c r="C3" s="38" t="s">
        <v>381</v>
      </c>
      <c r="D3" s="38" t="s">
        <v>4</v>
      </c>
      <c r="E3" s="38" t="s">
        <v>6</v>
      </c>
      <c r="F3" s="38" t="s">
        <v>5</v>
      </c>
      <c r="G3" s="38" t="s">
        <v>163</v>
      </c>
      <c r="H3" s="38" t="s">
        <v>410</v>
      </c>
      <c r="I3" s="51" t="s">
        <v>411</v>
      </c>
      <c r="J3" s="79" t="s">
        <v>413</v>
      </c>
      <c r="K3" s="79" t="s">
        <v>414</v>
      </c>
      <c r="L3" s="79" t="s">
        <v>412</v>
      </c>
      <c r="M3" s="38" t="s">
        <v>342</v>
      </c>
      <c r="N3" s="38" t="s">
        <v>8</v>
      </c>
      <c r="O3" s="79" t="s">
        <v>9</v>
      </c>
      <c r="P3" s="79" t="s">
        <v>162</v>
      </c>
      <c r="Q3" s="131" t="s">
        <v>345</v>
      </c>
      <c r="R3" s="142" t="s">
        <v>275</v>
      </c>
      <c r="S3" s="142" t="s">
        <v>276</v>
      </c>
    </row>
    <row r="4" spans="1:21" s="115" customFormat="1" ht="9">
      <c r="A4" s="127" t="s">
        <v>356</v>
      </c>
      <c r="B4" s="128" t="s">
        <v>384</v>
      </c>
      <c r="C4" s="128"/>
      <c r="D4" s="130"/>
      <c r="E4" s="130"/>
      <c r="F4" s="130"/>
      <c r="G4" s="128"/>
      <c r="H4" s="128"/>
      <c r="I4" s="132"/>
      <c r="J4" s="132"/>
      <c r="K4" s="132"/>
      <c r="L4" s="132"/>
      <c r="M4" s="128"/>
      <c r="N4" s="130"/>
      <c r="O4" s="130"/>
      <c r="P4" s="130"/>
      <c r="Q4" s="188"/>
    </row>
    <row r="5" spans="1:21" s="115" customFormat="1" ht="9">
      <c r="A5" s="110" t="s">
        <v>357</v>
      </c>
      <c r="B5" s="37" t="s">
        <v>384</v>
      </c>
      <c r="C5" s="37"/>
      <c r="D5" s="44"/>
      <c r="E5" s="44"/>
      <c r="F5" s="44"/>
      <c r="G5" s="37"/>
      <c r="H5" s="37"/>
      <c r="I5" s="73"/>
      <c r="J5" s="73"/>
      <c r="K5" s="73"/>
      <c r="L5" s="73"/>
      <c r="M5" s="37"/>
      <c r="N5" s="44"/>
      <c r="O5" s="44"/>
      <c r="P5" s="44"/>
      <c r="Q5" s="75"/>
    </row>
    <row r="6" spans="1:21" s="115" customFormat="1" ht="9">
      <c r="A6" s="110" t="s">
        <v>358</v>
      </c>
      <c r="B6" s="37"/>
      <c r="C6" s="37"/>
      <c r="D6" s="44"/>
      <c r="E6" s="44"/>
      <c r="F6" s="44"/>
      <c r="G6" s="37"/>
      <c r="H6" s="37"/>
      <c r="I6" s="73"/>
      <c r="J6" s="73"/>
      <c r="K6" s="73"/>
      <c r="L6" s="73"/>
      <c r="M6" s="37"/>
      <c r="N6" s="44"/>
      <c r="O6" s="44"/>
      <c r="P6" s="44"/>
      <c r="Q6" s="75"/>
    </row>
    <row r="7" spans="1:21" s="115" customFormat="1" ht="9">
      <c r="A7" s="111" t="s">
        <v>359</v>
      </c>
      <c r="B7" s="37">
        <v>40</v>
      </c>
      <c r="C7" s="37"/>
      <c r="D7" s="44">
        <v>0</v>
      </c>
      <c r="E7" s="44">
        <v>0</v>
      </c>
      <c r="F7" s="44">
        <v>0</v>
      </c>
      <c r="G7" s="37">
        <v>1</v>
      </c>
      <c r="H7" s="37">
        <f>B7*G7</f>
        <v>40</v>
      </c>
      <c r="I7" s="72">
        <f>ROUND(SUM('Base Data'!$H$71:$H$73)/3,0)</f>
        <v>33</v>
      </c>
      <c r="J7" s="73">
        <f>H7*I7</f>
        <v>1320</v>
      </c>
      <c r="K7" s="73">
        <f>J7*0.1</f>
        <v>132</v>
      </c>
      <c r="L7" s="72">
        <f>J7*0.05</f>
        <v>66</v>
      </c>
      <c r="M7" s="37">
        <f>C7*G7*I7</f>
        <v>0</v>
      </c>
      <c r="N7" s="44">
        <f>(J7*'Base Data'!$C$5)+(K7*'Base Data'!$C$6)+(L7*'Base Data'!$C$7)</f>
        <v>143586.29999999999</v>
      </c>
      <c r="O7" s="44">
        <f>(D7+E7+F7)*G7*I7</f>
        <v>0</v>
      </c>
      <c r="P7" s="73">
        <v>0</v>
      </c>
      <c r="Q7" s="75" t="s">
        <v>338</v>
      </c>
    </row>
    <row r="8" spans="1:21" s="115" customFormat="1" ht="9">
      <c r="A8" s="110" t="s">
        <v>360</v>
      </c>
      <c r="B8" s="37"/>
      <c r="C8" s="37"/>
      <c r="D8" s="44"/>
      <c r="E8" s="44"/>
      <c r="F8" s="44"/>
      <c r="G8" s="37"/>
      <c r="H8" s="37"/>
      <c r="I8" s="73"/>
      <c r="J8" s="73"/>
      <c r="K8" s="73"/>
      <c r="L8" s="73"/>
      <c r="M8" s="37"/>
      <c r="N8" s="44"/>
      <c r="O8" s="44"/>
      <c r="P8" s="73"/>
      <c r="Q8" s="75"/>
      <c r="U8" s="144"/>
    </row>
    <row r="9" spans="1:21" s="115" customFormat="1" ht="9">
      <c r="A9" s="111" t="s">
        <v>431</v>
      </c>
      <c r="B9" s="37">
        <v>12</v>
      </c>
      <c r="C9" s="37"/>
      <c r="D9" s="44">
        <v>0</v>
      </c>
      <c r="E9" s="44">
        <f>'Testing Costs'!$B$13</f>
        <v>5000</v>
      </c>
      <c r="F9" s="44">
        <v>0</v>
      </c>
      <c r="G9" s="37">
        <v>1</v>
      </c>
      <c r="H9" s="37">
        <f t="shared" ref="H9:H19" si="0">B9*G9</f>
        <v>12</v>
      </c>
      <c r="I9" s="72">
        <v>0</v>
      </c>
      <c r="J9" s="73">
        <f t="shared" ref="J9:J19" si="1">H9*I9</f>
        <v>0</v>
      </c>
      <c r="K9" s="73">
        <f t="shared" ref="K9:K19" si="2">J9*0.1</f>
        <v>0</v>
      </c>
      <c r="L9" s="73">
        <f t="shared" ref="L9:L19" si="3">J9*0.05</f>
        <v>0</v>
      </c>
      <c r="M9" s="74"/>
      <c r="N9" s="44">
        <f>(J9*'Base Data'!$C$5)+(K9*'Base Data'!$C$6)+(L9*'Base Data'!$C$7)</f>
        <v>0</v>
      </c>
      <c r="O9" s="44">
        <f t="shared" ref="O9:O19" si="4">(D9+E9+F9)*G9*I9</f>
        <v>0</v>
      </c>
      <c r="P9" s="73">
        <v>0</v>
      </c>
      <c r="Q9" s="75" t="s">
        <v>340</v>
      </c>
      <c r="U9" s="144"/>
    </row>
    <row r="10" spans="1:21" s="115" customFormat="1" ht="9">
      <c r="A10" s="111" t="s">
        <v>124</v>
      </c>
      <c r="B10" s="37">
        <v>12</v>
      </c>
      <c r="C10" s="37"/>
      <c r="D10" s="44">
        <v>0</v>
      </c>
      <c r="E10" s="44">
        <f>'Testing Costs'!$B$17</f>
        <v>8000</v>
      </c>
      <c r="F10" s="44">
        <v>0</v>
      </c>
      <c r="G10" s="37">
        <v>1</v>
      </c>
      <c r="H10" s="37">
        <f t="shared" si="0"/>
        <v>12</v>
      </c>
      <c r="I10" s="72">
        <v>0</v>
      </c>
      <c r="J10" s="73">
        <f t="shared" si="1"/>
        <v>0</v>
      </c>
      <c r="K10" s="73">
        <f t="shared" si="2"/>
        <v>0</v>
      </c>
      <c r="L10" s="73">
        <f t="shared" si="3"/>
        <v>0</v>
      </c>
      <c r="M10" s="74"/>
      <c r="N10" s="44">
        <f>(J10*'Base Data'!$C$5)+(K10*'Base Data'!$C$6)+(L10*'Base Data'!$C$7)</f>
        <v>0</v>
      </c>
      <c r="O10" s="44">
        <f t="shared" si="4"/>
        <v>0</v>
      </c>
      <c r="P10" s="73">
        <v>0</v>
      </c>
      <c r="Q10" s="75" t="s">
        <v>340</v>
      </c>
      <c r="U10" s="144"/>
    </row>
    <row r="11" spans="1:21" s="115" customFormat="1" ht="9">
      <c r="A11" s="111" t="s">
        <v>125</v>
      </c>
      <c r="B11" s="37">
        <v>12</v>
      </c>
      <c r="C11" s="37"/>
      <c r="D11" s="44">
        <v>0</v>
      </c>
      <c r="E11" s="44">
        <f>'Testing Costs'!$B$15</f>
        <v>8000</v>
      </c>
      <c r="F11" s="44">
        <v>0</v>
      </c>
      <c r="G11" s="37">
        <v>1</v>
      </c>
      <c r="H11" s="37">
        <f t="shared" si="0"/>
        <v>12</v>
      </c>
      <c r="I11" s="72">
        <v>0</v>
      </c>
      <c r="J11" s="73">
        <f t="shared" si="1"/>
        <v>0</v>
      </c>
      <c r="K11" s="73">
        <f t="shared" si="2"/>
        <v>0</v>
      </c>
      <c r="L11" s="73">
        <f t="shared" si="3"/>
        <v>0</v>
      </c>
      <c r="M11" s="74"/>
      <c r="N11" s="44">
        <f>(J11*'Base Data'!$C$5)+(K11*'Base Data'!$C$6)+(L11*'Base Data'!$C$7)</f>
        <v>0</v>
      </c>
      <c r="O11" s="44">
        <f t="shared" si="4"/>
        <v>0</v>
      </c>
      <c r="P11" s="73">
        <v>0</v>
      </c>
      <c r="Q11" s="75" t="s">
        <v>340</v>
      </c>
      <c r="U11" s="144"/>
    </row>
    <row r="12" spans="1:21" s="115" customFormat="1" ht="9">
      <c r="A12" s="111" t="s">
        <v>126</v>
      </c>
      <c r="B12" s="37">
        <v>12</v>
      </c>
      <c r="C12" s="37"/>
      <c r="D12" s="44">
        <v>0</v>
      </c>
      <c r="E12" s="44">
        <f>'Testing Costs'!$B$14</f>
        <v>7000</v>
      </c>
      <c r="F12" s="44">
        <v>0</v>
      </c>
      <c r="G12" s="37">
        <v>1</v>
      </c>
      <c r="H12" s="37">
        <f t="shared" si="0"/>
        <v>12</v>
      </c>
      <c r="I12" s="72">
        <v>0</v>
      </c>
      <c r="J12" s="73">
        <f t="shared" si="1"/>
        <v>0</v>
      </c>
      <c r="K12" s="73">
        <f t="shared" si="2"/>
        <v>0</v>
      </c>
      <c r="L12" s="73">
        <f t="shared" si="3"/>
        <v>0</v>
      </c>
      <c r="M12" s="74"/>
      <c r="N12" s="44">
        <f>(J12*'Base Data'!$C$5)+(K12*'Base Data'!$C$6)+(L12*'Base Data'!$C$7)</f>
        <v>0</v>
      </c>
      <c r="O12" s="44">
        <f t="shared" si="4"/>
        <v>0</v>
      </c>
      <c r="P12" s="73">
        <v>0</v>
      </c>
      <c r="Q12" s="75" t="s">
        <v>340</v>
      </c>
      <c r="U12" s="144"/>
    </row>
    <row r="13" spans="1:21" s="115" customFormat="1" ht="9" customHeight="1">
      <c r="A13" s="111" t="s">
        <v>137</v>
      </c>
      <c r="B13" s="37">
        <v>12</v>
      </c>
      <c r="C13" s="37"/>
      <c r="D13" s="44">
        <v>0</v>
      </c>
      <c r="E13" s="44">
        <f>'Testing Costs'!$B$13</f>
        <v>5000</v>
      </c>
      <c r="F13" s="44">
        <v>0</v>
      </c>
      <c r="G13" s="37">
        <v>1</v>
      </c>
      <c r="H13" s="37">
        <f t="shared" si="0"/>
        <v>12</v>
      </c>
      <c r="I13" s="72">
        <f>'Fac-NewLrgGas-Yr2'!I9+'Fac-NewLrgGas-Yr2'!I13</f>
        <v>0</v>
      </c>
      <c r="J13" s="73">
        <f t="shared" si="1"/>
        <v>0</v>
      </c>
      <c r="K13" s="73">
        <f t="shared" si="2"/>
        <v>0</v>
      </c>
      <c r="L13" s="73">
        <f t="shared" si="3"/>
        <v>0</v>
      </c>
      <c r="M13" s="74"/>
      <c r="N13" s="44">
        <f>(J13*'Base Data'!$C$5)+(K13*'Base Data'!$C$6)+(L13*'Base Data'!$C$7)</f>
        <v>0</v>
      </c>
      <c r="O13" s="44">
        <f t="shared" si="4"/>
        <v>0</v>
      </c>
      <c r="P13" s="73">
        <v>0</v>
      </c>
      <c r="Q13" s="75" t="s">
        <v>338</v>
      </c>
      <c r="U13" s="144"/>
    </row>
    <row r="14" spans="1:21" s="115" customFormat="1" ht="9">
      <c r="A14" s="111" t="s">
        <v>138</v>
      </c>
      <c r="B14" s="37">
        <v>12</v>
      </c>
      <c r="C14" s="37"/>
      <c r="D14" s="44">
        <v>0</v>
      </c>
      <c r="E14" s="44">
        <f>'Testing Costs'!$B$17</f>
        <v>8000</v>
      </c>
      <c r="F14" s="44">
        <v>0</v>
      </c>
      <c r="G14" s="37">
        <v>1</v>
      </c>
      <c r="H14" s="37">
        <f t="shared" si="0"/>
        <v>12</v>
      </c>
      <c r="I14" s="72">
        <f>'Fac-NewLrgGas-Yr2'!I10+'Fac-NewLrgGas-Yr2'!I14</f>
        <v>0</v>
      </c>
      <c r="J14" s="73">
        <f t="shared" si="1"/>
        <v>0</v>
      </c>
      <c r="K14" s="73">
        <f t="shared" si="2"/>
        <v>0</v>
      </c>
      <c r="L14" s="73">
        <f t="shared" si="3"/>
        <v>0</v>
      </c>
      <c r="M14" s="74"/>
      <c r="N14" s="44">
        <f>(J14*'Base Data'!$C$5)+(K14*'Base Data'!$C$6)+(L14*'Base Data'!$C$7)</f>
        <v>0</v>
      </c>
      <c r="O14" s="44">
        <f t="shared" si="4"/>
        <v>0</v>
      </c>
      <c r="P14" s="73">
        <v>0</v>
      </c>
      <c r="Q14" s="75" t="s">
        <v>338</v>
      </c>
      <c r="U14" s="144"/>
    </row>
    <row r="15" spans="1:21" s="115" customFormat="1" ht="9">
      <c r="A15" s="111" t="s">
        <v>139</v>
      </c>
      <c r="B15" s="37">
        <v>12</v>
      </c>
      <c r="C15" s="37"/>
      <c r="D15" s="44">
        <v>0</v>
      </c>
      <c r="E15" s="44">
        <f>'Testing Costs'!$B$15</f>
        <v>8000</v>
      </c>
      <c r="F15" s="44">
        <v>0</v>
      </c>
      <c r="G15" s="37">
        <v>1</v>
      </c>
      <c r="H15" s="37">
        <f t="shared" si="0"/>
        <v>12</v>
      </c>
      <c r="I15" s="72">
        <f>'Fac-NewLrgGas-Yr2'!I11+'Fac-NewLrgGas-Yr2'!I15</f>
        <v>0</v>
      </c>
      <c r="J15" s="73">
        <f t="shared" si="1"/>
        <v>0</v>
      </c>
      <c r="K15" s="73">
        <f t="shared" si="2"/>
        <v>0</v>
      </c>
      <c r="L15" s="73">
        <f t="shared" si="3"/>
        <v>0</v>
      </c>
      <c r="M15" s="74"/>
      <c r="N15" s="44">
        <f>(J15*'Base Data'!$C$5)+(K15*'Base Data'!$C$6)+(L15*'Base Data'!$C$7)</f>
        <v>0</v>
      </c>
      <c r="O15" s="44">
        <f t="shared" si="4"/>
        <v>0</v>
      </c>
      <c r="P15" s="73">
        <v>0</v>
      </c>
      <c r="Q15" s="75" t="s">
        <v>338</v>
      </c>
      <c r="U15" s="144"/>
    </row>
    <row r="16" spans="1:21" s="115" customFormat="1" ht="9">
      <c r="A16" s="111" t="s">
        <v>140</v>
      </c>
      <c r="B16" s="37">
        <v>12</v>
      </c>
      <c r="C16" s="37"/>
      <c r="D16" s="44">
        <v>0</v>
      </c>
      <c r="E16" s="44">
        <f>'Testing Costs'!$B$14</f>
        <v>7000</v>
      </c>
      <c r="F16" s="44">
        <v>0</v>
      </c>
      <c r="G16" s="37">
        <v>1</v>
      </c>
      <c r="H16" s="37">
        <f t="shared" si="0"/>
        <v>12</v>
      </c>
      <c r="I16" s="72">
        <f>'Fac-NewLrgGas-Yr2'!I12+'Fac-NewLrgGas-Yr2'!I16</f>
        <v>0</v>
      </c>
      <c r="J16" s="73">
        <f t="shared" si="1"/>
        <v>0</v>
      </c>
      <c r="K16" s="73">
        <f t="shared" si="2"/>
        <v>0</v>
      </c>
      <c r="L16" s="73">
        <f t="shared" si="3"/>
        <v>0</v>
      </c>
      <c r="M16" s="74"/>
      <c r="N16" s="44">
        <f>(J16*'Base Data'!$C$5)+(K16*'Base Data'!$C$6)+(L16*'Base Data'!$C$7)</f>
        <v>0</v>
      </c>
      <c r="O16" s="44">
        <f t="shared" si="4"/>
        <v>0</v>
      </c>
      <c r="P16" s="73">
        <v>0</v>
      </c>
      <c r="Q16" s="75" t="s">
        <v>338</v>
      </c>
      <c r="U16" s="144"/>
    </row>
    <row r="17" spans="1:22" s="115" customFormat="1" ht="18.75" customHeight="1">
      <c r="A17" s="259" t="s">
        <v>430</v>
      </c>
      <c r="B17" s="37">
        <v>24</v>
      </c>
      <c r="C17" s="258"/>
      <c r="D17" s="44">
        <v>0</v>
      </c>
      <c r="E17" s="44">
        <v>16000</v>
      </c>
      <c r="F17" s="44">
        <v>0</v>
      </c>
      <c r="G17" s="37">
        <v>1</v>
      </c>
      <c r="H17" s="37">
        <f t="shared" si="0"/>
        <v>24</v>
      </c>
      <c r="I17" s="72">
        <v>0</v>
      </c>
      <c r="J17" s="73">
        <f t="shared" si="1"/>
        <v>0</v>
      </c>
      <c r="K17" s="73">
        <f t="shared" si="2"/>
        <v>0</v>
      </c>
      <c r="L17" s="73">
        <f t="shared" si="3"/>
        <v>0</v>
      </c>
      <c r="M17" s="74"/>
      <c r="N17" s="44">
        <f>(J17*'Base Data'!$C$5)+(K17*'Base Data'!$C$6)+(L17*'Base Data'!$C$7)</f>
        <v>0</v>
      </c>
      <c r="O17" s="44">
        <f t="shared" si="4"/>
        <v>0</v>
      </c>
      <c r="P17" s="73">
        <v>0</v>
      </c>
      <c r="Q17" s="75" t="s">
        <v>499</v>
      </c>
    </row>
    <row r="18" spans="1:22" s="115" customFormat="1" ht="9" customHeight="1">
      <c r="A18" s="111" t="s">
        <v>243</v>
      </c>
      <c r="B18" s="37">
        <v>5</v>
      </c>
      <c r="C18" s="37"/>
      <c r="D18" s="44">
        <v>0</v>
      </c>
      <c r="E18" s="44">
        <v>400</v>
      </c>
      <c r="F18" s="44">
        <v>0</v>
      </c>
      <c r="G18" s="37">
        <v>1</v>
      </c>
      <c r="H18" s="37">
        <f t="shared" si="0"/>
        <v>5</v>
      </c>
      <c r="I18" s="72">
        <v>0</v>
      </c>
      <c r="J18" s="73">
        <f t="shared" si="1"/>
        <v>0</v>
      </c>
      <c r="K18" s="73">
        <f t="shared" si="2"/>
        <v>0</v>
      </c>
      <c r="L18" s="73">
        <f t="shared" si="3"/>
        <v>0</v>
      </c>
      <c r="M18" s="74"/>
      <c r="N18" s="44">
        <f>(J18*'Base Data'!$C$5)+(K18*'Base Data'!$C$6)+(L18*'Base Data'!$C$7)</f>
        <v>0</v>
      </c>
      <c r="O18" s="44">
        <f t="shared" si="4"/>
        <v>0</v>
      </c>
      <c r="P18" s="73">
        <v>0</v>
      </c>
      <c r="Q18" s="75" t="s">
        <v>497</v>
      </c>
      <c r="U18" s="144"/>
    </row>
    <row r="19" spans="1:22" s="115" customFormat="1" ht="9" customHeight="1">
      <c r="A19" s="111" t="s">
        <v>244</v>
      </c>
      <c r="B19" s="37">
        <v>5</v>
      </c>
      <c r="C19" s="37"/>
      <c r="D19" s="44">
        <v>0</v>
      </c>
      <c r="E19" s="44">
        <v>400</v>
      </c>
      <c r="F19" s="44">
        <v>0</v>
      </c>
      <c r="G19" s="37">
        <v>12</v>
      </c>
      <c r="H19" s="37">
        <f t="shared" si="0"/>
        <v>60</v>
      </c>
      <c r="I19" s="72">
        <v>0</v>
      </c>
      <c r="J19" s="73">
        <f t="shared" si="1"/>
        <v>0</v>
      </c>
      <c r="K19" s="73">
        <f t="shared" si="2"/>
        <v>0</v>
      </c>
      <c r="L19" s="73">
        <f t="shared" si="3"/>
        <v>0</v>
      </c>
      <c r="M19" s="74"/>
      <c r="N19" s="44">
        <f>(J19*'Base Data'!$C$5)+(K19*'Base Data'!$C$6)+(L19*'Base Data'!$C$7)</f>
        <v>0</v>
      </c>
      <c r="O19" s="44">
        <f t="shared" si="4"/>
        <v>0</v>
      </c>
      <c r="P19" s="73">
        <v>0</v>
      </c>
      <c r="Q19" s="75" t="s">
        <v>497</v>
      </c>
      <c r="U19" s="144"/>
    </row>
    <row r="20" spans="1:22" s="115" customFormat="1" ht="9">
      <c r="A20" s="111" t="s">
        <v>245</v>
      </c>
      <c r="B20" s="37"/>
      <c r="C20" s="37"/>
      <c r="D20" s="44"/>
      <c r="E20" s="44"/>
      <c r="F20" s="44"/>
      <c r="G20" s="37"/>
      <c r="H20" s="37"/>
      <c r="I20" s="73"/>
      <c r="J20" s="73"/>
      <c r="K20" s="73"/>
      <c r="L20" s="73"/>
      <c r="M20" s="74"/>
      <c r="N20" s="44"/>
      <c r="O20" s="44"/>
      <c r="P20" s="73"/>
      <c r="Q20" s="75" t="s">
        <v>490</v>
      </c>
      <c r="U20" s="144"/>
    </row>
    <row r="21" spans="1:22" s="115" customFormat="1" ht="9">
      <c r="A21" s="111" t="s">
        <v>383</v>
      </c>
      <c r="B21" s="37">
        <v>40</v>
      </c>
      <c r="C21" s="37"/>
      <c r="D21" s="44">
        <v>0</v>
      </c>
      <c r="E21" s="44"/>
      <c r="F21" s="44">
        <v>0</v>
      </c>
      <c r="G21" s="37">
        <v>1</v>
      </c>
      <c r="H21" s="37">
        <f>B21*G21</f>
        <v>40</v>
      </c>
      <c r="I21" s="72">
        <v>0</v>
      </c>
      <c r="J21" s="73">
        <f>H21*I21</f>
        <v>0</v>
      </c>
      <c r="K21" s="73">
        <f>J21*0.1</f>
        <v>0</v>
      </c>
      <c r="L21" s="73">
        <f>J21*0.05</f>
        <v>0</v>
      </c>
      <c r="M21" s="74"/>
      <c r="N21" s="44">
        <f>(J21*'Base Data'!$C$5)+(K21*'Base Data'!$C$6)+(L21*'Base Data'!$C$7)</f>
        <v>0</v>
      </c>
      <c r="O21" s="44">
        <f>(D21+E21+F21)*G21*I21</f>
        <v>0</v>
      </c>
      <c r="P21" s="73">
        <v>0</v>
      </c>
      <c r="Q21" s="75" t="s">
        <v>338</v>
      </c>
      <c r="U21" s="144"/>
    </row>
    <row r="22" spans="1:22" s="115" customFormat="1" ht="9">
      <c r="A22" s="110" t="s">
        <v>361</v>
      </c>
      <c r="B22" s="37"/>
      <c r="C22" s="37"/>
      <c r="D22" s="44"/>
      <c r="E22" s="44"/>
      <c r="F22" s="44"/>
      <c r="G22" s="37"/>
      <c r="H22" s="37"/>
      <c r="I22" s="73"/>
      <c r="J22" s="73"/>
      <c r="K22" s="73"/>
      <c r="L22" s="73"/>
      <c r="M22" s="74"/>
      <c r="N22" s="44"/>
      <c r="O22" s="44"/>
      <c r="P22" s="73"/>
      <c r="Q22" s="75"/>
      <c r="U22" s="144"/>
    </row>
    <row r="23" spans="1:22" s="115" customFormat="1" ht="9">
      <c r="A23" s="110" t="s">
        <v>362</v>
      </c>
      <c r="B23" s="37">
        <v>10</v>
      </c>
      <c r="C23" s="37"/>
      <c r="D23" s="44">
        <v>0</v>
      </c>
      <c r="E23" s="44">
        <v>0</v>
      </c>
      <c r="F23" s="44">
        <v>43100</v>
      </c>
      <c r="G23" s="37">
        <v>1</v>
      </c>
      <c r="H23" s="37">
        <f>B23*G23</f>
        <v>10</v>
      </c>
      <c r="I23" s="72">
        <v>0</v>
      </c>
      <c r="J23" s="73">
        <f>H23*I23</f>
        <v>0</v>
      </c>
      <c r="K23" s="73">
        <f>J23*0.1</f>
        <v>0</v>
      </c>
      <c r="L23" s="73">
        <f>J23*0.05</f>
        <v>0</v>
      </c>
      <c r="M23" s="74"/>
      <c r="N23" s="44">
        <f>(J23*'Base Data'!$C$5)+(K23*'Base Data'!$C$6)+(L23*'Base Data'!$C$7)</f>
        <v>0</v>
      </c>
      <c r="O23" s="44">
        <f>(D23+E23+F23)*G23*I23</f>
        <v>0</v>
      </c>
      <c r="P23" s="73">
        <v>0</v>
      </c>
      <c r="Q23" s="75" t="s">
        <v>338</v>
      </c>
      <c r="U23" s="144"/>
    </row>
    <row r="24" spans="1:22" s="115" customFormat="1" ht="9">
      <c r="A24" s="110" t="s">
        <v>365</v>
      </c>
      <c r="B24" s="37">
        <v>10</v>
      </c>
      <c r="C24" s="37"/>
      <c r="D24" s="44">
        <v>0</v>
      </c>
      <c r="E24" s="44">
        <v>0</v>
      </c>
      <c r="F24" s="44">
        <v>14700</v>
      </c>
      <c r="G24" s="37">
        <v>1</v>
      </c>
      <c r="H24" s="37">
        <f>B24*G24</f>
        <v>10</v>
      </c>
      <c r="I24" s="72">
        <v>0</v>
      </c>
      <c r="J24" s="73">
        <f>H24*I24</f>
        <v>0</v>
      </c>
      <c r="K24" s="73">
        <f>J24*0.1</f>
        <v>0</v>
      </c>
      <c r="L24" s="73">
        <f>J24*0.05</f>
        <v>0</v>
      </c>
      <c r="M24" s="74"/>
      <c r="N24" s="44">
        <f>(J24*'Base Data'!$C$5)+(K24*'Base Data'!$C$6)+(L24*'Base Data'!$C$7)</f>
        <v>0</v>
      </c>
      <c r="O24" s="44">
        <f>(D24+E24+F24)*G24*I24</f>
        <v>0</v>
      </c>
      <c r="P24" s="73">
        <v>0</v>
      </c>
      <c r="Q24" s="75" t="s">
        <v>338</v>
      </c>
      <c r="U24" s="144"/>
    </row>
    <row r="25" spans="1:22" s="115" customFormat="1" ht="9">
      <c r="A25" s="110" t="s">
        <v>310</v>
      </c>
      <c r="B25" s="37"/>
      <c r="C25" s="37"/>
      <c r="D25" s="44"/>
      <c r="E25" s="44"/>
      <c r="F25" s="44"/>
      <c r="G25" s="37"/>
      <c r="H25" s="37"/>
      <c r="I25" s="73"/>
      <c r="J25" s="73"/>
      <c r="K25" s="73"/>
      <c r="L25" s="73"/>
      <c r="M25" s="74"/>
      <c r="N25" s="44"/>
      <c r="O25" s="44"/>
      <c r="P25" s="73"/>
      <c r="Q25" s="75"/>
      <c r="U25" s="144"/>
    </row>
    <row r="26" spans="1:22" s="115" customFormat="1" ht="9">
      <c r="A26" s="110" t="s">
        <v>362</v>
      </c>
      <c r="B26" s="37">
        <v>10</v>
      </c>
      <c r="C26" s="37"/>
      <c r="D26" s="44">
        <v>0</v>
      </c>
      <c r="E26" s="44">
        <v>0</v>
      </c>
      <c r="F26" s="44">
        <v>158000</v>
      </c>
      <c r="G26" s="37">
        <v>1</v>
      </c>
      <c r="H26" s="37">
        <f>B26*G26</f>
        <v>10</v>
      </c>
      <c r="I26" s="72">
        <v>0</v>
      </c>
      <c r="J26" s="73">
        <f>H26*I26</f>
        <v>0</v>
      </c>
      <c r="K26" s="73">
        <f>J26*0.1</f>
        <v>0</v>
      </c>
      <c r="L26" s="73">
        <f>J26*0.05</f>
        <v>0</v>
      </c>
      <c r="M26" s="74"/>
      <c r="N26" s="44">
        <f>(J26*'Base Data'!$C$5)+(K26*'Base Data'!$C$6)+(L26*'Base Data'!$C$7)</f>
        <v>0</v>
      </c>
      <c r="O26" s="44">
        <f>(D26+E26+F26)*G26*I26</f>
        <v>0</v>
      </c>
      <c r="P26" s="73">
        <v>0</v>
      </c>
      <c r="Q26" s="75" t="s">
        <v>338</v>
      </c>
      <c r="U26" s="144"/>
    </row>
    <row r="27" spans="1:22" s="115" customFormat="1" ht="9">
      <c r="A27" s="110" t="s">
        <v>365</v>
      </c>
      <c r="B27" s="37">
        <v>10</v>
      </c>
      <c r="C27" s="37"/>
      <c r="D27" s="44">
        <v>0</v>
      </c>
      <c r="E27" s="44">
        <v>0</v>
      </c>
      <c r="F27" s="44">
        <v>56100</v>
      </c>
      <c r="G27" s="37">
        <v>1</v>
      </c>
      <c r="H27" s="37">
        <f>B27*G27</f>
        <v>10</v>
      </c>
      <c r="I27" s="72">
        <v>0</v>
      </c>
      <c r="J27" s="73">
        <f>H27*I27</f>
        <v>0</v>
      </c>
      <c r="K27" s="73">
        <f>J27*0.1</f>
        <v>0</v>
      </c>
      <c r="L27" s="73">
        <f>J27*0.05</f>
        <v>0</v>
      </c>
      <c r="M27" s="74"/>
      <c r="N27" s="44">
        <f>(J27*'Base Data'!$C$5)+(K27*'Base Data'!$C$6)+(L27*'Base Data'!$C$7)</f>
        <v>0</v>
      </c>
      <c r="O27" s="44">
        <f>(D27+E27+F27)*G27*I27</f>
        <v>0</v>
      </c>
      <c r="P27" s="73">
        <v>0</v>
      </c>
      <c r="Q27" s="75" t="s">
        <v>338</v>
      </c>
      <c r="U27" s="144"/>
    </row>
    <row r="28" spans="1:22" s="115" customFormat="1" ht="9">
      <c r="A28" s="110" t="s">
        <v>461</v>
      </c>
      <c r="B28" s="37"/>
      <c r="C28" s="37"/>
      <c r="D28" s="44"/>
      <c r="E28" s="44"/>
      <c r="F28" s="44"/>
      <c r="G28" s="37"/>
      <c r="H28" s="37"/>
      <c r="I28" s="72"/>
      <c r="J28" s="73"/>
      <c r="K28" s="73"/>
      <c r="L28" s="73"/>
      <c r="M28" s="74"/>
      <c r="N28" s="44"/>
      <c r="O28" s="44"/>
      <c r="P28" s="73"/>
      <c r="Q28" s="75"/>
    </row>
    <row r="29" spans="1:22" s="115" customFormat="1" ht="9">
      <c r="A29" s="110" t="s">
        <v>362</v>
      </c>
      <c r="B29" s="37">
        <v>10</v>
      </c>
      <c r="C29" s="37"/>
      <c r="D29" s="44">
        <v>0</v>
      </c>
      <c r="E29" s="44">
        <v>0</v>
      </c>
      <c r="F29" s="44">
        <f>Monitors!$F$32</f>
        <v>8523</v>
      </c>
      <c r="G29" s="37">
        <v>1</v>
      </c>
      <c r="H29" s="37">
        <f t="shared" ref="H29:H30" si="5">B29*G29</f>
        <v>10</v>
      </c>
      <c r="I29" s="72">
        <v>0</v>
      </c>
      <c r="J29" s="73">
        <f t="shared" ref="J29:J30" si="6">H29*I29</f>
        <v>0</v>
      </c>
      <c r="K29" s="73">
        <f t="shared" ref="K29:K30" si="7">J29*0.1</f>
        <v>0</v>
      </c>
      <c r="L29" s="73">
        <f t="shared" ref="L29:L30" si="8">J29*0.05</f>
        <v>0</v>
      </c>
      <c r="M29" s="74"/>
      <c r="N29" s="44">
        <f>(J29*'Base Data'!$C$5)+(K29*'Base Data'!$C$6)+(L29*'Base Data'!$C$7)</f>
        <v>0</v>
      </c>
      <c r="O29" s="44">
        <f>(D29+E29+F29)*G29*I29</f>
        <v>0</v>
      </c>
      <c r="P29" s="73">
        <v>0</v>
      </c>
      <c r="Q29" s="75" t="s">
        <v>338</v>
      </c>
    </row>
    <row r="30" spans="1:22" s="115" customFormat="1" ht="9">
      <c r="A30" s="110" t="s">
        <v>365</v>
      </c>
      <c r="B30" s="37">
        <v>10</v>
      </c>
      <c r="C30" s="37"/>
      <c r="D30" s="44">
        <v>0</v>
      </c>
      <c r="E30" s="44">
        <v>0</v>
      </c>
      <c r="F30" s="44">
        <f>Monitors!$G$32</f>
        <v>1436</v>
      </c>
      <c r="G30" s="37">
        <v>1</v>
      </c>
      <c r="H30" s="37">
        <f t="shared" si="5"/>
        <v>10</v>
      </c>
      <c r="I30" s="72">
        <v>0</v>
      </c>
      <c r="J30" s="73">
        <f t="shared" si="6"/>
        <v>0</v>
      </c>
      <c r="K30" s="73">
        <f t="shared" si="7"/>
        <v>0</v>
      </c>
      <c r="L30" s="73">
        <f t="shared" si="8"/>
        <v>0</v>
      </c>
      <c r="M30" s="74"/>
      <c r="N30" s="44">
        <f>(J30*'Base Data'!$C$5)+(K30*'Base Data'!$C$6)+(L30*'Base Data'!$C$7)</f>
        <v>0</v>
      </c>
      <c r="O30" s="44">
        <f>(D30+E30+F30)*G30*I30</f>
        <v>0</v>
      </c>
      <c r="P30" s="73">
        <v>0</v>
      </c>
      <c r="Q30" s="75" t="s">
        <v>338</v>
      </c>
    </row>
    <row r="31" spans="1:22" s="115" customFormat="1" ht="18">
      <c r="A31" s="111" t="s">
        <v>160</v>
      </c>
      <c r="B31" s="37"/>
      <c r="C31" s="37"/>
      <c r="D31" s="44"/>
      <c r="E31" s="44"/>
      <c r="F31" s="76"/>
      <c r="G31" s="37"/>
      <c r="H31" s="37"/>
      <c r="I31" s="77"/>
      <c r="J31" s="73"/>
      <c r="K31" s="73"/>
      <c r="L31" s="73"/>
      <c r="M31" s="74"/>
      <c r="N31" s="44"/>
      <c r="O31" s="44"/>
      <c r="P31" s="73"/>
      <c r="Q31" s="75"/>
      <c r="V31" s="144"/>
    </row>
    <row r="32" spans="1:22" s="115" customFormat="1" ht="9">
      <c r="A32" s="110" t="s">
        <v>362</v>
      </c>
      <c r="B32" s="37">
        <v>10</v>
      </c>
      <c r="C32" s="37"/>
      <c r="D32" s="44">
        <v>0</v>
      </c>
      <c r="E32" s="44">
        <v>0</v>
      </c>
      <c r="F32" s="44">
        <v>24300</v>
      </c>
      <c r="G32" s="37">
        <v>1</v>
      </c>
      <c r="H32" s="37">
        <f>B32*G32</f>
        <v>10</v>
      </c>
      <c r="I32" s="72">
        <f>ROUND(Monitors!$D$27/3,0)+ROUND(Monitors!$D$25/3,0)</f>
        <v>0</v>
      </c>
      <c r="J32" s="73">
        <f>H32*I32</f>
        <v>0</v>
      </c>
      <c r="K32" s="73">
        <f>J32*0.1</f>
        <v>0</v>
      </c>
      <c r="L32" s="73">
        <f>J32*0.05</f>
        <v>0</v>
      </c>
      <c r="M32" s="74"/>
      <c r="N32" s="44">
        <f>(J32*'Base Data'!$C$5)+(K32*'Base Data'!$C$6)+(L32*'Base Data'!$C$7)</f>
        <v>0</v>
      </c>
      <c r="O32" s="44">
        <f>(D32+E32+F32)*G32*I32</f>
        <v>0</v>
      </c>
      <c r="P32" s="73">
        <v>0</v>
      </c>
      <c r="Q32" s="75" t="s">
        <v>338</v>
      </c>
      <c r="V32" s="144"/>
    </row>
    <row r="33" spans="1:22" s="115" customFormat="1" ht="9">
      <c r="A33" s="110" t="s">
        <v>365</v>
      </c>
      <c r="B33" s="37">
        <v>10</v>
      </c>
      <c r="C33" s="37"/>
      <c r="D33" s="44">
        <v>0</v>
      </c>
      <c r="E33" s="44">
        <v>0</v>
      </c>
      <c r="F33" s="44">
        <v>5600</v>
      </c>
      <c r="G33" s="37">
        <v>1</v>
      </c>
      <c r="H33" s="37">
        <f>B33*G33</f>
        <v>10</v>
      </c>
      <c r="I33" s="72">
        <f>'Fac-NewLrgGas-Yr2'!I32+I32</f>
        <v>0</v>
      </c>
      <c r="J33" s="73">
        <f>H33*I33</f>
        <v>0</v>
      </c>
      <c r="K33" s="73">
        <f>J33*0.1</f>
        <v>0</v>
      </c>
      <c r="L33" s="73">
        <f>J33*0.05</f>
        <v>0</v>
      </c>
      <c r="M33" s="74"/>
      <c r="N33" s="44">
        <f>(J33*'Base Data'!$C$5)+(K33*'Base Data'!$C$6)+(L33*'Base Data'!$C$7)</f>
        <v>0</v>
      </c>
      <c r="O33" s="44">
        <f>(D33+E33+F33)*G33*I33</f>
        <v>0</v>
      </c>
      <c r="P33" s="73">
        <v>0</v>
      </c>
      <c r="Q33" s="75" t="s">
        <v>338</v>
      </c>
      <c r="V33" s="144"/>
    </row>
    <row r="34" spans="1:22" s="115" customFormat="1" ht="18">
      <c r="A34" s="111" t="s">
        <v>425</v>
      </c>
      <c r="B34" s="37"/>
      <c r="C34" s="37"/>
      <c r="D34" s="44"/>
      <c r="E34" s="44"/>
      <c r="F34" s="44"/>
      <c r="G34" s="37"/>
      <c r="H34" s="37"/>
      <c r="I34" s="77"/>
      <c r="J34" s="73"/>
      <c r="K34" s="73"/>
      <c r="L34" s="73"/>
      <c r="M34" s="74"/>
      <c r="N34" s="44"/>
      <c r="O34" s="183"/>
      <c r="P34" s="73"/>
      <c r="Q34" s="75"/>
      <c r="V34" s="144"/>
    </row>
    <row r="35" spans="1:22" s="115" customFormat="1" ht="9">
      <c r="A35" s="110" t="s">
        <v>362</v>
      </c>
      <c r="B35" s="37">
        <v>10</v>
      </c>
      <c r="C35" s="37"/>
      <c r="D35" s="44">
        <v>0</v>
      </c>
      <c r="E35" s="44">
        <v>0</v>
      </c>
      <c r="F35" s="44">
        <f>25500</f>
        <v>25500</v>
      </c>
      <c r="G35" s="37">
        <v>1</v>
      </c>
      <c r="H35" s="37">
        <f>B35*G35</f>
        <v>10</v>
      </c>
      <c r="I35" s="72">
        <f>ROUND(Monitors!$B$27/3,0)+ROUND(Monitors!$B$25/3,0)</f>
        <v>0</v>
      </c>
      <c r="J35" s="73">
        <f>H35*I35</f>
        <v>0</v>
      </c>
      <c r="K35" s="73">
        <f>J35*0.1</f>
        <v>0</v>
      </c>
      <c r="L35" s="73">
        <f>J35*0.05</f>
        <v>0</v>
      </c>
      <c r="M35" s="74"/>
      <c r="N35" s="44">
        <f>(J35*'Base Data'!$C$5)+(K35*'Base Data'!$C$6)+(L35*'Base Data'!$C$7)</f>
        <v>0</v>
      </c>
      <c r="O35" s="44">
        <f>(D35+E35+F35)*G35*I35</f>
        <v>0</v>
      </c>
      <c r="P35" s="73">
        <v>0</v>
      </c>
      <c r="Q35" s="75" t="s">
        <v>338</v>
      </c>
      <c r="V35" s="144"/>
    </row>
    <row r="36" spans="1:22" s="115" customFormat="1" ht="9">
      <c r="A36" s="110" t="s">
        <v>365</v>
      </c>
      <c r="B36" s="37">
        <v>10</v>
      </c>
      <c r="C36" s="37"/>
      <c r="D36" s="44">
        <v>0</v>
      </c>
      <c r="E36" s="44">
        <v>0</v>
      </c>
      <c r="F36" s="44">
        <v>9700</v>
      </c>
      <c r="G36" s="37">
        <v>1</v>
      </c>
      <c r="H36" s="37">
        <f>B36*G36</f>
        <v>10</v>
      </c>
      <c r="I36" s="72">
        <f>'Fac-NewLrgGas-Yr2'!I35+I35</f>
        <v>0</v>
      </c>
      <c r="J36" s="73">
        <f>H36*I36</f>
        <v>0</v>
      </c>
      <c r="K36" s="73">
        <f>J36*0.1</f>
        <v>0</v>
      </c>
      <c r="L36" s="73">
        <f>J36*0.05</f>
        <v>0</v>
      </c>
      <c r="M36" s="74"/>
      <c r="N36" s="44">
        <f>(J36*'Base Data'!$C$5)+(K36*'Base Data'!$C$6)+(L36*'Base Data'!$C$7)</f>
        <v>0</v>
      </c>
      <c r="O36" s="44">
        <f>(D36+E36+F36)*G36*I36</f>
        <v>0</v>
      </c>
      <c r="P36" s="73">
        <v>0</v>
      </c>
      <c r="Q36" s="75" t="s">
        <v>338</v>
      </c>
      <c r="V36" s="144"/>
    </row>
    <row r="37" spans="1:22" s="115" customFormat="1" ht="9">
      <c r="A37" s="110" t="s">
        <v>252</v>
      </c>
      <c r="B37" s="37">
        <v>12</v>
      </c>
      <c r="C37" s="37"/>
      <c r="D37" s="44">
        <v>0</v>
      </c>
      <c r="E37" s="44">
        <v>2875</v>
      </c>
      <c r="F37" s="44">
        <v>0</v>
      </c>
      <c r="G37" s="37">
        <v>1</v>
      </c>
      <c r="H37" s="37">
        <f>B37*G37</f>
        <v>12</v>
      </c>
      <c r="I37" s="72">
        <f>ROUNDDOWN(SUM('Base Data'!$D$71:$D$73)/3,0)+'Fac-NewLrgGas-Yr2'!I37</f>
        <v>785</v>
      </c>
      <c r="J37" s="72">
        <f>H37*I37</f>
        <v>9420</v>
      </c>
      <c r="K37" s="72">
        <f>J37*0.1</f>
        <v>942</v>
      </c>
      <c r="L37" s="72">
        <f>J37*0.05</f>
        <v>471</v>
      </c>
      <c r="M37" s="73"/>
      <c r="N37" s="44">
        <f>(J37*'Base Data'!$C$5)+(K37*'Base Data'!$C$6)+(L37*'Base Data'!$C$7)</f>
        <v>1024684.05</v>
      </c>
      <c r="O37" s="44">
        <f>(D37+E37+F37)*G37*I37</f>
        <v>2256875</v>
      </c>
      <c r="P37" s="73">
        <v>0</v>
      </c>
      <c r="Q37" s="75" t="s">
        <v>339</v>
      </c>
      <c r="U37" s="144"/>
    </row>
    <row r="38" spans="1:22" s="115" customFormat="1" ht="9">
      <c r="A38" s="110" t="s">
        <v>543</v>
      </c>
      <c r="B38" s="37">
        <v>5</v>
      </c>
      <c r="C38" s="37"/>
      <c r="D38" s="44">
        <v>0</v>
      </c>
      <c r="E38" s="44">
        <v>200</v>
      </c>
      <c r="F38" s="44">
        <v>0</v>
      </c>
      <c r="G38" s="37">
        <v>12</v>
      </c>
      <c r="H38" s="37">
        <f>B38*G38</f>
        <v>60</v>
      </c>
      <c r="I38" s="73">
        <v>0</v>
      </c>
      <c r="J38" s="72">
        <f>H38*I38</f>
        <v>0</v>
      </c>
      <c r="K38" s="72">
        <f>J38*0.1</f>
        <v>0</v>
      </c>
      <c r="L38" s="72">
        <f>J38*0.05</f>
        <v>0</v>
      </c>
      <c r="M38" s="73"/>
      <c r="N38" s="44">
        <f>(J38*'Base Data'!$C$5)+(K38*'Base Data'!$C$6)+(L38*'Base Data'!$C$7)</f>
        <v>0</v>
      </c>
      <c r="O38" s="44">
        <f>(D38+E38+F38)*G38*I38</f>
        <v>0</v>
      </c>
      <c r="P38" s="73">
        <v>0</v>
      </c>
      <c r="Q38" s="75" t="s">
        <v>77</v>
      </c>
    </row>
    <row r="39" spans="1:22" s="115" customFormat="1" ht="9">
      <c r="A39" s="110" t="s">
        <v>366</v>
      </c>
      <c r="B39" s="37" t="s">
        <v>384</v>
      </c>
      <c r="C39" s="37"/>
      <c r="D39" s="44"/>
      <c r="E39" s="44"/>
      <c r="F39" s="44"/>
      <c r="G39" s="37"/>
      <c r="H39" s="37"/>
      <c r="I39" s="73"/>
      <c r="J39" s="73"/>
      <c r="K39" s="73"/>
      <c r="L39" s="73"/>
      <c r="M39" s="37"/>
      <c r="N39" s="44"/>
      <c r="O39" s="44"/>
      <c r="P39" s="73"/>
      <c r="Q39" s="75"/>
      <c r="U39" s="144"/>
    </row>
    <row r="40" spans="1:22" s="115" customFormat="1" ht="9">
      <c r="A40" s="110" t="s">
        <v>367</v>
      </c>
      <c r="B40" s="37" t="s">
        <v>384</v>
      </c>
      <c r="C40" s="37"/>
      <c r="D40" s="44"/>
      <c r="E40" s="44"/>
      <c r="F40" s="44"/>
      <c r="G40" s="37"/>
      <c r="H40" s="37"/>
      <c r="I40" s="73"/>
      <c r="J40" s="73"/>
      <c r="K40" s="73"/>
      <c r="L40" s="73"/>
      <c r="M40" s="37"/>
      <c r="N40" s="44"/>
      <c r="O40" s="44"/>
      <c r="P40" s="73"/>
      <c r="Q40" s="75"/>
    </row>
    <row r="41" spans="1:22" s="115" customFormat="1" ht="9">
      <c r="A41" s="110" t="s">
        <v>368</v>
      </c>
      <c r="B41" s="37"/>
      <c r="C41" s="37"/>
      <c r="D41" s="44"/>
      <c r="E41" s="44"/>
      <c r="F41" s="44"/>
      <c r="G41" s="37"/>
      <c r="H41" s="37"/>
      <c r="I41" s="73"/>
      <c r="J41" s="73"/>
      <c r="K41" s="73"/>
      <c r="L41" s="73"/>
      <c r="M41" s="37"/>
      <c r="N41" s="44"/>
      <c r="O41" s="44"/>
      <c r="P41" s="73"/>
      <c r="Q41" s="75"/>
    </row>
    <row r="42" spans="1:22" s="115" customFormat="1" ht="9">
      <c r="A42" s="126" t="s">
        <v>386</v>
      </c>
      <c r="B42" s="37">
        <v>2</v>
      </c>
      <c r="C42" s="37"/>
      <c r="D42" s="44">
        <v>0</v>
      </c>
      <c r="E42" s="44">
        <v>0</v>
      </c>
      <c r="F42" s="44">
        <v>0</v>
      </c>
      <c r="G42" s="37">
        <v>1</v>
      </c>
      <c r="H42" s="37">
        <f>B42*G42</f>
        <v>2</v>
      </c>
      <c r="I42" s="72">
        <f>$I$7</f>
        <v>33</v>
      </c>
      <c r="J42" s="73">
        <f>H42*I42</f>
        <v>66</v>
      </c>
      <c r="K42" s="73">
        <f>J42*0.1</f>
        <v>6.6000000000000005</v>
      </c>
      <c r="L42" s="73">
        <f>J42*0.05</f>
        <v>3.3000000000000003</v>
      </c>
      <c r="M42" s="37">
        <f>C42*G42*I42</f>
        <v>0</v>
      </c>
      <c r="N42" s="44">
        <f>(J42*'Base Data'!$C$5)+(K42*'Base Data'!$C$6)+(L42*'Base Data'!$C$7)</f>
        <v>7179.3149999999996</v>
      </c>
      <c r="O42" s="44">
        <f>(D42+E42+F42)*G42*I42</f>
        <v>0</v>
      </c>
      <c r="P42" s="73">
        <f>G42*I42</f>
        <v>33</v>
      </c>
      <c r="Q42" s="75" t="s">
        <v>338</v>
      </c>
    </row>
    <row r="43" spans="1:22" s="115" customFormat="1" ht="9" customHeight="1">
      <c r="A43" s="126" t="s">
        <v>328</v>
      </c>
      <c r="B43" s="37">
        <v>8</v>
      </c>
      <c r="C43" s="37"/>
      <c r="D43" s="44">
        <v>0</v>
      </c>
      <c r="E43" s="44">
        <v>0</v>
      </c>
      <c r="F43" s="44">
        <v>0</v>
      </c>
      <c r="G43" s="37">
        <v>1</v>
      </c>
      <c r="H43" s="37">
        <f>B43*G43</f>
        <v>8</v>
      </c>
      <c r="I43" s="72">
        <f>$I$7</f>
        <v>33</v>
      </c>
      <c r="J43" s="73">
        <f>H43*I43</f>
        <v>264</v>
      </c>
      <c r="K43" s="73">
        <f>J43*0.1</f>
        <v>26.400000000000002</v>
      </c>
      <c r="L43" s="73">
        <f>J43*0.05</f>
        <v>13.200000000000001</v>
      </c>
      <c r="M43" s="37">
        <f>C43*G43*I43</f>
        <v>0</v>
      </c>
      <c r="N43" s="44">
        <f>(J43*'Base Data'!$C$5)+(K43*'Base Data'!$C$6)+(L43*'Base Data'!$C$7)</f>
        <v>28717.26</v>
      </c>
      <c r="O43" s="44">
        <f>(D43+E43+F43)*G43*I43</f>
        <v>0</v>
      </c>
      <c r="P43" s="73">
        <f>G43*I43</f>
        <v>33</v>
      </c>
      <c r="Q43" s="75" t="s">
        <v>338</v>
      </c>
    </row>
    <row r="44" spans="1:22" s="115" customFormat="1" ht="9">
      <c r="A44" s="112" t="s">
        <v>436</v>
      </c>
      <c r="B44" s="37">
        <v>20</v>
      </c>
      <c r="C44" s="37">
        <v>0</v>
      </c>
      <c r="D44" s="44">
        <v>0</v>
      </c>
      <c r="E44" s="44">
        <v>0</v>
      </c>
      <c r="F44" s="44">
        <v>0</v>
      </c>
      <c r="G44" s="37">
        <v>1</v>
      </c>
      <c r="H44" s="37">
        <f>B44*G44</f>
        <v>20</v>
      </c>
      <c r="I44" s="72">
        <f>$I$7+'Fac-NewLrgGas-Yr2'!I44</f>
        <v>99</v>
      </c>
      <c r="J44" s="73">
        <f>H44*I44</f>
        <v>1980</v>
      </c>
      <c r="K44" s="73">
        <f>J44*0.1</f>
        <v>198</v>
      </c>
      <c r="L44" s="73">
        <f>J44*0.05</f>
        <v>99</v>
      </c>
      <c r="M44" s="73">
        <f>C44*G44*I44</f>
        <v>0</v>
      </c>
      <c r="N44" s="44">
        <f>(J44*'Base Data'!$C$5)+(K44*'Base Data'!$C$6)+(L44*'Base Data'!$C$7)</f>
        <v>215379.45</v>
      </c>
      <c r="O44" s="44">
        <f>(D44+E44+F44)*G44*I44</f>
        <v>0</v>
      </c>
      <c r="P44" s="73">
        <f>G44*I44</f>
        <v>99</v>
      </c>
      <c r="Q44" s="75" t="s">
        <v>478</v>
      </c>
    </row>
    <row r="45" spans="1:22" s="115" customFormat="1" ht="9">
      <c r="A45" s="112" t="s">
        <v>407</v>
      </c>
      <c r="B45" s="37">
        <v>20</v>
      </c>
      <c r="C45" s="37">
        <v>0</v>
      </c>
      <c r="D45" s="44">
        <v>0</v>
      </c>
      <c r="E45" s="44">
        <v>0</v>
      </c>
      <c r="F45" s="44">
        <v>0</v>
      </c>
      <c r="G45" s="37">
        <v>2</v>
      </c>
      <c r="H45" s="37">
        <f>B45*G45</f>
        <v>40</v>
      </c>
      <c r="I45" s="72">
        <v>0</v>
      </c>
      <c r="J45" s="73">
        <f>H45*I45</f>
        <v>0</v>
      </c>
      <c r="K45" s="73">
        <f>J45*0.1</f>
        <v>0</v>
      </c>
      <c r="L45" s="73">
        <f>J45*0.05</f>
        <v>0</v>
      </c>
      <c r="M45" s="73">
        <f>C45*G45*I45</f>
        <v>0</v>
      </c>
      <c r="N45" s="44">
        <f>(J45*'Base Data'!$C$5)+(K45*'Base Data'!$C$6)+(L45*'Base Data'!$C$7)</f>
        <v>0</v>
      </c>
      <c r="O45" s="44">
        <f>(D45+E45+F45)*G45*I45</f>
        <v>0</v>
      </c>
      <c r="P45" s="73">
        <f>G45*I45</f>
        <v>0</v>
      </c>
      <c r="Q45" s="75" t="s">
        <v>478</v>
      </c>
      <c r="R45" s="118">
        <f>SUM(O6,O8:O18,O23,O26,O29,O32,O35,O37:O38)</f>
        <v>2256875</v>
      </c>
      <c r="S45" s="117">
        <f>SUM(O23,O26,O29,O32,O35)</f>
        <v>0</v>
      </c>
    </row>
    <row r="46" spans="1:22" s="115" customFormat="1" ht="9">
      <c r="A46" s="112" t="s">
        <v>437</v>
      </c>
      <c r="B46" s="37">
        <v>5</v>
      </c>
      <c r="C46" s="37"/>
      <c r="D46" s="44">
        <v>0</v>
      </c>
      <c r="E46" s="44">
        <v>0</v>
      </c>
      <c r="F46" s="44">
        <v>0</v>
      </c>
      <c r="G46" s="37">
        <v>1</v>
      </c>
      <c r="H46" s="37">
        <f t="shared" ref="H46" si="9">B46*G46</f>
        <v>5</v>
      </c>
      <c r="I46" s="72">
        <v>0</v>
      </c>
      <c r="J46" s="73">
        <f t="shared" ref="J46" si="10">H46*I46</f>
        <v>0</v>
      </c>
      <c r="K46" s="73">
        <f t="shared" ref="K46" si="11">J46*0.1</f>
        <v>0</v>
      </c>
      <c r="L46" s="73">
        <f t="shared" ref="L46" si="12">J46*0.05</f>
        <v>0</v>
      </c>
      <c r="M46" s="73">
        <f t="shared" ref="M46" si="13">C46*G46*I46</f>
        <v>0</v>
      </c>
      <c r="N46" s="44">
        <f>(J46*'Base Data'!$C$5)+(K46*'Base Data'!$C$6)+(L46*'Base Data'!$C$7)</f>
        <v>0</v>
      </c>
      <c r="O46" s="44">
        <f t="shared" ref="O46" si="14">(D46+E46+F46)*G46*I46</f>
        <v>0</v>
      </c>
      <c r="P46" s="73">
        <f t="shared" ref="P46" si="15">G46*I46</f>
        <v>0</v>
      </c>
      <c r="Q46" s="75" t="s">
        <v>83</v>
      </c>
    </row>
    <row r="47" spans="1:22" s="115" customFormat="1" ht="9">
      <c r="A47" s="112" t="s">
        <v>511</v>
      </c>
      <c r="B47" s="37">
        <v>30</v>
      </c>
      <c r="C47" s="37"/>
      <c r="D47" s="44">
        <v>0</v>
      </c>
      <c r="E47" s="44">
        <v>0</v>
      </c>
      <c r="F47" s="44">
        <v>0</v>
      </c>
      <c r="G47" s="37">
        <v>1</v>
      </c>
      <c r="H47" s="37">
        <f>B47*G47</f>
        <v>30</v>
      </c>
      <c r="I47" s="72">
        <v>0</v>
      </c>
      <c r="J47" s="73">
        <f>H47*I47</f>
        <v>0</v>
      </c>
      <c r="K47" s="73">
        <f>J47*0.1</f>
        <v>0</v>
      </c>
      <c r="L47" s="73">
        <f>J47*0.05</f>
        <v>0</v>
      </c>
      <c r="M47" s="73">
        <f>C47*G47*I47</f>
        <v>0</v>
      </c>
      <c r="N47" s="44">
        <f>(J47*'Base Data'!$C$5)+(K47*'Base Data'!$C$6)+(L47*'Base Data'!$C$7)</f>
        <v>0</v>
      </c>
      <c r="O47" s="44">
        <f>(D47+E47+F47)*G47*I47</f>
        <v>0</v>
      </c>
      <c r="P47" s="73">
        <f>G47*I47</f>
        <v>0</v>
      </c>
      <c r="Q47" s="75" t="s">
        <v>16</v>
      </c>
      <c r="R47" s="133"/>
    </row>
    <row r="48" spans="1:22" s="115" customFormat="1" ht="9">
      <c r="A48" s="113" t="s">
        <v>7</v>
      </c>
      <c r="B48" s="37"/>
      <c r="C48" s="37"/>
      <c r="D48" s="44"/>
      <c r="E48" s="44"/>
      <c r="F48" s="44"/>
      <c r="G48" s="37"/>
      <c r="H48" s="37"/>
      <c r="I48" s="72"/>
      <c r="J48" s="73">
        <f t="shared" ref="J48:O48" si="16">SUM(J7:J45)</f>
        <v>13050</v>
      </c>
      <c r="K48" s="73">
        <f t="shared" si="16"/>
        <v>1305</v>
      </c>
      <c r="L48" s="73">
        <f t="shared" si="16"/>
        <v>652.5</v>
      </c>
      <c r="M48" s="73">
        <f t="shared" si="16"/>
        <v>0</v>
      </c>
      <c r="N48" s="44">
        <f t="shared" si="16"/>
        <v>1419546.375</v>
      </c>
      <c r="O48" s="44">
        <f t="shared" si="16"/>
        <v>2256875</v>
      </c>
      <c r="P48" s="73">
        <f>SUM(P42:P45)</f>
        <v>165</v>
      </c>
      <c r="Q48" s="75"/>
    </row>
    <row r="49" spans="1:18" s="115" customFormat="1" ht="9">
      <c r="A49" s="110" t="s">
        <v>382</v>
      </c>
      <c r="B49" s="37"/>
      <c r="C49" s="37"/>
      <c r="D49" s="44"/>
      <c r="E49" s="44"/>
      <c r="F49" s="44"/>
      <c r="G49" s="37"/>
      <c r="H49" s="37"/>
      <c r="I49" s="73"/>
      <c r="J49" s="73"/>
      <c r="K49" s="73"/>
      <c r="L49" s="73"/>
      <c r="M49" s="37"/>
      <c r="N49" s="44"/>
      <c r="O49" s="44"/>
      <c r="P49" s="73"/>
      <c r="Q49" s="75"/>
    </row>
    <row r="50" spans="1:18" s="115" customFormat="1" ht="9">
      <c r="A50" s="110" t="s">
        <v>369</v>
      </c>
      <c r="B50" s="37" t="s">
        <v>373</v>
      </c>
      <c r="C50" s="37"/>
      <c r="D50" s="44"/>
      <c r="E50" s="44"/>
      <c r="F50" s="44"/>
      <c r="G50" s="37"/>
      <c r="H50" s="37"/>
      <c r="I50" s="73"/>
      <c r="J50" s="73"/>
      <c r="K50" s="73"/>
      <c r="L50" s="73"/>
      <c r="M50" s="37"/>
      <c r="N50" s="44"/>
      <c r="O50" s="44"/>
      <c r="P50" s="73"/>
      <c r="Q50" s="75"/>
    </row>
    <row r="51" spans="1:18" s="115" customFormat="1" ht="9">
      <c r="A51" s="110" t="s">
        <v>370</v>
      </c>
      <c r="B51" s="37" t="s">
        <v>384</v>
      </c>
      <c r="C51" s="37"/>
      <c r="D51" s="44"/>
      <c r="E51" s="44"/>
      <c r="F51" s="44"/>
      <c r="G51" s="37"/>
      <c r="H51" s="37"/>
      <c r="I51" s="73"/>
      <c r="J51" s="73"/>
      <c r="K51" s="73"/>
      <c r="L51" s="73"/>
      <c r="M51" s="37"/>
      <c r="N51" s="44"/>
      <c r="O51" s="44"/>
      <c r="P51" s="73"/>
      <c r="Q51" s="75"/>
    </row>
    <row r="52" spans="1:18" s="115" customFormat="1" ht="9">
      <c r="A52" s="110" t="s">
        <v>371</v>
      </c>
      <c r="B52" s="37" t="s">
        <v>384</v>
      </c>
      <c r="C52" s="37"/>
      <c r="D52" s="44"/>
      <c r="E52" s="44"/>
      <c r="F52" s="44"/>
      <c r="G52" s="37"/>
      <c r="H52" s="37"/>
      <c r="I52" s="73"/>
      <c r="J52" s="73"/>
      <c r="K52" s="73"/>
      <c r="L52" s="73"/>
      <c r="M52" s="37"/>
      <c r="N52" s="44"/>
      <c r="O52" s="44"/>
      <c r="P52" s="73"/>
      <c r="Q52" s="75" t="s">
        <v>247</v>
      </c>
    </row>
    <row r="53" spans="1:18" s="115" customFormat="1" ht="9">
      <c r="A53" s="110" t="s">
        <v>372</v>
      </c>
      <c r="B53" s="37"/>
      <c r="C53" s="37"/>
      <c r="D53" s="44"/>
      <c r="E53" s="44"/>
      <c r="F53" s="44"/>
      <c r="G53" s="37"/>
      <c r="H53" s="37"/>
      <c r="I53" s="73"/>
      <c r="J53" s="73"/>
      <c r="K53" s="73"/>
      <c r="L53" s="73"/>
      <c r="M53" s="37"/>
      <c r="N53" s="44"/>
      <c r="O53" s="44"/>
      <c r="P53" s="73"/>
      <c r="Q53" s="75"/>
    </row>
    <row r="54" spans="1:18" s="115" customFormat="1" ht="9.75" customHeight="1">
      <c r="A54" s="110" t="s">
        <v>380</v>
      </c>
      <c r="B54" s="37">
        <v>20</v>
      </c>
      <c r="C54" s="37"/>
      <c r="D54" s="44">
        <v>0</v>
      </c>
      <c r="E54" s="44">
        <v>0</v>
      </c>
      <c r="F54" s="44">
        <v>0</v>
      </c>
      <c r="G54" s="37">
        <v>1</v>
      </c>
      <c r="H54" s="37">
        <f t="shared" ref="H54:H62" si="17">B54*G54</f>
        <v>20</v>
      </c>
      <c r="I54" s="72">
        <v>0</v>
      </c>
      <c r="J54" s="73">
        <f t="shared" ref="J54:J62" si="18">H54*I54</f>
        <v>0</v>
      </c>
      <c r="K54" s="73">
        <f t="shared" ref="K54:K62" si="19">J54*0.1</f>
        <v>0</v>
      </c>
      <c r="L54" s="73">
        <f t="shared" ref="L54:L62" si="20">J54*0.05</f>
        <v>0</v>
      </c>
      <c r="M54" s="37"/>
      <c r="N54" s="44">
        <f>(J54*'Base Data'!$C$5)+(K54*'Base Data'!$C$6)+(L54*'Base Data'!$C$7)</f>
        <v>0</v>
      </c>
      <c r="O54" s="44">
        <f t="shared" ref="O54:O62" si="21">(D54+E54+F54)*G54*I54</f>
        <v>0</v>
      </c>
      <c r="P54" s="73">
        <v>0</v>
      </c>
      <c r="Q54" s="75" t="s">
        <v>338</v>
      </c>
    </row>
    <row r="55" spans="1:18" s="115" customFormat="1" ht="9">
      <c r="A55" s="111" t="s">
        <v>376</v>
      </c>
      <c r="B55" s="37">
        <v>15</v>
      </c>
      <c r="C55" s="37">
        <v>0</v>
      </c>
      <c r="D55" s="44">
        <v>0</v>
      </c>
      <c r="E55" s="44">
        <v>0</v>
      </c>
      <c r="F55" s="44">
        <v>0</v>
      </c>
      <c r="G55" s="37">
        <v>1</v>
      </c>
      <c r="H55" s="37">
        <f t="shared" si="17"/>
        <v>15</v>
      </c>
      <c r="I55" s="72">
        <v>0</v>
      </c>
      <c r="J55" s="73">
        <f t="shared" si="18"/>
        <v>0</v>
      </c>
      <c r="K55" s="73">
        <f t="shared" si="19"/>
        <v>0</v>
      </c>
      <c r="L55" s="73">
        <f t="shared" si="20"/>
        <v>0</v>
      </c>
      <c r="M55" s="37">
        <f>C55*G55*I55</f>
        <v>0</v>
      </c>
      <c r="N55" s="44">
        <f>(J55*'Base Data'!$C$5)+(K55*'Base Data'!$C$6)+(L55*'Base Data'!$C$7)</f>
        <v>0</v>
      </c>
      <c r="O55" s="44">
        <f t="shared" si="21"/>
        <v>0</v>
      </c>
      <c r="P55" s="73">
        <v>0</v>
      </c>
      <c r="Q55" s="75" t="s">
        <v>338</v>
      </c>
    </row>
    <row r="56" spans="1:18" s="115" customFormat="1" ht="9.75" customHeight="1">
      <c r="A56" s="110" t="s">
        <v>377</v>
      </c>
      <c r="B56" s="37">
        <v>2</v>
      </c>
      <c r="C56" s="37"/>
      <c r="D56" s="44">
        <v>0</v>
      </c>
      <c r="E56" s="44">
        <v>0</v>
      </c>
      <c r="F56" s="44">
        <v>0</v>
      </c>
      <c r="G56" s="37">
        <v>1</v>
      </c>
      <c r="H56" s="37">
        <f t="shared" si="17"/>
        <v>2</v>
      </c>
      <c r="I56" s="72">
        <v>0</v>
      </c>
      <c r="J56" s="73">
        <f t="shared" si="18"/>
        <v>0</v>
      </c>
      <c r="K56" s="73">
        <f t="shared" si="19"/>
        <v>0</v>
      </c>
      <c r="L56" s="73">
        <f t="shared" si="20"/>
        <v>0</v>
      </c>
      <c r="M56" s="37"/>
      <c r="N56" s="44">
        <f>(J56*'Base Data'!$C$5)+(K56*'Base Data'!$C$6)+(L56*'Base Data'!$C$7)</f>
        <v>0</v>
      </c>
      <c r="O56" s="44">
        <f t="shared" si="21"/>
        <v>0</v>
      </c>
      <c r="P56" s="73">
        <v>0</v>
      </c>
      <c r="Q56" s="75" t="s">
        <v>338</v>
      </c>
    </row>
    <row r="57" spans="1:18" s="115" customFormat="1" ht="9">
      <c r="A57" s="111" t="s">
        <v>387</v>
      </c>
      <c r="B57" s="37">
        <v>2</v>
      </c>
      <c r="C57" s="37"/>
      <c r="D57" s="44">
        <v>0</v>
      </c>
      <c r="E57" s="44">
        <v>0</v>
      </c>
      <c r="F57" s="44">
        <v>0</v>
      </c>
      <c r="G57" s="37">
        <v>1</v>
      </c>
      <c r="H57" s="37">
        <f t="shared" si="17"/>
        <v>2</v>
      </c>
      <c r="I57" s="72">
        <v>0</v>
      </c>
      <c r="J57" s="73">
        <f t="shared" si="18"/>
        <v>0</v>
      </c>
      <c r="K57" s="73">
        <f t="shared" si="19"/>
        <v>0</v>
      </c>
      <c r="L57" s="73">
        <f t="shared" si="20"/>
        <v>0</v>
      </c>
      <c r="M57" s="37"/>
      <c r="N57" s="44">
        <f>(J57*'Base Data'!$C$5)+(K57*'Base Data'!$C$6)+(L57*'Base Data'!$C$7)</f>
        <v>0</v>
      </c>
      <c r="O57" s="44">
        <f t="shared" si="21"/>
        <v>0</v>
      </c>
      <c r="P57" s="73">
        <v>0</v>
      </c>
      <c r="Q57" s="75" t="s">
        <v>338</v>
      </c>
    </row>
    <row r="58" spans="1:18" s="115" customFormat="1" ht="9" customHeight="1">
      <c r="A58" s="111" t="s">
        <v>227</v>
      </c>
      <c r="B58" s="37">
        <v>2</v>
      </c>
      <c r="C58" s="37">
        <v>0</v>
      </c>
      <c r="D58" s="44">
        <v>0</v>
      </c>
      <c r="E58" s="44">
        <v>0</v>
      </c>
      <c r="F58" s="44">
        <v>0</v>
      </c>
      <c r="G58" s="37">
        <v>2</v>
      </c>
      <c r="H58" s="37">
        <f>B58*G58</f>
        <v>4</v>
      </c>
      <c r="I58" s="72">
        <f>I44</f>
        <v>99</v>
      </c>
      <c r="J58" s="73">
        <f>H58*I58</f>
        <v>396</v>
      </c>
      <c r="K58" s="73">
        <f t="shared" si="19"/>
        <v>39.6</v>
      </c>
      <c r="L58" s="73">
        <f>J58*0.05</f>
        <v>19.8</v>
      </c>
      <c r="M58" s="37">
        <f>C58*G58*I58</f>
        <v>0</v>
      </c>
      <c r="N58" s="44">
        <f>(J58*'Base Data'!$C$5)+(K58*'Base Data'!$C$6)+(L58*'Base Data'!$C$7)</f>
        <v>43075.890000000007</v>
      </c>
      <c r="O58" s="44">
        <f>(D58+E58+F58)*G58*I58</f>
        <v>0</v>
      </c>
      <c r="P58" s="73">
        <v>0</v>
      </c>
      <c r="Q58" s="75" t="s">
        <v>478</v>
      </c>
    </row>
    <row r="59" spans="1:18" s="115" customFormat="1" ht="18">
      <c r="A59" s="111" t="s">
        <v>432</v>
      </c>
      <c r="B59" s="37">
        <v>2</v>
      </c>
      <c r="C59" s="37">
        <v>0</v>
      </c>
      <c r="D59" s="44">
        <v>0</v>
      </c>
      <c r="E59" s="44">
        <v>0</v>
      </c>
      <c r="F59" s="44">
        <v>0</v>
      </c>
      <c r="G59" s="37">
        <v>2</v>
      </c>
      <c r="H59" s="37">
        <f t="shared" si="17"/>
        <v>4</v>
      </c>
      <c r="I59" s="72">
        <f>I45</f>
        <v>0</v>
      </c>
      <c r="J59" s="73">
        <f t="shared" si="18"/>
        <v>0</v>
      </c>
      <c r="K59" s="73">
        <f t="shared" si="19"/>
        <v>0</v>
      </c>
      <c r="L59" s="73">
        <f t="shared" si="20"/>
        <v>0</v>
      </c>
      <c r="M59" s="37">
        <f>C59*G59*I59</f>
        <v>0</v>
      </c>
      <c r="N59" s="44">
        <f>(J59*'Base Data'!$C$5)+(K59*'Base Data'!$C$6)+(L59*'Base Data'!$C$7)</f>
        <v>0</v>
      </c>
      <c r="O59" s="44">
        <f t="shared" si="21"/>
        <v>0</v>
      </c>
      <c r="P59" s="73">
        <v>0</v>
      </c>
      <c r="Q59" s="75" t="s">
        <v>478</v>
      </c>
    </row>
    <row r="60" spans="1:18" s="115" customFormat="1" ht="9">
      <c r="A60" s="111" t="s">
        <v>231</v>
      </c>
      <c r="B60" s="37">
        <v>0.5</v>
      </c>
      <c r="C60" s="37"/>
      <c r="D60" s="44">
        <v>0</v>
      </c>
      <c r="E60" s="44">
        <v>0</v>
      </c>
      <c r="F60" s="44">
        <v>0</v>
      </c>
      <c r="G60" s="37">
        <v>12</v>
      </c>
      <c r="H60" s="37">
        <f t="shared" si="17"/>
        <v>6</v>
      </c>
      <c r="I60" s="72">
        <f>$I$37</f>
        <v>785</v>
      </c>
      <c r="J60" s="73">
        <f t="shared" si="18"/>
        <v>4710</v>
      </c>
      <c r="K60" s="73">
        <f t="shared" si="19"/>
        <v>471</v>
      </c>
      <c r="L60" s="73">
        <f t="shared" si="20"/>
        <v>235.5</v>
      </c>
      <c r="M60" s="37"/>
      <c r="N60" s="44">
        <f>(J60*'Base Data'!$C$5)+(K60*'Base Data'!$C$6)+(L60*'Base Data'!$C$7)</f>
        <v>512342.02500000002</v>
      </c>
      <c r="O60" s="44">
        <f t="shared" si="21"/>
        <v>0</v>
      </c>
      <c r="P60" s="73">
        <v>0</v>
      </c>
      <c r="Q60" s="75" t="s">
        <v>338</v>
      </c>
    </row>
    <row r="61" spans="1:18" s="115" customFormat="1" ht="9">
      <c r="A61" s="260" t="s">
        <v>433</v>
      </c>
      <c r="B61" s="37">
        <v>0.25</v>
      </c>
      <c r="C61" s="37"/>
      <c r="D61" s="44">
        <v>0</v>
      </c>
      <c r="E61" s="44">
        <v>0</v>
      </c>
      <c r="F61" s="44">
        <v>0</v>
      </c>
      <c r="G61" s="37">
        <v>1</v>
      </c>
      <c r="H61" s="37">
        <f>B61*G61</f>
        <v>0.25</v>
      </c>
      <c r="I61" s="72">
        <f>$I$37</f>
        <v>785</v>
      </c>
      <c r="J61" s="72">
        <f>H61*I61</f>
        <v>196.25</v>
      </c>
      <c r="K61" s="72">
        <f>J61*0.1</f>
        <v>19.625</v>
      </c>
      <c r="L61" s="72">
        <f>J61*0.05</f>
        <v>9.8125</v>
      </c>
      <c r="M61" s="37">
        <f>C61*G61*I61</f>
        <v>0</v>
      </c>
      <c r="N61" s="44">
        <f>(J61*'Base Data'!$C$5)+(K61*'Base Data'!$C$6)+(L61*'Base Data'!$C$7)</f>
        <v>21347.584374999999</v>
      </c>
      <c r="O61" s="44">
        <f>(D61+E61+F61)*G61*I61</f>
        <v>0</v>
      </c>
      <c r="P61" s="73">
        <f>G61*I61</f>
        <v>785</v>
      </c>
      <c r="Q61" s="75" t="s">
        <v>339</v>
      </c>
    </row>
    <row r="62" spans="1:18" s="115" customFormat="1" ht="9">
      <c r="A62" s="110" t="s">
        <v>378</v>
      </c>
      <c r="B62" s="37">
        <v>40</v>
      </c>
      <c r="C62" s="37"/>
      <c r="D62" s="44">
        <v>0</v>
      </c>
      <c r="E62" s="44">
        <v>0</v>
      </c>
      <c r="F62" s="44">
        <v>0</v>
      </c>
      <c r="G62" s="37">
        <v>1</v>
      </c>
      <c r="H62" s="37">
        <f t="shared" si="17"/>
        <v>40</v>
      </c>
      <c r="I62" s="72">
        <f>$I$7</f>
        <v>33</v>
      </c>
      <c r="J62" s="73">
        <f t="shared" si="18"/>
        <v>1320</v>
      </c>
      <c r="K62" s="73">
        <f t="shared" si="19"/>
        <v>132</v>
      </c>
      <c r="L62" s="73">
        <f t="shared" si="20"/>
        <v>66</v>
      </c>
      <c r="M62" s="37"/>
      <c r="N62" s="44">
        <f>(J62*'Base Data'!$C$5)+(K62*'Base Data'!$C$6)+(L62*'Base Data'!$C$7)</f>
        <v>143586.29999999999</v>
      </c>
      <c r="O62" s="44">
        <f t="shared" si="21"/>
        <v>0</v>
      </c>
      <c r="P62" s="73">
        <v>0</v>
      </c>
      <c r="Q62" s="75" t="s">
        <v>68</v>
      </c>
    </row>
    <row r="63" spans="1:18" s="115" customFormat="1">
      <c r="A63" s="110" t="s">
        <v>379</v>
      </c>
      <c r="B63" s="37" t="s">
        <v>384</v>
      </c>
      <c r="C63" s="37"/>
      <c r="D63" s="44"/>
      <c r="E63" s="44"/>
      <c r="F63" s="44"/>
      <c r="G63" s="37"/>
      <c r="H63" s="37"/>
      <c r="I63" s="73"/>
      <c r="J63" s="73"/>
      <c r="K63" s="73"/>
      <c r="L63" s="73"/>
      <c r="M63" s="37"/>
      <c r="N63" s="44"/>
      <c r="O63" s="44"/>
      <c r="P63" s="73"/>
      <c r="Q63" s="75"/>
      <c r="R63" s="134"/>
    </row>
    <row r="64" spans="1:18" s="115" customFormat="1">
      <c r="A64" s="190" t="s">
        <v>26</v>
      </c>
      <c r="B64" s="184"/>
      <c r="C64" s="184"/>
      <c r="D64" s="185"/>
      <c r="E64" s="185"/>
      <c r="F64" s="185"/>
      <c r="G64" s="184"/>
      <c r="H64" s="184"/>
      <c r="I64" s="186"/>
      <c r="J64" s="186">
        <f t="shared" ref="J64:O64" si="22">SUM(J50:J63)</f>
        <v>6622.25</v>
      </c>
      <c r="K64" s="186">
        <f t="shared" si="22"/>
        <v>662.22500000000002</v>
      </c>
      <c r="L64" s="186">
        <f t="shared" si="22"/>
        <v>331.11250000000001</v>
      </c>
      <c r="M64" s="185">
        <f t="shared" si="22"/>
        <v>0</v>
      </c>
      <c r="N64" s="185">
        <f t="shared" si="22"/>
        <v>720351.79937499994</v>
      </c>
      <c r="O64" s="185">
        <f t="shared" si="22"/>
        <v>0</v>
      </c>
      <c r="P64" s="186"/>
      <c r="Q64" s="187"/>
      <c r="R64" s="88"/>
    </row>
    <row r="65" spans="1:18" s="134" customFormat="1">
      <c r="A65" s="135" t="s">
        <v>351</v>
      </c>
      <c r="B65" s="136"/>
      <c r="C65" s="136"/>
      <c r="D65" s="136"/>
      <c r="E65" s="136"/>
      <c r="F65" s="137"/>
      <c r="G65" s="136"/>
      <c r="H65" s="136"/>
      <c r="I65" s="138"/>
      <c r="J65" s="139">
        <f t="shared" ref="J65:O65" si="23">J48+J64</f>
        <v>19672.25</v>
      </c>
      <c r="K65" s="139">
        <f t="shared" si="23"/>
        <v>1967.2249999999999</v>
      </c>
      <c r="L65" s="139">
        <f t="shared" si="23"/>
        <v>983.61249999999995</v>
      </c>
      <c r="M65" s="140">
        <f t="shared" si="23"/>
        <v>0</v>
      </c>
      <c r="N65" s="140">
        <f t="shared" si="23"/>
        <v>2139898.1743749999</v>
      </c>
      <c r="O65" s="140">
        <f t="shared" si="23"/>
        <v>2256875</v>
      </c>
      <c r="P65" s="139">
        <f>P48+P64</f>
        <v>165</v>
      </c>
      <c r="Q65" s="141"/>
      <c r="R65" s="45"/>
    </row>
    <row r="66" spans="1:18" ht="6" customHeight="1">
      <c r="R66" s="45"/>
    </row>
    <row r="67" spans="1:18" s="45" customFormat="1" ht="9" customHeight="1">
      <c r="A67" s="499" t="s">
        <v>620</v>
      </c>
      <c r="B67" s="499"/>
      <c r="C67" s="499"/>
      <c r="D67" s="499"/>
      <c r="E67" s="499"/>
      <c r="F67" s="499"/>
      <c r="G67" s="499"/>
      <c r="H67" s="499"/>
      <c r="I67" s="499"/>
      <c r="J67" s="499"/>
      <c r="K67" s="499"/>
      <c r="L67" s="499"/>
      <c r="M67" s="499"/>
      <c r="N67" s="499"/>
      <c r="O67" s="499"/>
      <c r="P67" s="284"/>
    </row>
    <row r="68" spans="1:18" s="45" customFormat="1" ht="9" customHeight="1">
      <c r="A68" s="494" t="s">
        <v>334</v>
      </c>
      <c r="B68" s="494"/>
      <c r="C68" s="494"/>
      <c r="D68" s="494"/>
      <c r="E68" s="494"/>
      <c r="F68" s="494"/>
      <c r="G68" s="494"/>
      <c r="H68" s="494"/>
      <c r="I68" s="494"/>
      <c r="J68" s="494"/>
      <c r="K68" s="494"/>
      <c r="L68" s="494"/>
      <c r="M68" s="494"/>
      <c r="N68" s="494"/>
      <c r="O68" s="494"/>
      <c r="P68" s="284"/>
    </row>
    <row r="69" spans="1:18" s="45" customFormat="1" ht="9">
      <c r="A69" s="494" t="s">
        <v>482</v>
      </c>
      <c r="B69" s="494"/>
      <c r="C69" s="494"/>
      <c r="D69" s="494"/>
      <c r="E69" s="494"/>
      <c r="F69" s="494"/>
      <c r="G69" s="494"/>
      <c r="H69" s="494"/>
      <c r="I69" s="494"/>
      <c r="J69" s="494"/>
      <c r="K69" s="494"/>
      <c r="L69" s="494"/>
      <c r="M69" s="494"/>
      <c r="N69" s="494"/>
      <c r="O69" s="494"/>
      <c r="P69" s="494"/>
    </row>
    <row r="70" spans="1:18" ht="12" customHeight="1">
      <c r="A70" s="494" t="s">
        <v>246</v>
      </c>
      <c r="B70" s="494"/>
      <c r="C70" s="494"/>
      <c r="D70" s="494"/>
      <c r="E70" s="494"/>
      <c r="F70" s="494"/>
      <c r="G70" s="494"/>
      <c r="H70" s="494"/>
      <c r="I70" s="494"/>
      <c r="J70" s="494"/>
      <c r="K70" s="494"/>
      <c r="L70" s="494"/>
      <c r="M70" s="494"/>
      <c r="N70" s="494"/>
      <c r="O70" s="494"/>
      <c r="P70" s="494"/>
      <c r="Q70" s="88"/>
      <c r="R70" s="45"/>
    </row>
    <row r="71" spans="1:18" s="45" customFormat="1" ht="9">
      <c r="A71" s="494" t="s">
        <v>498</v>
      </c>
      <c r="B71" s="494"/>
      <c r="C71" s="494"/>
      <c r="D71" s="494"/>
      <c r="E71" s="494"/>
      <c r="F71" s="494"/>
      <c r="G71" s="494"/>
      <c r="H71" s="494"/>
      <c r="I71" s="494"/>
      <c r="J71" s="494"/>
      <c r="K71" s="494"/>
      <c r="L71" s="494"/>
      <c r="M71" s="494"/>
      <c r="N71" s="494"/>
      <c r="O71" s="494"/>
      <c r="P71" s="459"/>
    </row>
    <row r="72" spans="1:18" s="45" customFormat="1" ht="9">
      <c r="A72" s="78" t="s">
        <v>479</v>
      </c>
      <c r="B72" s="459"/>
      <c r="C72" s="459"/>
      <c r="D72" s="459"/>
      <c r="E72" s="459"/>
      <c r="F72" s="459"/>
      <c r="G72" s="459"/>
      <c r="H72" s="459"/>
      <c r="I72" s="459"/>
      <c r="J72" s="459"/>
      <c r="K72" s="459"/>
      <c r="L72" s="459"/>
      <c r="M72" s="459"/>
      <c r="N72" s="459"/>
      <c r="O72" s="459"/>
      <c r="P72" s="459"/>
    </row>
    <row r="73" spans="1:18" s="45" customFormat="1" ht="9">
      <c r="A73" s="45" t="s">
        <v>500</v>
      </c>
      <c r="B73" s="48"/>
      <c r="C73" s="48"/>
      <c r="D73" s="48"/>
      <c r="E73" s="48"/>
      <c r="F73" s="48"/>
      <c r="G73" s="48"/>
      <c r="H73" s="48"/>
      <c r="I73" s="49"/>
      <c r="J73" s="48"/>
      <c r="K73" s="48"/>
      <c r="L73" s="48"/>
      <c r="M73" s="48"/>
      <c r="N73" s="48"/>
      <c r="O73" s="146"/>
      <c r="P73" s="146"/>
      <c r="Q73" s="48"/>
    </row>
    <row r="74" spans="1:18" s="45" customFormat="1" ht="9">
      <c r="A74" s="45" t="s">
        <v>505</v>
      </c>
      <c r="B74" s="85"/>
      <c r="C74" s="85"/>
      <c r="D74" s="85"/>
      <c r="E74" s="85"/>
      <c r="F74" s="85"/>
      <c r="G74" s="85"/>
      <c r="H74" s="48"/>
      <c r="I74" s="49"/>
      <c r="J74" s="48"/>
      <c r="K74" s="48"/>
      <c r="L74" s="48"/>
      <c r="M74" s="48"/>
      <c r="N74" s="48"/>
      <c r="O74" s="146"/>
      <c r="P74" s="146"/>
      <c r="Q74" s="93"/>
    </row>
    <row r="75" spans="1:18" s="45" customFormat="1" ht="9">
      <c r="A75" s="107" t="s">
        <v>506</v>
      </c>
      <c r="B75" s="48"/>
      <c r="C75" s="48"/>
      <c r="D75" s="48"/>
      <c r="E75" s="48"/>
      <c r="F75" s="48"/>
      <c r="G75" s="48"/>
      <c r="H75" s="48"/>
      <c r="I75" s="49"/>
      <c r="J75" s="48"/>
      <c r="K75" s="48"/>
      <c r="L75" s="48"/>
      <c r="M75" s="48"/>
      <c r="N75" s="48"/>
      <c r="O75" s="146"/>
      <c r="P75" s="146"/>
      <c r="Q75" s="48"/>
    </row>
    <row r="76" spans="1:18" s="45" customFormat="1" ht="9">
      <c r="A76" s="94" t="s">
        <v>512</v>
      </c>
      <c r="B76" s="48"/>
      <c r="C76" s="48"/>
      <c r="D76" s="48"/>
      <c r="E76" s="48"/>
      <c r="F76" s="48"/>
      <c r="G76" s="48"/>
      <c r="H76" s="48"/>
      <c r="I76" s="49"/>
      <c r="J76" s="48"/>
      <c r="K76" s="48"/>
      <c r="L76" s="48"/>
      <c r="M76" s="48"/>
      <c r="N76" s="48"/>
      <c r="O76" s="146"/>
      <c r="P76" s="146"/>
      <c r="Q76" s="48"/>
    </row>
    <row r="77" spans="1:18" s="45" customFormat="1" ht="9">
      <c r="A77" s="494" t="s">
        <v>667</v>
      </c>
      <c r="B77" s="494"/>
      <c r="C77" s="494"/>
      <c r="D77" s="494"/>
      <c r="E77" s="494"/>
      <c r="F77" s="494"/>
      <c r="G77" s="494"/>
      <c r="H77" s="494"/>
      <c r="I77" s="494"/>
      <c r="J77" s="494"/>
      <c r="K77" s="494"/>
      <c r="L77" s="494"/>
      <c r="M77" s="494"/>
      <c r="N77" s="494"/>
      <c r="O77" s="494"/>
      <c r="P77" s="494"/>
      <c r="Q77" s="494"/>
    </row>
    <row r="78" spans="1:18" s="45" customFormat="1" ht="9">
      <c r="A78" s="494"/>
      <c r="B78" s="494"/>
      <c r="C78" s="494"/>
      <c r="D78" s="494"/>
      <c r="E78" s="494"/>
      <c r="F78" s="494"/>
      <c r="G78" s="494"/>
      <c r="H78" s="494"/>
      <c r="I78" s="494"/>
      <c r="J78" s="494"/>
      <c r="K78" s="494"/>
      <c r="L78" s="494"/>
      <c r="M78" s="494"/>
      <c r="N78" s="494"/>
      <c r="O78" s="494"/>
      <c r="P78" s="494"/>
      <c r="Q78" s="494"/>
    </row>
    <row r="79" spans="1:18" s="45" customFormat="1" ht="9">
      <c r="A79" s="494"/>
      <c r="B79" s="494"/>
      <c r="C79" s="494"/>
      <c r="D79" s="494"/>
      <c r="E79" s="494"/>
      <c r="F79" s="494"/>
      <c r="G79" s="494"/>
      <c r="H79" s="494"/>
      <c r="I79" s="494"/>
      <c r="J79" s="494"/>
      <c r="K79" s="494"/>
      <c r="L79" s="494"/>
      <c r="M79" s="494"/>
      <c r="N79" s="494"/>
      <c r="O79" s="494"/>
      <c r="P79" s="494"/>
      <c r="Q79" s="494"/>
    </row>
    <row r="80" spans="1:18" s="45" customFormat="1" ht="9">
      <c r="B80" s="48"/>
      <c r="C80" s="48"/>
      <c r="D80" s="48"/>
      <c r="E80" s="48"/>
      <c r="F80" s="48"/>
      <c r="G80" s="48"/>
      <c r="H80" s="48"/>
      <c r="I80" s="49"/>
      <c r="J80" s="48"/>
      <c r="K80" s="48"/>
      <c r="L80" s="48"/>
      <c r="M80" s="48"/>
      <c r="N80" s="48"/>
      <c r="O80" s="146"/>
      <c r="P80" s="146"/>
      <c r="Q80" s="48"/>
    </row>
    <row r="81" spans="2:17" s="45" customFormat="1" ht="9">
      <c r="B81" s="48"/>
      <c r="C81" s="48"/>
      <c r="D81" s="48"/>
      <c r="E81" s="48"/>
      <c r="F81" s="48"/>
      <c r="G81" s="48"/>
      <c r="H81" s="48"/>
      <c r="I81" s="49"/>
      <c r="J81" s="48"/>
      <c r="K81" s="48"/>
      <c r="L81" s="48"/>
      <c r="M81" s="48"/>
      <c r="N81" s="48"/>
      <c r="O81" s="146"/>
      <c r="P81" s="146"/>
      <c r="Q81" s="48"/>
    </row>
    <row r="82" spans="2:17" s="45" customFormat="1" ht="9">
      <c r="B82" s="48"/>
      <c r="C82" s="48"/>
      <c r="D82" s="48"/>
      <c r="E82" s="48"/>
      <c r="F82" s="48"/>
      <c r="G82" s="48"/>
      <c r="H82" s="48"/>
      <c r="I82" s="49"/>
      <c r="J82" s="48"/>
      <c r="K82" s="48"/>
      <c r="L82" s="48"/>
      <c r="M82" s="48"/>
      <c r="N82" s="48"/>
      <c r="O82" s="146"/>
      <c r="P82" s="146"/>
      <c r="Q82" s="48"/>
    </row>
    <row r="83" spans="2:17" s="45" customFormat="1" ht="9">
      <c r="B83" s="48"/>
      <c r="C83" s="48"/>
      <c r="D83" s="48"/>
      <c r="E83" s="48"/>
      <c r="F83" s="48"/>
      <c r="G83" s="48"/>
      <c r="H83" s="48"/>
      <c r="I83" s="49"/>
      <c r="J83" s="48"/>
      <c r="K83" s="48"/>
      <c r="L83" s="48"/>
      <c r="M83" s="48"/>
      <c r="N83" s="48"/>
      <c r="O83" s="146"/>
      <c r="P83" s="146"/>
      <c r="Q83" s="48"/>
    </row>
    <row r="84" spans="2:17" s="45" customFormat="1" ht="9">
      <c r="B84" s="48"/>
      <c r="C84" s="48"/>
      <c r="D84" s="48"/>
      <c r="E84" s="48"/>
      <c r="F84" s="48"/>
      <c r="G84" s="48"/>
      <c r="H84" s="48"/>
      <c r="I84" s="49"/>
      <c r="J84" s="48"/>
      <c r="K84" s="48"/>
      <c r="L84" s="48"/>
      <c r="M84" s="48"/>
      <c r="N84" s="48"/>
      <c r="O84" s="146"/>
      <c r="P84" s="146"/>
      <c r="Q84" s="48"/>
    </row>
    <row r="85" spans="2:17" s="45" customFormat="1" ht="9">
      <c r="B85" s="48"/>
      <c r="C85" s="48"/>
      <c r="D85" s="48"/>
      <c r="E85" s="48"/>
      <c r="F85" s="48"/>
      <c r="G85" s="48"/>
      <c r="H85" s="48"/>
      <c r="I85" s="49"/>
      <c r="J85" s="48"/>
      <c r="K85" s="48"/>
      <c r="L85" s="48"/>
      <c r="M85" s="48"/>
      <c r="N85" s="48"/>
      <c r="O85" s="146"/>
      <c r="P85" s="146"/>
      <c r="Q85" s="48"/>
    </row>
    <row r="86" spans="2:17" s="45" customFormat="1" ht="9">
      <c r="B86" s="48"/>
      <c r="C86" s="48"/>
      <c r="D86" s="48"/>
      <c r="E86" s="48"/>
      <c r="F86" s="48"/>
      <c r="G86" s="48"/>
      <c r="H86" s="48"/>
      <c r="I86" s="49"/>
      <c r="J86" s="48"/>
      <c r="K86" s="48"/>
      <c r="L86" s="48"/>
      <c r="M86" s="48"/>
      <c r="N86" s="48"/>
      <c r="O86" s="146"/>
      <c r="P86" s="146"/>
      <c r="Q86" s="48"/>
    </row>
    <row r="87" spans="2:17" s="45" customFormat="1" ht="9">
      <c r="B87" s="48"/>
      <c r="C87" s="48"/>
      <c r="D87" s="48"/>
      <c r="E87" s="48"/>
      <c r="F87" s="48"/>
      <c r="G87" s="48"/>
      <c r="H87" s="48"/>
      <c r="I87" s="49"/>
      <c r="J87" s="48"/>
      <c r="K87" s="48"/>
      <c r="L87" s="48"/>
      <c r="M87" s="48"/>
      <c r="N87" s="48"/>
      <c r="O87" s="146"/>
      <c r="P87" s="146"/>
      <c r="Q87" s="48"/>
    </row>
    <row r="88" spans="2:17" s="45" customFormat="1" ht="9">
      <c r="B88" s="48"/>
      <c r="C88" s="48"/>
      <c r="D88" s="48"/>
      <c r="E88" s="48"/>
      <c r="F88" s="48"/>
      <c r="G88" s="48"/>
      <c r="H88" s="48"/>
      <c r="I88" s="49"/>
      <c r="J88" s="48"/>
      <c r="K88" s="48"/>
      <c r="L88" s="48"/>
      <c r="M88" s="48"/>
      <c r="N88" s="48"/>
      <c r="O88" s="146"/>
      <c r="P88" s="146"/>
      <c r="Q88" s="48"/>
    </row>
    <row r="89" spans="2:17" s="45" customFormat="1" ht="9">
      <c r="B89" s="48"/>
      <c r="C89" s="48"/>
      <c r="D89" s="48"/>
      <c r="E89" s="48"/>
      <c r="F89" s="48"/>
      <c r="G89" s="48"/>
      <c r="H89" s="48"/>
      <c r="I89" s="49"/>
      <c r="J89" s="48"/>
      <c r="K89" s="48"/>
      <c r="L89" s="48"/>
      <c r="M89" s="48"/>
      <c r="N89" s="48"/>
      <c r="O89" s="146"/>
      <c r="P89" s="146"/>
      <c r="Q89" s="48"/>
    </row>
    <row r="90" spans="2:17" s="45" customFormat="1" ht="9">
      <c r="B90" s="48"/>
      <c r="C90" s="48"/>
      <c r="D90" s="48"/>
      <c r="E90" s="48"/>
      <c r="F90" s="48"/>
      <c r="G90" s="48"/>
      <c r="H90" s="48"/>
      <c r="I90" s="49"/>
      <c r="J90" s="48"/>
      <c r="K90" s="48"/>
      <c r="L90" s="48"/>
      <c r="M90" s="48"/>
      <c r="N90" s="48"/>
      <c r="O90" s="146"/>
      <c r="P90" s="146"/>
      <c r="Q90" s="48"/>
    </row>
    <row r="91" spans="2:17" s="45" customFormat="1" ht="9">
      <c r="B91" s="48"/>
      <c r="C91" s="48"/>
      <c r="D91" s="48"/>
      <c r="E91" s="48"/>
      <c r="F91" s="48"/>
      <c r="G91" s="48"/>
      <c r="H91" s="48"/>
      <c r="I91" s="49"/>
      <c r="J91" s="48"/>
      <c r="K91" s="48"/>
      <c r="L91" s="48"/>
      <c r="M91" s="48"/>
      <c r="N91" s="48"/>
      <c r="O91" s="146"/>
      <c r="P91" s="146"/>
      <c r="Q91" s="48"/>
    </row>
    <row r="92" spans="2:17" s="45" customFormat="1" ht="9">
      <c r="B92" s="48"/>
      <c r="C92" s="48"/>
      <c r="D92" s="48"/>
      <c r="E92" s="48"/>
      <c r="F92" s="48"/>
      <c r="G92" s="48"/>
      <c r="H92" s="48"/>
      <c r="I92" s="49"/>
      <c r="J92" s="48"/>
      <c r="K92" s="48"/>
      <c r="L92" s="48"/>
      <c r="M92" s="48"/>
      <c r="N92" s="48"/>
      <c r="O92" s="146"/>
      <c r="P92" s="146"/>
      <c r="Q92" s="48"/>
    </row>
    <row r="93" spans="2:17" s="45" customFormat="1" ht="9">
      <c r="B93" s="48"/>
      <c r="C93" s="48"/>
      <c r="D93" s="48"/>
      <c r="E93" s="48"/>
      <c r="F93" s="48"/>
      <c r="G93" s="48"/>
      <c r="H93" s="48"/>
      <c r="I93" s="49"/>
      <c r="J93" s="48"/>
      <c r="K93" s="48"/>
      <c r="L93" s="48"/>
      <c r="M93" s="48"/>
      <c r="N93" s="48"/>
      <c r="O93" s="146"/>
      <c r="P93" s="146"/>
      <c r="Q93" s="48"/>
    </row>
    <row r="94" spans="2:17" s="45" customFormat="1" ht="9">
      <c r="B94" s="48"/>
      <c r="C94" s="48"/>
      <c r="D94" s="48"/>
      <c r="E94" s="48"/>
      <c r="F94" s="48"/>
      <c r="G94" s="48"/>
      <c r="H94" s="48"/>
      <c r="I94" s="49"/>
      <c r="J94" s="48"/>
      <c r="K94" s="48"/>
      <c r="L94" s="48"/>
      <c r="M94" s="48"/>
      <c r="N94" s="48"/>
      <c r="O94" s="146"/>
      <c r="P94" s="146"/>
      <c r="Q94" s="48"/>
    </row>
    <row r="95" spans="2:17" s="45" customFormat="1" ht="9">
      <c r="B95" s="48"/>
      <c r="C95" s="48"/>
      <c r="D95" s="48"/>
      <c r="E95" s="48"/>
      <c r="F95" s="48"/>
      <c r="G95" s="48"/>
      <c r="H95" s="48"/>
      <c r="I95" s="49"/>
      <c r="J95" s="48"/>
      <c r="K95" s="48"/>
      <c r="L95" s="48"/>
      <c r="M95" s="48"/>
      <c r="N95" s="48"/>
      <c r="O95" s="146"/>
      <c r="P95" s="146"/>
      <c r="Q95" s="48"/>
    </row>
    <row r="96" spans="2:17" s="45" customFormat="1" ht="9">
      <c r="B96" s="48"/>
      <c r="C96" s="48"/>
      <c r="D96" s="48"/>
      <c r="E96" s="48"/>
      <c r="F96" s="48"/>
      <c r="G96" s="48"/>
      <c r="H96" s="48"/>
      <c r="I96" s="49"/>
      <c r="J96" s="48"/>
      <c r="K96" s="48"/>
      <c r="L96" s="48"/>
      <c r="M96" s="48"/>
      <c r="N96" s="48"/>
      <c r="O96" s="146"/>
      <c r="P96" s="146"/>
      <c r="Q96" s="48"/>
    </row>
    <row r="97" spans="2:17" s="45" customFormat="1" ht="9">
      <c r="B97" s="48"/>
      <c r="C97" s="48"/>
      <c r="D97" s="48"/>
      <c r="E97" s="48"/>
      <c r="F97" s="48"/>
      <c r="G97" s="48"/>
      <c r="H97" s="48"/>
      <c r="I97" s="49"/>
      <c r="J97" s="48"/>
      <c r="K97" s="48"/>
      <c r="L97" s="48"/>
      <c r="M97" s="48"/>
      <c r="N97" s="48"/>
      <c r="O97" s="146"/>
      <c r="P97" s="146"/>
      <c r="Q97" s="48"/>
    </row>
    <row r="98" spans="2:17" s="45" customFormat="1" ht="9">
      <c r="B98" s="48"/>
      <c r="C98" s="48"/>
      <c r="D98" s="48"/>
      <c r="E98" s="48"/>
      <c r="F98" s="48"/>
      <c r="G98" s="48"/>
      <c r="H98" s="48"/>
      <c r="I98" s="49"/>
      <c r="J98" s="48"/>
      <c r="K98" s="48"/>
      <c r="L98" s="48"/>
      <c r="M98" s="48"/>
      <c r="N98" s="48"/>
      <c r="O98" s="146"/>
      <c r="P98" s="146"/>
      <c r="Q98" s="48"/>
    </row>
    <row r="99" spans="2:17" s="45" customFormat="1" ht="9">
      <c r="B99" s="48"/>
      <c r="C99" s="48"/>
      <c r="D99" s="48"/>
      <c r="E99" s="48"/>
      <c r="F99" s="48"/>
      <c r="G99" s="48"/>
      <c r="H99" s="48"/>
      <c r="I99" s="49"/>
      <c r="J99" s="48"/>
      <c r="K99" s="48"/>
      <c r="L99" s="48"/>
      <c r="M99" s="48"/>
      <c r="N99" s="48"/>
      <c r="O99" s="146"/>
      <c r="P99" s="146"/>
      <c r="Q99" s="48"/>
    </row>
    <row r="100" spans="2:17" s="45" customFormat="1" ht="9">
      <c r="B100" s="48"/>
      <c r="C100" s="48"/>
      <c r="D100" s="48"/>
      <c r="E100" s="48"/>
      <c r="F100" s="48"/>
      <c r="G100" s="48"/>
      <c r="H100" s="48"/>
      <c r="I100" s="49"/>
      <c r="J100" s="48"/>
      <c r="K100" s="48"/>
      <c r="L100" s="48"/>
      <c r="M100" s="48"/>
      <c r="N100" s="48"/>
      <c r="O100" s="146"/>
      <c r="P100" s="146"/>
      <c r="Q100" s="48"/>
    </row>
    <row r="101" spans="2:17" s="45" customFormat="1" ht="9">
      <c r="B101" s="48"/>
      <c r="C101" s="48"/>
      <c r="D101" s="48"/>
      <c r="E101" s="48"/>
      <c r="F101" s="48"/>
      <c r="G101" s="48"/>
      <c r="H101" s="48"/>
      <c r="I101" s="49"/>
      <c r="J101" s="48"/>
      <c r="K101" s="48"/>
      <c r="L101" s="48"/>
      <c r="M101" s="48"/>
      <c r="N101" s="48"/>
      <c r="O101" s="146"/>
      <c r="P101" s="146"/>
      <c r="Q101" s="48"/>
    </row>
    <row r="102" spans="2:17" s="45" customFormat="1" ht="9">
      <c r="B102" s="48"/>
      <c r="C102" s="48"/>
      <c r="D102" s="48"/>
      <c r="E102" s="48"/>
      <c r="F102" s="48"/>
      <c r="G102" s="48"/>
      <c r="H102" s="48"/>
      <c r="I102" s="49"/>
      <c r="J102" s="48"/>
      <c r="K102" s="48"/>
      <c r="L102" s="48"/>
      <c r="M102" s="48"/>
      <c r="N102" s="48"/>
      <c r="O102" s="146"/>
      <c r="P102" s="146"/>
      <c r="Q102" s="48"/>
    </row>
    <row r="103" spans="2:17" s="45" customFormat="1" ht="9">
      <c r="B103" s="48"/>
      <c r="C103" s="48"/>
      <c r="D103" s="48"/>
      <c r="E103" s="48"/>
      <c r="F103" s="48"/>
      <c r="G103" s="48"/>
      <c r="H103" s="48"/>
      <c r="I103" s="49"/>
      <c r="J103" s="48"/>
      <c r="K103" s="48"/>
      <c r="L103" s="48"/>
      <c r="M103" s="48"/>
      <c r="N103" s="48"/>
      <c r="O103" s="146"/>
      <c r="P103" s="146"/>
      <c r="Q103" s="48"/>
    </row>
    <row r="104" spans="2:17" s="45" customFormat="1" ht="9">
      <c r="B104" s="48"/>
      <c r="C104" s="48"/>
      <c r="D104" s="48"/>
      <c r="E104" s="48"/>
      <c r="F104" s="48"/>
      <c r="G104" s="48"/>
      <c r="H104" s="48"/>
      <c r="I104" s="49"/>
      <c r="J104" s="48"/>
      <c r="K104" s="48"/>
      <c r="L104" s="48"/>
      <c r="M104" s="48"/>
      <c r="N104" s="48"/>
      <c r="O104" s="146"/>
      <c r="P104" s="146"/>
      <c r="Q104" s="48"/>
    </row>
    <row r="105" spans="2:17" s="45" customFormat="1" ht="9">
      <c r="B105" s="48"/>
      <c r="C105" s="48"/>
      <c r="D105" s="48"/>
      <c r="E105" s="48"/>
      <c r="F105" s="48"/>
      <c r="G105" s="48"/>
      <c r="H105" s="48"/>
      <c r="I105" s="49"/>
      <c r="J105" s="48"/>
      <c r="K105" s="48"/>
      <c r="L105" s="48"/>
      <c r="M105" s="48"/>
      <c r="N105" s="48"/>
      <c r="O105" s="146"/>
      <c r="P105" s="146"/>
      <c r="Q105" s="48"/>
    </row>
    <row r="106" spans="2:17" s="45" customFormat="1" ht="9">
      <c r="B106" s="48"/>
      <c r="C106" s="48"/>
      <c r="D106" s="48"/>
      <c r="E106" s="48"/>
      <c r="F106" s="48"/>
      <c r="G106" s="48"/>
      <c r="H106" s="48"/>
      <c r="I106" s="49"/>
      <c r="J106" s="48"/>
      <c r="K106" s="48"/>
      <c r="L106" s="48"/>
      <c r="M106" s="48"/>
      <c r="N106" s="48"/>
      <c r="O106" s="146"/>
      <c r="P106" s="146"/>
      <c r="Q106" s="48"/>
    </row>
    <row r="107" spans="2:17" s="45" customFormat="1" ht="9">
      <c r="B107" s="48"/>
      <c r="C107" s="48"/>
      <c r="D107" s="48"/>
      <c r="E107" s="48"/>
      <c r="F107" s="48"/>
      <c r="G107" s="48"/>
      <c r="H107" s="48"/>
      <c r="I107" s="49"/>
      <c r="J107" s="48"/>
      <c r="K107" s="48"/>
      <c r="L107" s="48"/>
      <c r="M107" s="48"/>
      <c r="N107" s="48"/>
      <c r="O107" s="146"/>
      <c r="P107" s="146"/>
      <c r="Q107" s="48"/>
    </row>
    <row r="108" spans="2:17" s="45" customFormat="1" ht="9">
      <c r="B108" s="48"/>
      <c r="C108" s="48"/>
      <c r="D108" s="48"/>
      <c r="E108" s="48"/>
      <c r="F108" s="48"/>
      <c r="G108" s="48"/>
      <c r="H108" s="48"/>
      <c r="I108" s="49"/>
      <c r="J108" s="48"/>
      <c r="K108" s="48"/>
      <c r="L108" s="48"/>
      <c r="M108" s="48"/>
      <c r="N108" s="48"/>
      <c r="O108" s="146"/>
      <c r="P108" s="146"/>
      <c r="Q108" s="48"/>
    </row>
    <row r="109" spans="2:17" s="45" customFormat="1" ht="9">
      <c r="B109" s="48"/>
      <c r="C109" s="48"/>
      <c r="D109" s="48"/>
      <c r="E109" s="48"/>
      <c r="F109" s="48"/>
      <c r="G109" s="48"/>
      <c r="H109" s="48"/>
      <c r="I109" s="49"/>
      <c r="J109" s="48"/>
      <c r="K109" s="48"/>
      <c r="L109" s="48"/>
      <c r="M109" s="48"/>
      <c r="N109" s="48"/>
      <c r="O109" s="146"/>
      <c r="P109" s="146"/>
      <c r="Q109" s="48"/>
    </row>
    <row r="110" spans="2:17" s="45" customFormat="1" ht="9">
      <c r="B110" s="48"/>
      <c r="C110" s="48"/>
      <c r="D110" s="48"/>
      <c r="E110" s="48"/>
      <c r="F110" s="48"/>
      <c r="G110" s="48"/>
      <c r="H110" s="48"/>
      <c r="I110" s="49"/>
      <c r="J110" s="48"/>
      <c r="K110" s="48"/>
      <c r="L110" s="48"/>
      <c r="M110" s="48"/>
      <c r="N110" s="48"/>
      <c r="O110" s="146"/>
      <c r="P110" s="146"/>
      <c r="Q110" s="48"/>
    </row>
    <row r="111" spans="2:17" s="45" customFormat="1" ht="9">
      <c r="B111" s="48"/>
      <c r="C111" s="48"/>
      <c r="D111" s="48"/>
      <c r="E111" s="48"/>
      <c r="F111" s="48"/>
      <c r="G111" s="48"/>
      <c r="H111" s="48"/>
      <c r="I111" s="49"/>
      <c r="J111" s="48"/>
      <c r="K111" s="48"/>
      <c r="L111" s="48"/>
      <c r="M111" s="48"/>
      <c r="N111" s="48"/>
      <c r="O111" s="146"/>
      <c r="P111" s="146"/>
      <c r="Q111" s="48"/>
    </row>
    <row r="112" spans="2:17" s="45" customFormat="1" ht="9">
      <c r="B112" s="48"/>
      <c r="C112" s="48"/>
      <c r="D112" s="48"/>
      <c r="E112" s="48"/>
      <c r="F112" s="48"/>
      <c r="G112" s="48"/>
      <c r="H112" s="48"/>
      <c r="I112" s="49"/>
      <c r="J112" s="48"/>
      <c r="K112" s="48"/>
      <c r="L112" s="48"/>
      <c r="M112" s="48"/>
      <c r="N112" s="48"/>
      <c r="O112" s="146"/>
      <c r="P112" s="146"/>
      <c r="Q112" s="48"/>
    </row>
    <row r="113" spans="2:18" s="45" customFormat="1" ht="9">
      <c r="B113" s="48"/>
      <c r="C113" s="48"/>
      <c r="D113" s="48"/>
      <c r="E113" s="48"/>
      <c r="F113" s="48"/>
      <c r="G113" s="48"/>
      <c r="H113" s="48"/>
      <c r="I113" s="49"/>
      <c r="J113" s="48"/>
      <c r="K113" s="48"/>
      <c r="L113" s="48"/>
      <c r="M113" s="48"/>
      <c r="N113" s="48"/>
      <c r="O113" s="146"/>
      <c r="P113" s="146"/>
      <c r="Q113" s="48"/>
    </row>
    <row r="114" spans="2:18" s="45" customFormat="1" ht="9">
      <c r="B114" s="48"/>
      <c r="C114" s="48"/>
      <c r="D114" s="48"/>
      <c r="E114" s="48"/>
      <c r="F114" s="48"/>
      <c r="G114" s="48"/>
      <c r="H114" s="48"/>
      <c r="I114" s="49"/>
      <c r="J114" s="48"/>
      <c r="K114" s="48"/>
      <c r="L114" s="48"/>
      <c r="M114" s="48"/>
      <c r="N114" s="48"/>
      <c r="O114" s="146"/>
      <c r="P114" s="146"/>
      <c r="Q114" s="48"/>
    </row>
    <row r="115" spans="2:18" s="45" customFormat="1" ht="9">
      <c r="B115" s="48"/>
      <c r="C115" s="48"/>
      <c r="D115" s="48"/>
      <c r="E115" s="48"/>
      <c r="F115" s="48"/>
      <c r="G115" s="48"/>
      <c r="H115" s="48"/>
      <c r="I115" s="49"/>
      <c r="J115" s="48"/>
      <c r="K115" s="48"/>
      <c r="L115" s="48"/>
      <c r="M115" s="48"/>
      <c r="N115" s="48"/>
      <c r="O115" s="146"/>
      <c r="P115" s="146"/>
      <c r="Q115" s="48"/>
    </row>
    <row r="116" spans="2:18" s="45" customFormat="1" ht="9">
      <c r="B116" s="48"/>
      <c r="C116" s="48"/>
      <c r="D116" s="48"/>
      <c r="E116" s="48"/>
      <c r="F116" s="48"/>
      <c r="G116" s="48"/>
      <c r="H116" s="48"/>
      <c r="I116" s="49"/>
      <c r="J116" s="48"/>
      <c r="K116" s="48"/>
      <c r="L116" s="48"/>
      <c r="M116" s="48"/>
      <c r="N116" s="48"/>
      <c r="O116" s="146"/>
      <c r="P116" s="146"/>
      <c r="Q116" s="48"/>
    </row>
    <row r="117" spans="2:18">
      <c r="Q117" s="48"/>
      <c r="R117" s="45"/>
    </row>
    <row r="118" spans="2:18">
      <c r="Q118" s="48"/>
      <c r="R118" s="45"/>
    </row>
    <row r="119" spans="2:18">
      <c r="Q119" s="48"/>
    </row>
  </sheetData>
  <mergeCells count="8">
    <mergeCell ref="A77:Q79"/>
    <mergeCell ref="A71:O71"/>
    <mergeCell ref="A69:P69"/>
    <mergeCell ref="A70:P70"/>
    <mergeCell ref="A1:Q1"/>
    <mergeCell ref="A2:Q2"/>
    <mergeCell ref="A68:O68"/>
    <mergeCell ref="A67:O67"/>
  </mergeCells>
  <phoneticPr fontId="9" type="noConversion"/>
  <pageMargins left="0.25" right="0.25" top="0.25" bottom="0.25" header="0.5" footer="0.5"/>
  <pageSetup scale="67" orientation="portrait"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V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G44" sqref="G44"/>
    </sheetView>
  </sheetViews>
  <sheetFormatPr defaultRowHeight="11.25"/>
  <cols>
    <col min="1" max="1" width="30.5703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6.42578125" style="1" bestFit="1" customWidth="1"/>
    <col min="16" max="16" width="7.7109375" style="1" customWidth="1"/>
    <col min="17" max="17" width="4" style="1" bestFit="1" customWidth="1"/>
    <col min="18" max="19" width="0" style="1" hidden="1" customWidth="1"/>
    <col min="20" max="16384" width="9.140625" style="1"/>
  </cols>
  <sheetData>
    <row r="1" spans="1:22">
      <c r="A1" s="475" t="s">
        <v>217</v>
      </c>
      <c r="B1" s="475"/>
      <c r="C1" s="475"/>
      <c r="D1" s="475"/>
      <c r="E1" s="475"/>
      <c r="F1" s="475"/>
      <c r="G1" s="475"/>
      <c r="H1" s="475"/>
      <c r="I1" s="475"/>
      <c r="J1" s="475"/>
      <c r="K1" s="475"/>
      <c r="L1" s="475"/>
      <c r="M1" s="475"/>
      <c r="N1" s="475"/>
      <c r="O1" s="475"/>
      <c r="P1" s="475"/>
      <c r="Q1" s="475"/>
    </row>
    <row r="2" spans="1:22">
      <c r="A2" s="501" t="s">
        <v>466</v>
      </c>
      <c r="B2" s="501"/>
      <c r="C2" s="501"/>
      <c r="D2" s="501"/>
      <c r="E2" s="501"/>
      <c r="F2" s="501"/>
      <c r="G2" s="501"/>
      <c r="H2" s="501"/>
      <c r="I2" s="501"/>
      <c r="J2" s="501"/>
      <c r="K2" s="501"/>
      <c r="L2" s="501"/>
      <c r="M2" s="501"/>
      <c r="N2" s="501"/>
      <c r="O2" s="501"/>
      <c r="P2" s="501"/>
      <c r="Q2" s="501"/>
    </row>
    <row r="3" spans="1:22" s="3" customFormat="1" ht="72">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c r="T3" s="142"/>
    </row>
    <row r="4" spans="1:22" s="6" customFormat="1" ht="9">
      <c r="A4" s="143" t="s">
        <v>356</v>
      </c>
      <c r="B4" s="128" t="s">
        <v>384</v>
      </c>
      <c r="C4" s="128"/>
      <c r="D4" s="130"/>
      <c r="E4" s="130"/>
      <c r="F4" s="130"/>
      <c r="G4" s="128"/>
      <c r="H4" s="128"/>
      <c r="I4" s="132"/>
      <c r="J4" s="128"/>
      <c r="K4" s="128"/>
      <c r="L4" s="128"/>
      <c r="M4" s="128"/>
      <c r="N4" s="130"/>
      <c r="O4" s="130"/>
      <c r="P4" s="130"/>
      <c r="Q4" s="188"/>
      <c r="R4" s="115"/>
      <c r="S4" s="115"/>
      <c r="T4" s="115"/>
    </row>
    <row r="5" spans="1:22" s="6" customFormat="1" ht="9">
      <c r="A5" s="111" t="s">
        <v>357</v>
      </c>
      <c r="B5" s="37" t="s">
        <v>384</v>
      </c>
      <c r="C5" s="37"/>
      <c r="D5" s="44"/>
      <c r="E5" s="44"/>
      <c r="F5" s="44"/>
      <c r="G5" s="37"/>
      <c r="H5" s="37"/>
      <c r="I5" s="73"/>
      <c r="J5" s="37"/>
      <c r="K5" s="37"/>
      <c r="L5" s="37"/>
      <c r="M5" s="37"/>
      <c r="N5" s="44"/>
      <c r="O5" s="44"/>
      <c r="P5" s="44"/>
      <c r="Q5" s="75"/>
      <c r="R5" s="115"/>
      <c r="S5" s="115"/>
      <c r="T5" s="115"/>
    </row>
    <row r="6" spans="1:22" s="6" customFormat="1" ht="9">
      <c r="A6" s="111" t="s">
        <v>358</v>
      </c>
      <c r="B6" s="37"/>
      <c r="C6" s="37"/>
      <c r="D6" s="44"/>
      <c r="E6" s="44"/>
      <c r="F6" s="44"/>
      <c r="G6" s="37"/>
      <c r="H6" s="37"/>
      <c r="I6" s="73"/>
      <c r="J6" s="37"/>
      <c r="K6" s="37"/>
      <c r="L6" s="37"/>
      <c r="M6" s="37"/>
      <c r="N6" s="44"/>
      <c r="O6" s="44"/>
      <c r="P6" s="44"/>
      <c r="Q6" s="75"/>
      <c r="R6" s="115"/>
      <c r="S6" s="115"/>
      <c r="T6" s="115"/>
    </row>
    <row r="7" spans="1:22" s="6" customFormat="1" ht="9">
      <c r="A7" s="111" t="s">
        <v>359</v>
      </c>
      <c r="B7" s="37">
        <v>40</v>
      </c>
      <c r="C7" s="37"/>
      <c r="D7" s="44">
        <v>0</v>
      </c>
      <c r="E7" s="44">
        <v>0</v>
      </c>
      <c r="F7" s="44">
        <v>0</v>
      </c>
      <c r="G7" s="37">
        <v>1</v>
      </c>
      <c r="H7" s="37">
        <f>B7*G7</f>
        <v>40</v>
      </c>
      <c r="I7" s="72">
        <f>SUM('Base Data'!$H$16:$H$17,'Base Data'!$H$21:$H$22)</f>
        <v>5</v>
      </c>
      <c r="J7" s="72">
        <f>H7*I7</f>
        <v>200</v>
      </c>
      <c r="K7" s="72">
        <f>J7*0.1</f>
        <v>20</v>
      </c>
      <c r="L7" s="72">
        <f>J7*0.05</f>
        <v>10</v>
      </c>
      <c r="M7" s="37">
        <f>C7*G7*I7</f>
        <v>0</v>
      </c>
      <c r="N7" s="44">
        <f>(J7*'Base Data'!$C$5)+(K7*'Base Data'!$C$6)+(L7*'Base Data'!$C$7)</f>
        <v>21755.5</v>
      </c>
      <c r="O7" s="44">
        <f>(D7+E7+F7)*G7*I7</f>
        <v>0</v>
      </c>
      <c r="P7" s="73">
        <v>0</v>
      </c>
      <c r="Q7" s="75" t="s">
        <v>338</v>
      </c>
      <c r="R7" s="115"/>
      <c r="S7" s="115"/>
      <c r="T7" s="115"/>
    </row>
    <row r="8" spans="1:22" s="6" customFormat="1" ht="9">
      <c r="A8" s="111" t="s">
        <v>360</v>
      </c>
      <c r="B8" s="37"/>
      <c r="C8" s="37"/>
      <c r="D8" s="44"/>
      <c r="E8" s="44"/>
      <c r="F8" s="44"/>
      <c r="G8" s="37"/>
      <c r="H8" s="37"/>
      <c r="I8" s="73"/>
      <c r="J8" s="37"/>
      <c r="K8" s="37"/>
      <c r="L8" s="37"/>
      <c r="M8" s="37"/>
      <c r="N8" s="44"/>
      <c r="O8" s="44"/>
      <c r="P8" s="73"/>
      <c r="Q8" s="75"/>
      <c r="R8" s="115"/>
      <c r="S8" s="115"/>
      <c r="T8" s="115"/>
    </row>
    <row r="9" spans="1:22" s="6" customFormat="1" ht="9">
      <c r="A9" s="111" t="s">
        <v>374</v>
      </c>
      <c r="B9" s="37"/>
      <c r="C9" s="37"/>
      <c r="D9" s="76"/>
      <c r="E9" s="44"/>
      <c r="F9" s="44"/>
      <c r="G9" s="37"/>
      <c r="H9" s="37"/>
      <c r="I9" s="72"/>
      <c r="J9" s="73"/>
      <c r="K9" s="73"/>
      <c r="L9" s="73"/>
      <c r="M9" s="74"/>
      <c r="N9" s="44"/>
      <c r="O9" s="44"/>
      <c r="P9" s="73"/>
      <c r="Q9" s="75"/>
      <c r="R9" s="75"/>
      <c r="S9" s="115"/>
      <c r="T9" s="115"/>
      <c r="V9" s="24"/>
    </row>
    <row r="10" spans="1:22" s="6" customFormat="1" ht="9">
      <c r="A10" s="110" t="s">
        <v>249</v>
      </c>
      <c r="B10" s="37">
        <v>20</v>
      </c>
      <c r="C10" s="37"/>
      <c r="D10" s="44">
        <v>854</v>
      </c>
      <c r="E10" s="44">
        <v>0</v>
      </c>
      <c r="F10" s="44">
        <v>0</v>
      </c>
      <c r="G10" s="37">
        <v>1</v>
      </c>
      <c r="H10" s="37">
        <f>B10*G10</f>
        <v>20</v>
      </c>
      <c r="I10" s="72">
        <v>0</v>
      </c>
      <c r="J10" s="73">
        <f>H10*I10</f>
        <v>0</v>
      </c>
      <c r="K10" s="73">
        <f>J10*0.1</f>
        <v>0</v>
      </c>
      <c r="L10" s="73">
        <f>J10*0.05</f>
        <v>0</v>
      </c>
      <c r="M10" s="74">
        <f>C10*G10*I10</f>
        <v>0</v>
      </c>
      <c r="N10" s="44">
        <f>(J10*'Base Data'!$C$5)+(K10*'Base Data'!$C$6)+(L10*'Base Data'!$C$7)</f>
        <v>0</v>
      </c>
      <c r="O10" s="44">
        <f>(D10+E10+F10)*G10*I10</f>
        <v>0</v>
      </c>
      <c r="P10" s="73">
        <v>0</v>
      </c>
      <c r="Q10" s="75" t="s">
        <v>480</v>
      </c>
      <c r="R10" s="75"/>
      <c r="S10" s="115"/>
      <c r="T10" s="115"/>
      <c r="V10" s="24"/>
    </row>
    <row r="11" spans="1:22" s="6" customFormat="1" ht="9">
      <c r="A11" s="110" t="s">
        <v>251</v>
      </c>
      <c r="B11" s="37">
        <v>20</v>
      </c>
      <c r="C11" s="37"/>
      <c r="D11" s="44">
        <v>18292</v>
      </c>
      <c r="E11" s="44">
        <v>0</v>
      </c>
      <c r="F11" s="44">
        <v>0</v>
      </c>
      <c r="G11" s="37">
        <v>1</v>
      </c>
      <c r="H11" s="37">
        <f>B11*G11</f>
        <v>20</v>
      </c>
      <c r="I11" s="72">
        <v>0</v>
      </c>
      <c r="J11" s="73">
        <f>H11*I11</f>
        <v>0</v>
      </c>
      <c r="K11" s="73">
        <f>J11*0.1</f>
        <v>0</v>
      </c>
      <c r="L11" s="73">
        <f>J11*0.05</f>
        <v>0</v>
      </c>
      <c r="M11" s="74">
        <f>C11*G11*I11</f>
        <v>0</v>
      </c>
      <c r="N11" s="44">
        <f>(J11*'Base Data'!$C$5)+(K11*'Base Data'!$C$6)+(L11*'Base Data'!$C$7)</f>
        <v>0</v>
      </c>
      <c r="O11" s="44">
        <f>(D11+E11+F11)*G11*I11</f>
        <v>0</v>
      </c>
      <c r="P11" s="73">
        <v>0</v>
      </c>
      <c r="Q11" s="75" t="s">
        <v>480</v>
      </c>
      <c r="R11" s="75"/>
      <c r="S11" s="115"/>
      <c r="T11" s="115"/>
      <c r="V11" s="24"/>
    </row>
    <row r="12" spans="1:22" s="6" customFormat="1" ht="9">
      <c r="A12" s="111" t="s">
        <v>234</v>
      </c>
      <c r="B12" s="37">
        <v>12</v>
      </c>
      <c r="C12" s="37"/>
      <c r="D12" s="44">
        <v>0</v>
      </c>
      <c r="E12" s="44">
        <v>2228</v>
      </c>
      <c r="F12" s="44">
        <v>0</v>
      </c>
      <c r="G12" s="37">
        <v>0.5</v>
      </c>
      <c r="H12" s="37">
        <f>B12*G12</f>
        <v>6</v>
      </c>
      <c r="I12" s="73">
        <v>0</v>
      </c>
      <c r="J12" s="72">
        <f>H12*I12</f>
        <v>0</v>
      </c>
      <c r="K12" s="72">
        <f>J12*0.1</f>
        <v>0</v>
      </c>
      <c r="L12" s="72">
        <f>J12*0.05</f>
        <v>0</v>
      </c>
      <c r="M12" s="73"/>
      <c r="N12" s="44">
        <f>(J12*'Base Data'!$C$5)+(K12*'Base Data'!$C$6)+(L12*'Base Data'!$C$7)</f>
        <v>0</v>
      </c>
      <c r="O12" s="44">
        <f>(D12+E12+F12)*I12</f>
        <v>0</v>
      </c>
      <c r="P12" s="73">
        <v>0</v>
      </c>
      <c r="Q12" s="75" t="s">
        <v>339</v>
      </c>
      <c r="R12" s="115"/>
      <c r="S12" s="115"/>
      <c r="T12" s="115"/>
    </row>
    <row r="13" spans="1:22" s="6" customFormat="1" ht="9">
      <c r="A13" s="111" t="s">
        <v>366</v>
      </c>
      <c r="B13" s="37" t="s">
        <v>384</v>
      </c>
      <c r="C13" s="37"/>
      <c r="D13" s="44"/>
      <c r="E13" s="44"/>
      <c r="F13" s="44"/>
      <c r="G13" s="37"/>
      <c r="H13" s="37"/>
      <c r="I13" s="73"/>
      <c r="J13" s="37"/>
      <c r="K13" s="37"/>
      <c r="L13" s="37"/>
      <c r="M13" s="37"/>
      <c r="N13" s="44"/>
      <c r="O13" s="44"/>
      <c r="P13" s="73"/>
      <c r="Q13" s="75"/>
      <c r="R13" s="115"/>
      <c r="S13" s="115"/>
      <c r="T13" s="115"/>
    </row>
    <row r="14" spans="1:22" s="6" customFormat="1" ht="9">
      <c r="A14" s="111" t="s">
        <v>367</v>
      </c>
      <c r="B14" s="37" t="s">
        <v>384</v>
      </c>
      <c r="C14" s="37"/>
      <c r="D14" s="44"/>
      <c r="E14" s="44"/>
      <c r="F14" s="44"/>
      <c r="G14" s="37"/>
      <c r="H14" s="37"/>
      <c r="I14" s="73"/>
      <c r="J14" s="37"/>
      <c r="K14" s="37"/>
      <c r="L14" s="37"/>
      <c r="M14" s="37"/>
      <c r="N14" s="44"/>
      <c r="O14" s="44"/>
      <c r="P14" s="73"/>
      <c r="Q14" s="75"/>
      <c r="R14" s="115"/>
      <c r="S14" s="115"/>
      <c r="T14" s="115"/>
    </row>
    <row r="15" spans="1:22" s="6" customFormat="1" ht="9">
      <c r="A15" s="111" t="s">
        <v>368</v>
      </c>
      <c r="B15" s="37"/>
      <c r="C15" s="37"/>
      <c r="D15" s="44"/>
      <c r="E15" s="44"/>
      <c r="F15" s="44"/>
      <c r="G15" s="37"/>
      <c r="H15" s="37"/>
      <c r="I15" s="73"/>
      <c r="J15" s="37"/>
      <c r="K15" s="37"/>
      <c r="L15" s="37"/>
      <c r="M15" s="37"/>
      <c r="N15" s="44"/>
      <c r="O15" s="44"/>
      <c r="P15" s="73"/>
      <c r="Q15" s="75"/>
      <c r="R15" s="115"/>
      <c r="S15" s="115"/>
      <c r="T15" s="115"/>
    </row>
    <row r="16" spans="1:22" s="6" customFormat="1" ht="9">
      <c r="A16" s="126" t="s">
        <v>386</v>
      </c>
      <c r="B16" s="37">
        <v>2</v>
      </c>
      <c r="C16" s="37"/>
      <c r="D16" s="44">
        <v>0</v>
      </c>
      <c r="E16" s="44">
        <v>0</v>
      </c>
      <c r="F16" s="44">
        <v>0</v>
      </c>
      <c r="G16" s="37">
        <v>1</v>
      </c>
      <c r="H16" s="37">
        <f>B16*G16</f>
        <v>2</v>
      </c>
      <c r="I16" s="72">
        <f>SUM('Base Data'!$H$16:$H$17,'Base Data'!$H$21:$H$22)</f>
        <v>5</v>
      </c>
      <c r="J16" s="72">
        <f>H16*I16</f>
        <v>10</v>
      </c>
      <c r="K16" s="72">
        <f>J16*0.1</f>
        <v>1</v>
      </c>
      <c r="L16" s="72">
        <f>J16*0.05</f>
        <v>0.5</v>
      </c>
      <c r="M16" s="37">
        <f>C16*G16*I16</f>
        <v>0</v>
      </c>
      <c r="N16" s="44">
        <f>(J16*'Base Data'!$C$5)+(K16*'Base Data'!$C$6)+(L16*'Base Data'!$C$7)</f>
        <v>1087.7749999999999</v>
      </c>
      <c r="O16" s="44">
        <f>(D16+E16+F16)*G16*I16</f>
        <v>0</v>
      </c>
      <c r="P16" s="73">
        <f>G16*I16</f>
        <v>5</v>
      </c>
      <c r="Q16" s="75" t="s">
        <v>338</v>
      </c>
      <c r="R16" s="115"/>
      <c r="S16" s="115"/>
      <c r="T16" s="115"/>
    </row>
    <row r="17" spans="1:20" s="6" customFormat="1" ht="9">
      <c r="A17" s="126" t="s">
        <v>328</v>
      </c>
      <c r="B17" s="37">
        <v>8</v>
      </c>
      <c r="C17" s="37"/>
      <c r="D17" s="44">
        <v>0</v>
      </c>
      <c r="E17" s="44">
        <v>0</v>
      </c>
      <c r="F17" s="44">
        <v>0</v>
      </c>
      <c r="G17" s="37">
        <v>1</v>
      </c>
      <c r="H17" s="37">
        <f>B17*G17</f>
        <v>8</v>
      </c>
      <c r="I17" s="73">
        <v>0</v>
      </c>
      <c r="J17" s="72">
        <f>H17*I17</f>
        <v>0</v>
      </c>
      <c r="K17" s="72">
        <f>J17*0.1</f>
        <v>0</v>
      </c>
      <c r="L17" s="72">
        <f>J17*0.05</f>
        <v>0</v>
      </c>
      <c r="M17" s="37">
        <f>C17*G17*I17</f>
        <v>0</v>
      </c>
      <c r="N17" s="44">
        <f>(J17*'Base Data'!$C$5)+(K17*'Base Data'!$C$6)+(L17*'Base Data'!$C$7)</f>
        <v>0</v>
      </c>
      <c r="O17" s="44">
        <f>(D17+E17+F17)*G17*I17</f>
        <v>0</v>
      </c>
      <c r="P17" s="73">
        <f>G17*I17</f>
        <v>0</v>
      </c>
      <c r="Q17" s="75" t="s">
        <v>339</v>
      </c>
      <c r="R17" s="115"/>
      <c r="S17" s="115"/>
      <c r="T17" s="115"/>
    </row>
    <row r="18" spans="1:20" s="6" customFormat="1" ht="9">
      <c r="A18" s="112" t="s">
        <v>233</v>
      </c>
      <c r="B18" s="37">
        <v>5</v>
      </c>
      <c r="C18" s="37"/>
      <c r="D18" s="44">
        <v>0</v>
      </c>
      <c r="E18" s="44">
        <v>0</v>
      </c>
      <c r="F18" s="44">
        <v>0</v>
      </c>
      <c r="G18" s="37">
        <v>0.5</v>
      </c>
      <c r="H18" s="37">
        <f>B18*G18</f>
        <v>2.5</v>
      </c>
      <c r="I18" s="72">
        <v>0</v>
      </c>
      <c r="J18" s="72">
        <f>H18*I18</f>
        <v>0</v>
      </c>
      <c r="K18" s="72">
        <f>J18*0.1</f>
        <v>0</v>
      </c>
      <c r="L18" s="72">
        <f>J18*0.05</f>
        <v>0</v>
      </c>
      <c r="M18" s="37">
        <f>C18*G18*I18</f>
        <v>0</v>
      </c>
      <c r="N18" s="44">
        <f>(J18*'Base Data'!$C$5)+(K18*'Base Data'!$C$6)+(L18*'Base Data'!$C$7)</f>
        <v>0</v>
      </c>
      <c r="O18" s="44">
        <f>(D18+E18+F18)*G18*I18</f>
        <v>0</v>
      </c>
      <c r="P18" s="73">
        <f>G18*I18</f>
        <v>0</v>
      </c>
      <c r="Q18" s="75" t="s">
        <v>248</v>
      </c>
      <c r="R18" s="115"/>
      <c r="S18" s="115"/>
      <c r="T18" s="115"/>
    </row>
    <row r="19" spans="1:20" s="6" customFormat="1" ht="9">
      <c r="A19" s="126" t="s">
        <v>444</v>
      </c>
      <c r="B19" s="37">
        <v>5</v>
      </c>
      <c r="C19" s="17"/>
      <c r="D19" s="32">
        <v>0</v>
      </c>
      <c r="E19" s="32">
        <v>0</v>
      </c>
      <c r="F19" s="32">
        <v>0</v>
      </c>
      <c r="G19" s="17">
        <v>1</v>
      </c>
      <c r="H19" s="17">
        <f>B19*G19</f>
        <v>5</v>
      </c>
      <c r="I19" s="43">
        <v>0</v>
      </c>
      <c r="J19" s="18">
        <f>H19*I19</f>
        <v>0</v>
      </c>
      <c r="K19" s="18">
        <f>J19*0.1</f>
        <v>0</v>
      </c>
      <c r="L19" s="18">
        <f>J19*0.05</f>
        <v>0</v>
      </c>
      <c r="M19" s="17">
        <f>C19*G19*I19</f>
        <v>0</v>
      </c>
      <c r="N19" s="32">
        <f>(J19*'Base Data'!$C$5)+(K19*'Base Data'!$C$6)+(L19*'Base Data'!$C$7)</f>
        <v>0</v>
      </c>
      <c r="O19" s="32">
        <f>(D19+E19+F19)*G19*I19</f>
        <v>0</v>
      </c>
      <c r="P19" s="18">
        <f>G19*I19</f>
        <v>0</v>
      </c>
      <c r="Q19" s="23" t="s">
        <v>339</v>
      </c>
    </row>
    <row r="20" spans="1:20" s="6" customFormat="1" ht="9">
      <c r="A20" s="116" t="s">
        <v>7</v>
      </c>
      <c r="B20" s="37"/>
      <c r="C20" s="37"/>
      <c r="D20" s="44"/>
      <c r="E20" s="44"/>
      <c r="F20" s="44"/>
      <c r="G20" s="37"/>
      <c r="H20" s="37"/>
      <c r="I20" s="73"/>
      <c r="J20" s="73">
        <f>SUM(J7:J19)</f>
        <v>210</v>
      </c>
      <c r="K20" s="73">
        <f t="shared" ref="K20:O20" si="0">SUM(K7:K19)</f>
        <v>21</v>
      </c>
      <c r="L20" s="73">
        <f t="shared" si="0"/>
        <v>10.5</v>
      </c>
      <c r="M20" s="73">
        <f t="shared" si="0"/>
        <v>0</v>
      </c>
      <c r="N20" s="32">
        <f t="shared" si="0"/>
        <v>22843.275000000001</v>
      </c>
      <c r="O20" s="32">
        <f t="shared" si="0"/>
        <v>0</v>
      </c>
      <c r="P20" s="73">
        <f>ROUNDUP(SUM(P7:P19),0)</f>
        <v>5</v>
      </c>
      <c r="Q20" s="75"/>
      <c r="R20" s="117">
        <f>SUM(O7:O12)</f>
        <v>0</v>
      </c>
      <c r="S20" s="115">
        <f>0</f>
        <v>0</v>
      </c>
      <c r="T20" s="115"/>
    </row>
    <row r="21" spans="1:20" s="6" customFormat="1" ht="9">
      <c r="A21" s="111" t="s">
        <v>382</v>
      </c>
      <c r="B21" s="37"/>
      <c r="C21" s="37"/>
      <c r="D21" s="44"/>
      <c r="E21" s="44"/>
      <c r="F21" s="44"/>
      <c r="G21" s="37"/>
      <c r="H21" s="37"/>
      <c r="I21" s="73"/>
      <c r="J21" s="37"/>
      <c r="K21" s="37"/>
      <c r="L21" s="37"/>
      <c r="M21" s="37"/>
      <c r="N21" s="44"/>
      <c r="O21" s="44"/>
      <c r="P21" s="73"/>
      <c r="Q21" s="75"/>
      <c r="R21" s="115"/>
      <c r="S21" s="115"/>
      <c r="T21" s="115"/>
    </row>
    <row r="22" spans="1:20" s="6" customFormat="1" ht="9">
      <c r="A22" s="111" t="s">
        <v>369</v>
      </c>
      <c r="B22" s="37" t="s">
        <v>373</v>
      </c>
      <c r="C22" s="37"/>
      <c r="D22" s="44"/>
      <c r="E22" s="44"/>
      <c r="F22" s="44"/>
      <c r="G22" s="37"/>
      <c r="H22" s="37"/>
      <c r="I22" s="73"/>
      <c r="J22" s="37"/>
      <c r="K22" s="37"/>
      <c r="L22" s="37"/>
      <c r="M22" s="37"/>
      <c r="N22" s="44"/>
      <c r="O22" s="44"/>
      <c r="P22" s="73"/>
      <c r="Q22" s="75"/>
      <c r="R22" s="115"/>
      <c r="S22" s="115"/>
      <c r="T22" s="115"/>
    </row>
    <row r="23" spans="1:20" s="6" customFormat="1" ht="9">
      <c r="A23" s="111" t="s">
        <v>370</v>
      </c>
      <c r="B23" s="37" t="s">
        <v>384</v>
      </c>
      <c r="C23" s="37"/>
      <c r="D23" s="44"/>
      <c r="E23" s="44"/>
      <c r="F23" s="44"/>
      <c r="G23" s="37"/>
      <c r="H23" s="37"/>
      <c r="I23" s="73"/>
      <c r="J23" s="37"/>
      <c r="K23" s="37"/>
      <c r="L23" s="37"/>
      <c r="M23" s="37"/>
      <c r="N23" s="44"/>
      <c r="O23" s="44"/>
      <c r="P23" s="73"/>
      <c r="Q23" s="75"/>
      <c r="R23" s="115"/>
      <c r="S23" s="115"/>
      <c r="T23" s="115"/>
    </row>
    <row r="24" spans="1:20" s="6" customFormat="1" ht="9">
      <c r="A24" s="111" t="s">
        <v>371</v>
      </c>
      <c r="B24" s="37" t="s">
        <v>384</v>
      </c>
      <c r="C24" s="37"/>
      <c r="D24" s="44"/>
      <c r="E24" s="44"/>
      <c r="F24" s="44"/>
      <c r="G24" s="37"/>
      <c r="H24" s="37"/>
      <c r="I24" s="73"/>
      <c r="J24" s="37"/>
      <c r="K24" s="37"/>
      <c r="L24" s="37"/>
      <c r="M24" s="37"/>
      <c r="N24" s="44"/>
      <c r="O24" s="44"/>
      <c r="P24" s="73"/>
      <c r="Q24" s="75" t="s">
        <v>340</v>
      </c>
      <c r="R24" s="115"/>
      <c r="S24" s="115"/>
      <c r="T24" s="115"/>
    </row>
    <row r="25" spans="1:20" s="6" customFormat="1" ht="9">
      <c r="A25" s="111" t="s">
        <v>372</v>
      </c>
      <c r="B25" s="37"/>
      <c r="C25" s="37"/>
      <c r="D25" s="44"/>
      <c r="E25" s="44"/>
      <c r="F25" s="44"/>
      <c r="G25" s="37"/>
      <c r="H25" s="37"/>
      <c r="I25" s="73"/>
      <c r="J25" s="37"/>
      <c r="K25" s="37"/>
      <c r="L25" s="37"/>
      <c r="M25" s="37"/>
      <c r="N25" s="44"/>
      <c r="O25" s="44"/>
      <c r="P25" s="73"/>
      <c r="Q25" s="75"/>
      <c r="R25" s="115"/>
      <c r="S25" s="115"/>
      <c r="T25" s="115"/>
    </row>
    <row r="26" spans="1:20" s="6" customFormat="1" ht="19.5" customHeight="1">
      <c r="A26" s="126" t="s">
        <v>326</v>
      </c>
      <c r="B26" s="37">
        <v>2</v>
      </c>
      <c r="C26" s="37">
        <v>0</v>
      </c>
      <c r="D26" s="44">
        <v>0</v>
      </c>
      <c r="E26" s="44">
        <v>0</v>
      </c>
      <c r="F26" s="44">
        <v>0</v>
      </c>
      <c r="G26" s="37">
        <v>0.5</v>
      </c>
      <c r="H26" s="37">
        <f>B26*G26</f>
        <v>1</v>
      </c>
      <c r="I26" s="73">
        <v>0</v>
      </c>
      <c r="J26" s="72">
        <f>H26*I26</f>
        <v>0</v>
      </c>
      <c r="K26" s="72">
        <f>J26*0.1</f>
        <v>0</v>
      </c>
      <c r="L26" s="72">
        <f>J26*0.05</f>
        <v>0</v>
      </c>
      <c r="M26" s="37">
        <f>C26*G26*I26</f>
        <v>0</v>
      </c>
      <c r="N26" s="44">
        <f>(J26*'Base Data'!$C$5)+(K26*'Base Data'!$C$6)+(L26*'Base Data'!$C$7)</f>
        <v>0</v>
      </c>
      <c r="O26" s="44">
        <f>(D26+E26+F26)*G26*I26</f>
        <v>0</v>
      </c>
      <c r="P26" s="73">
        <v>0</v>
      </c>
      <c r="Q26" s="75" t="s">
        <v>339</v>
      </c>
      <c r="R26" s="115"/>
      <c r="S26" s="115"/>
      <c r="T26" s="115"/>
    </row>
    <row r="27" spans="1:20" s="6" customFormat="1" ht="18">
      <c r="A27" s="126" t="s">
        <v>327</v>
      </c>
      <c r="B27" s="37">
        <v>15</v>
      </c>
      <c r="C27" s="37">
        <v>0</v>
      </c>
      <c r="D27" s="44">
        <v>0</v>
      </c>
      <c r="E27" s="44">
        <v>0</v>
      </c>
      <c r="F27" s="44">
        <v>0</v>
      </c>
      <c r="G27" s="37">
        <v>1</v>
      </c>
      <c r="H27" s="37">
        <f>B27*G27</f>
        <v>15</v>
      </c>
      <c r="I27" s="73">
        <v>0</v>
      </c>
      <c r="J27" s="72">
        <f>H27*I27</f>
        <v>0</v>
      </c>
      <c r="K27" s="72">
        <f>J27*0.1</f>
        <v>0</v>
      </c>
      <c r="L27" s="72">
        <f>J27*0.05</f>
        <v>0</v>
      </c>
      <c r="M27" s="37">
        <f>C27*G27*I27</f>
        <v>0</v>
      </c>
      <c r="N27" s="44">
        <f>(J27*'Base Data'!$C$5)+(K27*'Base Data'!$C$6)+(L27*'Base Data'!$C$7)</f>
        <v>0</v>
      </c>
      <c r="O27" s="44">
        <f>(D27+E27+F27)*G27*I27</f>
        <v>0</v>
      </c>
      <c r="P27" s="73">
        <v>0</v>
      </c>
      <c r="Q27" s="75" t="s">
        <v>68</v>
      </c>
      <c r="R27" s="115"/>
      <c r="S27" s="115"/>
      <c r="T27" s="115"/>
    </row>
    <row r="28" spans="1:20" s="6" customFormat="1" ht="9">
      <c r="A28" s="126" t="s">
        <v>236</v>
      </c>
      <c r="B28" s="37">
        <v>0.5</v>
      </c>
      <c r="C28" s="37"/>
      <c r="D28" s="44">
        <v>0</v>
      </c>
      <c r="E28" s="44">
        <v>0</v>
      </c>
      <c r="F28" s="44">
        <v>0</v>
      </c>
      <c r="G28" s="37">
        <v>0.5</v>
      </c>
      <c r="H28" s="37">
        <f>B28*G28</f>
        <v>0.25</v>
      </c>
      <c r="I28" s="73">
        <v>0</v>
      </c>
      <c r="J28" s="72">
        <f>H28*I28</f>
        <v>0</v>
      </c>
      <c r="K28" s="72">
        <f>J28*0.1</f>
        <v>0</v>
      </c>
      <c r="L28" s="72">
        <f>J28*0.05</f>
        <v>0</v>
      </c>
      <c r="M28" s="37">
        <f>C28*G28*I28</f>
        <v>0</v>
      </c>
      <c r="N28" s="44">
        <f>(J28*'Base Data'!$C$5)+(K28*'Base Data'!$C$6)+(L28*'Base Data'!$C$7)</f>
        <v>0</v>
      </c>
      <c r="O28" s="44">
        <f>(D28+E28+F28)*G28*I28</f>
        <v>0</v>
      </c>
      <c r="P28" s="73">
        <v>0</v>
      </c>
      <c r="Q28" s="75" t="s">
        <v>339</v>
      </c>
      <c r="R28" s="115"/>
      <c r="S28" s="115"/>
      <c r="T28" s="115"/>
    </row>
    <row r="29" spans="1:20" s="6" customFormat="1" ht="9">
      <c r="A29" s="110" t="s">
        <v>378</v>
      </c>
      <c r="B29" s="37">
        <v>40</v>
      </c>
      <c r="C29" s="17"/>
      <c r="D29" s="32">
        <v>0</v>
      </c>
      <c r="E29" s="32">
        <v>0</v>
      </c>
      <c r="F29" s="32">
        <v>0</v>
      </c>
      <c r="G29" s="17">
        <v>1</v>
      </c>
      <c r="H29" s="17">
        <f t="shared" ref="H29" si="1">B29*G29</f>
        <v>40</v>
      </c>
      <c r="I29" s="72">
        <v>0</v>
      </c>
      <c r="J29" s="18">
        <f t="shared" ref="J29" si="2">H29*I29</f>
        <v>0</v>
      </c>
      <c r="K29" s="18">
        <f t="shared" ref="K29" si="3">J29*0.1</f>
        <v>0</v>
      </c>
      <c r="L29" s="18">
        <f t="shared" ref="L29" si="4">J29*0.05</f>
        <v>0</v>
      </c>
      <c r="M29" s="17"/>
      <c r="N29" s="32">
        <f>(J29*'Base Data'!$C$5)+(K29*'Base Data'!$C$6)+(L29*'Base Data'!$C$7)</f>
        <v>0</v>
      </c>
      <c r="O29" s="32">
        <f t="shared" ref="O29" si="5">(D29+E29+F29)*G29*I29</f>
        <v>0</v>
      </c>
      <c r="P29" s="73">
        <v>0</v>
      </c>
      <c r="Q29" s="23" t="s">
        <v>77</v>
      </c>
    </row>
    <row r="30" spans="1:20" s="6" customFormat="1" ht="9">
      <c r="A30" s="111" t="s">
        <v>379</v>
      </c>
      <c r="B30" s="37" t="s">
        <v>384</v>
      </c>
      <c r="C30" s="37"/>
      <c r="D30" s="44"/>
      <c r="E30" s="44"/>
      <c r="F30" s="44"/>
      <c r="G30" s="37"/>
      <c r="H30" s="37"/>
      <c r="I30" s="73"/>
      <c r="J30" s="37"/>
      <c r="K30" s="37"/>
      <c r="L30" s="37"/>
      <c r="M30" s="37"/>
      <c r="N30" s="44"/>
      <c r="O30" s="44"/>
      <c r="P30" s="73"/>
      <c r="Q30" s="75"/>
      <c r="R30" s="115"/>
      <c r="S30" s="115"/>
      <c r="T30" s="115"/>
    </row>
    <row r="31" spans="1:20" s="6" customFormat="1" ht="9">
      <c r="A31" s="191" t="s">
        <v>26</v>
      </c>
      <c r="B31" s="184"/>
      <c r="C31" s="184"/>
      <c r="D31" s="185"/>
      <c r="E31" s="185"/>
      <c r="F31" s="185"/>
      <c r="G31" s="184"/>
      <c r="H31" s="184"/>
      <c r="I31" s="186"/>
      <c r="J31" s="184">
        <f t="shared" ref="J31:O31" si="6">SUM(J22:J30)</f>
        <v>0</v>
      </c>
      <c r="K31" s="184">
        <f t="shared" si="6"/>
        <v>0</v>
      </c>
      <c r="L31" s="184">
        <f t="shared" si="6"/>
        <v>0</v>
      </c>
      <c r="M31" s="184">
        <f t="shared" si="6"/>
        <v>0</v>
      </c>
      <c r="N31" s="185">
        <f t="shared" si="6"/>
        <v>0</v>
      </c>
      <c r="O31" s="185">
        <f t="shared" si="6"/>
        <v>0</v>
      </c>
      <c r="P31" s="186">
        <f>SUM(P22:P30)</f>
        <v>0</v>
      </c>
      <c r="Q31" s="187"/>
      <c r="R31" s="117">
        <f>SUM(O22:O31)</f>
        <v>0</v>
      </c>
      <c r="S31" s="115"/>
      <c r="T31" s="115"/>
    </row>
    <row r="32" spans="1:20" s="6" customFormat="1">
      <c r="A32" s="19" t="s">
        <v>351</v>
      </c>
      <c r="B32" s="20"/>
      <c r="C32" s="20"/>
      <c r="D32" s="20"/>
      <c r="E32" s="20"/>
      <c r="F32" s="20"/>
      <c r="G32" s="20"/>
      <c r="H32" s="20"/>
      <c r="I32" s="21"/>
      <c r="J32" s="22">
        <f t="shared" ref="J32:P32" si="7">SUM(J20,J31)</f>
        <v>210</v>
      </c>
      <c r="K32" s="22">
        <f t="shared" si="7"/>
        <v>21</v>
      </c>
      <c r="L32" s="22">
        <f t="shared" si="7"/>
        <v>10.5</v>
      </c>
      <c r="M32" s="22">
        <f t="shared" si="7"/>
        <v>0</v>
      </c>
      <c r="N32" s="33">
        <f t="shared" si="7"/>
        <v>22843.275000000001</v>
      </c>
      <c r="O32" s="33">
        <f t="shared" si="7"/>
        <v>0</v>
      </c>
      <c r="P32" s="22">
        <f t="shared" si="7"/>
        <v>5</v>
      </c>
      <c r="Q32" s="39"/>
    </row>
    <row r="33" spans="1:17" s="6" customFormat="1">
      <c r="A33" s="1"/>
      <c r="B33" s="7"/>
      <c r="C33" s="7"/>
      <c r="D33" s="7"/>
      <c r="E33" s="7"/>
      <c r="F33" s="7"/>
      <c r="G33" s="7"/>
      <c r="H33" s="7"/>
      <c r="I33" s="11"/>
      <c r="J33" s="7"/>
      <c r="K33" s="7"/>
      <c r="L33" s="7"/>
      <c r="M33" s="7"/>
      <c r="N33" s="7"/>
      <c r="O33" s="8"/>
      <c r="P33" s="8"/>
      <c r="Q33" s="7"/>
    </row>
    <row r="34" spans="1:17" s="6" customFormat="1" ht="9">
      <c r="A34" s="45" t="s">
        <v>438</v>
      </c>
      <c r="B34" s="14"/>
      <c r="C34" s="14"/>
      <c r="D34" s="14"/>
      <c r="E34" s="14"/>
      <c r="F34" s="14"/>
      <c r="G34" s="14"/>
      <c r="H34" s="14"/>
      <c r="I34" s="15"/>
      <c r="J34" s="14"/>
      <c r="K34" s="14"/>
      <c r="L34" s="14"/>
      <c r="M34" s="14"/>
      <c r="N34" s="14"/>
      <c r="O34" s="16"/>
      <c r="P34" s="16"/>
      <c r="Q34" s="14"/>
    </row>
    <row r="35" spans="1:17" s="13" customFormat="1" ht="30.75" customHeight="1">
      <c r="A35" s="498" t="s">
        <v>561</v>
      </c>
      <c r="B35" s="498"/>
      <c r="C35" s="498"/>
      <c r="D35" s="498"/>
      <c r="E35" s="498"/>
      <c r="F35" s="498"/>
      <c r="G35" s="498"/>
      <c r="H35" s="498"/>
      <c r="I35" s="498"/>
      <c r="J35" s="498"/>
      <c r="K35" s="498"/>
      <c r="L35" s="498"/>
      <c r="M35" s="498"/>
      <c r="N35" s="498"/>
      <c r="O35" s="498"/>
      <c r="P35" s="52"/>
      <c r="Q35" s="14"/>
    </row>
    <row r="36" spans="1:17" s="13" customFormat="1" ht="18" customHeight="1">
      <c r="A36" s="498" t="s">
        <v>325</v>
      </c>
      <c r="B36" s="498"/>
      <c r="C36" s="498"/>
      <c r="D36" s="498"/>
      <c r="E36" s="498"/>
      <c r="F36" s="498"/>
      <c r="G36" s="498"/>
      <c r="H36" s="498"/>
      <c r="I36" s="498"/>
      <c r="J36" s="498"/>
      <c r="K36" s="498"/>
      <c r="L36" s="498"/>
      <c r="M36" s="498"/>
      <c r="N36" s="498"/>
      <c r="O36" s="498"/>
      <c r="P36" s="52"/>
      <c r="Q36" s="14"/>
    </row>
    <row r="37" spans="1:17" s="13" customFormat="1" ht="21.75" customHeight="1">
      <c r="A37" s="494" t="s">
        <v>562</v>
      </c>
      <c r="B37" s="494"/>
      <c r="C37" s="494"/>
      <c r="D37" s="494"/>
      <c r="E37" s="494"/>
      <c r="F37" s="494"/>
      <c r="G37" s="494"/>
      <c r="H37" s="494"/>
      <c r="I37" s="494"/>
      <c r="J37" s="494"/>
      <c r="K37" s="494"/>
      <c r="L37" s="494"/>
      <c r="M37" s="494"/>
      <c r="N37" s="494"/>
      <c r="O37" s="494"/>
      <c r="P37" s="494"/>
      <c r="Q37" s="494"/>
    </row>
    <row r="38" spans="1:17" s="13" customFormat="1" ht="10.5" customHeight="1">
      <c r="A38" s="45" t="s">
        <v>392</v>
      </c>
      <c r="B38" s="48"/>
      <c r="C38" s="48"/>
      <c r="D38" s="48"/>
      <c r="E38" s="48"/>
      <c r="F38" s="48"/>
      <c r="G38" s="48"/>
      <c r="H38" s="48"/>
      <c r="I38" s="49"/>
      <c r="J38" s="48"/>
      <c r="K38" s="48"/>
      <c r="L38" s="48"/>
      <c r="M38" s="48"/>
      <c r="N38" s="48"/>
      <c r="O38" s="146"/>
      <c r="P38" s="146"/>
      <c r="Q38" s="48"/>
    </row>
    <row r="39" spans="1:17">
      <c r="A39" s="45" t="s">
        <v>503</v>
      </c>
      <c r="B39" s="46"/>
      <c r="C39" s="46"/>
      <c r="D39" s="46"/>
      <c r="E39" s="46"/>
      <c r="F39" s="46"/>
      <c r="G39" s="46"/>
      <c r="H39" s="46"/>
      <c r="I39" s="145"/>
      <c r="J39" s="145"/>
      <c r="K39" s="145"/>
      <c r="L39" s="145"/>
      <c r="M39" s="145"/>
      <c r="N39" s="46"/>
      <c r="O39" s="88"/>
      <c r="P39" s="88"/>
      <c r="Q39" s="88"/>
    </row>
    <row r="40" spans="1:17">
      <c r="A40" s="45" t="s">
        <v>502</v>
      </c>
      <c r="B40" s="46"/>
      <c r="C40" s="46"/>
      <c r="D40" s="46"/>
      <c r="E40" s="46"/>
      <c r="F40" s="46"/>
      <c r="G40" s="46"/>
      <c r="H40" s="46"/>
      <c r="I40" s="145"/>
      <c r="J40" s="145"/>
      <c r="K40" s="145"/>
      <c r="L40" s="145"/>
      <c r="M40" s="145"/>
      <c r="N40" s="46"/>
      <c r="O40" s="88"/>
      <c r="P40" s="88"/>
      <c r="Q40" s="88"/>
    </row>
    <row r="41" spans="1:17">
      <c r="A41" s="13" t="s">
        <v>501</v>
      </c>
      <c r="B41" s="46"/>
      <c r="C41" s="46"/>
      <c r="D41" s="46"/>
      <c r="E41" s="46"/>
      <c r="F41" s="46"/>
      <c r="G41" s="46"/>
      <c r="H41" s="46"/>
      <c r="I41" s="145"/>
      <c r="J41" s="145"/>
      <c r="K41" s="145"/>
      <c r="L41" s="145"/>
      <c r="M41" s="145"/>
      <c r="N41" s="46"/>
      <c r="O41" s="88"/>
      <c r="P41" s="88"/>
      <c r="Q41" s="88"/>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0" orientation="landscape"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V42"/>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Q13" sqref="Q13"/>
    </sheetView>
  </sheetViews>
  <sheetFormatPr defaultRowHeight="11.25"/>
  <cols>
    <col min="1" max="1" width="30.42578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7" style="1" bestFit="1" customWidth="1"/>
    <col min="16" max="16" width="7.28515625" style="1" bestFit="1" customWidth="1"/>
    <col min="17" max="17" width="4.42578125" style="1" customWidth="1"/>
    <col min="18" max="19" width="0" style="1" hidden="1" customWidth="1"/>
    <col min="20" max="16384" width="9.140625" style="1"/>
  </cols>
  <sheetData>
    <row r="1" spans="1:22">
      <c r="A1" s="475" t="s">
        <v>218</v>
      </c>
      <c r="B1" s="475"/>
      <c r="C1" s="475"/>
      <c r="D1" s="475"/>
      <c r="E1" s="475"/>
      <c r="F1" s="475"/>
      <c r="G1" s="475"/>
      <c r="H1" s="475"/>
      <c r="I1" s="475"/>
      <c r="J1" s="475"/>
      <c r="K1" s="475"/>
      <c r="L1" s="475"/>
      <c r="M1" s="475"/>
      <c r="N1" s="475"/>
      <c r="O1" s="475"/>
      <c r="P1" s="475"/>
      <c r="Q1" s="475"/>
    </row>
    <row r="2" spans="1:22">
      <c r="A2" s="501" t="s">
        <v>467</v>
      </c>
      <c r="B2" s="501"/>
      <c r="C2" s="501"/>
      <c r="D2" s="501"/>
      <c r="E2" s="501"/>
      <c r="F2" s="501"/>
      <c r="G2" s="501"/>
      <c r="H2" s="501"/>
      <c r="I2" s="501"/>
      <c r="J2" s="501"/>
      <c r="K2" s="501"/>
      <c r="L2" s="501"/>
      <c r="M2" s="501"/>
      <c r="N2" s="501"/>
      <c r="O2" s="501"/>
      <c r="P2" s="501"/>
      <c r="Q2" s="501"/>
    </row>
    <row r="3" spans="1:22" s="3" customFormat="1" ht="72">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c r="T3" s="142"/>
      <c r="U3" s="142"/>
      <c r="V3" s="142"/>
    </row>
    <row r="4" spans="1:22" s="6" customFormat="1" ht="9">
      <c r="A4" s="143" t="s">
        <v>356</v>
      </c>
      <c r="B4" s="128" t="s">
        <v>384</v>
      </c>
      <c r="C4" s="128"/>
      <c r="D4" s="130"/>
      <c r="E4" s="130"/>
      <c r="F4" s="130"/>
      <c r="G4" s="128"/>
      <c r="H4" s="128"/>
      <c r="I4" s="132"/>
      <c r="J4" s="128"/>
      <c r="K4" s="128"/>
      <c r="L4" s="128"/>
      <c r="M4" s="128"/>
      <c r="N4" s="130"/>
      <c r="O4" s="130"/>
      <c r="P4" s="130"/>
      <c r="Q4" s="188"/>
      <c r="R4" s="115"/>
      <c r="S4" s="115"/>
      <c r="T4" s="115"/>
      <c r="U4" s="115"/>
      <c r="V4" s="115"/>
    </row>
    <row r="5" spans="1:22" s="6" customFormat="1" ht="9">
      <c r="A5" s="111" t="s">
        <v>357</v>
      </c>
      <c r="B5" s="37" t="s">
        <v>384</v>
      </c>
      <c r="C5" s="37"/>
      <c r="D5" s="44"/>
      <c r="E5" s="44"/>
      <c r="F5" s="44"/>
      <c r="G5" s="37"/>
      <c r="H5" s="37"/>
      <c r="I5" s="73"/>
      <c r="J5" s="37"/>
      <c r="K5" s="37"/>
      <c r="L5" s="37"/>
      <c r="M5" s="37"/>
      <c r="N5" s="44"/>
      <c r="O5" s="44"/>
      <c r="P5" s="44"/>
      <c r="Q5" s="75"/>
      <c r="R5" s="115"/>
      <c r="S5" s="115"/>
      <c r="T5" s="115"/>
      <c r="U5" s="115"/>
      <c r="V5" s="115"/>
    </row>
    <row r="6" spans="1:22" s="6" customFormat="1" ht="9">
      <c r="A6" s="111" t="s">
        <v>358</v>
      </c>
      <c r="B6" s="37"/>
      <c r="C6" s="37"/>
      <c r="D6" s="44"/>
      <c r="E6" s="44"/>
      <c r="F6" s="44"/>
      <c r="G6" s="37"/>
      <c r="H6" s="37"/>
      <c r="I6" s="73"/>
      <c r="J6" s="37"/>
      <c r="K6" s="37"/>
      <c r="L6" s="37"/>
      <c r="M6" s="37"/>
      <c r="N6" s="44"/>
      <c r="O6" s="44"/>
      <c r="P6" s="44"/>
      <c r="Q6" s="75"/>
      <c r="R6" s="115"/>
      <c r="S6" s="115"/>
      <c r="T6" s="115"/>
      <c r="U6" s="115"/>
      <c r="V6" s="115"/>
    </row>
    <row r="7" spans="1:22" s="6"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c r="R7" s="115"/>
      <c r="S7" s="115"/>
      <c r="T7" s="115"/>
      <c r="U7" s="115"/>
      <c r="V7" s="115"/>
    </row>
    <row r="8" spans="1:22" s="6" customFormat="1" ht="9">
      <c r="A8" s="111" t="s">
        <v>360</v>
      </c>
      <c r="B8" s="37"/>
      <c r="C8" s="37"/>
      <c r="D8" s="44"/>
      <c r="E8" s="44"/>
      <c r="F8" s="44"/>
      <c r="G8" s="37"/>
      <c r="H8" s="37"/>
      <c r="I8" s="73"/>
      <c r="J8" s="37"/>
      <c r="K8" s="37"/>
      <c r="L8" s="37"/>
      <c r="M8" s="37"/>
      <c r="N8" s="44"/>
      <c r="O8" s="44"/>
      <c r="P8" s="73"/>
      <c r="Q8" s="75"/>
      <c r="R8" s="115"/>
      <c r="S8" s="115"/>
      <c r="T8" s="115"/>
      <c r="U8" s="115"/>
      <c r="V8" s="115"/>
    </row>
    <row r="9" spans="1:22" s="6" customFormat="1" ht="9">
      <c r="A9" s="111" t="s">
        <v>374</v>
      </c>
      <c r="B9" s="37"/>
      <c r="C9" s="37"/>
      <c r="D9" s="76"/>
      <c r="E9" s="44"/>
      <c r="F9" s="44"/>
      <c r="G9" s="37"/>
      <c r="H9" s="37"/>
      <c r="I9" s="72"/>
      <c r="J9" s="73"/>
      <c r="K9" s="73"/>
      <c r="L9" s="73"/>
      <c r="M9" s="74"/>
      <c r="N9" s="44"/>
      <c r="O9" s="44"/>
      <c r="P9" s="73"/>
      <c r="Q9" s="75"/>
      <c r="R9" s="75"/>
      <c r="S9" s="115"/>
      <c r="T9" s="115"/>
      <c r="U9" s="115"/>
      <c r="V9" s="144"/>
    </row>
    <row r="10" spans="1:22" s="6" customFormat="1" ht="9">
      <c r="A10" s="110" t="s">
        <v>249</v>
      </c>
      <c r="B10" s="37">
        <v>20</v>
      </c>
      <c r="C10" s="37"/>
      <c r="D10" s="44">
        <v>854</v>
      </c>
      <c r="E10" s="44">
        <v>0</v>
      </c>
      <c r="F10" s="44">
        <v>0</v>
      </c>
      <c r="G10" s="37">
        <v>1</v>
      </c>
      <c r="H10" s="37">
        <f>B10*G10</f>
        <v>20</v>
      </c>
      <c r="I10" s="72">
        <f>ROUND('Testing Costs'!$C$22*(SUM('Base Data'!$H$16:$H$17,'Base Data'!$H$21:$H$22)/2),0)</f>
        <v>0</v>
      </c>
      <c r="J10" s="73">
        <f>H10*I10</f>
        <v>0</v>
      </c>
      <c r="K10" s="73">
        <f>J10*0.1</f>
        <v>0</v>
      </c>
      <c r="L10" s="73">
        <f>J10*0.05</f>
        <v>0</v>
      </c>
      <c r="M10" s="74">
        <f>C10*G10*I10</f>
        <v>0</v>
      </c>
      <c r="N10" s="44">
        <f>(J10*'Base Data'!$C$5)+(K10*'Base Data'!$C$6)+(L10*'Base Data'!$C$7)</f>
        <v>0</v>
      </c>
      <c r="O10" s="44">
        <f>(D10+E10+F10)*G10*I10</f>
        <v>0</v>
      </c>
      <c r="P10" s="73">
        <v>0</v>
      </c>
      <c r="Q10" s="75" t="s">
        <v>480</v>
      </c>
      <c r="R10" s="75"/>
      <c r="S10" s="115"/>
      <c r="T10" s="115"/>
      <c r="U10" s="115"/>
      <c r="V10" s="144"/>
    </row>
    <row r="11" spans="1:22" s="6" customFormat="1" ht="9">
      <c r="A11" s="110" t="s">
        <v>251</v>
      </c>
      <c r="B11" s="37">
        <v>20</v>
      </c>
      <c r="C11" s="37"/>
      <c r="D11" s="44">
        <v>18292</v>
      </c>
      <c r="E11" s="44">
        <v>0</v>
      </c>
      <c r="F11" s="44">
        <v>0</v>
      </c>
      <c r="G11" s="37">
        <v>1</v>
      </c>
      <c r="H11" s="37">
        <f>B11*G11</f>
        <v>20</v>
      </c>
      <c r="I11" s="72">
        <f>ROUNDUP('Testing Costs'!$C$23*(SUM('Base Data'!$H$16:$H$17,'Base Data'!$H$21:$H$22)/2),0)</f>
        <v>3</v>
      </c>
      <c r="J11" s="73">
        <f>H11*I11</f>
        <v>60</v>
      </c>
      <c r="K11" s="73">
        <f>J11*0.1</f>
        <v>6</v>
      </c>
      <c r="L11" s="73">
        <f>J11*0.05</f>
        <v>3</v>
      </c>
      <c r="M11" s="74">
        <f>C11*G11*I11</f>
        <v>0</v>
      </c>
      <c r="N11" s="44">
        <f>(J11*'Base Data'!$C$5)+(K11*'Base Data'!$C$6)+(L11*'Base Data'!$C$7)</f>
        <v>6526.6500000000005</v>
      </c>
      <c r="O11" s="44">
        <f>(D11+E11+F11)*G11*I11</f>
        <v>54876</v>
      </c>
      <c r="P11" s="73">
        <v>0</v>
      </c>
      <c r="Q11" s="75" t="s">
        <v>480</v>
      </c>
      <c r="R11" s="75"/>
      <c r="S11" s="115"/>
      <c r="T11" s="115"/>
      <c r="U11" s="115"/>
      <c r="V11" s="144"/>
    </row>
    <row r="12" spans="1:22" s="6" customFormat="1" ht="9">
      <c r="A12" s="111" t="s">
        <v>234</v>
      </c>
      <c r="B12" s="37">
        <v>12</v>
      </c>
      <c r="C12" s="37"/>
      <c r="D12" s="44">
        <v>0</v>
      </c>
      <c r="E12" s="44">
        <v>2228</v>
      </c>
      <c r="F12" s="44">
        <v>0</v>
      </c>
      <c r="G12" s="37">
        <v>0.5</v>
      </c>
      <c r="H12" s="37">
        <f>B12*G12</f>
        <v>6</v>
      </c>
      <c r="I12" s="72">
        <f>ROUNDUP(SUM('Base Data'!$D$16:$D$17,'Base Data'!$D$21:$D$22)/2,0)</f>
        <v>18</v>
      </c>
      <c r="J12" s="72">
        <f>H12*I12</f>
        <v>108</v>
      </c>
      <c r="K12" s="72">
        <f>J12*0.1</f>
        <v>10.8</v>
      </c>
      <c r="L12" s="72">
        <f>J12*0.05</f>
        <v>5.4</v>
      </c>
      <c r="M12" s="73"/>
      <c r="N12" s="44">
        <f>(J12*'Base Data'!$C$5)+(K12*'Base Data'!$C$6)+(L12*'Base Data'!$C$7)</f>
        <v>11747.97</v>
      </c>
      <c r="O12" s="44">
        <f>(D12+E12+F12)*I12</f>
        <v>40104</v>
      </c>
      <c r="P12" s="73">
        <v>0</v>
      </c>
      <c r="Q12" s="75" t="s">
        <v>339</v>
      </c>
      <c r="R12" s="115"/>
      <c r="S12" s="115"/>
      <c r="T12" s="115"/>
      <c r="U12" s="115"/>
      <c r="V12" s="115"/>
    </row>
    <row r="13" spans="1:22" s="6" customFormat="1" ht="9">
      <c r="A13" s="111" t="s">
        <v>366</v>
      </c>
      <c r="B13" s="37" t="s">
        <v>384</v>
      </c>
      <c r="C13" s="37"/>
      <c r="D13" s="44"/>
      <c r="E13" s="44"/>
      <c r="F13" s="44"/>
      <c r="G13" s="37"/>
      <c r="H13" s="37"/>
      <c r="I13" s="73"/>
      <c r="J13" s="37"/>
      <c r="K13" s="37"/>
      <c r="L13" s="37"/>
      <c r="M13" s="37"/>
      <c r="N13" s="44"/>
      <c r="O13" s="44"/>
      <c r="P13" s="73"/>
      <c r="Q13" s="75"/>
      <c r="R13" s="115"/>
      <c r="S13" s="115"/>
      <c r="T13" s="115"/>
      <c r="U13" s="115"/>
      <c r="V13" s="115"/>
    </row>
    <row r="14" spans="1:22" s="6" customFormat="1" ht="9">
      <c r="A14" s="111" t="s">
        <v>367</v>
      </c>
      <c r="B14" s="37" t="s">
        <v>384</v>
      </c>
      <c r="C14" s="37"/>
      <c r="D14" s="44"/>
      <c r="E14" s="44"/>
      <c r="F14" s="44"/>
      <c r="G14" s="37"/>
      <c r="H14" s="37"/>
      <c r="I14" s="73"/>
      <c r="J14" s="37"/>
      <c r="K14" s="37"/>
      <c r="L14" s="37"/>
      <c r="M14" s="37"/>
      <c r="N14" s="44"/>
      <c r="O14" s="44"/>
      <c r="P14" s="73"/>
      <c r="Q14" s="75"/>
      <c r="R14" s="115"/>
      <c r="S14" s="115"/>
      <c r="T14" s="115"/>
      <c r="U14" s="115"/>
      <c r="V14" s="115"/>
    </row>
    <row r="15" spans="1:22" s="6" customFormat="1" ht="9">
      <c r="A15" s="111" t="s">
        <v>368</v>
      </c>
      <c r="B15" s="37"/>
      <c r="C15" s="37"/>
      <c r="D15" s="44"/>
      <c r="E15" s="44"/>
      <c r="F15" s="44"/>
      <c r="G15" s="37"/>
      <c r="H15" s="37"/>
      <c r="I15" s="73"/>
      <c r="J15" s="37"/>
      <c r="K15" s="37"/>
      <c r="L15" s="37"/>
      <c r="M15" s="37"/>
      <c r="N15" s="44"/>
      <c r="O15" s="44"/>
      <c r="P15" s="73"/>
      <c r="Q15" s="75"/>
      <c r="R15" s="115"/>
      <c r="S15" s="115"/>
      <c r="T15" s="115"/>
      <c r="U15" s="115"/>
      <c r="V15" s="115"/>
    </row>
    <row r="16" spans="1:22" s="6"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c r="R16" s="115"/>
      <c r="S16" s="115"/>
      <c r="T16" s="115"/>
      <c r="U16" s="115"/>
      <c r="V16" s="115"/>
    </row>
    <row r="17" spans="1:22" s="6" customFormat="1" ht="9">
      <c r="A17" s="126" t="s">
        <v>328</v>
      </c>
      <c r="B17" s="37">
        <v>8</v>
      </c>
      <c r="C17" s="37"/>
      <c r="D17" s="44">
        <v>0</v>
      </c>
      <c r="E17" s="44">
        <v>0</v>
      </c>
      <c r="F17" s="44">
        <v>0</v>
      </c>
      <c r="G17" s="37">
        <v>1</v>
      </c>
      <c r="H17" s="37">
        <f>B17*G17</f>
        <v>8</v>
      </c>
      <c r="I17" s="73">
        <v>0</v>
      </c>
      <c r="J17" s="72">
        <f>H17*I17</f>
        <v>0</v>
      </c>
      <c r="K17" s="72">
        <f>J17*0.1</f>
        <v>0</v>
      </c>
      <c r="L17" s="72">
        <f>J17*0.05</f>
        <v>0</v>
      </c>
      <c r="M17" s="37">
        <f>C17*G17*I17</f>
        <v>0</v>
      </c>
      <c r="N17" s="44">
        <f>(J17*'Base Data'!$C$5)+(K17*'Base Data'!$C$6)+(L17*'Base Data'!$C$7)</f>
        <v>0</v>
      </c>
      <c r="O17" s="44">
        <f>(D17+E17+F17)*G17*I17</f>
        <v>0</v>
      </c>
      <c r="P17" s="73">
        <f>G17*I17</f>
        <v>0</v>
      </c>
      <c r="Q17" s="75" t="s">
        <v>339</v>
      </c>
      <c r="R17" s="115"/>
      <c r="S17" s="115"/>
      <c r="T17" s="115"/>
      <c r="U17" s="115"/>
      <c r="V17" s="115"/>
    </row>
    <row r="18" spans="1:22" s="6" customFormat="1" ht="9">
      <c r="A18" s="112" t="s">
        <v>233</v>
      </c>
      <c r="B18" s="37">
        <v>5</v>
      </c>
      <c r="C18" s="37"/>
      <c r="D18" s="44">
        <v>0</v>
      </c>
      <c r="E18" s="44">
        <v>0</v>
      </c>
      <c r="F18" s="44">
        <v>0</v>
      </c>
      <c r="G18" s="37">
        <v>0.5</v>
      </c>
      <c r="H18" s="37">
        <f>B18*G18</f>
        <v>2.5</v>
      </c>
      <c r="I18" s="72">
        <v>0</v>
      </c>
      <c r="J18" s="72">
        <f>H18*I18</f>
        <v>0</v>
      </c>
      <c r="K18" s="72">
        <f>J18*0.1</f>
        <v>0</v>
      </c>
      <c r="L18" s="72">
        <f>J18*0.05</f>
        <v>0</v>
      </c>
      <c r="M18" s="37">
        <f>C18*G18*I18</f>
        <v>0</v>
      </c>
      <c r="N18" s="44">
        <f>(J18*'Base Data'!$C$5)+(K18*'Base Data'!$C$6)+(L18*'Base Data'!$C$7)</f>
        <v>0</v>
      </c>
      <c r="O18" s="44">
        <f>(D18+E18+F18)*G18*I18</f>
        <v>0</v>
      </c>
      <c r="P18" s="73">
        <f>G18*I18</f>
        <v>0</v>
      </c>
      <c r="Q18" s="75" t="s">
        <v>248</v>
      </c>
      <c r="R18" s="115"/>
      <c r="S18" s="115"/>
      <c r="T18" s="115"/>
      <c r="U18" s="115"/>
      <c r="V18" s="115"/>
    </row>
    <row r="19" spans="1:22" s="6" customFormat="1" ht="9">
      <c r="A19" s="126" t="s">
        <v>444</v>
      </c>
      <c r="B19" s="37">
        <v>5</v>
      </c>
      <c r="C19" s="17"/>
      <c r="D19" s="32">
        <v>0</v>
      </c>
      <c r="E19" s="32">
        <v>0</v>
      </c>
      <c r="F19" s="32">
        <v>0</v>
      </c>
      <c r="G19" s="17">
        <v>1</v>
      </c>
      <c r="H19" s="17">
        <f>B19*G19</f>
        <v>5</v>
      </c>
      <c r="I19" s="72">
        <v>0</v>
      </c>
      <c r="J19" s="18">
        <f>H19*I19</f>
        <v>0</v>
      </c>
      <c r="K19" s="18">
        <f>J19*0.1</f>
        <v>0</v>
      </c>
      <c r="L19" s="18">
        <f>J19*0.05</f>
        <v>0</v>
      </c>
      <c r="M19" s="17">
        <f>C19*G19*I19</f>
        <v>0</v>
      </c>
      <c r="N19" s="32">
        <f>(J19*'Base Data'!$C$5)+(K19*'Base Data'!$C$6)+(L19*'Base Data'!$C$7)</f>
        <v>0</v>
      </c>
      <c r="O19" s="32">
        <f>(D19+E19+F19)*G19*I19</f>
        <v>0</v>
      </c>
      <c r="P19" s="18">
        <f>G19*I19</f>
        <v>0</v>
      </c>
      <c r="Q19" s="23" t="s">
        <v>339</v>
      </c>
    </row>
    <row r="20" spans="1:22" s="6" customFormat="1" ht="9">
      <c r="A20" s="116" t="s">
        <v>7</v>
      </c>
      <c r="B20" s="37"/>
      <c r="C20" s="37"/>
      <c r="D20" s="44"/>
      <c r="E20" s="44"/>
      <c r="F20" s="44"/>
      <c r="G20" s="37"/>
      <c r="H20" s="37"/>
      <c r="I20" s="73"/>
      <c r="J20" s="73">
        <f>SUM(J7:J19)</f>
        <v>168</v>
      </c>
      <c r="K20" s="73">
        <f t="shared" ref="K20:O20" si="0">SUM(K7:K19)</f>
        <v>16.8</v>
      </c>
      <c r="L20" s="73">
        <f t="shared" si="0"/>
        <v>8.4</v>
      </c>
      <c r="M20" s="73">
        <f t="shared" si="0"/>
        <v>0</v>
      </c>
      <c r="N20" s="32">
        <f t="shared" si="0"/>
        <v>18274.62</v>
      </c>
      <c r="O20" s="32">
        <f t="shared" si="0"/>
        <v>94980</v>
      </c>
      <c r="P20" s="73">
        <f>ROUNDUP(SUM(P7:P19),0)</f>
        <v>0</v>
      </c>
      <c r="Q20" s="75"/>
      <c r="R20" s="117">
        <f>SUM(O7:O12)</f>
        <v>94980</v>
      </c>
      <c r="S20" s="115">
        <f>0</f>
        <v>0</v>
      </c>
      <c r="T20" s="115"/>
      <c r="U20" s="115"/>
      <c r="V20" s="115"/>
    </row>
    <row r="21" spans="1:22" s="6" customFormat="1" ht="9">
      <c r="A21" s="111" t="s">
        <v>382</v>
      </c>
      <c r="B21" s="37"/>
      <c r="C21" s="37"/>
      <c r="D21" s="44"/>
      <c r="E21" s="44"/>
      <c r="F21" s="44"/>
      <c r="G21" s="37"/>
      <c r="H21" s="37"/>
      <c r="I21" s="73"/>
      <c r="J21" s="37"/>
      <c r="K21" s="37"/>
      <c r="L21" s="37"/>
      <c r="M21" s="37"/>
      <c r="N21" s="44"/>
      <c r="O21" s="44"/>
      <c r="P21" s="73"/>
      <c r="Q21" s="75"/>
      <c r="R21" s="115"/>
      <c r="S21" s="115"/>
      <c r="T21" s="115"/>
      <c r="U21" s="115"/>
      <c r="V21" s="115"/>
    </row>
    <row r="22" spans="1:22" s="6" customFormat="1" ht="9">
      <c r="A22" s="111" t="s">
        <v>369</v>
      </c>
      <c r="B22" s="37" t="s">
        <v>373</v>
      </c>
      <c r="C22" s="37"/>
      <c r="D22" s="44"/>
      <c r="E22" s="44"/>
      <c r="F22" s="44"/>
      <c r="G22" s="37"/>
      <c r="H22" s="37"/>
      <c r="I22" s="73"/>
      <c r="J22" s="37"/>
      <c r="K22" s="37"/>
      <c r="L22" s="37"/>
      <c r="M22" s="37"/>
      <c r="N22" s="44"/>
      <c r="O22" s="44"/>
      <c r="P22" s="73"/>
      <c r="Q22" s="75"/>
      <c r="R22" s="115"/>
      <c r="S22" s="115"/>
      <c r="T22" s="115"/>
      <c r="U22" s="115"/>
      <c r="V22" s="115"/>
    </row>
    <row r="23" spans="1:22" s="6" customFormat="1" ht="9">
      <c r="A23" s="111" t="s">
        <v>370</v>
      </c>
      <c r="B23" s="37" t="s">
        <v>384</v>
      </c>
      <c r="C23" s="37"/>
      <c r="D23" s="44"/>
      <c r="E23" s="44"/>
      <c r="F23" s="44"/>
      <c r="G23" s="37"/>
      <c r="H23" s="37"/>
      <c r="I23" s="73"/>
      <c r="J23" s="37"/>
      <c r="K23" s="37"/>
      <c r="L23" s="37"/>
      <c r="M23" s="37"/>
      <c r="N23" s="44"/>
      <c r="O23" s="44"/>
      <c r="P23" s="73"/>
      <c r="Q23" s="75"/>
      <c r="R23" s="115"/>
      <c r="S23" s="115"/>
      <c r="T23" s="115"/>
      <c r="U23" s="115"/>
      <c r="V23" s="115"/>
    </row>
    <row r="24" spans="1:22" s="6" customFormat="1" ht="9">
      <c r="A24" s="111" t="s">
        <v>371</v>
      </c>
      <c r="B24" s="37" t="s">
        <v>384</v>
      </c>
      <c r="C24" s="37"/>
      <c r="D24" s="44"/>
      <c r="E24" s="44"/>
      <c r="F24" s="44"/>
      <c r="G24" s="37"/>
      <c r="H24" s="37"/>
      <c r="I24" s="73"/>
      <c r="J24" s="37"/>
      <c r="K24" s="37"/>
      <c r="L24" s="37"/>
      <c r="M24" s="37"/>
      <c r="N24" s="44"/>
      <c r="O24" s="44"/>
      <c r="P24" s="73"/>
      <c r="Q24" s="75" t="s">
        <v>340</v>
      </c>
      <c r="R24" s="115"/>
      <c r="S24" s="115"/>
      <c r="T24" s="115"/>
      <c r="U24" s="115"/>
      <c r="V24" s="115"/>
    </row>
    <row r="25" spans="1:22" s="6" customFormat="1" ht="9">
      <c r="A25" s="111" t="s">
        <v>372</v>
      </c>
      <c r="B25" s="37"/>
      <c r="C25" s="37"/>
      <c r="D25" s="44"/>
      <c r="E25" s="44"/>
      <c r="F25" s="44"/>
      <c r="G25" s="37"/>
      <c r="H25" s="37"/>
      <c r="I25" s="73"/>
      <c r="J25" s="37"/>
      <c r="K25" s="37"/>
      <c r="L25" s="37"/>
      <c r="M25" s="37"/>
      <c r="N25" s="44"/>
      <c r="O25" s="44"/>
      <c r="P25" s="73"/>
      <c r="Q25" s="75"/>
      <c r="R25" s="115"/>
      <c r="S25" s="115"/>
      <c r="T25" s="115"/>
      <c r="U25" s="115"/>
      <c r="V25" s="115"/>
    </row>
    <row r="26" spans="1:22" s="6" customFormat="1" ht="19.5" customHeight="1">
      <c r="A26" s="126" t="s">
        <v>326</v>
      </c>
      <c r="B26" s="37">
        <v>2</v>
      </c>
      <c r="C26" s="37">
        <v>0</v>
      </c>
      <c r="D26" s="44">
        <v>0</v>
      </c>
      <c r="E26" s="44">
        <v>0</v>
      </c>
      <c r="F26" s="44">
        <v>0</v>
      </c>
      <c r="G26" s="37">
        <v>0.5</v>
      </c>
      <c r="H26" s="37">
        <f>B26*G26</f>
        <v>1</v>
      </c>
      <c r="I26" s="73">
        <v>0</v>
      </c>
      <c r="J26" s="72">
        <f>H26*I26</f>
        <v>0</v>
      </c>
      <c r="K26" s="72">
        <f>J26*0.1</f>
        <v>0</v>
      </c>
      <c r="L26" s="72">
        <f>J26*0.05</f>
        <v>0</v>
      </c>
      <c r="M26" s="37">
        <f>C26*G26*I26</f>
        <v>0</v>
      </c>
      <c r="N26" s="44">
        <f>(J26*'Base Data'!$C$5)+(K26*'Base Data'!$C$6)+(L26*'Base Data'!$C$7)</f>
        <v>0</v>
      </c>
      <c r="O26" s="44">
        <f>(D26+E26+F26)*G26*I26</f>
        <v>0</v>
      </c>
      <c r="P26" s="73">
        <v>0</v>
      </c>
      <c r="Q26" s="75" t="s">
        <v>339</v>
      </c>
      <c r="R26" s="115"/>
      <c r="S26" s="115"/>
      <c r="T26" s="115"/>
      <c r="U26" s="115"/>
      <c r="V26" s="115"/>
    </row>
    <row r="27" spans="1:22" s="6" customFormat="1" ht="18">
      <c r="A27" s="126" t="s">
        <v>327</v>
      </c>
      <c r="B27" s="37">
        <v>15</v>
      </c>
      <c r="C27" s="37">
        <v>0</v>
      </c>
      <c r="D27" s="44">
        <v>0</v>
      </c>
      <c r="E27" s="44">
        <v>0</v>
      </c>
      <c r="F27" s="44">
        <v>0</v>
      </c>
      <c r="G27" s="37">
        <v>1</v>
      </c>
      <c r="H27" s="37">
        <f>B27*G27</f>
        <v>15</v>
      </c>
      <c r="I27" s="73">
        <v>0</v>
      </c>
      <c r="J27" s="72">
        <f>H27*I27</f>
        <v>0</v>
      </c>
      <c r="K27" s="72">
        <f>J27*0.1</f>
        <v>0</v>
      </c>
      <c r="L27" s="72">
        <f>J27*0.05</f>
        <v>0</v>
      </c>
      <c r="M27" s="37">
        <f>C27*G27*I27</f>
        <v>0</v>
      </c>
      <c r="N27" s="44">
        <f>(J27*'Base Data'!$C$5)+(K27*'Base Data'!$C$6)+(L27*'Base Data'!$C$7)</f>
        <v>0</v>
      </c>
      <c r="O27" s="44">
        <f>(D27+E27+F27)*G27*I27</f>
        <v>0</v>
      </c>
      <c r="P27" s="73">
        <v>0</v>
      </c>
      <c r="Q27" s="75" t="s">
        <v>68</v>
      </c>
      <c r="R27" s="115"/>
      <c r="S27" s="115"/>
      <c r="T27" s="115"/>
      <c r="U27" s="115"/>
      <c r="V27" s="115"/>
    </row>
    <row r="28" spans="1:22" s="6" customFormat="1" ht="9">
      <c r="A28" s="126" t="s">
        <v>236</v>
      </c>
      <c r="B28" s="37">
        <v>0.5</v>
      </c>
      <c r="C28" s="37"/>
      <c r="D28" s="44">
        <v>0</v>
      </c>
      <c r="E28" s="44">
        <v>0</v>
      </c>
      <c r="F28" s="44">
        <v>0</v>
      </c>
      <c r="G28" s="37">
        <v>0.5</v>
      </c>
      <c r="H28" s="37">
        <f>B28*G28</f>
        <v>0.25</v>
      </c>
      <c r="I28" s="72">
        <v>0</v>
      </c>
      <c r="J28" s="72">
        <f>H28*I28</f>
        <v>0</v>
      </c>
      <c r="K28" s="72">
        <f>J28*0.1</f>
        <v>0</v>
      </c>
      <c r="L28" s="72">
        <f>J28*0.05</f>
        <v>0</v>
      </c>
      <c r="M28" s="37">
        <f>C28*G28*I28</f>
        <v>0</v>
      </c>
      <c r="N28" s="44">
        <f>(J28*'Base Data'!$C$5)+(K28*'Base Data'!$C$6)+(L28*'Base Data'!$C$7)</f>
        <v>0</v>
      </c>
      <c r="O28" s="44">
        <f>(D28+E28+F28)*G28*I28</f>
        <v>0</v>
      </c>
      <c r="P28" s="73">
        <v>0</v>
      </c>
      <c r="Q28" s="75" t="s">
        <v>339</v>
      </c>
      <c r="R28" s="115"/>
      <c r="S28" s="115"/>
      <c r="T28" s="115"/>
      <c r="U28" s="115"/>
      <c r="V28" s="115"/>
    </row>
    <row r="29" spans="1:22" s="6" customFormat="1" ht="9">
      <c r="A29" s="110" t="s">
        <v>378</v>
      </c>
      <c r="B29" s="37">
        <v>40</v>
      </c>
      <c r="C29" s="17"/>
      <c r="D29" s="32">
        <v>0</v>
      </c>
      <c r="E29" s="32">
        <v>0</v>
      </c>
      <c r="F29" s="32">
        <v>0</v>
      </c>
      <c r="G29" s="17">
        <v>1</v>
      </c>
      <c r="H29" s="17">
        <f t="shared" ref="H29" si="1">B29*G29</f>
        <v>40</v>
      </c>
      <c r="I29" s="72">
        <f>ROUND(SUM('Base Data'!$H$16:$H$17,'Base Data'!$H$21:$H$22)/2,0)</f>
        <v>3</v>
      </c>
      <c r="J29" s="18">
        <f t="shared" ref="J29" si="2">H29*I29</f>
        <v>120</v>
      </c>
      <c r="K29" s="18">
        <f t="shared" ref="K29" si="3">J29*0.1</f>
        <v>12</v>
      </c>
      <c r="L29" s="18">
        <f t="shared" ref="L29" si="4">J29*0.05</f>
        <v>6</v>
      </c>
      <c r="M29" s="17"/>
      <c r="N29" s="32">
        <f>(J29*'Base Data'!$C$5)+(K29*'Base Data'!$C$6)+(L29*'Base Data'!$C$7)</f>
        <v>13053.300000000001</v>
      </c>
      <c r="O29" s="32">
        <f t="shared" ref="O29" si="5">(D29+E29+F29)*G29*I29</f>
        <v>0</v>
      </c>
      <c r="P29" s="73">
        <v>0</v>
      </c>
      <c r="Q29" s="23" t="s">
        <v>77</v>
      </c>
    </row>
    <row r="30" spans="1:22" s="6" customFormat="1" ht="9">
      <c r="A30" s="111" t="s">
        <v>379</v>
      </c>
      <c r="B30" s="37" t="s">
        <v>384</v>
      </c>
      <c r="C30" s="37"/>
      <c r="D30" s="44"/>
      <c r="E30" s="44"/>
      <c r="F30" s="44"/>
      <c r="G30" s="37"/>
      <c r="H30" s="37"/>
      <c r="I30" s="73"/>
      <c r="J30" s="37"/>
      <c r="K30" s="37"/>
      <c r="L30" s="37"/>
      <c r="M30" s="37"/>
      <c r="N30" s="44"/>
      <c r="O30" s="44"/>
      <c r="P30" s="73"/>
      <c r="Q30" s="75"/>
      <c r="R30" s="115"/>
      <c r="S30" s="115"/>
      <c r="T30" s="115"/>
      <c r="U30" s="115"/>
      <c r="V30" s="115"/>
    </row>
    <row r="31" spans="1:22" s="6" customFormat="1" ht="9">
      <c r="A31" s="191" t="s">
        <v>26</v>
      </c>
      <c r="B31" s="184"/>
      <c r="C31" s="184"/>
      <c r="D31" s="185"/>
      <c r="E31" s="185"/>
      <c r="F31" s="185"/>
      <c r="G31" s="184"/>
      <c r="H31" s="184"/>
      <c r="I31" s="186"/>
      <c r="J31" s="184">
        <f t="shared" ref="J31:O31" si="6">SUM(J22:J30)</f>
        <v>120</v>
      </c>
      <c r="K31" s="184">
        <f t="shared" si="6"/>
        <v>12</v>
      </c>
      <c r="L31" s="184">
        <f t="shared" si="6"/>
        <v>6</v>
      </c>
      <c r="M31" s="184">
        <f t="shared" si="6"/>
        <v>0</v>
      </c>
      <c r="N31" s="185">
        <f t="shared" si="6"/>
        <v>13053.300000000001</v>
      </c>
      <c r="O31" s="185">
        <f t="shared" si="6"/>
        <v>0</v>
      </c>
      <c r="P31" s="186">
        <f>SUM(P22:P30)</f>
        <v>0</v>
      </c>
      <c r="Q31" s="187"/>
      <c r="R31" s="117">
        <f>SUM(O22:O31)</f>
        <v>0</v>
      </c>
      <c r="S31" s="115"/>
      <c r="T31" s="115"/>
      <c r="U31" s="115"/>
      <c r="V31" s="115"/>
    </row>
    <row r="32" spans="1:22" s="6" customFormat="1">
      <c r="A32" s="135" t="s">
        <v>351</v>
      </c>
      <c r="B32" s="136"/>
      <c r="C32" s="136"/>
      <c r="D32" s="136"/>
      <c r="E32" s="136"/>
      <c r="F32" s="136"/>
      <c r="G32" s="136"/>
      <c r="H32" s="136"/>
      <c r="I32" s="138"/>
      <c r="J32" s="139">
        <f t="shared" ref="J32:P32" si="7">SUM(J20,J31)</f>
        <v>288</v>
      </c>
      <c r="K32" s="139">
        <f t="shared" si="7"/>
        <v>28.8</v>
      </c>
      <c r="L32" s="139">
        <f t="shared" si="7"/>
        <v>14.4</v>
      </c>
      <c r="M32" s="139">
        <f t="shared" si="7"/>
        <v>0</v>
      </c>
      <c r="N32" s="140">
        <f t="shared" si="7"/>
        <v>31327.919999999998</v>
      </c>
      <c r="O32" s="140">
        <f t="shared" si="7"/>
        <v>94980</v>
      </c>
      <c r="P32" s="22">
        <f t="shared" si="7"/>
        <v>0</v>
      </c>
      <c r="Q32" s="141"/>
      <c r="R32" s="115"/>
      <c r="S32" s="115"/>
      <c r="T32" s="115"/>
      <c r="U32" s="115"/>
      <c r="V32" s="115"/>
    </row>
    <row r="33" spans="1:22" s="6" customFormat="1">
      <c r="A33" s="88"/>
      <c r="B33" s="46"/>
      <c r="C33" s="46"/>
      <c r="D33" s="46"/>
      <c r="E33" s="46"/>
      <c r="F33" s="46"/>
      <c r="G33" s="46"/>
      <c r="H33" s="46"/>
      <c r="I33" s="47"/>
      <c r="J33" s="46"/>
      <c r="K33" s="46"/>
      <c r="L33" s="46"/>
      <c r="M33" s="46"/>
      <c r="N33" s="46"/>
      <c r="O33" s="145"/>
      <c r="P33" s="8"/>
      <c r="Q33" s="46"/>
      <c r="R33" s="115"/>
      <c r="S33" s="115"/>
      <c r="T33" s="115"/>
      <c r="U33" s="115"/>
      <c r="V33" s="115"/>
    </row>
    <row r="34" spans="1:22" s="6" customFormat="1" ht="17.25" customHeight="1">
      <c r="A34" s="494" t="s">
        <v>439</v>
      </c>
      <c r="B34" s="494"/>
      <c r="C34" s="494"/>
      <c r="D34" s="494"/>
      <c r="E34" s="494"/>
      <c r="F34" s="494"/>
      <c r="G34" s="494"/>
      <c r="H34" s="494"/>
      <c r="I34" s="494"/>
      <c r="J34" s="494"/>
      <c r="K34" s="494"/>
      <c r="L34" s="494"/>
      <c r="M34" s="494"/>
      <c r="N34" s="494"/>
      <c r="O34" s="494"/>
      <c r="P34" s="494"/>
      <c r="Q34" s="494"/>
      <c r="R34" s="115"/>
      <c r="S34" s="115"/>
      <c r="T34" s="115"/>
      <c r="U34" s="115"/>
      <c r="V34" s="115"/>
    </row>
    <row r="35" spans="1:22" s="13" customFormat="1" ht="29.25" customHeight="1">
      <c r="A35" s="498" t="s">
        <v>561</v>
      </c>
      <c r="B35" s="498"/>
      <c r="C35" s="498"/>
      <c r="D35" s="498"/>
      <c r="E35" s="498"/>
      <c r="F35" s="498"/>
      <c r="G35" s="498"/>
      <c r="H35" s="498"/>
      <c r="I35" s="498"/>
      <c r="J35" s="498"/>
      <c r="K35" s="498"/>
      <c r="L35" s="498"/>
      <c r="M35" s="498"/>
      <c r="N35" s="498"/>
      <c r="O35" s="498"/>
      <c r="P35" s="257"/>
      <c r="Q35" s="48"/>
      <c r="R35" s="45"/>
      <c r="S35" s="45"/>
      <c r="T35" s="45"/>
      <c r="U35" s="45"/>
      <c r="V35" s="45"/>
    </row>
    <row r="36" spans="1:22" s="13" customFormat="1" ht="29.25" customHeight="1">
      <c r="A36" s="498" t="s">
        <v>235</v>
      </c>
      <c r="B36" s="498"/>
      <c r="C36" s="498"/>
      <c r="D36" s="498"/>
      <c r="E36" s="498"/>
      <c r="F36" s="498"/>
      <c r="G36" s="498"/>
      <c r="H36" s="498"/>
      <c r="I36" s="498"/>
      <c r="J36" s="498"/>
      <c r="K36" s="498"/>
      <c r="L36" s="498"/>
      <c r="M36" s="498"/>
      <c r="N36" s="498"/>
      <c r="O36" s="498"/>
      <c r="P36" s="257"/>
      <c r="Q36" s="7"/>
    </row>
    <row r="37" spans="1:22" s="13" customFormat="1" ht="21.75" customHeight="1">
      <c r="A37" s="494" t="s">
        <v>562</v>
      </c>
      <c r="B37" s="494"/>
      <c r="C37" s="494"/>
      <c r="D37" s="494"/>
      <c r="E37" s="494"/>
      <c r="F37" s="494"/>
      <c r="G37" s="494"/>
      <c r="H37" s="494"/>
      <c r="I37" s="494"/>
      <c r="J37" s="494"/>
      <c r="K37" s="494"/>
      <c r="L37" s="494"/>
      <c r="M37" s="494"/>
      <c r="N37" s="494"/>
      <c r="O37" s="494"/>
      <c r="P37" s="494"/>
      <c r="Q37" s="494"/>
    </row>
    <row r="38" spans="1:22" s="13" customFormat="1" ht="10.5" customHeight="1">
      <c r="A38" s="13" t="s">
        <v>392</v>
      </c>
      <c r="B38" s="14"/>
      <c r="C38" s="14"/>
      <c r="D38" s="14"/>
      <c r="E38" s="14"/>
      <c r="F38" s="14"/>
      <c r="G38" s="14"/>
      <c r="H38" s="15"/>
      <c r="I38" s="14"/>
      <c r="J38" s="14"/>
      <c r="K38" s="14"/>
      <c r="L38" s="14"/>
      <c r="M38" s="14"/>
      <c r="N38" s="14"/>
      <c r="O38" s="16"/>
      <c r="P38" s="146"/>
      <c r="Q38" s="14"/>
    </row>
    <row r="39" spans="1:22">
      <c r="A39" s="45" t="s">
        <v>503</v>
      </c>
      <c r="P39" s="88"/>
    </row>
    <row r="40" spans="1:22">
      <c r="A40" s="45" t="s">
        <v>502</v>
      </c>
      <c r="P40" s="88"/>
    </row>
    <row r="41" spans="1:22">
      <c r="A41" s="13" t="s">
        <v>501</v>
      </c>
      <c r="P41" s="88"/>
    </row>
    <row r="42" spans="1:22">
      <c r="A42" s="382"/>
    </row>
  </sheetData>
  <mergeCells count="6">
    <mergeCell ref="A37:Q37"/>
    <mergeCell ref="A1:Q1"/>
    <mergeCell ref="A2:Q2"/>
    <mergeCell ref="A35:O35"/>
    <mergeCell ref="A36:O36"/>
    <mergeCell ref="A34:Q34"/>
  </mergeCells>
  <phoneticPr fontId="9" type="noConversion"/>
  <printOptions horizontalCentered="1"/>
  <pageMargins left="0.25" right="0.25" top="0.5" bottom="0.5" header="0.5" footer="0.5"/>
  <pageSetup scale="86" orientation="landscape" r:id="rId1"/>
  <headerFooter alignWithMargins="0"/>
</worksheet>
</file>

<file path=xl/worksheets/sheet3.xml><?xml version="1.0" encoding="utf-8"?>
<worksheet xmlns="http://schemas.openxmlformats.org/spreadsheetml/2006/main" xmlns:r="http://schemas.openxmlformats.org/officeDocument/2006/relationships">
  <dimension ref="A1:D20"/>
  <sheetViews>
    <sheetView zoomScale="85" workbookViewId="0">
      <selection activeCell="D70" sqref="D70"/>
    </sheetView>
  </sheetViews>
  <sheetFormatPr defaultRowHeight="12.75"/>
  <cols>
    <col min="1" max="1" width="19.42578125" bestFit="1" customWidth="1"/>
    <col min="2" max="3" width="16.5703125" customWidth="1"/>
    <col min="4" max="4" width="22.85546875" bestFit="1" customWidth="1"/>
  </cols>
  <sheetData>
    <row r="1" spans="1:4" ht="61.5" customHeight="1" thickBot="1">
      <c r="A1" s="441" t="s">
        <v>639</v>
      </c>
      <c r="B1" s="442" t="s">
        <v>640</v>
      </c>
      <c r="C1" s="442" t="s">
        <v>647</v>
      </c>
      <c r="D1" s="443" t="s">
        <v>648</v>
      </c>
    </row>
    <row r="2" spans="1:4" ht="25.5">
      <c r="A2" s="444" t="s">
        <v>277</v>
      </c>
      <c r="B2" s="451">
        <f>SUM('Summary 2'!$D$3:$D$4)</f>
        <v>131</v>
      </c>
      <c r="C2" s="452">
        <f>'Fac-ExistLrgSolid-Yr1'!$P$55+'Fac-ExistLrgSolid-Yr2'!$P$55+'Fac-ExistLrgSolid-Yr3'!$P$55</f>
        <v>655</v>
      </c>
      <c r="D2" s="438">
        <f>C2/3</f>
        <v>218.33333333333334</v>
      </c>
    </row>
    <row r="3" spans="1:4" ht="21.75" customHeight="1">
      <c r="A3" s="445" t="s">
        <v>278</v>
      </c>
      <c r="B3" s="453">
        <f>SUM('Summary 2'!$B$3:$B$4)</f>
        <v>10</v>
      </c>
      <c r="C3" s="454">
        <f>'Fac-NewLrgSolid-Yr1'!P63+'Fac-NewLrgSolid-Yr2'!P63+'Fac-NewLrgSolid-Yr3'!P63</f>
        <v>62</v>
      </c>
      <c r="D3" s="439">
        <f t="shared" ref="D3:D13" si="0">C3/3</f>
        <v>20.666666666666668</v>
      </c>
    </row>
    <row r="4" spans="1:4" ht="25.5">
      <c r="A4" s="445" t="s">
        <v>279</v>
      </c>
      <c r="B4" s="455">
        <f>SUM('Summary 2'!$D$9:$D$10)</f>
        <v>5</v>
      </c>
      <c r="C4" s="454">
        <f>'Fac - ExistSmlSolid-Yr1'!$P$20+'Fac - ExistSmlSolid-Yr2'!$P$20+'Fac - ExistSmlSolid-Yr3'!$P$20</f>
        <v>18</v>
      </c>
      <c r="D4" s="439">
        <f t="shared" si="0"/>
        <v>6</v>
      </c>
    </row>
    <row r="5" spans="1:4" ht="24" customHeight="1">
      <c r="A5" s="445" t="s">
        <v>280</v>
      </c>
      <c r="B5" s="453">
        <f>SUM('Summary 2'!$B$9:$B$10)</f>
        <v>1</v>
      </c>
      <c r="C5" s="454">
        <f>'Fac-NewSmlSolid-Yr1'!P16+'Fac-NewSmlSolid-Yr2'!P16+'Fac-NewSmlSolid-Yr3'!P16</f>
        <v>4</v>
      </c>
      <c r="D5" s="439">
        <f t="shared" si="0"/>
        <v>1.3333333333333333</v>
      </c>
    </row>
    <row r="6" spans="1:4" ht="25.5">
      <c r="A6" s="445" t="s">
        <v>281</v>
      </c>
      <c r="B6" s="453">
        <f>SUM('Summary 2'!$D$5)</f>
        <v>71</v>
      </c>
      <c r="C6" s="454">
        <f>'Fac-ExistLrgLiquid-Yr1'!$P$55+'Fac-ExistLrgLiquid-Yr2'!$P$55+'Fac-ExistLrgLiquid-Yr3'!$P$55</f>
        <v>355</v>
      </c>
      <c r="D6" s="439">
        <f t="shared" si="0"/>
        <v>118.33333333333333</v>
      </c>
    </row>
    <row r="7" spans="1:4" ht="21" customHeight="1">
      <c r="A7" s="445" t="s">
        <v>282</v>
      </c>
      <c r="B7" s="453">
        <f>SUM('Summary 2'!$B$5)</f>
        <v>0</v>
      </c>
      <c r="C7" s="454">
        <f>'Fac-NewLrgLiquid-Yr1'!$P$48+'Fac-NewLrgLiquid-Yr2'!$P$48+'Fac-NewLrgLiquid-Yr3'!$P$48</f>
        <v>0</v>
      </c>
      <c r="D7" s="439">
        <f t="shared" si="0"/>
        <v>0</v>
      </c>
    </row>
    <row r="8" spans="1:4" ht="25.5">
      <c r="A8" s="445" t="s">
        <v>283</v>
      </c>
      <c r="B8" s="453">
        <f>SUM('Summary 2'!$D$11)</f>
        <v>43</v>
      </c>
      <c r="C8" s="454">
        <f>SUM('Fac - ExistSmlLiquid-Yr1'!$P$20+'Fac - ExistSmlLiquid-Yr2'!$P$20+'Fac - ExistSmlLiquid-Yr3'!$P$20)</f>
        <v>151</v>
      </c>
      <c r="D8" s="439">
        <f t="shared" si="0"/>
        <v>50.333333333333336</v>
      </c>
    </row>
    <row r="9" spans="1:4" ht="18" customHeight="1">
      <c r="A9" s="445" t="s">
        <v>284</v>
      </c>
      <c r="B9" s="453">
        <f>SUM('Summary 2'!$B$11)</f>
        <v>0</v>
      </c>
      <c r="C9" s="454">
        <f>'Fac-NewSmlLiquid-Yr1'!P16+'Fac-NewSmlLiquid-Yr2'!P16+'Fac-NewSmlLiquid-Yr3'!P16</f>
        <v>0</v>
      </c>
      <c r="D9" s="439">
        <f t="shared" si="0"/>
        <v>0</v>
      </c>
    </row>
    <row r="10" spans="1:4" ht="25.5">
      <c r="A10" s="445" t="s">
        <v>285</v>
      </c>
      <c r="B10" s="453">
        <f>SUM('Summary 2'!$D$6:$D$8)</f>
        <v>549</v>
      </c>
      <c r="C10" s="454">
        <f>'Fac-ExistLrgGas-Yr1'!$P$52+'Fac-ExistLrgGas-Yr2'!$P$52+'Fac-ExistLrgGas-Yr3'!$P$52</f>
        <v>3001</v>
      </c>
      <c r="D10" s="439">
        <f t="shared" si="0"/>
        <v>1000.3333333333334</v>
      </c>
    </row>
    <row r="11" spans="1:4" ht="25.5">
      <c r="A11" s="445" t="s">
        <v>286</v>
      </c>
      <c r="B11" s="453">
        <f>SUM('Summary 2'!$B$6:$B$8)</f>
        <v>98</v>
      </c>
      <c r="C11" s="454">
        <f>'Fac-NewLrgGas-Yr1'!$P$48+'Fac-NewLrgGas-Yr2'!$P$48+'Fac-NewLrgGas-Yr3'!$P$48</f>
        <v>396</v>
      </c>
      <c r="D11" s="439">
        <f t="shared" si="0"/>
        <v>132</v>
      </c>
    </row>
    <row r="12" spans="1:4" ht="25.5">
      <c r="A12" s="445" t="s">
        <v>287</v>
      </c>
      <c r="B12" s="453">
        <f>SUM('Summary 2'!$D$12)</f>
        <v>905</v>
      </c>
      <c r="C12" s="454">
        <f>'Fac - ExistSmlGas-Yr1'!$P$20+'Fac - ExistSmlGas-Yr2'!$P$20+'Fac - ExistSmlGas-Yr3'!$P$20</f>
        <v>3168</v>
      </c>
      <c r="D12" s="439">
        <f t="shared" si="0"/>
        <v>1056</v>
      </c>
    </row>
    <row r="13" spans="1:4" ht="26.25" thickBot="1">
      <c r="A13" s="446" t="s">
        <v>288</v>
      </c>
      <c r="B13" s="456">
        <f>SUM('Summary 2'!$B$12)</f>
        <v>122</v>
      </c>
      <c r="C13" s="457">
        <f>'Fac-NewSmlGas-Yr1'!P16+'Fac-NewSmlGas-Yr2'!P16+'Fac-NewSmlGas-Yr3'!P16</f>
        <v>328</v>
      </c>
      <c r="D13" s="440">
        <f t="shared" si="0"/>
        <v>109.33333333333333</v>
      </c>
    </row>
    <row r="20" spans="3:4">
      <c r="C20" s="271"/>
      <c r="D20" s="271"/>
    </row>
  </sheetData>
  <phoneticPr fontId="9"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S42"/>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Q13" sqref="Q13"/>
    </sheetView>
  </sheetViews>
  <sheetFormatPr defaultRowHeight="11.25"/>
  <cols>
    <col min="1" max="1" width="30.7109375" style="88" customWidth="1"/>
    <col min="2" max="2" width="9.140625" style="46"/>
    <col min="3" max="3" width="8" style="46" hidden="1" customWidth="1"/>
    <col min="4" max="5" width="9.7109375" style="46" customWidth="1"/>
    <col min="6" max="6" width="9" style="46" customWidth="1"/>
    <col min="7" max="7" width="10.28515625" style="46" customWidth="1"/>
    <col min="8" max="8" width="9" style="46" customWidth="1"/>
    <col min="9" max="9" width="10.28515625" style="145" customWidth="1"/>
    <col min="10" max="10" width="7.7109375" style="145" customWidth="1"/>
    <col min="11" max="11" width="6.140625" style="145" customWidth="1"/>
    <col min="12" max="12" width="8.7109375" style="145" customWidth="1"/>
    <col min="13" max="13" width="9" style="145" hidden="1" customWidth="1"/>
    <col min="14" max="14" width="10" style="46" customWidth="1"/>
    <col min="15" max="15" width="6.7109375" style="88" customWidth="1"/>
    <col min="16" max="16" width="7.7109375" style="1" customWidth="1"/>
    <col min="17" max="17" width="4.42578125" style="88" customWidth="1"/>
    <col min="18" max="19" width="9.140625" style="88" hidden="1" customWidth="1"/>
    <col min="20" max="16384" width="9.140625" style="88"/>
  </cols>
  <sheetData>
    <row r="1" spans="1:19">
      <c r="A1" s="496" t="s">
        <v>219</v>
      </c>
      <c r="B1" s="496"/>
      <c r="C1" s="496"/>
      <c r="D1" s="496"/>
      <c r="E1" s="496"/>
      <c r="F1" s="496"/>
      <c r="G1" s="496"/>
      <c r="H1" s="496"/>
      <c r="I1" s="496"/>
      <c r="J1" s="496"/>
      <c r="K1" s="496"/>
      <c r="L1" s="496"/>
      <c r="M1" s="496"/>
      <c r="N1" s="496"/>
      <c r="O1" s="496"/>
      <c r="P1" s="496"/>
      <c r="Q1" s="496"/>
    </row>
    <row r="2" spans="1:19">
      <c r="A2" s="497" t="s">
        <v>468</v>
      </c>
      <c r="B2" s="497"/>
      <c r="C2" s="497"/>
      <c r="D2" s="497"/>
      <c r="E2" s="497"/>
      <c r="F2" s="497"/>
      <c r="G2" s="497"/>
      <c r="H2" s="497"/>
      <c r="I2" s="497"/>
      <c r="J2" s="497"/>
      <c r="K2" s="497"/>
      <c r="L2" s="497"/>
      <c r="M2" s="497"/>
      <c r="N2" s="497"/>
      <c r="O2" s="497"/>
      <c r="P2" s="497"/>
      <c r="Q2" s="497"/>
    </row>
    <row r="3" spans="1:19" s="142" customFormat="1" ht="72">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2"/>
      <c r="J9" s="73"/>
      <c r="K9" s="73"/>
      <c r="L9" s="73"/>
      <c r="M9" s="74"/>
      <c r="N9" s="44"/>
      <c r="O9" s="44"/>
      <c r="P9" s="73"/>
      <c r="Q9" s="75"/>
      <c r="R9" s="75"/>
    </row>
    <row r="10" spans="1:19" s="115" customFormat="1" ht="9">
      <c r="A10" s="110" t="s">
        <v>249</v>
      </c>
      <c r="B10" s="37">
        <v>20</v>
      </c>
      <c r="C10" s="37"/>
      <c r="D10" s="44">
        <v>854</v>
      </c>
      <c r="E10" s="44">
        <v>0</v>
      </c>
      <c r="F10" s="44">
        <v>0</v>
      </c>
      <c r="G10" s="37">
        <v>1</v>
      </c>
      <c r="H10" s="37">
        <f>B10*G10</f>
        <v>20</v>
      </c>
      <c r="I10" s="72">
        <f>ROUND('Testing Costs'!$C$22*(SUM('Base Data'!$H$16:$H$17,'Base Data'!$H$21:$H$22)/2),0)</f>
        <v>0</v>
      </c>
      <c r="J10" s="73">
        <f>H10*I10</f>
        <v>0</v>
      </c>
      <c r="K10" s="73">
        <f>J10*0.1</f>
        <v>0</v>
      </c>
      <c r="L10" s="73">
        <f>J10*0.05</f>
        <v>0</v>
      </c>
      <c r="M10" s="74">
        <f>C10*G10*I10</f>
        <v>0</v>
      </c>
      <c r="N10" s="44">
        <f>(J10*'Base Data'!$C$5)+(K10*'Base Data'!$C$6)+(L10*'Base Data'!$C$7)</f>
        <v>0</v>
      </c>
      <c r="O10" s="44">
        <f>(D10+E10+F10)*G10*I10</f>
        <v>0</v>
      </c>
      <c r="P10" s="73">
        <v>0</v>
      </c>
      <c r="Q10" s="75" t="s">
        <v>480</v>
      </c>
      <c r="R10" s="75"/>
    </row>
    <row r="11" spans="1:19" s="115" customFormat="1" ht="9">
      <c r="A11" s="110" t="s">
        <v>251</v>
      </c>
      <c r="B11" s="37">
        <v>20</v>
      </c>
      <c r="C11" s="37"/>
      <c r="D11" s="44">
        <v>18292</v>
      </c>
      <c r="E11" s="44">
        <v>0</v>
      </c>
      <c r="F11" s="44">
        <v>0</v>
      </c>
      <c r="G11" s="37">
        <v>1</v>
      </c>
      <c r="H11" s="37">
        <f>B11*G11</f>
        <v>20</v>
      </c>
      <c r="I11" s="72">
        <f>ROUND('Testing Costs'!$C$23*(SUM('Base Data'!$H$16:$H$17,'Base Data'!$H$21:$H$22)/2),0)</f>
        <v>2</v>
      </c>
      <c r="J11" s="73">
        <f>H11*I11</f>
        <v>40</v>
      </c>
      <c r="K11" s="73">
        <f>J11*0.1</f>
        <v>4</v>
      </c>
      <c r="L11" s="73">
        <f>J11*0.05</f>
        <v>2</v>
      </c>
      <c r="M11" s="74">
        <f>C11*G11*I11</f>
        <v>0</v>
      </c>
      <c r="N11" s="44">
        <f>(J11*'Base Data'!$C$5)+(K11*'Base Data'!$C$6)+(L11*'Base Data'!$C$7)</f>
        <v>4351.0999999999995</v>
      </c>
      <c r="O11" s="44">
        <f>(D11+E11+F11)*G11*I11</f>
        <v>36584</v>
      </c>
      <c r="P11" s="73">
        <v>0</v>
      </c>
      <c r="Q11" s="75" t="s">
        <v>480</v>
      </c>
      <c r="R11" s="75"/>
    </row>
    <row r="12" spans="1:19" s="115" customFormat="1" ht="9">
      <c r="A12" s="111" t="s">
        <v>234</v>
      </c>
      <c r="B12" s="37">
        <v>12</v>
      </c>
      <c r="C12" s="37"/>
      <c r="D12" s="44">
        <v>0</v>
      </c>
      <c r="E12" s="44">
        <v>2228</v>
      </c>
      <c r="F12" s="44">
        <v>0</v>
      </c>
      <c r="G12" s="37">
        <v>0.5</v>
      </c>
      <c r="H12" s="37">
        <f>B12*G12</f>
        <v>6</v>
      </c>
      <c r="I12" s="72">
        <f>ROUNDDOWN(SUM('Base Data'!$D$16:$D$17,'Base Data'!$D$21:$D$22)/2,0)</f>
        <v>18</v>
      </c>
      <c r="J12" s="72">
        <f>H12*I12</f>
        <v>108</v>
      </c>
      <c r="K12" s="72">
        <f>J12*0.1</f>
        <v>10.8</v>
      </c>
      <c r="L12" s="72">
        <f>J12*0.05</f>
        <v>5.4</v>
      </c>
      <c r="M12" s="73"/>
      <c r="N12" s="44">
        <f>(J12*'Base Data'!$C$5)+(K12*'Base Data'!$C$6)+(L12*'Base Data'!$C$7)</f>
        <v>11747.97</v>
      </c>
      <c r="O12" s="44">
        <f>(D12+E12+F12)*I12</f>
        <v>40104</v>
      </c>
      <c r="P12" s="73">
        <v>0</v>
      </c>
      <c r="Q12" s="75" t="s">
        <v>339</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row>
    <row r="17" spans="1:19" s="115" customFormat="1" ht="9">
      <c r="A17" s="126" t="s">
        <v>328</v>
      </c>
      <c r="B17" s="37">
        <v>8</v>
      </c>
      <c r="C17" s="37"/>
      <c r="D17" s="44">
        <v>0</v>
      </c>
      <c r="E17" s="44">
        <v>0</v>
      </c>
      <c r="F17" s="44">
        <v>0</v>
      </c>
      <c r="G17" s="37">
        <v>1</v>
      </c>
      <c r="H17" s="37">
        <f>B17*G17</f>
        <v>8</v>
      </c>
      <c r="I17" s="72">
        <f>'Fac - ExistSmlSolid-Yr1'!$I$7</f>
        <v>5</v>
      </c>
      <c r="J17" s="72">
        <f>H17*I17</f>
        <v>40</v>
      </c>
      <c r="K17" s="72">
        <f>J17*0.1</f>
        <v>4</v>
      </c>
      <c r="L17" s="72">
        <f>J17*0.05</f>
        <v>2</v>
      </c>
      <c r="M17" s="37">
        <f>C17*G17*I17</f>
        <v>0</v>
      </c>
      <c r="N17" s="44">
        <f>(J17*'Base Data'!$C$5)+(K17*'Base Data'!$C$6)+(L17*'Base Data'!$C$7)</f>
        <v>4351.0999999999995</v>
      </c>
      <c r="O17" s="44">
        <f>(D17+E17+F17)*G17*I17</f>
        <v>0</v>
      </c>
      <c r="P17" s="73">
        <f>G17*I17</f>
        <v>5</v>
      </c>
      <c r="Q17" s="75" t="s">
        <v>339</v>
      </c>
    </row>
    <row r="18" spans="1:19" s="115" customFormat="1" ht="9">
      <c r="A18" s="112" t="s">
        <v>233</v>
      </c>
      <c r="B18" s="37">
        <v>5</v>
      </c>
      <c r="C18" s="37"/>
      <c r="D18" s="44">
        <v>0</v>
      </c>
      <c r="E18" s="44">
        <v>0</v>
      </c>
      <c r="F18" s="44">
        <v>0</v>
      </c>
      <c r="G18" s="37">
        <v>0.5</v>
      </c>
      <c r="H18" s="37">
        <f>B18*G18</f>
        <v>2.5</v>
      </c>
      <c r="I18" s="72">
        <f>'Fac - ExistSmlSolid-Yr1'!$I$7</f>
        <v>5</v>
      </c>
      <c r="J18" s="72">
        <f>H18*I18</f>
        <v>12.5</v>
      </c>
      <c r="K18" s="72">
        <f>J18*0.1</f>
        <v>1.25</v>
      </c>
      <c r="L18" s="72">
        <f>J18*0.05</f>
        <v>0.625</v>
      </c>
      <c r="M18" s="37">
        <f>C18*G18*I18</f>
        <v>0</v>
      </c>
      <c r="N18" s="44">
        <f>(J18*'Base Data'!$C$5)+(K18*'Base Data'!$C$6)+(L18*'Base Data'!$C$7)</f>
        <v>1359.71875</v>
      </c>
      <c r="O18" s="44">
        <f>(D18+E18+F18)*G18*I18</f>
        <v>0</v>
      </c>
      <c r="P18" s="73">
        <f>G18*I18</f>
        <v>2.5</v>
      </c>
      <c r="Q18" s="75" t="s">
        <v>248</v>
      </c>
    </row>
    <row r="19" spans="1:19" s="6" customFormat="1" ht="9">
      <c r="A19" s="126" t="s">
        <v>444</v>
      </c>
      <c r="B19" s="37">
        <v>5</v>
      </c>
      <c r="C19" s="17"/>
      <c r="D19" s="32">
        <v>0</v>
      </c>
      <c r="E19" s="32">
        <v>0</v>
      </c>
      <c r="F19" s="32">
        <v>0</v>
      </c>
      <c r="G19" s="17">
        <v>1</v>
      </c>
      <c r="H19" s="17">
        <f>B19*G19</f>
        <v>5</v>
      </c>
      <c r="I19" s="72">
        <f>'Fac - ExistSmlSolid-Yr1'!$I$7</f>
        <v>5</v>
      </c>
      <c r="J19" s="18">
        <f>H19*I19</f>
        <v>25</v>
      </c>
      <c r="K19" s="18">
        <f>J19*0.1</f>
        <v>2.5</v>
      </c>
      <c r="L19" s="18">
        <f>J19*0.05</f>
        <v>1.25</v>
      </c>
      <c r="M19" s="17">
        <f>C19*G19*I19</f>
        <v>0</v>
      </c>
      <c r="N19" s="32">
        <f>(J19*'Base Data'!$C$5)+(K19*'Base Data'!$C$6)+(L19*'Base Data'!$C$7)</f>
        <v>2719.4375</v>
      </c>
      <c r="O19" s="32">
        <f>(D19+E19+F19)*G19*I19</f>
        <v>0</v>
      </c>
      <c r="P19" s="18">
        <f>G19*I19</f>
        <v>5</v>
      </c>
      <c r="Q19" s="23" t="s">
        <v>339</v>
      </c>
    </row>
    <row r="20" spans="1:19" s="115" customFormat="1" ht="9">
      <c r="A20" s="116" t="s">
        <v>7</v>
      </c>
      <c r="B20" s="37"/>
      <c r="C20" s="37"/>
      <c r="D20" s="44"/>
      <c r="E20" s="44"/>
      <c r="F20" s="44"/>
      <c r="G20" s="37"/>
      <c r="H20" s="37"/>
      <c r="I20" s="73"/>
      <c r="J20" s="73">
        <f>SUM(J7:J19)</f>
        <v>225.5</v>
      </c>
      <c r="K20" s="73">
        <f t="shared" ref="K20:O20" si="0">SUM(K7:K19)</f>
        <v>22.55</v>
      </c>
      <c r="L20" s="73">
        <f t="shared" si="0"/>
        <v>11.275</v>
      </c>
      <c r="M20" s="73">
        <f t="shared" si="0"/>
        <v>0</v>
      </c>
      <c r="N20" s="32">
        <f t="shared" si="0"/>
        <v>24529.326249999998</v>
      </c>
      <c r="O20" s="32">
        <f t="shared" si="0"/>
        <v>76688</v>
      </c>
      <c r="P20" s="73">
        <f>ROUNDUP(SUM(P7:P19),0)</f>
        <v>13</v>
      </c>
      <c r="Q20" s="75"/>
      <c r="R20" s="117">
        <f>SUM(O7:O12)</f>
        <v>76688</v>
      </c>
    </row>
    <row r="21" spans="1:19" s="115" customFormat="1" ht="9">
      <c r="A21" s="111" t="s">
        <v>382</v>
      </c>
      <c r="B21" s="37"/>
      <c r="C21" s="37"/>
      <c r="D21" s="44"/>
      <c r="E21" s="44"/>
      <c r="F21" s="44"/>
      <c r="G21" s="37"/>
      <c r="H21" s="37"/>
      <c r="I21" s="73"/>
      <c r="J21" s="37"/>
      <c r="K21" s="37"/>
      <c r="L21" s="37"/>
      <c r="M21" s="37"/>
      <c r="N21" s="44"/>
      <c r="O21" s="44"/>
      <c r="P21" s="73"/>
      <c r="Q21" s="75"/>
      <c r="S21" s="115">
        <f>0</f>
        <v>0</v>
      </c>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2">
        <f>I18</f>
        <v>5</v>
      </c>
      <c r="J26" s="72">
        <f>H26*I26</f>
        <v>5</v>
      </c>
      <c r="K26" s="72">
        <f>J26*0.1</f>
        <v>0.5</v>
      </c>
      <c r="L26" s="72">
        <f>J26*0.05</f>
        <v>0.25</v>
      </c>
      <c r="M26" s="37">
        <f>C26*G26*I26</f>
        <v>0</v>
      </c>
      <c r="N26" s="44">
        <f>(J26*'Base Data'!$C$5)+(K26*'Base Data'!$C$6)+(L26*'Base Data'!$C$7)</f>
        <v>543.88749999999993</v>
      </c>
      <c r="O26" s="44">
        <f>(D26+E26+F26)*G26*I26</f>
        <v>0</v>
      </c>
      <c r="P26" s="73">
        <v>0</v>
      </c>
      <c r="Q26" s="75" t="s">
        <v>339</v>
      </c>
    </row>
    <row r="27" spans="1:19" s="115" customFormat="1" ht="18">
      <c r="A27" s="126" t="s">
        <v>327</v>
      </c>
      <c r="B27" s="37">
        <v>15</v>
      </c>
      <c r="C27" s="37">
        <v>0</v>
      </c>
      <c r="D27" s="44">
        <v>0</v>
      </c>
      <c r="E27" s="44">
        <v>0</v>
      </c>
      <c r="F27" s="44">
        <v>0</v>
      </c>
      <c r="G27" s="37">
        <v>1</v>
      </c>
      <c r="H27" s="37">
        <f>B27*G27</f>
        <v>15</v>
      </c>
      <c r="I27" s="72">
        <v>0</v>
      </c>
      <c r="J27" s="72">
        <f>H27*I27</f>
        <v>0</v>
      </c>
      <c r="K27" s="72">
        <f>J27*0.1</f>
        <v>0</v>
      </c>
      <c r="L27" s="72">
        <f>J27*0.05</f>
        <v>0</v>
      </c>
      <c r="M27" s="37">
        <f>C27*G27*I27</f>
        <v>0</v>
      </c>
      <c r="N27" s="44">
        <f>(J27*'Base Data'!$C$5)+(K27*'Base Data'!$C$6)+(L27*'Base Data'!$C$7)</f>
        <v>0</v>
      </c>
      <c r="O27" s="44">
        <f>(D27+E27+F27)*G27*I27</f>
        <v>0</v>
      </c>
      <c r="P27" s="73">
        <v>0</v>
      </c>
      <c r="Q27" s="75" t="s">
        <v>68</v>
      </c>
    </row>
    <row r="28" spans="1:19" s="115" customFormat="1" ht="9">
      <c r="A28" s="126" t="s">
        <v>236</v>
      </c>
      <c r="B28" s="37">
        <v>0.5</v>
      </c>
      <c r="C28" s="37"/>
      <c r="D28" s="44">
        <v>0</v>
      </c>
      <c r="E28" s="44">
        <v>0</v>
      </c>
      <c r="F28" s="44">
        <v>0</v>
      </c>
      <c r="G28" s="37">
        <v>0.5</v>
      </c>
      <c r="H28" s="37">
        <f>B28*G28</f>
        <v>0.25</v>
      </c>
      <c r="I28" s="72">
        <f>SUM('Base Data'!$D$16:$D$17,'Base Data'!$D$21:$D$22)</f>
        <v>36</v>
      </c>
      <c r="J28" s="72">
        <f>H28*I28</f>
        <v>9</v>
      </c>
      <c r="K28" s="72">
        <f>J28*0.1</f>
        <v>0.9</v>
      </c>
      <c r="L28" s="72">
        <f>J28*0.05</f>
        <v>0.45</v>
      </c>
      <c r="M28" s="37">
        <f>C28*G28*I28</f>
        <v>0</v>
      </c>
      <c r="N28" s="44">
        <f>(J28*'Base Data'!$C$5)+(K28*'Base Data'!$C$6)+(L28*'Base Data'!$C$7)</f>
        <v>978.99750000000006</v>
      </c>
      <c r="O28" s="44">
        <f>(D28+E28+F28)*G28*I28</f>
        <v>0</v>
      </c>
      <c r="P28" s="73">
        <v>0</v>
      </c>
      <c r="Q28" s="75" t="s">
        <v>339</v>
      </c>
    </row>
    <row r="29" spans="1:19" s="6" customFormat="1" ht="9">
      <c r="A29" s="110" t="s">
        <v>378</v>
      </c>
      <c r="B29" s="37">
        <v>40</v>
      </c>
      <c r="C29" s="17"/>
      <c r="D29" s="32">
        <v>0</v>
      </c>
      <c r="E29" s="32">
        <v>0</v>
      </c>
      <c r="F29" s="32">
        <v>0</v>
      </c>
      <c r="G29" s="17">
        <v>1</v>
      </c>
      <c r="H29" s="17">
        <f t="shared" ref="H29" si="1">B29*G29</f>
        <v>40</v>
      </c>
      <c r="I29" s="72">
        <f>ROUNDDOWN(SUM('Base Data'!$H$16:$H$17,'Base Data'!$H$21:$H$22)/2,0)</f>
        <v>2</v>
      </c>
      <c r="J29" s="18">
        <f t="shared" ref="J29" si="2">H29*I29</f>
        <v>80</v>
      </c>
      <c r="K29" s="18">
        <f t="shared" ref="K29" si="3">J29*0.1</f>
        <v>8</v>
      </c>
      <c r="L29" s="18">
        <f t="shared" ref="L29" si="4">J29*0.05</f>
        <v>4</v>
      </c>
      <c r="M29" s="17"/>
      <c r="N29" s="32">
        <f>(J29*'Base Data'!$C$5)+(K29*'Base Data'!$C$6)+(L29*'Base Data'!$C$7)</f>
        <v>8702.1999999999989</v>
      </c>
      <c r="O29" s="32">
        <f t="shared" ref="O29" si="5">(D29+E29+F29)*G29*I29</f>
        <v>0</v>
      </c>
      <c r="P29" s="73">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O31" si="6">SUM(J22:J30)</f>
        <v>94</v>
      </c>
      <c r="K31" s="184">
        <f t="shared" si="6"/>
        <v>9.4</v>
      </c>
      <c r="L31" s="184">
        <f t="shared" si="6"/>
        <v>4.7</v>
      </c>
      <c r="M31" s="184">
        <f t="shared" si="6"/>
        <v>0</v>
      </c>
      <c r="N31" s="185">
        <f t="shared" si="6"/>
        <v>10225.084999999999</v>
      </c>
      <c r="O31" s="185">
        <f t="shared" si="6"/>
        <v>0</v>
      </c>
      <c r="P31" s="186">
        <f>SUM(P22:P30)</f>
        <v>0</v>
      </c>
      <c r="Q31" s="187"/>
      <c r="R31" s="117">
        <f>SUM(O22:O31)</f>
        <v>0</v>
      </c>
    </row>
    <row r="32" spans="1:19" s="115" customFormat="1">
      <c r="A32" s="135" t="s">
        <v>351</v>
      </c>
      <c r="B32" s="136"/>
      <c r="C32" s="136"/>
      <c r="D32" s="136"/>
      <c r="E32" s="136"/>
      <c r="F32" s="136"/>
      <c r="G32" s="136"/>
      <c r="H32" s="136"/>
      <c r="I32" s="138"/>
      <c r="J32" s="139">
        <f t="shared" ref="J32:P32" si="7">SUM(J20,J31)</f>
        <v>319.5</v>
      </c>
      <c r="K32" s="139">
        <f t="shared" si="7"/>
        <v>31.950000000000003</v>
      </c>
      <c r="L32" s="139">
        <f t="shared" si="7"/>
        <v>15.975000000000001</v>
      </c>
      <c r="M32" s="139">
        <f t="shared" si="7"/>
        <v>0</v>
      </c>
      <c r="N32" s="140">
        <f t="shared" si="7"/>
        <v>34754.411249999997</v>
      </c>
      <c r="O32" s="140">
        <f t="shared" si="7"/>
        <v>76688</v>
      </c>
      <c r="P32" s="22">
        <f t="shared" si="7"/>
        <v>13</v>
      </c>
      <c r="Q32" s="141"/>
    </row>
    <row r="33" spans="1:19" s="115" customFormat="1">
      <c r="A33" s="88"/>
      <c r="B33" s="46"/>
      <c r="C33" s="46"/>
      <c r="D33" s="46"/>
      <c r="E33" s="46"/>
      <c r="F33" s="46"/>
      <c r="G33" s="46"/>
      <c r="H33" s="46"/>
      <c r="I33" s="47"/>
      <c r="J33" s="46"/>
      <c r="K33" s="46"/>
      <c r="L33" s="46"/>
      <c r="M33" s="46"/>
      <c r="N33" s="46"/>
      <c r="O33" s="145"/>
      <c r="P33" s="8"/>
      <c r="Q33" s="46"/>
    </row>
    <row r="34" spans="1:19" s="115" customFormat="1" ht="11.25" customHeight="1">
      <c r="A34" s="45" t="s">
        <v>341</v>
      </c>
      <c r="B34" s="48"/>
      <c r="C34" s="48"/>
      <c r="D34" s="48"/>
      <c r="E34" s="48"/>
      <c r="F34" s="48"/>
      <c r="G34" s="48"/>
      <c r="H34" s="49"/>
      <c r="I34" s="48"/>
      <c r="J34" s="48"/>
      <c r="K34" s="48"/>
      <c r="L34" s="48"/>
      <c r="M34" s="48"/>
      <c r="N34" s="48"/>
      <c r="O34" s="146"/>
      <c r="P34" s="16"/>
      <c r="Q34" s="48"/>
    </row>
    <row r="35" spans="1:19" s="45" customFormat="1" ht="30.75" customHeight="1">
      <c r="A35" s="498" t="s">
        <v>561</v>
      </c>
      <c r="B35" s="498"/>
      <c r="C35" s="498"/>
      <c r="D35" s="498"/>
      <c r="E35" s="498"/>
      <c r="F35" s="498"/>
      <c r="G35" s="498"/>
      <c r="H35" s="498"/>
      <c r="I35" s="498"/>
      <c r="J35" s="498"/>
      <c r="K35" s="498"/>
      <c r="L35" s="498"/>
      <c r="M35" s="498"/>
      <c r="N35" s="498"/>
      <c r="O35" s="498"/>
      <c r="P35" s="257"/>
      <c r="Q35" s="48"/>
    </row>
    <row r="36" spans="1:19" s="45" customFormat="1" ht="28.5" customHeight="1">
      <c r="A36" s="494" t="s">
        <v>2</v>
      </c>
      <c r="B36" s="494"/>
      <c r="C36" s="494"/>
      <c r="D36" s="494"/>
      <c r="E36" s="494"/>
      <c r="F36" s="494"/>
      <c r="G36" s="494"/>
      <c r="H36" s="494"/>
      <c r="I36" s="494"/>
      <c r="J36" s="494"/>
      <c r="K36" s="494"/>
      <c r="L36" s="494"/>
      <c r="M36" s="494"/>
      <c r="N36" s="494"/>
      <c r="O36" s="494"/>
      <c r="P36" s="257"/>
      <c r="Q36" s="46"/>
    </row>
    <row r="37" spans="1:19" s="45" customFormat="1" ht="20.25" customHeight="1">
      <c r="A37" s="494" t="s">
        <v>562</v>
      </c>
      <c r="B37" s="494"/>
      <c r="C37" s="494"/>
      <c r="D37" s="494"/>
      <c r="E37" s="494"/>
      <c r="F37" s="494"/>
      <c r="G37" s="494"/>
      <c r="H37" s="494"/>
      <c r="I37" s="494"/>
      <c r="J37" s="494"/>
      <c r="K37" s="494"/>
      <c r="L37" s="494"/>
      <c r="M37" s="494"/>
      <c r="N37" s="494"/>
      <c r="O37" s="494"/>
      <c r="P37" s="494"/>
      <c r="Q37" s="494"/>
      <c r="S37" s="93"/>
    </row>
    <row r="38" spans="1:19" s="45" customFormat="1" ht="10.5" customHeight="1">
      <c r="A38" s="45" t="s">
        <v>392</v>
      </c>
      <c r="B38" s="48"/>
      <c r="C38" s="48"/>
      <c r="D38" s="48"/>
      <c r="E38" s="48"/>
      <c r="F38" s="48"/>
      <c r="G38" s="48"/>
      <c r="H38" s="49"/>
      <c r="I38" s="48"/>
      <c r="J38" s="48"/>
      <c r="K38" s="48"/>
      <c r="L38" s="48"/>
      <c r="M38" s="48"/>
      <c r="N38" s="48"/>
      <c r="O38" s="146"/>
      <c r="P38" s="146"/>
      <c r="Q38" s="48"/>
    </row>
    <row r="39" spans="1:19">
      <c r="A39" s="45" t="s">
        <v>503</v>
      </c>
      <c r="P39" s="88"/>
    </row>
    <row r="40" spans="1:19">
      <c r="A40" s="45" t="s">
        <v>502</v>
      </c>
      <c r="P40" s="88"/>
    </row>
    <row r="41" spans="1:19">
      <c r="A41" s="13" t="s">
        <v>501</v>
      </c>
      <c r="P41" s="88"/>
    </row>
    <row r="42" spans="1:19">
      <c r="A42" s="382"/>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88" orientation="landscape" r:id="rId1"/>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O55" sqref="O55"/>
    </sheetView>
  </sheetViews>
  <sheetFormatPr defaultRowHeight="11.25"/>
  <cols>
    <col min="1" max="1" width="30.285156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bestFit="1" customWidth="1"/>
    <col min="7" max="7" width="9.28515625" style="46" bestFit="1" customWidth="1"/>
    <col min="8" max="8" width="8.7109375" style="46" bestFit="1" customWidth="1"/>
    <col min="9" max="9" width="9.42578125" style="145" bestFit="1" customWidth="1"/>
    <col min="10" max="10" width="7.7109375" style="145" bestFit="1" customWidth="1"/>
    <col min="11" max="11" width="6.85546875" style="145" bestFit="1" customWidth="1"/>
    <col min="12" max="12" width="8.85546875" style="145" customWidth="1"/>
    <col min="13" max="13" width="9" style="145" hidden="1" customWidth="1"/>
    <col min="14" max="14" width="8.42578125" style="46" bestFit="1" customWidth="1"/>
    <col min="15" max="15" width="8.5703125" style="88" customWidth="1"/>
    <col min="16" max="16" width="8.5703125" style="88" bestFit="1" customWidth="1"/>
    <col min="17" max="17" width="4.28515625" style="88" bestFit="1" customWidth="1"/>
    <col min="18" max="19" width="0" style="88" hidden="1" customWidth="1"/>
    <col min="20" max="16384" width="9.140625" style="88"/>
  </cols>
  <sheetData>
    <row r="1" spans="1:19">
      <c r="A1" s="496" t="s">
        <v>220</v>
      </c>
      <c r="B1" s="496"/>
      <c r="C1" s="496"/>
      <c r="D1" s="496"/>
      <c r="E1" s="496"/>
      <c r="F1" s="496"/>
      <c r="G1" s="496"/>
      <c r="H1" s="496"/>
      <c r="I1" s="496"/>
      <c r="J1" s="496"/>
      <c r="K1" s="496"/>
      <c r="L1" s="496"/>
      <c r="M1" s="496"/>
      <c r="N1" s="496"/>
      <c r="O1" s="496"/>
      <c r="P1" s="496"/>
      <c r="Q1" s="496"/>
    </row>
    <row r="2" spans="1:19">
      <c r="A2" s="497" t="s">
        <v>469</v>
      </c>
      <c r="B2" s="497"/>
      <c r="C2" s="497"/>
      <c r="D2" s="497"/>
      <c r="E2" s="497"/>
      <c r="F2" s="497"/>
      <c r="G2" s="497"/>
      <c r="H2" s="497"/>
      <c r="I2" s="497"/>
      <c r="J2" s="497"/>
      <c r="K2" s="497"/>
      <c r="L2" s="497"/>
      <c r="M2" s="497"/>
      <c r="N2" s="497"/>
      <c r="O2" s="497"/>
      <c r="P2" s="497"/>
      <c r="Q2" s="497"/>
    </row>
    <row r="3" spans="1:19" s="142" customFormat="1" ht="60.75" customHeight="1">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'Base Data'!$H$42+'Base Data'!$H$41</f>
        <v>43</v>
      </c>
      <c r="J7" s="72">
        <f>H7*I7</f>
        <v>1720</v>
      </c>
      <c r="K7" s="72">
        <f>J7*0.1</f>
        <v>172</v>
      </c>
      <c r="L7" s="72">
        <f>J7*0.05</f>
        <v>86</v>
      </c>
      <c r="M7" s="37">
        <f>C7*G7*I7</f>
        <v>0</v>
      </c>
      <c r="N7" s="44">
        <f>(J7*'Base Data'!$C$5)+(K7*'Base Data'!$C$6)+(L7*'Base Data'!$C$7)</f>
        <v>187097.3</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3"/>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3">
        <v>0</v>
      </c>
      <c r="J10" s="73">
        <f>H10*I10</f>
        <v>0</v>
      </c>
      <c r="K10" s="73">
        <f>J10*0.1</f>
        <v>0</v>
      </c>
      <c r="L10" s="73">
        <f>J10*0.05</f>
        <v>0</v>
      </c>
      <c r="M10" s="74">
        <f>C10*G10*I10</f>
        <v>0</v>
      </c>
      <c r="N10" s="44">
        <f>(J10*'Base Data'!$C$5)+(K10*'Base Data'!$C$6)+(L10*'Base Data'!$C$7)</f>
        <v>0</v>
      </c>
      <c r="O10" s="44">
        <f>(D10+E10+F10)*G10*I10</f>
        <v>0</v>
      </c>
      <c r="P10" s="73">
        <v>0</v>
      </c>
      <c r="Q10" s="75" t="s">
        <v>391</v>
      </c>
      <c r="R10" s="75"/>
    </row>
    <row r="11" spans="1:19" s="115" customFormat="1" ht="9">
      <c r="A11" s="110" t="s">
        <v>251</v>
      </c>
      <c r="B11" s="37">
        <v>20</v>
      </c>
      <c r="C11" s="37"/>
      <c r="D11" s="44">
        <v>18292</v>
      </c>
      <c r="E11" s="44">
        <v>0</v>
      </c>
      <c r="F11" s="44">
        <v>0</v>
      </c>
      <c r="G11" s="37">
        <v>1</v>
      </c>
      <c r="H11" s="37">
        <f>B11*G11</f>
        <v>20</v>
      </c>
      <c r="I11" s="73">
        <v>0</v>
      </c>
      <c r="J11" s="73">
        <f>H11*I11</f>
        <v>0</v>
      </c>
      <c r="K11" s="73">
        <f>J11*0.1</f>
        <v>0</v>
      </c>
      <c r="L11" s="73">
        <f>J11*0.05</f>
        <v>0</v>
      </c>
      <c r="M11" s="74">
        <f>C11*G11*I11</f>
        <v>0</v>
      </c>
      <c r="N11" s="44">
        <f>(J11*'Base Data'!$C$5)+(K11*'Base Data'!$C$6)+(L11*'Base Data'!$C$7)</f>
        <v>0</v>
      </c>
      <c r="O11" s="44">
        <f>(D11+E11+F11)*G11*I11</f>
        <v>0</v>
      </c>
      <c r="P11" s="73">
        <v>0</v>
      </c>
      <c r="Q11" s="75" t="s">
        <v>391</v>
      </c>
      <c r="R11" s="75"/>
    </row>
    <row r="12" spans="1:19" s="115" customFormat="1" ht="9">
      <c r="A12" s="111" t="s">
        <v>234</v>
      </c>
      <c r="B12" s="37">
        <v>12</v>
      </c>
      <c r="C12" s="37"/>
      <c r="D12" s="44">
        <v>0</v>
      </c>
      <c r="E12" s="44">
        <v>2228</v>
      </c>
      <c r="F12" s="44">
        <v>0</v>
      </c>
      <c r="G12" s="37">
        <v>0.5</v>
      </c>
      <c r="H12" s="37">
        <f>B12*G12</f>
        <v>6</v>
      </c>
      <c r="I12" s="73">
        <v>0</v>
      </c>
      <c r="J12" s="72">
        <f>H12*I12</f>
        <v>0</v>
      </c>
      <c r="K12" s="72">
        <f>J12*0.1</f>
        <v>0</v>
      </c>
      <c r="L12" s="72">
        <f>J12*0.05</f>
        <v>0</v>
      </c>
      <c r="M12" s="73"/>
      <c r="N12" s="44">
        <f>(J12*'Base Data'!$C$5)+(K12*'Base Data'!$C$6)+(L12*'Base Data'!$C$7)</f>
        <v>0</v>
      </c>
      <c r="O12" s="44">
        <f>(D12+E12+F12)*I12</f>
        <v>0</v>
      </c>
      <c r="P12" s="73">
        <v>0</v>
      </c>
      <c r="Q12" s="75" t="s">
        <v>12</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f>'Base Data'!$H$42+'Base Data'!$H$41</f>
        <v>43</v>
      </c>
      <c r="J16" s="72">
        <f>H16*I16</f>
        <v>86</v>
      </c>
      <c r="K16" s="72">
        <f>J16*0.1</f>
        <v>8.6</v>
      </c>
      <c r="L16" s="72">
        <f>J16*0.05</f>
        <v>4.3</v>
      </c>
      <c r="M16" s="37">
        <f>C16*G16*I16</f>
        <v>0</v>
      </c>
      <c r="N16" s="44">
        <f>(J16*'Base Data'!$C$5)+(K16*'Base Data'!$C$6)+(L16*'Base Data'!$C$7)</f>
        <v>9354.8650000000016</v>
      </c>
      <c r="O16" s="44">
        <f>(D16+E16+F16)*G16*I16</f>
        <v>0</v>
      </c>
      <c r="P16" s="73">
        <f>G16*I16</f>
        <v>43</v>
      </c>
      <c r="Q16" s="75" t="s">
        <v>338</v>
      </c>
    </row>
    <row r="17" spans="1:19" s="115" customFormat="1" ht="9">
      <c r="A17" s="126" t="s">
        <v>328</v>
      </c>
      <c r="B17" s="37">
        <v>8</v>
      </c>
      <c r="C17" s="37"/>
      <c r="D17" s="44">
        <v>0</v>
      </c>
      <c r="E17" s="44">
        <v>0</v>
      </c>
      <c r="F17" s="44">
        <v>0</v>
      </c>
      <c r="G17" s="37">
        <v>1</v>
      </c>
      <c r="H17" s="37">
        <f>B17*G17</f>
        <v>8</v>
      </c>
      <c r="I17" s="73">
        <v>0</v>
      </c>
      <c r="J17" s="72">
        <f>H17*I17</f>
        <v>0</v>
      </c>
      <c r="K17" s="72">
        <f>J17*0.1</f>
        <v>0</v>
      </c>
      <c r="L17" s="72">
        <f>J17*0.05</f>
        <v>0</v>
      </c>
      <c r="M17" s="37">
        <f>C17*G17*I17</f>
        <v>0</v>
      </c>
      <c r="N17" s="44">
        <f>(J17*'Base Data'!$C$5)+(K17*'Base Data'!$C$6)+(L17*'Base Data'!$C$7)</f>
        <v>0</v>
      </c>
      <c r="O17" s="44">
        <f>(D17+E17+F17)*G17*I17</f>
        <v>0</v>
      </c>
      <c r="P17" s="73">
        <f>G17*I17</f>
        <v>0</v>
      </c>
      <c r="Q17" s="75" t="s">
        <v>339</v>
      </c>
    </row>
    <row r="18" spans="1:19" s="115" customFormat="1" ht="9">
      <c r="A18" s="112" t="s">
        <v>233</v>
      </c>
      <c r="B18" s="37">
        <v>5</v>
      </c>
      <c r="C18" s="37"/>
      <c r="D18" s="44">
        <v>0</v>
      </c>
      <c r="E18" s="44">
        <v>0</v>
      </c>
      <c r="F18" s="44">
        <v>0</v>
      </c>
      <c r="G18" s="37">
        <v>0.5</v>
      </c>
      <c r="H18" s="37">
        <f>B18*G18</f>
        <v>2.5</v>
      </c>
      <c r="I18" s="73">
        <v>0</v>
      </c>
      <c r="J18" s="72">
        <f>H18*I18</f>
        <v>0</v>
      </c>
      <c r="K18" s="72">
        <f>J18*0.1</f>
        <v>0</v>
      </c>
      <c r="L18" s="72">
        <f>J18*0.05</f>
        <v>0</v>
      </c>
      <c r="M18" s="37">
        <f>C18*G18*I18</f>
        <v>0</v>
      </c>
      <c r="N18" s="44">
        <f>(J18*'Base Data'!$C$5)+(K18*'Base Data'!$C$6)+(L18*'Base Data'!$C$7)</f>
        <v>0</v>
      </c>
      <c r="O18" s="44">
        <f>(D18+E18+F18)*G18*I18</f>
        <v>0</v>
      </c>
      <c r="P18" s="73">
        <f>G18*I18</f>
        <v>0</v>
      </c>
      <c r="Q18" s="75" t="s">
        <v>12</v>
      </c>
    </row>
    <row r="19" spans="1:19" s="6" customFormat="1" ht="9">
      <c r="A19" s="126" t="s">
        <v>444</v>
      </c>
      <c r="B19" s="37">
        <v>5</v>
      </c>
      <c r="C19" s="17"/>
      <c r="D19" s="32">
        <v>0</v>
      </c>
      <c r="E19" s="32">
        <v>0</v>
      </c>
      <c r="F19" s="32">
        <v>0</v>
      </c>
      <c r="G19" s="17">
        <v>1</v>
      </c>
      <c r="H19" s="17">
        <f>B19*G19</f>
        <v>5</v>
      </c>
      <c r="I19" s="43">
        <v>0</v>
      </c>
      <c r="J19" s="18">
        <f>H19*I19</f>
        <v>0</v>
      </c>
      <c r="K19" s="18">
        <f>J19*0.1</f>
        <v>0</v>
      </c>
      <c r="L19" s="18">
        <f>J19*0.05</f>
        <v>0</v>
      </c>
      <c r="M19" s="17">
        <f>C19*G19*I19</f>
        <v>0</v>
      </c>
      <c r="N19" s="32">
        <f>(J19*'Base Data'!$C$5)+(K19*'Base Data'!$C$6)+(L19*'Base Data'!$C$7)</f>
        <v>0</v>
      </c>
      <c r="O19" s="32">
        <f>(D19+E19+F19)*G19*I19</f>
        <v>0</v>
      </c>
      <c r="P19" s="18">
        <f>G19*I19</f>
        <v>0</v>
      </c>
      <c r="Q19" s="23" t="s">
        <v>339</v>
      </c>
    </row>
    <row r="20" spans="1:19" s="115" customFormat="1" ht="9">
      <c r="A20" s="116" t="s">
        <v>7</v>
      </c>
      <c r="B20" s="37"/>
      <c r="C20" s="37"/>
      <c r="D20" s="44"/>
      <c r="E20" s="44"/>
      <c r="F20" s="44"/>
      <c r="G20" s="37"/>
      <c r="H20" s="37"/>
      <c r="I20" s="73"/>
      <c r="J20" s="73">
        <f>SUM(J7:J19)</f>
        <v>1806</v>
      </c>
      <c r="K20" s="73">
        <f t="shared" ref="K20:O20" si="0">SUM(K7:K19)</f>
        <v>180.6</v>
      </c>
      <c r="L20" s="73">
        <f t="shared" si="0"/>
        <v>90.3</v>
      </c>
      <c r="M20" s="73">
        <f t="shared" si="0"/>
        <v>0</v>
      </c>
      <c r="N20" s="44">
        <f t="shared" si="0"/>
        <v>196452.16499999998</v>
      </c>
      <c r="O20" s="44">
        <f t="shared" si="0"/>
        <v>0</v>
      </c>
      <c r="P20" s="73">
        <f>ROUNDUP(SUM(P7:P19),0)</f>
        <v>43</v>
      </c>
      <c r="Q20" s="75"/>
      <c r="R20" s="117">
        <f>SUM(O7:O12)</f>
        <v>0</v>
      </c>
      <c r="S20" s="115">
        <f>0</f>
        <v>0</v>
      </c>
    </row>
    <row r="21" spans="1:19" s="115" customFormat="1" ht="9">
      <c r="A21" s="111" t="s">
        <v>382</v>
      </c>
      <c r="B21" s="37"/>
      <c r="C21" s="37"/>
      <c r="D21" s="44"/>
      <c r="E21" s="44"/>
      <c r="F21" s="44"/>
      <c r="G21" s="37"/>
      <c r="H21" s="37"/>
      <c r="I21" s="73"/>
      <c r="J21" s="37"/>
      <c r="K21" s="37"/>
      <c r="L21" s="37"/>
      <c r="M21" s="37"/>
      <c r="N21" s="44"/>
      <c r="O21" s="44"/>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3">
        <v>0</v>
      </c>
      <c r="J26" s="72">
        <f>H26*I26</f>
        <v>0</v>
      </c>
      <c r="K26" s="72">
        <f>J26*0.1</f>
        <v>0</v>
      </c>
      <c r="L26" s="72">
        <f>J26*0.05</f>
        <v>0</v>
      </c>
      <c r="M26" s="37">
        <f>C26*G26*I26</f>
        <v>0</v>
      </c>
      <c r="N26" s="44">
        <f>(J26*'Base Data'!$C$5)+(K26*'Base Data'!$C$6)+(L26*'Base Data'!$C$7)</f>
        <v>0</v>
      </c>
      <c r="O26" s="44">
        <f>(D26+E26+F26)*G26*I26</f>
        <v>0</v>
      </c>
      <c r="P26" s="73">
        <v>0</v>
      </c>
      <c r="Q26" s="75" t="s">
        <v>339</v>
      </c>
    </row>
    <row r="27" spans="1:19" s="115" customFormat="1" ht="18">
      <c r="A27" s="126" t="s">
        <v>327</v>
      </c>
      <c r="B27" s="37">
        <v>15</v>
      </c>
      <c r="C27" s="37">
        <v>0</v>
      </c>
      <c r="D27" s="44">
        <v>0</v>
      </c>
      <c r="E27" s="44">
        <v>0</v>
      </c>
      <c r="F27" s="44">
        <v>0</v>
      </c>
      <c r="G27" s="37">
        <v>1</v>
      </c>
      <c r="H27" s="37">
        <f>B27*G27</f>
        <v>15</v>
      </c>
      <c r="I27" s="73">
        <v>0</v>
      </c>
      <c r="J27" s="72">
        <f>H27*I27</f>
        <v>0</v>
      </c>
      <c r="K27" s="72">
        <f>J27*0.1</f>
        <v>0</v>
      </c>
      <c r="L27" s="72">
        <f>J27*0.05</f>
        <v>0</v>
      </c>
      <c r="M27" s="37">
        <f>C27*G27*I27</f>
        <v>0</v>
      </c>
      <c r="N27" s="44">
        <f>(J27*'Base Data'!$C$5)+(K27*'Base Data'!$C$6)+(L27*'Base Data'!$C$7)</f>
        <v>0</v>
      </c>
      <c r="O27" s="44">
        <f>(D27+E27+F27)*G27*I27</f>
        <v>0</v>
      </c>
      <c r="P27" s="73">
        <v>0</v>
      </c>
      <c r="Q27" s="75" t="s">
        <v>13</v>
      </c>
    </row>
    <row r="28" spans="1:19" s="115" customFormat="1" ht="9">
      <c r="A28" s="126" t="s">
        <v>236</v>
      </c>
      <c r="B28" s="37">
        <v>0.5</v>
      </c>
      <c r="C28" s="37"/>
      <c r="D28" s="44">
        <v>0</v>
      </c>
      <c r="E28" s="44">
        <v>0</v>
      </c>
      <c r="F28" s="44">
        <v>0</v>
      </c>
      <c r="G28" s="37">
        <v>0.5</v>
      </c>
      <c r="H28" s="37">
        <f>B28*G28</f>
        <v>0.25</v>
      </c>
      <c r="I28" s="73">
        <v>0</v>
      </c>
      <c r="J28" s="72">
        <f>H28*I28</f>
        <v>0</v>
      </c>
      <c r="K28" s="72">
        <f>J28*0.1</f>
        <v>0</v>
      </c>
      <c r="L28" s="72">
        <f>J28*0.05</f>
        <v>0</v>
      </c>
      <c r="M28" s="37">
        <f>C28*G28*I28</f>
        <v>0</v>
      </c>
      <c r="N28" s="44">
        <f>(J28*'Base Data'!$C$5)+(K28*'Base Data'!$C$6)+(L28*'Base Data'!$C$7)</f>
        <v>0</v>
      </c>
      <c r="O28" s="44">
        <f>(D28+E28+F28)*G28*I28</f>
        <v>0</v>
      </c>
      <c r="P28" s="73">
        <v>0</v>
      </c>
      <c r="Q28" s="75" t="s">
        <v>12</v>
      </c>
    </row>
    <row r="29" spans="1:19" s="6" customFormat="1" ht="9">
      <c r="A29" s="110" t="s">
        <v>378</v>
      </c>
      <c r="B29" s="37">
        <v>40</v>
      </c>
      <c r="C29" s="17"/>
      <c r="D29" s="32">
        <v>0</v>
      </c>
      <c r="E29" s="32">
        <v>0</v>
      </c>
      <c r="F29" s="32">
        <v>0</v>
      </c>
      <c r="G29" s="17">
        <v>1</v>
      </c>
      <c r="H29" s="17">
        <f t="shared" ref="H29" si="1">B29*G29</f>
        <v>40</v>
      </c>
      <c r="I29" s="72">
        <v>0</v>
      </c>
      <c r="J29" s="18">
        <f t="shared" ref="J29" si="2">H29*I29</f>
        <v>0</v>
      </c>
      <c r="K29" s="18">
        <f t="shared" ref="K29" si="3">J29*0.1</f>
        <v>0</v>
      </c>
      <c r="L29" s="18">
        <f t="shared" ref="L29" si="4">J29*0.05</f>
        <v>0</v>
      </c>
      <c r="M29" s="17"/>
      <c r="N29" s="32">
        <f>(J29*'Base Data'!$C$5)+(K29*'Base Data'!$C$6)+(L29*'Base Data'!$C$7)</f>
        <v>0</v>
      </c>
      <c r="O29" s="32">
        <f t="shared" ref="O29" si="5">(D29+E29+F29)*G29*I29</f>
        <v>0</v>
      </c>
      <c r="P29" s="73">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P31" si="6">SUM(J22:J30)</f>
        <v>0</v>
      </c>
      <c r="K31" s="184">
        <f t="shared" si="6"/>
        <v>0</v>
      </c>
      <c r="L31" s="184">
        <f t="shared" si="6"/>
        <v>0</v>
      </c>
      <c r="M31" s="184">
        <f t="shared" si="6"/>
        <v>0</v>
      </c>
      <c r="N31" s="185">
        <f t="shared" si="6"/>
        <v>0</v>
      </c>
      <c r="O31" s="185">
        <f t="shared" si="6"/>
        <v>0</v>
      </c>
      <c r="P31" s="186">
        <f t="shared" si="6"/>
        <v>0</v>
      </c>
      <c r="Q31" s="187"/>
      <c r="R31" s="117">
        <f>SUM(O22:O31)</f>
        <v>0</v>
      </c>
    </row>
    <row r="32" spans="1:19" s="115" customFormat="1">
      <c r="A32" s="135" t="s">
        <v>351</v>
      </c>
      <c r="B32" s="136"/>
      <c r="C32" s="136"/>
      <c r="D32" s="136"/>
      <c r="E32" s="136"/>
      <c r="F32" s="136"/>
      <c r="G32" s="136"/>
      <c r="H32" s="136"/>
      <c r="I32" s="138"/>
      <c r="J32" s="139">
        <f t="shared" ref="J32:P32" si="7">SUM(J20,J31)</f>
        <v>1806</v>
      </c>
      <c r="K32" s="139">
        <f t="shared" si="7"/>
        <v>180.6</v>
      </c>
      <c r="L32" s="139">
        <f t="shared" si="7"/>
        <v>90.3</v>
      </c>
      <c r="M32" s="139">
        <f t="shared" si="7"/>
        <v>0</v>
      </c>
      <c r="N32" s="140">
        <f t="shared" si="7"/>
        <v>196452.16499999998</v>
      </c>
      <c r="O32" s="140">
        <f t="shared" si="7"/>
        <v>0</v>
      </c>
      <c r="P32" s="139">
        <f t="shared" si="7"/>
        <v>43</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440</v>
      </c>
      <c r="B34" s="48"/>
      <c r="C34" s="48"/>
      <c r="D34" s="48"/>
      <c r="E34" s="48"/>
      <c r="F34" s="48"/>
      <c r="G34" s="48"/>
      <c r="H34" s="48"/>
      <c r="I34" s="49"/>
      <c r="J34" s="48"/>
      <c r="K34" s="48"/>
      <c r="L34" s="48"/>
      <c r="M34" s="48"/>
      <c r="N34" s="48"/>
      <c r="O34" s="146"/>
      <c r="P34" s="146"/>
      <c r="Q34" s="48"/>
    </row>
    <row r="35" spans="1:17" s="45" customFormat="1" ht="21" customHeight="1">
      <c r="A35" s="494" t="s">
        <v>547</v>
      </c>
      <c r="B35" s="494"/>
      <c r="C35" s="494"/>
      <c r="D35" s="494"/>
      <c r="E35" s="494"/>
      <c r="F35" s="494"/>
      <c r="G35" s="494"/>
      <c r="H35" s="494"/>
      <c r="I35" s="494"/>
      <c r="J35" s="494"/>
      <c r="K35" s="494"/>
      <c r="L35" s="494"/>
      <c r="M35" s="494"/>
      <c r="N35" s="494"/>
      <c r="O35" s="494"/>
      <c r="P35" s="124"/>
      <c r="Q35" s="48"/>
    </row>
    <row r="36" spans="1:17" s="45" customFormat="1" ht="18.75" customHeight="1">
      <c r="A36" s="494" t="s">
        <v>325</v>
      </c>
      <c r="B36" s="494"/>
      <c r="C36" s="494"/>
      <c r="D36" s="494"/>
      <c r="E36" s="494"/>
      <c r="F36" s="494"/>
      <c r="G36" s="494"/>
      <c r="H36" s="494"/>
      <c r="I36" s="494"/>
      <c r="J36" s="494"/>
      <c r="K36" s="494"/>
      <c r="L36" s="494"/>
      <c r="M36" s="494"/>
      <c r="N36" s="494"/>
      <c r="O36" s="494"/>
      <c r="P36" s="124"/>
      <c r="Q36" s="48"/>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8"/>
      <c r="I38" s="49"/>
      <c r="J38" s="48"/>
      <c r="K38" s="48"/>
      <c r="L38" s="48"/>
      <c r="M38" s="48"/>
      <c r="N38" s="48"/>
      <c r="O38" s="146"/>
      <c r="P38" s="146"/>
      <c r="Q38" s="48"/>
    </row>
    <row r="39" spans="1:17">
      <c r="A39" s="45" t="s">
        <v>503</v>
      </c>
    </row>
    <row r="40" spans="1:17">
      <c r="A40" s="45" t="s">
        <v>502</v>
      </c>
    </row>
    <row r="41" spans="1:17">
      <c r="A41" s="13" t="s">
        <v>501</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4" orientation="landscape" r:id="rId1"/>
  <headerFooter alignWithMargins="0"/>
</worksheet>
</file>

<file path=xl/worksheets/sheet32.xml><?xml version="1.0" encoding="utf-8"?>
<worksheet xmlns="http://schemas.openxmlformats.org/spreadsheetml/2006/main" xmlns:r="http://schemas.openxmlformats.org/officeDocument/2006/relationships">
  <sheetPr>
    <pageSetUpPr fitToPage="1"/>
  </sheetPr>
  <dimension ref="A1:S43"/>
  <sheetViews>
    <sheetView zoomScaleNormal="100" workbookViewId="0">
      <pane xSplit="1" ySplit="3" topLeftCell="B7" activePane="bottomRight" state="frozen"/>
      <selection activeCell="O55" sqref="O55"/>
      <selection pane="topRight" activeCell="O55" sqref="O55"/>
      <selection pane="bottomLeft" activeCell="O55" sqref="O55"/>
      <selection pane="bottomRight" activeCell="A42" sqref="A42:Q43"/>
    </sheetView>
  </sheetViews>
  <sheetFormatPr defaultRowHeight="11.25"/>
  <cols>
    <col min="1" max="1" width="30.285156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bestFit="1" customWidth="1"/>
    <col min="7" max="7" width="9.28515625" style="46" bestFit="1" customWidth="1"/>
    <col min="8" max="8" width="8.7109375" style="46" bestFit="1" customWidth="1"/>
    <col min="9" max="9" width="9.42578125" style="145" bestFit="1" customWidth="1"/>
    <col min="10" max="10" width="7.7109375" style="145" customWidth="1"/>
    <col min="11" max="11" width="6.85546875" style="145" bestFit="1" customWidth="1"/>
    <col min="12" max="12" width="8.7109375" style="145" customWidth="1"/>
    <col min="13" max="13" width="9" style="145" hidden="1" customWidth="1"/>
    <col min="14" max="14" width="10.140625" style="46" bestFit="1" customWidth="1"/>
    <col min="15" max="15" width="8.85546875" style="88" bestFit="1" customWidth="1"/>
    <col min="16" max="16" width="8.5703125" style="88" bestFit="1" customWidth="1"/>
    <col min="17" max="17" width="4.42578125" style="88" customWidth="1"/>
    <col min="18" max="19" width="0" style="88" hidden="1" customWidth="1"/>
    <col min="20" max="16384" width="9.140625" style="88"/>
  </cols>
  <sheetData>
    <row r="1" spans="1:19">
      <c r="A1" s="496" t="s">
        <v>221</v>
      </c>
      <c r="B1" s="496"/>
      <c r="C1" s="496"/>
      <c r="D1" s="496"/>
      <c r="E1" s="496"/>
      <c r="F1" s="496"/>
      <c r="G1" s="496"/>
      <c r="H1" s="496"/>
      <c r="I1" s="496"/>
      <c r="J1" s="496"/>
      <c r="K1" s="496"/>
      <c r="L1" s="496"/>
      <c r="M1" s="496"/>
      <c r="N1" s="496"/>
      <c r="O1" s="496"/>
      <c r="P1" s="496"/>
      <c r="Q1" s="496"/>
    </row>
    <row r="2" spans="1:19">
      <c r="A2" s="497" t="s">
        <v>470</v>
      </c>
      <c r="B2" s="497"/>
      <c r="C2" s="497"/>
      <c r="D2" s="497"/>
      <c r="E2" s="497"/>
      <c r="F2" s="497"/>
      <c r="G2" s="497"/>
      <c r="H2" s="497"/>
      <c r="I2" s="497"/>
      <c r="J2" s="497"/>
      <c r="K2" s="497"/>
      <c r="L2" s="497"/>
      <c r="M2" s="497"/>
      <c r="N2" s="497"/>
      <c r="O2" s="497"/>
      <c r="P2" s="497"/>
      <c r="Q2" s="497"/>
    </row>
    <row r="3" spans="1:19" s="142" customFormat="1" ht="54">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2"/>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2">
        <f>ROUND((('Base Data'!$H$42+'Base Data'!$H$41)/2)*'Testing Costs'!$C$22,0)</f>
        <v>3</v>
      </c>
      <c r="J10" s="73">
        <f>H10*I10</f>
        <v>60</v>
      </c>
      <c r="K10" s="73">
        <f>J10*0.1</f>
        <v>6</v>
      </c>
      <c r="L10" s="73">
        <f>J10*0.05</f>
        <v>3</v>
      </c>
      <c r="M10" s="74">
        <f>C10*G10*I10</f>
        <v>0</v>
      </c>
      <c r="N10" s="44">
        <f>(J10*'Base Data'!$C$5)+(K10*'Base Data'!$C$6)+(L10*'Base Data'!$C$7)</f>
        <v>6526.6500000000005</v>
      </c>
      <c r="O10" s="44">
        <f>(D10+E10+F10)*G10*I10</f>
        <v>2562</v>
      </c>
      <c r="P10" s="73">
        <v>0</v>
      </c>
      <c r="Q10" s="75" t="s">
        <v>391</v>
      </c>
      <c r="R10" s="75"/>
    </row>
    <row r="11" spans="1:19" s="115" customFormat="1" ht="9">
      <c r="A11" s="110" t="s">
        <v>251</v>
      </c>
      <c r="B11" s="37">
        <v>20</v>
      </c>
      <c r="C11" s="37"/>
      <c r="D11" s="44">
        <v>18292</v>
      </c>
      <c r="E11" s="44">
        <v>0</v>
      </c>
      <c r="F11" s="44">
        <v>0</v>
      </c>
      <c r="G11" s="37">
        <v>1</v>
      </c>
      <c r="H11" s="37">
        <f>B11*G11</f>
        <v>20</v>
      </c>
      <c r="I11" s="72">
        <f>ROUND((('Base Data'!$H$42+'Base Data'!$H$41)/2)*'Testing Costs'!$C$23,0)</f>
        <v>19</v>
      </c>
      <c r="J11" s="73">
        <f>H11*I11</f>
        <v>380</v>
      </c>
      <c r="K11" s="73">
        <f>J11*0.1</f>
        <v>38</v>
      </c>
      <c r="L11" s="73">
        <f>J11*0.05</f>
        <v>19</v>
      </c>
      <c r="M11" s="74">
        <f>C11*G11*I11</f>
        <v>0</v>
      </c>
      <c r="N11" s="44">
        <f>(J11*'Base Data'!$C$5)+(K11*'Base Data'!$C$6)+(L11*'Base Data'!$C$7)</f>
        <v>41335.449999999997</v>
      </c>
      <c r="O11" s="44">
        <f>(D11+E11+F11)*G11*I11</f>
        <v>347548</v>
      </c>
      <c r="P11" s="73">
        <v>0</v>
      </c>
      <c r="Q11" s="75" t="s">
        <v>391</v>
      </c>
      <c r="R11" s="75"/>
    </row>
    <row r="12" spans="1:19" s="115" customFormat="1" ht="9">
      <c r="A12" s="111" t="s">
        <v>234</v>
      </c>
      <c r="B12" s="37">
        <v>12</v>
      </c>
      <c r="C12" s="37"/>
      <c r="D12" s="44">
        <v>0</v>
      </c>
      <c r="E12" s="44">
        <v>2228</v>
      </c>
      <c r="F12" s="44">
        <v>0</v>
      </c>
      <c r="G12" s="37">
        <v>0.5</v>
      </c>
      <c r="H12" s="37">
        <f>B12*G12</f>
        <v>6</v>
      </c>
      <c r="I12" s="72">
        <f>ROUND(('Base Data'!$D$42+'Base Data'!$D$41)/2,0)</f>
        <v>180</v>
      </c>
      <c r="J12" s="72">
        <f>H12*I12</f>
        <v>1080</v>
      </c>
      <c r="K12" s="72">
        <f>J12*0.1</f>
        <v>108</v>
      </c>
      <c r="L12" s="72">
        <f>J12*0.05</f>
        <v>54</v>
      </c>
      <c r="M12" s="73"/>
      <c r="N12" s="44">
        <f>(J12*'Base Data'!$C$5)+(K12*'Base Data'!$C$6)+(L12*'Base Data'!$C$7)</f>
        <v>117479.70000000001</v>
      </c>
      <c r="O12" s="44">
        <f>(D12+E12+F12)*I12</f>
        <v>401040</v>
      </c>
      <c r="P12" s="73">
        <v>0</v>
      </c>
      <c r="Q12" s="75" t="s">
        <v>662</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row>
    <row r="17" spans="1:19" s="115" customFormat="1" ht="9">
      <c r="A17" s="126" t="s">
        <v>328</v>
      </c>
      <c r="B17" s="37">
        <v>8</v>
      </c>
      <c r="C17" s="37"/>
      <c r="D17" s="44">
        <v>0</v>
      </c>
      <c r="E17" s="44">
        <v>0</v>
      </c>
      <c r="F17" s="44">
        <v>0</v>
      </c>
      <c r="G17" s="37">
        <v>1</v>
      </c>
      <c r="H17" s="37">
        <f>B17*G17</f>
        <v>8</v>
      </c>
      <c r="I17" s="72">
        <v>0</v>
      </c>
      <c r="J17" s="72">
        <f>H17*I17</f>
        <v>0</v>
      </c>
      <c r="K17" s="72">
        <f>J17*0.1</f>
        <v>0</v>
      </c>
      <c r="L17" s="72">
        <f>J17*0.05</f>
        <v>0</v>
      </c>
      <c r="M17" s="37">
        <f>C17*G17*I17</f>
        <v>0</v>
      </c>
      <c r="N17" s="44">
        <f>(J17*'Base Data'!$C$5)+(K17*'Base Data'!$C$6)+(L17*'Base Data'!$C$7)</f>
        <v>0</v>
      </c>
      <c r="O17" s="44">
        <f>(D17+E17+F17)*G17*I17</f>
        <v>0</v>
      </c>
      <c r="P17" s="73">
        <f>G17*I17</f>
        <v>0</v>
      </c>
      <c r="Q17" s="75" t="s">
        <v>339</v>
      </c>
    </row>
    <row r="18" spans="1:19" s="115" customFormat="1" ht="9">
      <c r="A18" s="112" t="s">
        <v>233</v>
      </c>
      <c r="B18" s="37">
        <v>5</v>
      </c>
      <c r="C18" s="37"/>
      <c r="D18" s="44">
        <v>0</v>
      </c>
      <c r="E18" s="44">
        <v>0</v>
      </c>
      <c r="F18" s="44">
        <v>0</v>
      </c>
      <c r="G18" s="37">
        <v>0.5</v>
      </c>
      <c r="H18" s="37">
        <f>B18*G18</f>
        <v>2.5</v>
      </c>
      <c r="I18" s="72">
        <v>0</v>
      </c>
      <c r="J18" s="72">
        <f>H18*I18</f>
        <v>0</v>
      </c>
      <c r="K18" s="72">
        <f>J18*0.1</f>
        <v>0</v>
      </c>
      <c r="L18" s="72">
        <f>J18*0.05</f>
        <v>0</v>
      </c>
      <c r="M18" s="37">
        <f>C18*G18*I18</f>
        <v>0</v>
      </c>
      <c r="N18" s="44">
        <f>(J18*'Base Data'!$C$5)+(K18*'Base Data'!$C$6)+(L18*'Base Data'!$C$7)</f>
        <v>0</v>
      </c>
      <c r="O18" s="44">
        <f>(D18+E18+F18)*G18*I18</f>
        <v>0</v>
      </c>
      <c r="P18" s="73">
        <f>G18*I18</f>
        <v>0</v>
      </c>
      <c r="Q18" s="75" t="s">
        <v>12</v>
      </c>
    </row>
    <row r="19" spans="1:19" s="6" customFormat="1" ht="9">
      <c r="A19" s="126" t="s">
        <v>444</v>
      </c>
      <c r="B19" s="37">
        <v>5</v>
      </c>
      <c r="C19" s="17"/>
      <c r="D19" s="32">
        <v>0</v>
      </c>
      <c r="E19" s="32">
        <v>0</v>
      </c>
      <c r="F19" s="32">
        <v>0</v>
      </c>
      <c r="G19" s="17">
        <v>1</v>
      </c>
      <c r="H19" s="17">
        <f>B19*G19</f>
        <v>5</v>
      </c>
      <c r="I19" s="72">
        <v>0</v>
      </c>
      <c r="J19" s="18">
        <f>H19*I19</f>
        <v>0</v>
      </c>
      <c r="K19" s="18">
        <f>J19*0.1</f>
        <v>0</v>
      </c>
      <c r="L19" s="18">
        <f>J19*0.05</f>
        <v>0</v>
      </c>
      <c r="M19" s="17">
        <f>C19*G19*I19</f>
        <v>0</v>
      </c>
      <c r="N19" s="32">
        <f>(J19*'Base Data'!$C$5)+(K19*'Base Data'!$C$6)+(L19*'Base Data'!$C$7)</f>
        <v>0</v>
      </c>
      <c r="O19" s="32">
        <f>(D19+E19+F19)*G19*I19</f>
        <v>0</v>
      </c>
      <c r="P19" s="18">
        <f>G19*I19</f>
        <v>0</v>
      </c>
      <c r="Q19" s="23" t="s">
        <v>339</v>
      </c>
    </row>
    <row r="20" spans="1:19" s="115" customFormat="1" ht="9">
      <c r="A20" s="116" t="s">
        <v>7</v>
      </c>
      <c r="B20" s="37"/>
      <c r="C20" s="37"/>
      <c r="D20" s="44"/>
      <c r="E20" s="44"/>
      <c r="F20" s="44"/>
      <c r="G20" s="37"/>
      <c r="H20" s="37"/>
      <c r="I20" s="73"/>
      <c r="J20" s="73">
        <f>SUM(J7:J19)</f>
        <v>1520</v>
      </c>
      <c r="K20" s="73">
        <f t="shared" ref="K20:O20" si="0">SUM(K7:K19)</f>
        <v>152</v>
      </c>
      <c r="L20" s="73">
        <f t="shared" si="0"/>
        <v>76</v>
      </c>
      <c r="M20" s="73">
        <f t="shared" si="0"/>
        <v>0</v>
      </c>
      <c r="N20" s="32">
        <f t="shared" si="0"/>
        <v>165341.80000000002</v>
      </c>
      <c r="O20" s="32">
        <f t="shared" si="0"/>
        <v>751150</v>
      </c>
      <c r="P20" s="73">
        <f>ROUNDUP(SUM(P7:P19),0)</f>
        <v>0</v>
      </c>
      <c r="Q20" s="75"/>
      <c r="R20" s="117">
        <f>SUM(O7:O12)</f>
        <v>751150</v>
      </c>
      <c r="S20" s="115">
        <f>0</f>
        <v>0</v>
      </c>
    </row>
    <row r="21" spans="1:19" s="115" customFormat="1" ht="9">
      <c r="A21" s="111" t="s">
        <v>382</v>
      </c>
      <c r="B21" s="37"/>
      <c r="C21" s="37"/>
      <c r="D21" s="44"/>
      <c r="E21" s="44"/>
      <c r="F21" s="44"/>
      <c r="G21" s="37"/>
      <c r="H21" s="37"/>
      <c r="I21" s="73"/>
      <c r="J21" s="37"/>
      <c r="K21" s="37"/>
      <c r="L21" s="37"/>
      <c r="M21" s="37"/>
      <c r="N21" s="44"/>
      <c r="O21" s="44"/>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2">
        <v>0</v>
      </c>
      <c r="J26" s="72">
        <f>H26*I26</f>
        <v>0</v>
      </c>
      <c r="K26" s="72">
        <f>J26*0.1</f>
        <v>0</v>
      </c>
      <c r="L26" s="72">
        <f>J26*0.05</f>
        <v>0</v>
      </c>
      <c r="M26" s="37">
        <f>C26*G26*I26</f>
        <v>0</v>
      </c>
      <c r="N26" s="44">
        <f>(J26*'Base Data'!$C$5)+(K26*'Base Data'!$C$6)+(L26*'Base Data'!$C$7)</f>
        <v>0</v>
      </c>
      <c r="O26" s="44">
        <f>(D26+E26+F26)*G26*I26</f>
        <v>0</v>
      </c>
      <c r="P26" s="73">
        <v>0</v>
      </c>
      <c r="Q26" s="75" t="s">
        <v>339</v>
      </c>
    </row>
    <row r="27" spans="1:19" s="115" customFormat="1" ht="18">
      <c r="A27" s="126" t="s">
        <v>327</v>
      </c>
      <c r="B27" s="37">
        <v>15</v>
      </c>
      <c r="C27" s="37">
        <v>0</v>
      </c>
      <c r="D27" s="44">
        <v>0</v>
      </c>
      <c r="E27" s="44">
        <v>0</v>
      </c>
      <c r="F27" s="44">
        <v>0</v>
      </c>
      <c r="G27" s="37">
        <v>1</v>
      </c>
      <c r="H27" s="37">
        <f>B27*G27</f>
        <v>15</v>
      </c>
      <c r="I27" s="72">
        <v>0</v>
      </c>
      <c r="J27" s="72">
        <f>H27*I27</f>
        <v>0</v>
      </c>
      <c r="K27" s="72">
        <f>J27*0.1</f>
        <v>0</v>
      </c>
      <c r="L27" s="72">
        <f>J27*0.05</f>
        <v>0</v>
      </c>
      <c r="M27" s="37">
        <f>C27*G27*I27</f>
        <v>0</v>
      </c>
      <c r="N27" s="44">
        <f>(J27*'Base Data'!$C$5)+(K27*'Base Data'!$C$6)+(L27*'Base Data'!$C$7)</f>
        <v>0</v>
      </c>
      <c r="O27" s="44">
        <f>(D27+E27+F27)*G27*I27</f>
        <v>0</v>
      </c>
      <c r="P27" s="73">
        <v>0</v>
      </c>
      <c r="Q27" s="75" t="s">
        <v>13</v>
      </c>
    </row>
    <row r="28" spans="1:19" s="115" customFormat="1" ht="9">
      <c r="A28" s="126" t="s">
        <v>236</v>
      </c>
      <c r="B28" s="37">
        <v>0.5</v>
      </c>
      <c r="C28" s="37"/>
      <c r="D28" s="44">
        <v>0</v>
      </c>
      <c r="E28" s="44">
        <v>0</v>
      </c>
      <c r="F28" s="44">
        <v>0</v>
      </c>
      <c r="G28" s="37">
        <v>0.5</v>
      </c>
      <c r="H28" s="37">
        <f>B28*G28</f>
        <v>0.25</v>
      </c>
      <c r="I28" s="72">
        <v>0</v>
      </c>
      <c r="J28" s="72">
        <f>H28*I28</f>
        <v>0</v>
      </c>
      <c r="K28" s="72">
        <f>J28*0.1</f>
        <v>0</v>
      </c>
      <c r="L28" s="72">
        <f>J28*0.05</f>
        <v>0</v>
      </c>
      <c r="M28" s="37">
        <f>C28*G28*I28</f>
        <v>0</v>
      </c>
      <c r="N28" s="44">
        <f>(J28*'Base Data'!$C$5)+(K28*'Base Data'!$C$6)+(L28*'Base Data'!$C$7)</f>
        <v>0</v>
      </c>
      <c r="O28" s="44">
        <f>(D28+E28+F28)*G28*I28</f>
        <v>0</v>
      </c>
      <c r="P28" s="73">
        <v>0</v>
      </c>
      <c r="Q28" s="75" t="s">
        <v>12</v>
      </c>
    </row>
    <row r="29" spans="1:19" s="6" customFormat="1" ht="9">
      <c r="A29" s="110" t="s">
        <v>378</v>
      </c>
      <c r="B29" s="37">
        <v>40</v>
      </c>
      <c r="C29" s="17"/>
      <c r="D29" s="32">
        <v>0</v>
      </c>
      <c r="E29" s="32">
        <v>0</v>
      </c>
      <c r="F29" s="32">
        <v>0</v>
      </c>
      <c r="G29" s="17">
        <v>1</v>
      </c>
      <c r="H29" s="17">
        <f t="shared" ref="H29" si="1">B29*G29</f>
        <v>40</v>
      </c>
      <c r="I29" s="72">
        <f>ROUND(('Base Data'!$H$42+'Base Data'!$H$41)/2,0)</f>
        <v>22</v>
      </c>
      <c r="J29" s="18">
        <f t="shared" ref="J29" si="2">H29*I29</f>
        <v>880</v>
      </c>
      <c r="K29" s="18">
        <f t="shared" ref="K29" si="3">J29*0.1</f>
        <v>88</v>
      </c>
      <c r="L29" s="18">
        <f t="shared" ref="L29" si="4">J29*0.05</f>
        <v>44</v>
      </c>
      <c r="M29" s="17"/>
      <c r="N29" s="32">
        <f>(J29*'Base Data'!$C$5)+(K29*'Base Data'!$C$6)+(L29*'Base Data'!$C$7)</f>
        <v>95724.2</v>
      </c>
      <c r="O29" s="32">
        <f t="shared" ref="O29" si="5">(D29+E29+F29)*G29*I29</f>
        <v>0</v>
      </c>
      <c r="P29" s="73">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P31" si="6">SUM(J22:J30)</f>
        <v>880</v>
      </c>
      <c r="K31" s="184">
        <f t="shared" si="6"/>
        <v>88</v>
      </c>
      <c r="L31" s="184">
        <f t="shared" si="6"/>
        <v>44</v>
      </c>
      <c r="M31" s="184">
        <f t="shared" si="6"/>
        <v>0</v>
      </c>
      <c r="N31" s="185">
        <f t="shared" si="6"/>
        <v>95724.2</v>
      </c>
      <c r="O31" s="185">
        <f t="shared" si="6"/>
        <v>0</v>
      </c>
      <c r="P31" s="186">
        <f t="shared" si="6"/>
        <v>0</v>
      </c>
      <c r="Q31" s="187"/>
      <c r="R31" s="117">
        <f>SUM(O22:O31)</f>
        <v>0</v>
      </c>
    </row>
    <row r="32" spans="1:19" s="115" customFormat="1">
      <c r="A32" s="135" t="s">
        <v>351</v>
      </c>
      <c r="B32" s="136"/>
      <c r="C32" s="136"/>
      <c r="D32" s="136"/>
      <c r="E32" s="136"/>
      <c r="F32" s="136"/>
      <c r="G32" s="136"/>
      <c r="H32" s="136"/>
      <c r="I32" s="138"/>
      <c r="J32" s="139">
        <f t="shared" ref="J32:P32" si="7">SUM(J20,J31)</f>
        <v>2400</v>
      </c>
      <c r="K32" s="139">
        <f t="shared" si="7"/>
        <v>240</v>
      </c>
      <c r="L32" s="139">
        <f t="shared" si="7"/>
        <v>120</v>
      </c>
      <c r="M32" s="139">
        <f t="shared" si="7"/>
        <v>0</v>
      </c>
      <c r="N32" s="140">
        <f t="shared" si="7"/>
        <v>261066</v>
      </c>
      <c r="O32" s="140">
        <f t="shared" si="7"/>
        <v>751150</v>
      </c>
      <c r="P32" s="139">
        <f t="shared" si="7"/>
        <v>0</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341</v>
      </c>
      <c r="B34" s="48"/>
      <c r="C34" s="48"/>
      <c r="D34" s="48"/>
      <c r="E34" s="48"/>
      <c r="F34" s="48"/>
      <c r="G34" s="48"/>
      <c r="H34" s="49"/>
      <c r="I34" s="48"/>
      <c r="J34" s="48"/>
      <c r="K34" s="48"/>
      <c r="L34" s="48"/>
      <c r="M34" s="48"/>
      <c r="N34" s="48"/>
      <c r="O34" s="146"/>
      <c r="P34" s="146"/>
      <c r="Q34" s="48"/>
    </row>
    <row r="35" spans="1:17" s="45" customFormat="1" ht="20.25" customHeight="1">
      <c r="A35" s="494" t="s">
        <v>547</v>
      </c>
      <c r="B35" s="494"/>
      <c r="C35" s="494"/>
      <c r="D35" s="494"/>
      <c r="E35" s="494"/>
      <c r="F35" s="494"/>
      <c r="G35" s="494"/>
      <c r="H35" s="494"/>
      <c r="I35" s="494"/>
      <c r="J35" s="494"/>
      <c r="K35" s="494"/>
      <c r="L35" s="494"/>
      <c r="M35" s="494"/>
      <c r="N35" s="494"/>
      <c r="O35" s="494"/>
      <c r="P35" s="124"/>
      <c r="Q35" s="48"/>
    </row>
    <row r="36" spans="1:17" s="45" customFormat="1" ht="28.5" customHeight="1">
      <c r="A36" s="494" t="s">
        <v>2</v>
      </c>
      <c r="B36" s="494"/>
      <c r="C36" s="494"/>
      <c r="D36" s="494"/>
      <c r="E36" s="494"/>
      <c r="F36" s="494"/>
      <c r="G36" s="494"/>
      <c r="H36" s="494"/>
      <c r="I36" s="494"/>
      <c r="J36" s="494"/>
      <c r="K36" s="494"/>
      <c r="L36" s="494"/>
      <c r="M36" s="494"/>
      <c r="N36" s="494"/>
      <c r="O36" s="494"/>
      <c r="P36" s="124"/>
      <c r="Q36" s="46"/>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9"/>
      <c r="I38" s="48"/>
      <c r="J38" s="48"/>
      <c r="K38" s="48"/>
      <c r="L38" s="48"/>
      <c r="M38" s="48"/>
      <c r="N38" s="48"/>
      <c r="O38" s="146"/>
      <c r="P38" s="146"/>
      <c r="Q38" s="48"/>
    </row>
    <row r="39" spans="1:17">
      <c r="A39" s="45" t="s">
        <v>503</v>
      </c>
    </row>
    <row r="40" spans="1:17">
      <c r="A40" s="45" t="s">
        <v>502</v>
      </c>
    </row>
    <row r="41" spans="1:17">
      <c r="A41" s="13" t="s">
        <v>501</v>
      </c>
    </row>
    <row r="42" spans="1:17">
      <c r="A42" s="500" t="s">
        <v>671</v>
      </c>
      <c r="B42" s="500"/>
      <c r="C42" s="500"/>
      <c r="D42" s="500"/>
      <c r="E42" s="500"/>
      <c r="F42" s="500"/>
      <c r="G42" s="500"/>
      <c r="H42" s="500"/>
      <c r="I42" s="500"/>
      <c r="J42" s="500"/>
      <c r="K42" s="500"/>
      <c r="L42" s="500"/>
      <c r="M42" s="500"/>
      <c r="N42" s="500"/>
      <c r="O42" s="500"/>
      <c r="P42" s="500"/>
      <c r="Q42" s="500"/>
    </row>
    <row r="43" spans="1:17">
      <c r="A43" s="500"/>
      <c r="B43" s="500"/>
      <c r="C43" s="500"/>
      <c r="D43" s="500"/>
      <c r="E43" s="500"/>
      <c r="F43" s="500"/>
      <c r="G43" s="500"/>
      <c r="H43" s="500"/>
      <c r="I43" s="500"/>
      <c r="J43" s="500"/>
      <c r="K43" s="500"/>
      <c r="L43" s="500"/>
      <c r="M43" s="500"/>
      <c r="N43" s="500"/>
      <c r="O43" s="500"/>
      <c r="P43" s="500"/>
      <c r="Q43" s="500"/>
    </row>
  </sheetData>
  <mergeCells count="6">
    <mergeCell ref="A42:Q43"/>
    <mergeCell ref="A37:Q37"/>
    <mergeCell ref="A1:Q1"/>
    <mergeCell ref="A2:Q2"/>
    <mergeCell ref="A35:O35"/>
    <mergeCell ref="A36:O36"/>
  </mergeCells>
  <phoneticPr fontId="9" type="noConversion"/>
  <printOptions horizontalCentered="1"/>
  <pageMargins left="0.25" right="0.25" top="0.5" bottom="0.5" header="0.5" footer="0.5"/>
  <pageSetup scale="91" orientation="landscape" r:id="rId1"/>
  <headerFooter alignWithMargins="0"/>
</worksheet>
</file>

<file path=xl/worksheets/sheet33.xml><?xml version="1.0" encoding="utf-8"?>
<worksheet xmlns="http://schemas.openxmlformats.org/spreadsheetml/2006/main" xmlns:r="http://schemas.openxmlformats.org/officeDocument/2006/relationships">
  <sheetPr>
    <pageSetUpPr fitToPage="1"/>
  </sheetPr>
  <dimension ref="A1:S4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42" sqref="A42:Q43"/>
    </sheetView>
  </sheetViews>
  <sheetFormatPr defaultRowHeight="11.25"/>
  <cols>
    <col min="1" max="1" width="30.1406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bestFit="1" customWidth="1"/>
    <col min="7" max="7" width="9.28515625" style="46" bestFit="1" customWidth="1"/>
    <col min="8" max="8" width="8.7109375" style="46" bestFit="1" customWidth="1"/>
    <col min="9" max="9" width="9.42578125" style="145" bestFit="1" customWidth="1"/>
    <col min="10" max="10" width="7.7109375" style="145" customWidth="1"/>
    <col min="11" max="11" width="6.85546875" style="145" bestFit="1" customWidth="1"/>
    <col min="12" max="12" width="9" style="145" customWidth="1"/>
    <col min="13" max="13" width="9" style="145" hidden="1" customWidth="1"/>
    <col min="14" max="14" width="10.140625" style="46" bestFit="1" customWidth="1"/>
    <col min="15" max="15" width="8.85546875" style="88" customWidth="1"/>
    <col min="16" max="16" width="8.5703125" style="88" bestFit="1" customWidth="1"/>
    <col min="17" max="17" width="4.28515625" style="88" bestFit="1" customWidth="1"/>
    <col min="18" max="19" width="0" style="88" hidden="1" customWidth="1"/>
    <col min="20" max="16384" width="9.140625" style="88"/>
  </cols>
  <sheetData>
    <row r="1" spans="1:19">
      <c r="A1" s="496" t="s">
        <v>222</v>
      </c>
      <c r="B1" s="496"/>
      <c r="C1" s="496"/>
      <c r="D1" s="496"/>
      <c r="E1" s="496"/>
      <c r="F1" s="496"/>
      <c r="G1" s="496"/>
      <c r="H1" s="496"/>
      <c r="I1" s="496"/>
      <c r="J1" s="496"/>
      <c r="K1" s="496"/>
      <c r="L1" s="496"/>
      <c r="M1" s="496"/>
      <c r="N1" s="496"/>
      <c r="O1" s="496"/>
      <c r="P1" s="496"/>
      <c r="Q1" s="496"/>
    </row>
    <row r="2" spans="1:19">
      <c r="A2" s="497" t="s">
        <v>471</v>
      </c>
      <c r="B2" s="497"/>
      <c r="C2" s="497"/>
      <c r="D2" s="497"/>
      <c r="E2" s="497"/>
      <c r="F2" s="497"/>
      <c r="G2" s="497"/>
      <c r="H2" s="497"/>
      <c r="I2" s="497"/>
      <c r="J2" s="497"/>
      <c r="K2" s="497"/>
      <c r="L2" s="497"/>
      <c r="M2" s="497"/>
      <c r="N2" s="497"/>
      <c r="O2" s="497"/>
      <c r="P2" s="497"/>
      <c r="Q2" s="497"/>
    </row>
    <row r="3" spans="1:19" s="142" customFormat="1" ht="54">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2"/>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2">
        <f>ROUND((('Base Data'!$H$42+'Base Data'!$H$41)/2)*'Testing Costs'!$C$22,0)</f>
        <v>3</v>
      </c>
      <c r="J10" s="73">
        <f>H10*I10</f>
        <v>60</v>
      </c>
      <c r="K10" s="73">
        <f>J10*0.1</f>
        <v>6</v>
      </c>
      <c r="L10" s="73">
        <f>J10*0.05</f>
        <v>3</v>
      </c>
      <c r="M10" s="74">
        <f>C10*G10*I10</f>
        <v>0</v>
      </c>
      <c r="N10" s="44">
        <f>(J10*'Base Data'!$C$5)+(K10*'Base Data'!$C$6)+(L10*'Base Data'!$C$7)</f>
        <v>6526.6500000000005</v>
      </c>
      <c r="O10" s="44">
        <f>(D10+E10+F10)*G10*I10</f>
        <v>2562</v>
      </c>
      <c r="P10" s="73">
        <v>0</v>
      </c>
      <c r="Q10" s="75" t="s">
        <v>391</v>
      </c>
      <c r="R10" s="75"/>
    </row>
    <row r="11" spans="1:19" s="115" customFormat="1" ht="9">
      <c r="A11" s="110" t="s">
        <v>251</v>
      </c>
      <c r="B11" s="37">
        <v>20</v>
      </c>
      <c r="C11" s="37"/>
      <c r="D11" s="44">
        <v>18292</v>
      </c>
      <c r="E11" s="44">
        <v>0</v>
      </c>
      <c r="F11" s="44">
        <v>0</v>
      </c>
      <c r="G11" s="37">
        <v>1</v>
      </c>
      <c r="H11" s="37">
        <f>B11*G11</f>
        <v>20</v>
      </c>
      <c r="I11" s="72">
        <f>ROUNDDOWN((('Base Data'!$H$42+'Base Data'!$H$41)/2)*'Testing Costs'!$C$23,0)</f>
        <v>18</v>
      </c>
      <c r="J11" s="73">
        <f>H11*I11</f>
        <v>360</v>
      </c>
      <c r="K11" s="73">
        <f>J11*0.1</f>
        <v>36</v>
      </c>
      <c r="L11" s="73">
        <f>J11*0.05</f>
        <v>18</v>
      </c>
      <c r="M11" s="74">
        <f>C11*G11*I11</f>
        <v>0</v>
      </c>
      <c r="N11" s="44">
        <f>(J11*'Base Data'!$C$5)+(K11*'Base Data'!$C$6)+(L11*'Base Data'!$C$7)</f>
        <v>39159.9</v>
      </c>
      <c r="O11" s="44">
        <f>(D11+E11+F11)*G11*I11</f>
        <v>329256</v>
      </c>
      <c r="P11" s="73">
        <v>0</v>
      </c>
      <c r="Q11" s="75" t="s">
        <v>391</v>
      </c>
      <c r="R11" s="75"/>
    </row>
    <row r="12" spans="1:19" s="115" customFormat="1" ht="9">
      <c r="A12" s="111" t="s">
        <v>234</v>
      </c>
      <c r="B12" s="37">
        <v>12</v>
      </c>
      <c r="C12" s="37"/>
      <c r="D12" s="44">
        <v>0</v>
      </c>
      <c r="E12" s="44">
        <v>2228</v>
      </c>
      <c r="F12" s="44">
        <v>0</v>
      </c>
      <c r="G12" s="37">
        <v>0.5</v>
      </c>
      <c r="H12" s="37">
        <f>B12*G12</f>
        <v>6</v>
      </c>
      <c r="I12" s="72">
        <f>ROUNDDOWN(('Base Data'!$D$42+'Base Data'!$D$41)/2,0)</f>
        <v>180</v>
      </c>
      <c r="J12" s="72">
        <f>H12*I12</f>
        <v>1080</v>
      </c>
      <c r="K12" s="72">
        <f>J12*0.1</f>
        <v>108</v>
      </c>
      <c r="L12" s="72">
        <f>J12*0.05</f>
        <v>54</v>
      </c>
      <c r="M12" s="73"/>
      <c r="N12" s="44">
        <f>(J12*'Base Data'!$C$5)+(K12*'Base Data'!$C$6)+(L12*'Base Data'!$C$7)</f>
        <v>117479.70000000001</v>
      </c>
      <c r="O12" s="44">
        <f>(D12+E12+F12)*I12</f>
        <v>401040</v>
      </c>
      <c r="P12" s="73">
        <v>0</v>
      </c>
      <c r="Q12" s="75" t="s">
        <v>662</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row>
    <row r="17" spans="1:19" s="115" customFormat="1" ht="9">
      <c r="A17" s="126" t="s">
        <v>328</v>
      </c>
      <c r="B17" s="37">
        <v>8</v>
      </c>
      <c r="C17" s="37"/>
      <c r="D17" s="44">
        <v>0</v>
      </c>
      <c r="E17" s="44">
        <v>0</v>
      </c>
      <c r="F17" s="44">
        <v>0</v>
      </c>
      <c r="G17" s="37">
        <v>1</v>
      </c>
      <c r="H17" s="37">
        <f>B17*G17</f>
        <v>8</v>
      </c>
      <c r="I17" s="72">
        <f>'Fac - ExistSmlLiquid-Yr1'!$I$7</f>
        <v>43</v>
      </c>
      <c r="J17" s="72">
        <f>H17*I17</f>
        <v>344</v>
      </c>
      <c r="K17" s="72">
        <f>J17*0.1</f>
        <v>34.4</v>
      </c>
      <c r="L17" s="72">
        <f>J17*0.05</f>
        <v>17.2</v>
      </c>
      <c r="M17" s="37">
        <f>C17*G17*I17</f>
        <v>0</v>
      </c>
      <c r="N17" s="44">
        <f>(J17*'Base Data'!$C$5)+(K17*'Base Data'!$C$6)+(L17*'Base Data'!$C$7)</f>
        <v>37419.460000000006</v>
      </c>
      <c r="O17" s="44">
        <f>(D17+E17+F17)*G17*I17</f>
        <v>0</v>
      </c>
      <c r="P17" s="73">
        <f>G17*I17</f>
        <v>43</v>
      </c>
      <c r="Q17" s="75" t="s">
        <v>339</v>
      </c>
    </row>
    <row r="18" spans="1:19" s="115" customFormat="1" ht="9">
      <c r="A18" s="112" t="s">
        <v>233</v>
      </c>
      <c r="B18" s="37">
        <v>5</v>
      </c>
      <c r="C18" s="37"/>
      <c r="D18" s="44">
        <v>0</v>
      </c>
      <c r="E18" s="44">
        <v>0</v>
      </c>
      <c r="F18" s="44">
        <v>0</v>
      </c>
      <c r="G18" s="37">
        <v>0.5</v>
      </c>
      <c r="H18" s="37">
        <f>B18*G18</f>
        <v>2.5</v>
      </c>
      <c r="I18" s="72">
        <f>'Fac - ExistSmlLiquid-Yr1'!$I$7</f>
        <v>43</v>
      </c>
      <c r="J18" s="72">
        <f>H18*I18</f>
        <v>107.5</v>
      </c>
      <c r="K18" s="72">
        <f>J18*0.1</f>
        <v>10.75</v>
      </c>
      <c r="L18" s="72">
        <f>J18*0.05</f>
        <v>5.375</v>
      </c>
      <c r="M18" s="37">
        <f>C18*G18*I18</f>
        <v>0</v>
      </c>
      <c r="N18" s="44">
        <f>(J18*'Base Data'!$C$5)+(K18*'Base Data'!$C$6)+(L18*'Base Data'!$C$7)</f>
        <v>11693.581249999999</v>
      </c>
      <c r="O18" s="44">
        <f>(D18+E18+F18)*G18*I18</f>
        <v>0</v>
      </c>
      <c r="P18" s="73">
        <f>G18*I18</f>
        <v>21.5</v>
      </c>
      <c r="Q18" s="75" t="s">
        <v>12</v>
      </c>
    </row>
    <row r="19" spans="1:19" s="6" customFormat="1" ht="9">
      <c r="A19" s="126" t="s">
        <v>444</v>
      </c>
      <c r="B19" s="37">
        <v>5</v>
      </c>
      <c r="C19" s="17"/>
      <c r="D19" s="32">
        <v>0</v>
      </c>
      <c r="E19" s="32">
        <v>0</v>
      </c>
      <c r="F19" s="32">
        <v>0</v>
      </c>
      <c r="G19" s="17">
        <v>1</v>
      </c>
      <c r="H19" s="17">
        <f>B19*G19</f>
        <v>5</v>
      </c>
      <c r="I19" s="72">
        <f>'Fac - ExistSmlLiquid-Yr1'!$I$7</f>
        <v>43</v>
      </c>
      <c r="J19" s="18">
        <f>H19*I19</f>
        <v>215</v>
      </c>
      <c r="K19" s="18">
        <f>J19*0.1</f>
        <v>21.5</v>
      </c>
      <c r="L19" s="18">
        <f>J19*0.05</f>
        <v>10.75</v>
      </c>
      <c r="M19" s="17">
        <f>C19*G19*I19</f>
        <v>0</v>
      </c>
      <c r="N19" s="32">
        <f>(J19*'Base Data'!$C$5)+(K19*'Base Data'!$C$6)+(L19*'Base Data'!$C$7)</f>
        <v>23387.162499999999</v>
      </c>
      <c r="O19" s="32">
        <f>(D19+E19+F19)*G19*I19</f>
        <v>0</v>
      </c>
      <c r="P19" s="18">
        <f>G19*I19</f>
        <v>43</v>
      </c>
      <c r="Q19" s="23" t="s">
        <v>339</v>
      </c>
    </row>
    <row r="20" spans="1:19" s="115" customFormat="1" ht="9">
      <c r="A20" s="116" t="s">
        <v>7</v>
      </c>
      <c r="B20" s="37"/>
      <c r="C20" s="37"/>
      <c r="D20" s="44"/>
      <c r="E20" s="44"/>
      <c r="F20" s="44"/>
      <c r="G20" s="37"/>
      <c r="H20" s="37"/>
      <c r="I20" s="73"/>
      <c r="J20" s="73">
        <f>SUM(J7:J19)</f>
        <v>2166.5</v>
      </c>
      <c r="K20" s="73">
        <f t="shared" ref="K20:O20" si="0">SUM(K7:K19)</f>
        <v>216.65</v>
      </c>
      <c r="L20" s="73">
        <f t="shared" si="0"/>
        <v>108.325</v>
      </c>
      <c r="M20" s="73">
        <f t="shared" si="0"/>
        <v>0</v>
      </c>
      <c r="N20" s="32">
        <f t="shared" si="0"/>
        <v>235666.45375000002</v>
      </c>
      <c r="O20" s="32">
        <f t="shared" si="0"/>
        <v>732858</v>
      </c>
      <c r="P20" s="73">
        <f>ROUNDUP(SUM(P7:P19),0)</f>
        <v>108</v>
      </c>
      <c r="Q20" s="75"/>
      <c r="R20" s="117">
        <f>SUM(O7:O12)</f>
        <v>732858</v>
      </c>
      <c r="S20" s="115">
        <f>0</f>
        <v>0</v>
      </c>
    </row>
    <row r="21" spans="1:19" s="115" customFormat="1" ht="9">
      <c r="A21" s="111" t="s">
        <v>382</v>
      </c>
      <c r="B21" s="37"/>
      <c r="C21" s="37"/>
      <c r="D21" s="44"/>
      <c r="E21" s="44"/>
      <c r="F21" s="44"/>
      <c r="G21" s="37"/>
      <c r="H21" s="37"/>
      <c r="I21" s="73"/>
      <c r="J21" s="37"/>
      <c r="K21" s="37"/>
      <c r="L21" s="37"/>
      <c r="M21" s="37"/>
      <c r="N21" s="32"/>
      <c r="O21" s="32"/>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2">
        <f>I18</f>
        <v>43</v>
      </c>
      <c r="J26" s="72">
        <f>H26*I26</f>
        <v>43</v>
      </c>
      <c r="K26" s="72">
        <f>J26*0.1</f>
        <v>4.3</v>
      </c>
      <c r="L26" s="72">
        <f>J26*0.05</f>
        <v>2.15</v>
      </c>
      <c r="M26" s="37">
        <f>C26*G26*I26</f>
        <v>0</v>
      </c>
      <c r="N26" s="44">
        <f>(J26*'Base Data'!$C$5)+(K26*'Base Data'!$C$6)+(L26*'Base Data'!$C$7)</f>
        <v>4677.4325000000008</v>
      </c>
      <c r="O26" s="44">
        <f>(D26+E26+F26)*G26*I26</f>
        <v>0</v>
      </c>
      <c r="P26" s="73">
        <v>0</v>
      </c>
      <c r="Q26" s="75" t="s">
        <v>339</v>
      </c>
    </row>
    <row r="27" spans="1:19" s="115" customFormat="1" ht="18">
      <c r="A27" s="126" t="s">
        <v>327</v>
      </c>
      <c r="B27" s="37">
        <v>15</v>
      </c>
      <c r="C27" s="37">
        <v>0</v>
      </c>
      <c r="D27" s="44">
        <v>0</v>
      </c>
      <c r="E27" s="44">
        <v>0</v>
      </c>
      <c r="F27" s="44">
        <v>0</v>
      </c>
      <c r="G27" s="37">
        <v>1</v>
      </c>
      <c r="H27" s="37">
        <f>B27*G27</f>
        <v>15</v>
      </c>
      <c r="I27" s="72">
        <v>0</v>
      </c>
      <c r="J27" s="72">
        <f>H27*I27</f>
        <v>0</v>
      </c>
      <c r="K27" s="72">
        <f>J27*0.1</f>
        <v>0</v>
      </c>
      <c r="L27" s="72">
        <f>J27*0.05</f>
        <v>0</v>
      </c>
      <c r="M27" s="37">
        <f>C27*G27*I27</f>
        <v>0</v>
      </c>
      <c r="N27" s="44">
        <f>(J27*'Base Data'!$C$5)+(K27*'Base Data'!$C$6)+(L27*'Base Data'!$C$7)</f>
        <v>0</v>
      </c>
      <c r="O27" s="44">
        <f>(D27+E27+F27)*G27*I27</f>
        <v>0</v>
      </c>
      <c r="P27" s="73">
        <v>0</v>
      </c>
      <c r="Q27" s="75" t="s">
        <v>13</v>
      </c>
    </row>
    <row r="28" spans="1:19" s="115" customFormat="1" ht="9">
      <c r="A28" s="126" t="s">
        <v>236</v>
      </c>
      <c r="B28" s="37">
        <v>0.5</v>
      </c>
      <c r="C28" s="37"/>
      <c r="D28" s="44">
        <v>0</v>
      </c>
      <c r="E28" s="44">
        <v>0</v>
      </c>
      <c r="F28" s="44">
        <v>0</v>
      </c>
      <c r="G28" s="37">
        <v>0.5</v>
      </c>
      <c r="H28" s="37">
        <f>B28*G28</f>
        <v>0.25</v>
      </c>
      <c r="I28" s="72">
        <f>'Base Data'!$D$42+'Base Data'!$D$41</f>
        <v>360</v>
      </c>
      <c r="J28" s="72">
        <f>H28*I28</f>
        <v>90</v>
      </c>
      <c r="K28" s="72">
        <f>J28*0.1</f>
        <v>9</v>
      </c>
      <c r="L28" s="72">
        <f>J28*0.05</f>
        <v>4.5</v>
      </c>
      <c r="M28" s="37">
        <f>C28*G28*I28</f>
        <v>0</v>
      </c>
      <c r="N28" s="44">
        <f>(J28*'Base Data'!$C$5)+(K28*'Base Data'!$C$6)+(L28*'Base Data'!$C$7)</f>
        <v>9789.9750000000004</v>
      </c>
      <c r="O28" s="44">
        <f>(D28+E28+F28)*G28*I28</f>
        <v>0</v>
      </c>
      <c r="P28" s="73">
        <v>0</v>
      </c>
      <c r="Q28" s="75" t="s">
        <v>12</v>
      </c>
    </row>
    <row r="29" spans="1:19" s="6" customFormat="1" ht="9">
      <c r="A29" s="110" t="s">
        <v>378</v>
      </c>
      <c r="B29" s="37">
        <v>40</v>
      </c>
      <c r="C29" s="17"/>
      <c r="D29" s="32">
        <v>0</v>
      </c>
      <c r="E29" s="32">
        <v>0</v>
      </c>
      <c r="F29" s="32">
        <v>0</v>
      </c>
      <c r="G29" s="17">
        <v>1</v>
      </c>
      <c r="H29" s="17">
        <f t="shared" ref="H29" si="1">B29*G29</f>
        <v>40</v>
      </c>
      <c r="I29" s="72">
        <f>ROUNDDOWN(('Base Data'!$H$42+'Base Data'!$H$41)/2,0)</f>
        <v>21</v>
      </c>
      <c r="J29" s="18">
        <f t="shared" ref="J29" si="2">H29*I29</f>
        <v>840</v>
      </c>
      <c r="K29" s="18">
        <f t="shared" ref="K29" si="3">J29*0.1</f>
        <v>84</v>
      </c>
      <c r="L29" s="18">
        <f t="shared" ref="L29" si="4">J29*0.05</f>
        <v>42</v>
      </c>
      <c r="M29" s="17"/>
      <c r="N29" s="32">
        <f>(J29*'Base Data'!$C$5)+(K29*'Base Data'!$C$6)+(L29*'Base Data'!$C$7)</f>
        <v>91373.1</v>
      </c>
      <c r="O29" s="32">
        <f t="shared" ref="O29" si="5">(D29+E29+F29)*G29*I29</f>
        <v>0</v>
      </c>
      <c r="P29" s="73">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P31" si="6">SUM(J22:J30)</f>
        <v>973</v>
      </c>
      <c r="K31" s="184">
        <f t="shared" si="6"/>
        <v>97.3</v>
      </c>
      <c r="L31" s="184">
        <f t="shared" si="6"/>
        <v>48.65</v>
      </c>
      <c r="M31" s="184">
        <f t="shared" si="6"/>
        <v>0</v>
      </c>
      <c r="N31" s="185">
        <f t="shared" si="6"/>
        <v>105840.50750000001</v>
      </c>
      <c r="O31" s="185">
        <f t="shared" si="6"/>
        <v>0</v>
      </c>
      <c r="P31" s="73">
        <f t="shared" si="6"/>
        <v>0</v>
      </c>
      <c r="Q31" s="187"/>
      <c r="R31" s="117">
        <f>SUM(O22:O31)</f>
        <v>0</v>
      </c>
    </row>
    <row r="32" spans="1:19" s="115" customFormat="1">
      <c r="A32" s="135" t="s">
        <v>351</v>
      </c>
      <c r="B32" s="136"/>
      <c r="C32" s="136"/>
      <c r="D32" s="136"/>
      <c r="E32" s="136"/>
      <c r="F32" s="136"/>
      <c r="G32" s="136"/>
      <c r="H32" s="136"/>
      <c r="I32" s="138"/>
      <c r="J32" s="139">
        <f t="shared" ref="J32:P32" si="7">SUM(J20,J31)</f>
        <v>3139.5</v>
      </c>
      <c r="K32" s="139">
        <f t="shared" si="7"/>
        <v>313.95</v>
      </c>
      <c r="L32" s="139">
        <f t="shared" si="7"/>
        <v>156.97499999999999</v>
      </c>
      <c r="M32" s="139">
        <f t="shared" si="7"/>
        <v>0</v>
      </c>
      <c r="N32" s="140">
        <f t="shared" si="7"/>
        <v>341506.96125000005</v>
      </c>
      <c r="O32" s="140">
        <f t="shared" si="7"/>
        <v>732858</v>
      </c>
      <c r="P32" s="139">
        <f t="shared" si="7"/>
        <v>108</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341</v>
      </c>
      <c r="B34" s="48"/>
      <c r="C34" s="48"/>
      <c r="D34" s="48"/>
      <c r="E34" s="48"/>
      <c r="F34" s="48"/>
      <c r="G34" s="48"/>
      <c r="H34" s="49"/>
      <c r="I34" s="48"/>
      <c r="J34" s="48"/>
      <c r="K34" s="48"/>
      <c r="L34" s="48"/>
      <c r="M34" s="48"/>
      <c r="N34" s="48"/>
      <c r="O34" s="146"/>
      <c r="P34" s="146"/>
      <c r="Q34" s="48"/>
    </row>
    <row r="35" spans="1:17" s="45" customFormat="1" ht="20.25" customHeight="1">
      <c r="A35" s="494" t="s">
        <v>547</v>
      </c>
      <c r="B35" s="494"/>
      <c r="C35" s="494"/>
      <c r="D35" s="494"/>
      <c r="E35" s="494"/>
      <c r="F35" s="494"/>
      <c r="G35" s="494"/>
      <c r="H35" s="494"/>
      <c r="I35" s="494"/>
      <c r="J35" s="494"/>
      <c r="K35" s="494"/>
      <c r="L35" s="494"/>
      <c r="M35" s="494"/>
      <c r="N35" s="494"/>
      <c r="O35" s="494"/>
      <c r="P35" s="124"/>
      <c r="Q35" s="48"/>
    </row>
    <row r="36" spans="1:17" s="45" customFormat="1" ht="28.5" customHeight="1">
      <c r="A36" s="494" t="s">
        <v>2</v>
      </c>
      <c r="B36" s="494"/>
      <c r="C36" s="494"/>
      <c r="D36" s="494"/>
      <c r="E36" s="494"/>
      <c r="F36" s="494"/>
      <c r="G36" s="494"/>
      <c r="H36" s="494"/>
      <c r="I36" s="494"/>
      <c r="J36" s="494"/>
      <c r="K36" s="494"/>
      <c r="L36" s="494"/>
      <c r="M36" s="494"/>
      <c r="N36" s="494"/>
      <c r="O36" s="494"/>
      <c r="P36" s="124"/>
      <c r="Q36" s="46"/>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9"/>
      <c r="I38" s="48"/>
      <c r="J38" s="48"/>
      <c r="K38" s="48"/>
      <c r="L38" s="48"/>
      <c r="M38" s="48"/>
      <c r="N38" s="48"/>
      <c r="O38" s="146"/>
      <c r="P38" s="146"/>
      <c r="Q38" s="48"/>
    </row>
    <row r="39" spans="1:17">
      <c r="A39" s="45" t="s">
        <v>503</v>
      </c>
    </row>
    <row r="40" spans="1:17">
      <c r="A40" s="45" t="s">
        <v>502</v>
      </c>
    </row>
    <row r="41" spans="1:17">
      <c r="A41" s="13" t="s">
        <v>501</v>
      </c>
    </row>
    <row r="42" spans="1:17" ht="11.25" customHeight="1">
      <c r="A42" s="500" t="s">
        <v>671</v>
      </c>
      <c r="B42" s="500"/>
      <c r="C42" s="500"/>
      <c r="D42" s="500"/>
      <c r="E42" s="500"/>
      <c r="F42" s="500"/>
      <c r="G42" s="500"/>
      <c r="H42" s="500"/>
      <c r="I42" s="500"/>
      <c r="J42" s="500"/>
      <c r="K42" s="500"/>
      <c r="L42" s="500"/>
      <c r="M42" s="500"/>
      <c r="N42" s="500"/>
      <c r="O42" s="500"/>
      <c r="P42" s="500"/>
      <c r="Q42" s="500"/>
    </row>
    <row r="43" spans="1:17">
      <c r="A43" s="500"/>
      <c r="B43" s="500"/>
      <c r="C43" s="500"/>
      <c r="D43" s="500"/>
      <c r="E43" s="500"/>
      <c r="F43" s="500"/>
      <c r="G43" s="500"/>
      <c r="H43" s="500"/>
      <c r="I43" s="500"/>
      <c r="J43" s="500"/>
      <c r="K43" s="500"/>
      <c r="L43" s="500"/>
      <c r="M43" s="500"/>
      <c r="N43" s="500"/>
      <c r="O43" s="500"/>
      <c r="P43" s="500"/>
      <c r="Q43" s="500"/>
    </row>
  </sheetData>
  <mergeCells count="6">
    <mergeCell ref="A42:Q43"/>
    <mergeCell ref="A37:Q37"/>
    <mergeCell ref="A1:Q1"/>
    <mergeCell ref="A2:Q2"/>
    <mergeCell ref="A35:O35"/>
    <mergeCell ref="A36:O36"/>
  </mergeCells>
  <phoneticPr fontId="9" type="noConversion"/>
  <printOptions horizontalCentered="1"/>
  <pageMargins left="0.25" right="0.25" top="0.5" bottom="0.5" header="0.5" footer="0.5"/>
  <pageSetup scale="91" orientation="landscape"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F38" sqref="F38"/>
    </sheetView>
  </sheetViews>
  <sheetFormatPr defaultRowHeight="11.25"/>
  <cols>
    <col min="1" max="1" width="30.425781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bestFit="1" customWidth="1"/>
    <col min="7" max="7" width="9.28515625" style="46" bestFit="1" customWidth="1"/>
    <col min="8" max="8" width="8.7109375" style="46" bestFit="1" customWidth="1"/>
    <col min="9" max="9" width="9.42578125" style="145" bestFit="1" customWidth="1"/>
    <col min="10" max="10" width="7.7109375" style="145" bestFit="1" customWidth="1"/>
    <col min="11" max="11" width="6.85546875" style="145" bestFit="1" customWidth="1"/>
    <col min="12" max="12" width="8.85546875" style="145" customWidth="1"/>
    <col min="13" max="13" width="9" style="145" hidden="1" customWidth="1"/>
    <col min="14" max="14" width="9.42578125" style="46" bestFit="1" customWidth="1"/>
    <col min="15" max="15" width="9.85546875" style="88" bestFit="1" customWidth="1"/>
    <col min="16" max="16" width="8.5703125" style="88" bestFit="1" customWidth="1"/>
    <col min="17" max="17" width="4.28515625" style="88" bestFit="1" customWidth="1"/>
    <col min="18" max="19" width="0" style="88" hidden="1" customWidth="1"/>
    <col min="20" max="16384" width="9.140625" style="88"/>
  </cols>
  <sheetData>
    <row r="1" spans="1:19">
      <c r="A1" s="496" t="s">
        <v>237</v>
      </c>
      <c r="B1" s="496"/>
      <c r="C1" s="496"/>
      <c r="D1" s="496"/>
      <c r="E1" s="496"/>
      <c r="F1" s="496"/>
      <c r="G1" s="496"/>
      <c r="H1" s="496"/>
      <c r="I1" s="496"/>
      <c r="J1" s="496"/>
      <c r="K1" s="496"/>
      <c r="L1" s="496"/>
      <c r="M1" s="496"/>
      <c r="N1" s="496"/>
      <c r="O1" s="496"/>
      <c r="P1" s="496"/>
      <c r="Q1" s="496"/>
    </row>
    <row r="2" spans="1:19">
      <c r="A2" s="497" t="s">
        <v>472</v>
      </c>
      <c r="B2" s="497"/>
      <c r="C2" s="497"/>
      <c r="D2" s="497"/>
      <c r="E2" s="497"/>
      <c r="F2" s="497"/>
      <c r="G2" s="497"/>
      <c r="H2" s="497"/>
      <c r="I2" s="497"/>
      <c r="J2" s="497"/>
      <c r="K2" s="497"/>
      <c r="L2" s="497"/>
      <c r="M2" s="497"/>
      <c r="N2" s="497"/>
      <c r="O2" s="497"/>
      <c r="P2" s="497"/>
      <c r="Q2" s="497"/>
    </row>
    <row r="3" spans="1:19" s="142" customFormat="1" ht="54">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SUM('Base Data'!$H$26:$H$27,'Base Data'!$H$31:$H$32,'Base Data'!$H$36:$H$37)</f>
        <v>905</v>
      </c>
      <c r="J7" s="72">
        <f>H7*I7</f>
        <v>36200</v>
      </c>
      <c r="K7" s="72">
        <f>J7*0.1</f>
        <v>3620</v>
      </c>
      <c r="L7" s="72">
        <f>J7*0.05</f>
        <v>1810</v>
      </c>
      <c r="M7" s="37">
        <f>C7*G7*I7</f>
        <v>0</v>
      </c>
      <c r="N7" s="44">
        <f>(J7*'Base Data'!$C$5)+(K7*'Base Data'!$C$6)+(L7*'Base Data'!$C$7)</f>
        <v>3937745.5</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3"/>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2">
        <v>0</v>
      </c>
      <c r="J10" s="73">
        <f>H10*I10</f>
        <v>0</v>
      </c>
      <c r="K10" s="73">
        <f>J10*0.1</f>
        <v>0</v>
      </c>
      <c r="L10" s="73">
        <f>J10*0.05</f>
        <v>0</v>
      </c>
      <c r="M10" s="74">
        <f>C10*G10*I10</f>
        <v>0</v>
      </c>
      <c r="N10" s="44">
        <f>(J10*'Base Data'!$C$5)+(K10*'Base Data'!$C$6)+(L10*'Base Data'!$C$7)</f>
        <v>0</v>
      </c>
      <c r="O10" s="44">
        <f>(D10+E10+F10)*G10*I10</f>
        <v>0</v>
      </c>
      <c r="P10" s="73">
        <v>0</v>
      </c>
      <c r="Q10" s="75" t="s">
        <v>391</v>
      </c>
      <c r="R10" s="75"/>
    </row>
    <row r="11" spans="1:19" s="115" customFormat="1" ht="9">
      <c r="A11" s="110" t="s">
        <v>251</v>
      </c>
      <c r="B11" s="37">
        <v>20</v>
      </c>
      <c r="C11" s="37"/>
      <c r="D11" s="44">
        <v>18292</v>
      </c>
      <c r="E11" s="44">
        <v>0</v>
      </c>
      <c r="F11" s="44">
        <v>0</v>
      </c>
      <c r="G11" s="37">
        <v>1</v>
      </c>
      <c r="H11" s="37">
        <f>B11*G11</f>
        <v>20</v>
      </c>
      <c r="I11" s="72">
        <v>0</v>
      </c>
      <c r="J11" s="73">
        <f>H11*I11</f>
        <v>0</v>
      </c>
      <c r="K11" s="73">
        <f>J11*0.1</f>
        <v>0</v>
      </c>
      <c r="L11" s="73">
        <f>J11*0.05</f>
        <v>0</v>
      </c>
      <c r="M11" s="74">
        <f>C11*G11*I11</f>
        <v>0</v>
      </c>
      <c r="N11" s="44">
        <f>(J11*'Base Data'!$C$5)+(K11*'Base Data'!$C$6)+(L11*'Base Data'!$C$7)</f>
        <v>0</v>
      </c>
      <c r="O11" s="44">
        <f>(D11+E11+F11)*G11*I11</f>
        <v>0</v>
      </c>
      <c r="P11" s="73">
        <v>0</v>
      </c>
      <c r="Q11" s="75" t="s">
        <v>391</v>
      </c>
      <c r="R11" s="75"/>
    </row>
    <row r="12" spans="1:19" s="115" customFormat="1" ht="9">
      <c r="A12" s="111" t="s">
        <v>10</v>
      </c>
      <c r="B12" s="37">
        <v>12</v>
      </c>
      <c r="C12" s="37"/>
      <c r="D12" s="44">
        <v>0</v>
      </c>
      <c r="E12" s="44">
        <v>2228</v>
      </c>
      <c r="F12" s="44">
        <v>0</v>
      </c>
      <c r="G12" s="37">
        <v>0.5</v>
      </c>
      <c r="H12" s="37">
        <f>B12*G12</f>
        <v>6</v>
      </c>
      <c r="I12" s="72">
        <v>0</v>
      </c>
      <c r="J12" s="72">
        <f>H12*I12</f>
        <v>0</v>
      </c>
      <c r="K12" s="72">
        <f>J12*0.1</f>
        <v>0</v>
      </c>
      <c r="L12" s="72">
        <f>J12*0.05</f>
        <v>0</v>
      </c>
      <c r="M12" s="73"/>
      <c r="N12" s="44">
        <f>(J12*'Base Data'!$C$5)+(K12*'Base Data'!$C$6)+(L12*'Base Data'!$C$7)</f>
        <v>0</v>
      </c>
      <c r="O12" s="44">
        <f>(D12+E12+F12)*I12</f>
        <v>0</v>
      </c>
      <c r="P12" s="73">
        <v>0</v>
      </c>
      <c r="Q12" s="75" t="s">
        <v>12</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f>SUM('Base Data'!$H$26:$H$27,'Base Data'!$H$31:$H$32,'Base Data'!$H$36:$H$37)</f>
        <v>905</v>
      </c>
      <c r="J16" s="72">
        <f>H16*I16</f>
        <v>1810</v>
      </c>
      <c r="K16" s="72">
        <f>J16*0.1</f>
        <v>181</v>
      </c>
      <c r="L16" s="72">
        <f>J16*0.05</f>
        <v>90.5</v>
      </c>
      <c r="M16" s="37">
        <f>C16*G16*I16</f>
        <v>0</v>
      </c>
      <c r="N16" s="44">
        <f>(J16*'Base Data'!$C$5)+(K16*'Base Data'!$C$6)+(L16*'Base Data'!$C$7)</f>
        <v>196887.27499999999</v>
      </c>
      <c r="O16" s="44">
        <f>(D16+E16+F16)*G16*I16</f>
        <v>0</v>
      </c>
      <c r="P16" s="73">
        <f>G16*I16</f>
        <v>905</v>
      </c>
      <c r="Q16" s="75" t="s">
        <v>338</v>
      </c>
    </row>
    <row r="17" spans="1:19" s="115" customFormat="1" ht="9">
      <c r="A17" s="126" t="s">
        <v>328</v>
      </c>
      <c r="B17" s="37">
        <v>8</v>
      </c>
      <c r="C17" s="37"/>
      <c r="D17" s="44">
        <v>0</v>
      </c>
      <c r="E17" s="44">
        <v>0</v>
      </c>
      <c r="F17" s="44">
        <v>0</v>
      </c>
      <c r="G17" s="37">
        <v>1</v>
      </c>
      <c r="H17" s="37">
        <f>B17*G17</f>
        <v>8</v>
      </c>
      <c r="I17" s="73">
        <v>0</v>
      </c>
      <c r="J17" s="72">
        <f>H17*I17</f>
        <v>0</v>
      </c>
      <c r="K17" s="72">
        <f>J17*0.1</f>
        <v>0</v>
      </c>
      <c r="L17" s="72">
        <f>J17*0.05</f>
        <v>0</v>
      </c>
      <c r="M17" s="37">
        <f>C17*G17*I17</f>
        <v>0</v>
      </c>
      <c r="N17" s="44">
        <f>(J17*'Base Data'!$C$5)+(K17*'Base Data'!$C$6)+(L17*'Base Data'!$C$7)</f>
        <v>0</v>
      </c>
      <c r="O17" s="44">
        <f>(D17+E17+F17)*G17*I17</f>
        <v>0</v>
      </c>
      <c r="P17" s="73">
        <f>G17*I17</f>
        <v>0</v>
      </c>
      <c r="Q17" s="75" t="s">
        <v>339</v>
      </c>
    </row>
    <row r="18" spans="1:19" s="115" customFormat="1" ht="9">
      <c r="A18" s="126" t="s">
        <v>11</v>
      </c>
      <c r="B18" s="37">
        <v>5</v>
      </c>
      <c r="C18" s="37"/>
      <c r="D18" s="44">
        <v>0</v>
      </c>
      <c r="E18" s="44">
        <v>0</v>
      </c>
      <c r="F18" s="44">
        <v>0</v>
      </c>
      <c r="G18" s="37">
        <v>0.5</v>
      </c>
      <c r="H18" s="37">
        <f>B18*G18</f>
        <v>2.5</v>
      </c>
      <c r="I18" s="73">
        <v>0</v>
      </c>
      <c r="J18" s="72">
        <f>H18*I18</f>
        <v>0</v>
      </c>
      <c r="K18" s="72">
        <f>J18*0.1</f>
        <v>0</v>
      </c>
      <c r="L18" s="72">
        <f>J18*0.05</f>
        <v>0</v>
      </c>
      <c r="M18" s="37">
        <f>C18*G18*I18</f>
        <v>0</v>
      </c>
      <c r="N18" s="44">
        <f>(J18*'Base Data'!$C$5)+(K18*'Base Data'!$C$6)+(L18*'Base Data'!$C$7)</f>
        <v>0</v>
      </c>
      <c r="O18" s="44">
        <f>(D18+E18+F18)*G18*I18</f>
        <v>0</v>
      </c>
      <c r="P18" s="73">
        <f>G18*I18</f>
        <v>0</v>
      </c>
      <c r="Q18" s="75" t="s">
        <v>12</v>
      </c>
    </row>
    <row r="19" spans="1:19" s="6" customFormat="1" ht="9">
      <c r="A19" s="126" t="s">
        <v>444</v>
      </c>
      <c r="B19" s="37">
        <v>5</v>
      </c>
      <c r="C19" s="17"/>
      <c r="D19" s="32">
        <v>0</v>
      </c>
      <c r="E19" s="32">
        <v>0</v>
      </c>
      <c r="F19" s="32">
        <v>0</v>
      </c>
      <c r="G19" s="17">
        <v>1</v>
      </c>
      <c r="H19" s="17">
        <f>B19*G19</f>
        <v>5</v>
      </c>
      <c r="I19" s="43">
        <v>0</v>
      </c>
      <c r="J19" s="18">
        <f>H19*I19</f>
        <v>0</v>
      </c>
      <c r="K19" s="18">
        <f>J19*0.1</f>
        <v>0</v>
      </c>
      <c r="L19" s="18">
        <f>J19*0.05</f>
        <v>0</v>
      </c>
      <c r="M19" s="17">
        <f>C19*G19*I19</f>
        <v>0</v>
      </c>
      <c r="N19" s="32">
        <f>(J19*'Base Data'!$C$5)+(K19*'Base Data'!$C$6)+(L19*'Base Data'!$C$7)</f>
        <v>0</v>
      </c>
      <c r="O19" s="32">
        <f>(D19+E19+F19)*G19*I19</f>
        <v>0</v>
      </c>
      <c r="P19" s="18">
        <f>G19*I19</f>
        <v>0</v>
      </c>
      <c r="Q19" s="23" t="s">
        <v>339</v>
      </c>
    </row>
    <row r="20" spans="1:19" s="115" customFormat="1" ht="9">
      <c r="A20" s="116" t="s">
        <v>7</v>
      </c>
      <c r="B20" s="37"/>
      <c r="C20" s="37"/>
      <c r="D20" s="44"/>
      <c r="E20" s="44"/>
      <c r="F20" s="44"/>
      <c r="G20" s="37"/>
      <c r="H20" s="37"/>
      <c r="I20" s="73"/>
      <c r="J20" s="73">
        <f>SUM(J7:J19)</f>
        <v>38010</v>
      </c>
      <c r="K20" s="73">
        <f t="shared" ref="K20:O20" si="0">SUM(K7:K19)</f>
        <v>3801</v>
      </c>
      <c r="L20" s="73">
        <f t="shared" si="0"/>
        <v>1900.5</v>
      </c>
      <c r="M20" s="73">
        <f t="shared" si="0"/>
        <v>0</v>
      </c>
      <c r="N20" s="32">
        <f t="shared" si="0"/>
        <v>4134632.7749999999</v>
      </c>
      <c r="O20" s="32">
        <f t="shared" si="0"/>
        <v>0</v>
      </c>
      <c r="P20" s="73">
        <f>ROUNDUP(SUM(P7:P19),0)</f>
        <v>905</v>
      </c>
      <c r="Q20" s="75"/>
      <c r="R20" s="117">
        <f>SUM(O7:O12)</f>
        <v>0</v>
      </c>
      <c r="S20" s="115">
        <f>0</f>
        <v>0</v>
      </c>
    </row>
    <row r="21" spans="1:19" s="115" customFormat="1" ht="9">
      <c r="A21" s="111" t="s">
        <v>382</v>
      </c>
      <c r="B21" s="37"/>
      <c r="C21" s="37"/>
      <c r="D21" s="44"/>
      <c r="E21" s="44"/>
      <c r="F21" s="44"/>
      <c r="G21" s="37"/>
      <c r="H21" s="37"/>
      <c r="I21" s="73"/>
      <c r="J21" s="37"/>
      <c r="K21" s="37"/>
      <c r="L21" s="37"/>
      <c r="M21" s="37"/>
      <c r="N21" s="44"/>
      <c r="O21" s="44"/>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3">
        <v>0</v>
      </c>
      <c r="J26" s="72">
        <f>H26*I26</f>
        <v>0</v>
      </c>
      <c r="K26" s="72">
        <f>J26*0.1</f>
        <v>0</v>
      </c>
      <c r="L26" s="72">
        <f>J26*0.05</f>
        <v>0</v>
      </c>
      <c r="M26" s="37">
        <f>C26*G26*I26</f>
        <v>0</v>
      </c>
      <c r="N26" s="44">
        <f>(J26*'Base Data'!$C$5)+(K26*'Base Data'!$C$6)+(L26*'Base Data'!$C$7)</f>
        <v>0</v>
      </c>
      <c r="O26" s="44">
        <f>(D26+E26+F26)*G26*I26</f>
        <v>0</v>
      </c>
      <c r="P26" s="73">
        <f>G26*I26</f>
        <v>0</v>
      </c>
      <c r="Q26" s="75" t="s">
        <v>339</v>
      </c>
    </row>
    <row r="27" spans="1:19" s="115" customFormat="1" ht="18">
      <c r="A27" s="126" t="s">
        <v>327</v>
      </c>
      <c r="B27" s="37">
        <v>15</v>
      </c>
      <c r="C27" s="37">
        <v>0</v>
      </c>
      <c r="D27" s="44">
        <v>0</v>
      </c>
      <c r="E27" s="44">
        <v>0</v>
      </c>
      <c r="F27" s="44">
        <v>0</v>
      </c>
      <c r="G27" s="37">
        <v>1</v>
      </c>
      <c r="H27" s="37">
        <f>B27*G27</f>
        <v>15</v>
      </c>
      <c r="I27" s="73">
        <v>0</v>
      </c>
      <c r="J27" s="72">
        <f>H27*I27</f>
        <v>0</v>
      </c>
      <c r="K27" s="72">
        <f>J27*0.1</f>
        <v>0</v>
      </c>
      <c r="L27" s="72">
        <f>J27*0.05</f>
        <v>0</v>
      </c>
      <c r="M27" s="37">
        <f>C27*G27*I27</f>
        <v>0</v>
      </c>
      <c r="N27" s="44">
        <f>(J27*'Base Data'!$C$5)+(K27*'Base Data'!$C$6)+(L27*'Base Data'!$C$7)</f>
        <v>0</v>
      </c>
      <c r="O27" s="44">
        <f>(D27+E27+F27)*G27*I27</f>
        <v>0</v>
      </c>
      <c r="P27" s="73">
        <f>G27*I27</f>
        <v>0</v>
      </c>
      <c r="Q27" s="75" t="s">
        <v>13</v>
      </c>
    </row>
    <row r="28" spans="1:19" s="115" customFormat="1" ht="9">
      <c r="A28" s="126" t="s">
        <v>236</v>
      </c>
      <c r="B28" s="37">
        <v>0.5</v>
      </c>
      <c r="C28" s="37"/>
      <c r="D28" s="44">
        <v>0</v>
      </c>
      <c r="E28" s="44">
        <v>0</v>
      </c>
      <c r="F28" s="44">
        <v>0</v>
      </c>
      <c r="G28" s="37">
        <v>0.5</v>
      </c>
      <c r="H28" s="37">
        <f>B28*G28</f>
        <v>0.25</v>
      </c>
      <c r="I28" s="73">
        <v>0</v>
      </c>
      <c r="J28" s="72">
        <f>H28*I28</f>
        <v>0</v>
      </c>
      <c r="K28" s="72">
        <f>J28*0.1</f>
        <v>0</v>
      </c>
      <c r="L28" s="72">
        <f>J28*0.05</f>
        <v>0</v>
      </c>
      <c r="M28" s="37">
        <f>C28*G28*I28</f>
        <v>0</v>
      </c>
      <c r="N28" s="44">
        <f>(J28*'Base Data'!$C$5)+(K28*'Base Data'!$C$6)+(L28*'Base Data'!$C$7)</f>
        <v>0</v>
      </c>
      <c r="O28" s="44">
        <f>(D28+E28+F28)*G28*I28</f>
        <v>0</v>
      </c>
      <c r="P28" s="73">
        <f>G28*I28</f>
        <v>0</v>
      </c>
      <c r="Q28" s="75" t="s">
        <v>12</v>
      </c>
    </row>
    <row r="29" spans="1:19" s="6" customFormat="1" ht="9">
      <c r="A29" s="110" t="s">
        <v>378</v>
      </c>
      <c r="B29" s="37">
        <v>40</v>
      </c>
      <c r="C29" s="17"/>
      <c r="D29" s="32">
        <v>0</v>
      </c>
      <c r="E29" s="32">
        <v>0</v>
      </c>
      <c r="F29" s="32">
        <v>0</v>
      </c>
      <c r="G29" s="17">
        <v>1</v>
      </c>
      <c r="H29" s="17">
        <f t="shared" ref="H29" si="1">B29*G29</f>
        <v>40</v>
      </c>
      <c r="I29" s="72">
        <v>0</v>
      </c>
      <c r="J29" s="18">
        <f t="shared" ref="J29" si="2">H29*I29</f>
        <v>0</v>
      </c>
      <c r="K29" s="18">
        <f t="shared" ref="K29" si="3">J29*0.1</f>
        <v>0</v>
      </c>
      <c r="L29" s="18">
        <f t="shared" ref="L29" si="4">J29*0.05</f>
        <v>0</v>
      </c>
      <c r="M29" s="17"/>
      <c r="N29" s="32">
        <f>(J29*'Base Data'!$C$5)+(K29*'Base Data'!$C$6)+(L29*'Base Data'!$C$7)</f>
        <v>0</v>
      </c>
      <c r="O29" s="32">
        <f t="shared" ref="O29" si="5">(D29+E29+F29)*G29*I29</f>
        <v>0</v>
      </c>
      <c r="P29" s="73">
        <f>G29*I29</f>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O31" si="6">SUM(J22:J30)</f>
        <v>0</v>
      </c>
      <c r="K31" s="184">
        <f t="shared" si="6"/>
        <v>0</v>
      </c>
      <c r="L31" s="184">
        <f t="shared" si="6"/>
        <v>0</v>
      </c>
      <c r="M31" s="184">
        <f t="shared" si="6"/>
        <v>0</v>
      </c>
      <c r="N31" s="185">
        <f t="shared" si="6"/>
        <v>0</v>
      </c>
      <c r="O31" s="185">
        <f t="shared" si="6"/>
        <v>0</v>
      </c>
      <c r="P31" s="186">
        <f>SUM(P22:P30)</f>
        <v>0</v>
      </c>
      <c r="Q31" s="187"/>
      <c r="R31" s="117">
        <f>SUM(O22:O31)</f>
        <v>0</v>
      </c>
    </row>
    <row r="32" spans="1:19" s="115" customFormat="1">
      <c r="A32" s="135" t="s">
        <v>351</v>
      </c>
      <c r="B32" s="136"/>
      <c r="C32" s="136"/>
      <c r="D32" s="136"/>
      <c r="E32" s="136"/>
      <c r="F32" s="136"/>
      <c r="G32" s="136"/>
      <c r="H32" s="136"/>
      <c r="I32" s="138"/>
      <c r="J32" s="139">
        <f t="shared" ref="J32:O32" si="7">SUM(J20,J31)</f>
        <v>38010</v>
      </c>
      <c r="K32" s="139">
        <f t="shared" si="7"/>
        <v>3801</v>
      </c>
      <c r="L32" s="139">
        <f t="shared" si="7"/>
        <v>1900.5</v>
      </c>
      <c r="M32" s="139">
        <f t="shared" si="7"/>
        <v>0</v>
      </c>
      <c r="N32" s="140">
        <f t="shared" si="7"/>
        <v>4134632.7749999999</v>
      </c>
      <c r="O32" s="140">
        <f t="shared" si="7"/>
        <v>0</v>
      </c>
      <c r="P32" s="139">
        <f>SUM(P20,P31)</f>
        <v>905</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441</v>
      </c>
      <c r="B34" s="48"/>
      <c r="C34" s="48"/>
      <c r="D34" s="48"/>
      <c r="E34" s="48"/>
      <c r="F34" s="48"/>
      <c r="G34" s="48"/>
      <c r="H34" s="48"/>
      <c r="I34" s="49"/>
      <c r="J34" s="48"/>
      <c r="K34" s="48"/>
      <c r="L34" s="48"/>
      <c r="M34" s="48"/>
      <c r="N34" s="48"/>
      <c r="O34" s="146"/>
      <c r="P34" s="146"/>
      <c r="Q34" s="48"/>
    </row>
    <row r="35" spans="1:17" s="45" customFormat="1" ht="23.25" customHeight="1">
      <c r="A35" s="494" t="s">
        <v>547</v>
      </c>
      <c r="B35" s="494"/>
      <c r="C35" s="494"/>
      <c r="D35" s="494"/>
      <c r="E35" s="494"/>
      <c r="F35" s="494"/>
      <c r="G35" s="494"/>
      <c r="H35" s="494"/>
      <c r="I35" s="494"/>
      <c r="J35" s="494"/>
      <c r="K35" s="494"/>
      <c r="L35" s="494"/>
      <c r="M35" s="494"/>
      <c r="N35" s="494"/>
      <c r="O35" s="494"/>
      <c r="P35" s="124"/>
      <c r="Q35" s="48"/>
    </row>
    <row r="36" spans="1:17" s="45" customFormat="1" ht="21" customHeight="1">
      <c r="A36" s="494" t="s">
        <v>325</v>
      </c>
      <c r="B36" s="494"/>
      <c r="C36" s="494"/>
      <c r="D36" s="494"/>
      <c r="E36" s="494"/>
      <c r="F36" s="494"/>
      <c r="G36" s="494"/>
      <c r="H36" s="494"/>
      <c r="I36" s="494"/>
      <c r="J36" s="494"/>
      <c r="K36" s="494"/>
      <c r="L36" s="494"/>
      <c r="M36" s="494"/>
      <c r="N36" s="494"/>
      <c r="O36" s="494"/>
      <c r="P36" s="124"/>
      <c r="Q36" s="48"/>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8"/>
      <c r="I38" s="49"/>
      <c r="J38" s="48"/>
      <c r="K38" s="48"/>
      <c r="L38" s="48"/>
      <c r="M38" s="48"/>
      <c r="N38" s="48"/>
      <c r="O38" s="146"/>
      <c r="P38" s="146"/>
      <c r="Q38" s="48"/>
    </row>
    <row r="39" spans="1:17">
      <c r="A39" s="45" t="s">
        <v>503</v>
      </c>
      <c r="B39" s="48"/>
      <c r="C39" s="48"/>
      <c r="D39" s="48"/>
      <c r="E39" s="48"/>
      <c r="F39" s="48"/>
      <c r="G39" s="48"/>
      <c r="H39" s="48"/>
      <c r="I39" s="146"/>
      <c r="J39" s="146"/>
      <c r="K39" s="146"/>
      <c r="L39" s="146"/>
      <c r="M39" s="146"/>
      <c r="N39" s="48"/>
      <c r="O39" s="45"/>
      <c r="P39" s="45"/>
      <c r="Q39" s="45"/>
    </row>
    <row r="40" spans="1:17">
      <c r="A40" s="45" t="s">
        <v>502</v>
      </c>
      <c r="B40" s="48"/>
      <c r="C40" s="48"/>
      <c r="D40" s="48"/>
      <c r="E40" s="48"/>
      <c r="F40" s="48"/>
      <c r="G40" s="48"/>
      <c r="H40" s="48"/>
      <c r="I40" s="146"/>
      <c r="J40" s="146"/>
      <c r="K40" s="146"/>
      <c r="L40" s="146"/>
      <c r="M40" s="146"/>
      <c r="N40" s="48"/>
      <c r="O40" s="45"/>
      <c r="P40" s="45"/>
      <c r="Q40" s="45"/>
    </row>
    <row r="41" spans="1:17">
      <c r="A41" s="13" t="s">
        <v>501</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0" orientation="landscape"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1:S42"/>
  <sheetViews>
    <sheetView zoomScaleNormal="100" zoomScaleSheetLayoutView="100" workbookViewId="0">
      <pane xSplit="1" ySplit="3" topLeftCell="B7" activePane="bottomRight" state="frozen"/>
      <selection activeCell="O55" sqref="O55"/>
      <selection pane="topRight" activeCell="O55" sqref="O55"/>
      <selection pane="bottomLeft" activeCell="O55" sqref="O55"/>
      <selection pane="bottomRight" activeCell="A42" sqref="A42"/>
    </sheetView>
  </sheetViews>
  <sheetFormatPr defaultRowHeight="11.25"/>
  <cols>
    <col min="1" max="1" width="30.28515625" style="88" customWidth="1"/>
    <col min="2" max="2" width="9.140625" style="46"/>
    <col min="3" max="3" width="8" style="46" hidden="1" customWidth="1"/>
    <col min="4" max="5" width="9.7109375" style="46" customWidth="1"/>
    <col min="6" max="6" width="9" style="46" customWidth="1"/>
    <col min="7" max="7" width="10.28515625" style="46" customWidth="1"/>
    <col min="8" max="8" width="9" style="46" customWidth="1"/>
    <col min="9" max="9" width="10.28515625" style="145" customWidth="1"/>
    <col min="10" max="10" width="8.140625" style="145" customWidth="1"/>
    <col min="11" max="11" width="7.7109375" style="145" customWidth="1"/>
    <col min="12" max="12" width="7.85546875" style="145" customWidth="1"/>
    <col min="13" max="13" width="9" style="145" hidden="1" customWidth="1"/>
    <col min="14" max="14" width="10" style="46" customWidth="1"/>
    <col min="15" max="15" width="9.85546875" style="88" customWidth="1"/>
    <col min="16" max="16" width="8.7109375" style="88" customWidth="1"/>
    <col min="17" max="17" width="4.42578125" style="88" customWidth="1"/>
    <col min="18" max="19" width="0" style="88" hidden="1" customWidth="1"/>
    <col min="20" max="16384" width="9.140625" style="88"/>
  </cols>
  <sheetData>
    <row r="1" spans="1:19">
      <c r="A1" s="496" t="s">
        <v>238</v>
      </c>
      <c r="B1" s="496"/>
      <c r="C1" s="496"/>
      <c r="D1" s="496"/>
      <c r="E1" s="496"/>
      <c r="F1" s="496"/>
      <c r="G1" s="496"/>
      <c r="H1" s="496"/>
      <c r="I1" s="496"/>
      <c r="J1" s="496"/>
      <c r="K1" s="496"/>
      <c r="L1" s="496"/>
      <c r="M1" s="496"/>
      <c r="N1" s="496"/>
      <c r="O1" s="496"/>
      <c r="P1" s="496"/>
      <c r="Q1" s="496"/>
    </row>
    <row r="2" spans="1:19">
      <c r="A2" s="497" t="s">
        <v>473</v>
      </c>
      <c r="B2" s="497"/>
      <c r="C2" s="497"/>
      <c r="D2" s="497"/>
      <c r="E2" s="497"/>
      <c r="F2" s="497"/>
      <c r="G2" s="497"/>
      <c r="H2" s="497"/>
      <c r="I2" s="497"/>
      <c r="J2" s="497"/>
      <c r="K2" s="497"/>
      <c r="L2" s="497"/>
      <c r="M2" s="497"/>
      <c r="N2" s="497"/>
      <c r="O2" s="497"/>
      <c r="P2" s="497"/>
      <c r="Q2" s="497"/>
    </row>
    <row r="3" spans="1:19" s="142" customFormat="1" ht="54">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f>G7*I7</f>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2"/>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2">
        <f>ROUND(SUM('Base Data'!$H$26:$H$27,'Base Data'!$H$31:$H$32,'Base Data'!$H$36:$H$37)/2*'Testing Costs'!$C$22,0)</f>
        <v>54</v>
      </c>
      <c r="J10" s="73">
        <f>H10*I10</f>
        <v>1080</v>
      </c>
      <c r="K10" s="73">
        <f>J10*0.1</f>
        <v>108</v>
      </c>
      <c r="L10" s="73">
        <f>J10*0.05</f>
        <v>54</v>
      </c>
      <c r="M10" s="74">
        <f>C10*G10*I10</f>
        <v>0</v>
      </c>
      <c r="N10" s="44">
        <f>(J10*'Base Data'!$C$5)+(K10*'Base Data'!$C$6)+(L10*'Base Data'!$C$7)</f>
        <v>117479.70000000001</v>
      </c>
      <c r="O10" s="44">
        <f>(D10+E10+F10)*G10*I10</f>
        <v>46116</v>
      </c>
      <c r="P10" s="73">
        <v>0</v>
      </c>
      <c r="Q10" s="75" t="s">
        <v>661</v>
      </c>
      <c r="R10" s="75"/>
    </row>
    <row r="11" spans="1:19" s="115" customFormat="1" ht="9">
      <c r="A11" s="110" t="s">
        <v>251</v>
      </c>
      <c r="B11" s="37">
        <v>20</v>
      </c>
      <c r="C11" s="37"/>
      <c r="D11" s="44">
        <v>18292</v>
      </c>
      <c r="E11" s="44">
        <v>0</v>
      </c>
      <c r="F11" s="44">
        <v>0</v>
      </c>
      <c r="G11" s="37">
        <v>1</v>
      </c>
      <c r="H11" s="37">
        <f>B11*G11</f>
        <v>20</v>
      </c>
      <c r="I11" s="72">
        <f>ROUND(SUM('Base Data'!$H$26:$H$27,'Base Data'!$H$31:$H$32,'Base Data'!$H$36:$H$37)/2*'Testing Costs'!$C$23,0)</f>
        <v>398</v>
      </c>
      <c r="J11" s="73">
        <f>H11*I11</f>
        <v>7960</v>
      </c>
      <c r="K11" s="73">
        <f>J11*0.1</f>
        <v>796</v>
      </c>
      <c r="L11" s="73">
        <f>J11*0.05</f>
        <v>398</v>
      </c>
      <c r="M11" s="74">
        <f>C11*G11*I11</f>
        <v>0</v>
      </c>
      <c r="N11" s="44">
        <f>(J11*'Base Data'!$C$5)+(K11*'Base Data'!$C$6)+(L11*'Base Data'!$C$7)</f>
        <v>865868.9</v>
      </c>
      <c r="O11" s="44">
        <f>(D11+E11+F11)*G11*I11</f>
        <v>7280216</v>
      </c>
      <c r="P11" s="73">
        <v>0</v>
      </c>
      <c r="Q11" s="75" t="s">
        <v>661</v>
      </c>
      <c r="R11" s="75"/>
    </row>
    <row r="12" spans="1:19" s="115" customFormat="1" ht="9">
      <c r="A12" s="111" t="s">
        <v>10</v>
      </c>
      <c r="B12" s="37">
        <v>12</v>
      </c>
      <c r="C12" s="37"/>
      <c r="D12" s="44">
        <v>0</v>
      </c>
      <c r="E12" s="44">
        <v>1580</v>
      </c>
      <c r="F12" s="44">
        <v>0</v>
      </c>
      <c r="G12" s="37">
        <v>0.5</v>
      </c>
      <c r="H12" s="37">
        <f>B12*G12</f>
        <v>6</v>
      </c>
      <c r="I12" s="72">
        <f>ROUND(SUM('Base Data'!D26:D27,'Base Data'!D31:D32,'Base Data'!D36:D37)/2,0)</f>
        <v>3746</v>
      </c>
      <c r="J12" s="72">
        <f>H12*I12</f>
        <v>22476</v>
      </c>
      <c r="K12" s="72">
        <f>J12*0.1</f>
        <v>2247.6</v>
      </c>
      <c r="L12" s="72">
        <f>J12*0.05</f>
        <v>1123.8</v>
      </c>
      <c r="M12" s="73"/>
      <c r="N12" s="44">
        <f>(J12*'Base Data'!$C$5)+(K12*'Base Data'!$C$6)+(L12*'Base Data'!$C$7)</f>
        <v>2444883.0900000003</v>
      </c>
      <c r="O12" s="44">
        <f>(D12+E12+F12)*I12</f>
        <v>5918680</v>
      </c>
      <c r="P12" s="73">
        <v>0</v>
      </c>
      <c r="Q12" s="75" t="s">
        <v>660</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row>
    <row r="17" spans="1:19" s="115" customFormat="1" ht="9">
      <c r="A17" s="126" t="s">
        <v>328</v>
      </c>
      <c r="B17" s="37">
        <v>8</v>
      </c>
      <c r="C17" s="37"/>
      <c r="D17" s="44">
        <v>0</v>
      </c>
      <c r="E17" s="44">
        <v>0</v>
      </c>
      <c r="F17" s="44">
        <v>0</v>
      </c>
      <c r="G17" s="37">
        <v>1</v>
      </c>
      <c r="H17" s="37">
        <f>B17*G17</f>
        <v>8</v>
      </c>
      <c r="I17" s="73">
        <v>0</v>
      </c>
      <c r="J17" s="72">
        <f>H17*I17</f>
        <v>0</v>
      </c>
      <c r="K17" s="72">
        <f>J17*0.1</f>
        <v>0</v>
      </c>
      <c r="L17" s="72">
        <f>J17*0.05</f>
        <v>0</v>
      </c>
      <c r="M17" s="37">
        <f>C17*G17*I17</f>
        <v>0</v>
      </c>
      <c r="N17" s="44">
        <f>(J17*'Base Data'!$C$5)+(K17*'Base Data'!$C$6)+(L17*'Base Data'!$C$7)</f>
        <v>0</v>
      </c>
      <c r="O17" s="44">
        <f>(D17+E17+F17)*G17*I17</f>
        <v>0</v>
      </c>
      <c r="P17" s="73">
        <f>G17*I17</f>
        <v>0</v>
      </c>
      <c r="Q17" s="75" t="s">
        <v>339</v>
      </c>
    </row>
    <row r="18" spans="1:19" s="115" customFormat="1" ht="9">
      <c r="A18" s="126" t="s">
        <v>11</v>
      </c>
      <c r="B18" s="37">
        <v>5</v>
      </c>
      <c r="C18" s="37"/>
      <c r="D18" s="44">
        <v>0</v>
      </c>
      <c r="E18" s="44">
        <v>0</v>
      </c>
      <c r="F18" s="44">
        <v>0</v>
      </c>
      <c r="G18" s="37">
        <v>0.5</v>
      </c>
      <c r="H18" s="37">
        <f>B18*G18</f>
        <v>2.5</v>
      </c>
      <c r="I18" s="73">
        <v>0</v>
      </c>
      <c r="J18" s="72">
        <f>H18*I18</f>
        <v>0</v>
      </c>
      <c r="K18" s="72">
        <f>J18*0.1</f>
        <v>0</v>
      </c>
      <c r="L18" s="72">
        <f>J18*0.05</f>
        <v>0</v>
      </c>
      <c r="M18" s="37">
        <f>C18*G18*I18</f>
        <v>0</v>
      </c>
      <c r="N18" s="44">
        <f>(J18*'Base Data'!$C$5)+(K18*'Base Data'!$C$6)+(L18*'Base Data'!$C$7)</f>
        <v>0</v>
      </c>
      <c r="O18" s="44">
        <f>(D18+E18+F18)*G18*I18</f>
        <v>0</v>
      </c>
      <c r="P18" s="73">
        <f>G18*I18</f>
        <v>0</v>
      </c>
      <c r="Q18" s="75" t="s">
        <v>91</v>
      </c>
    </row>
    <row r="19" spans="1:19" s="6" customFormat="1" ht="9">
      <c r="A19" s="126" t="s">
        <v>444</v>
      </c>
      <c r="B19" s="37">
        <v>5</v>
      </c>
      <c r="C19" s="17"/>
      <c r="D19" s="32">
        <v>0</v>
      </c>
      <c r="E19" s="32">
        <v>0</v>
      </c>
      <c r="F19" s="32">
        <v>0</v>
      </c>
      <c r="G19" s="17">
        <v>1</v>
      </c>
      <c r="H19" s="17">
        <f>B19*G19</f>
        <v>5</v>
      </c>
      <c r="I19" s="72">
        <v>0</v>
      </c>
      <c r="J19" s="18">
        <f>H19*I19</f>
        <v>0</v>
      </c>
      <c r="K19" s="18">
        <f>J19*0.1</f>
        <v>0</v>
      </c>
      <c r="L19" s="18">
        <f>J19*0.05</f>
        <v>0</v>
      </c>
      <c r="M19" s="17">
        <f>C19*G19*I19</f>
        <v>0</v>
      </c>
      <c r="N19" s="32">
        <f>(J19*'Base Data'!$C$5)+(K19*'Base Data'!$C$6)+(L19*'Base Data'!$C$7)</f>
        <v>0</v>
      </c>
      <c r="O19" s="32">
        <f>(D19+E19+F19)*G19*I19</f>
        <v>0</v>
      </c>
      <c r="P19" s="18">
        <f>G19*I19</f>
        <v>0</v>
      </c>
      <c r="Q19" s="23" t="s">
        <v>339</v>
      </c>
    </row>
    <row r="20" spans="1:19" s="115" customFormat="1" ht="9">
      <c r="A20" s="116" t="s">
        <v>7</v>
      </c>
      <c r="B20" s="37"/>
      <c r="C20" s="37"/>
      <c r="D20" s="44"/>
      <c r="E20" s="44"/>
      <c r="F20" s="44"/>
      <c r="G20" s="37"/>
      <c r="H20" s="37"/>
      <c r="I20" s="73"/>
      <c r="J20" s="73">
        <f>SUM(J7:J19)</f>
        <v>31516</v>
      </c>
      <c r="K20" s="73">
        <f t="shared" ref="K20:O20" si="0">SUM(K7:K19)</f>
        <v>3151.6</v>
      </c>
      <c r="L20" s="73">
        <f t="shared" si="0"/>
        <v>1575.8</v>
      </c>
      <c r="M20" s="73">
        <f t="shared" si="0"/>
        <v>0</v>
      </c>
      <c r="N20" s="32">
        <f t="shared" si="0"/>
        <v>3428231.6900000004</v>
      </c>
      <c r="O20" s="32">
        <f t="shared" si="0"/>
        <v>13245012</v>
      </c>
      <c r="P20" s="73">
        <f>ROUNDUP(SUM(P7:P19),0)</f>
        <v>0</v>
      </c>
      <c r="Q20" s="75"/>
      <c r="R20" s="117">
        <f>SUM(O7:O12)</f>
        <v>13245012</v>
      </c>
      <c r="S20" s="115">
        <f>0</f>
        <v>0</v>
      </c>
    </row>
    <row r="21" spans="1:19" s="115" customFormat="1" ht="9">
      <c r="A21" s="111" t="s">
        <v>382</v>
      </c>
      <c r="B21" s="37"/>
      <c r="C21" s="37"/>
      <c r="D21" s="44"/>
      <c r="E21" s="44"/>
      <c r="F21" s="44"/>
      <c r="G21" s="37"/>
      <c r="H21" s="37"/>
      <c r="I21" s="73"/>
      <c r="J21" s="37"/>
      <c r="K21" s="37"/>
      <c r="L21" s="37"/>
      <c r="M21" s="37"/>
      <c r="N21" s="44"/>
      <c r="O21" s="44"/>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3">
        <v>0</v>
      </c>
      <c r="J26" s="72">
        <f>H26*I26</f>
        <v>0</v>
      </c>
      <c r="K26" s="72">
        <f>J26*0.1</f>
        <v>0</v>
      </c>
      <c r="L26" s="72">
        <f>J26*0.05</f>
        <v>0</v>
      </c>
      <c r="M26" s="37">
        <f>C26*G26*I26</f>
        <v>0</v>
      </c>
      <c r="N26" s="44">
        <f>(J26*'Base Data'!$C$5)+(K26*'Base Data'!$C$6)+(L26*'Base Data'!$C$7)</f>
        <v>0</v>
      </c>
      <c r="O26" s="44">
        <f>(D26+E26+F26)*G26*I26</f>
        <v>0</v>
      </c>
      <c r="P26" s="73">
        <f>G26*I26</f>
        <v>0</v>
      </c>
      <c r="Q26" s="75" t="s">
        <v>339</v>
      </c>
    </row>
    <row r="27" spans="1:19" s="115" customFormat="1" ht="18">
      <c r="A27" s="126" t="s">
        <v>327</v>
      </c>
      <c r="B27" s="37">
        <v>15</v>
      </c>
      <c r="C27" s="37">
        <v>0</v>
      </c>
      <c r="D27" s="44">
        <v>0</v>
      </c>
      <c r="E27" s="44">
        <v>0</v>
      </c>
      <c r="F27" s="44">
        <v>0</v>
      </c>
      <c r="G27" s="37">
        <v>1</v>
      </c>
      <c r="H27" s="37">
        <f>B27*G27</f>
        <v>15</v>
      </c>
      <c r="I27" s="73">
        <v>0</v>
      </c>
      <c r="J27" s="72">
        <f>H27*I27</f>
        <v>0</v>
      </c>
      <c r="K27" s="72">
        <f>J27*0.1</f>
        <v>0</v>
      </c>
      <c r="L27" s="72">
        <f>J27*0.05</f>
        <v>0</v>
      </c>
      <c r="M27" s="37">
        <f>C27*G27*I27</f>
        <v>0</v>
      </c>
      <c r="N27" s="44">
        <f>(J27*'Base Data'!$C$5)+(K27*'Base Data'!$C$6)+(L27*'Base Data'!$C$7)</f>
        <v>0</v>
      </c>
      <c r="O27" s="44">
        <f>(D27+E27+F27)*G27*I27</f>
        <v>0</v>
      </c>
      <c r="P27" s="73">
        <f>G27*I27</f>
        <v>0</v>
      </c>
      <c r="Q27" s="75" t="s">
        <v>89</v>
      </c>
    </row>
    <row r="28" spans="1:19" s="115" customFormat="1" ht="9">
      <c r="A28" s="126" t="s">
        <v>236</v>
      </c>
      <c r="B28" s="37">
        <v>0.5</v>
      </c>
      <c r="C28" s="37"/>
      <c r="D28" s="44">
        <v>0</v>
      </c>
      <c r="E28" s="44">
        <v>0</v>
      </c>
      <c r="F28" s="44">
        <v>0</v>
      </c>
      <c r="G28" s="37">
        <v>0.5</v>
      </c>
      <c r="H28" s="37">
        <f>B28*G28</f>
        <v>0.25</v>
      </c>
      <c r="I28" s="73">
        <v>0</v>
      </c>
      <c r="J28" s="72">
        <f>H28*I28</f>
        <v>0</v>
      </c>
      <c r="K28" s="72">
        <f>J28*0.1</f>
        <v>0</v>
      </c>
      <c r="L28" s="72">
        <f>J28*0.05</f>
        <v>0</v>
      </c>
      <c r="M28" s="37">
        <f>C28*G28*I28</f>
        <v>0</v>
      </c>
      <c r="N28" s="44">
        <f>(J28*'Base Data'!$C$5)+(K28*'Base Data'!$C$6)+(L28*'Base Data'!$C$7)</f>
        <v>0</v>
      </c>
      <c r="O28" s="44">
        <f>(D28+E28+F28)*G28*I28</f>
        <v>0</v>
      </c>
      <c r="P28" s="73">
        <f>G28*I28</f>
        <v>0</v>
      </c>
      <c r="Q28" s="75" t="s">
        <v>91</v>
      </c>
    </row>
    <row r="29" spans="1:19" s="6" customFormat="1" ht="9">
      <c r="A29" s="110" t="s">
        <v>378</v>
      </c>
      <c r="B29" s="37">
        <v>40</v>
      </c>
      <c r="C29" s="17"/>
      <c r="D29" s="32">
        <v>0</v>
      </c>
      <c r="E29" s="32">
        <v>0</v>
      </c>
      <c r="F29" s="32">
        <v>0</v>
      </c>
      <c r="G29" s="17">
        <v>1</v>
      </c>
      <c r="H29" s="17">
        <f t="shared" ref="H29" si="1">B29*G29</f>
        <v>40</v>
      </c>
      <c r="I29" s="72">
        <f>ROUND(SUM('Base Data'!$H$26:$H$27,'Base Data'!$H$31:$H$32,'Base Data'!$H$36:$H$37)/2,0)</f>
        <v>453</v>
      </c>
      <c r="J29" s="18">
        <f t="shared" ref="J29" si="2">H29*I29</f>
        <v>18120</v>
      </c>
      <c r="K29" s="18">
        <f t="shared" ref="K29" si="3">J29*0.1</f>
        <v>1812</v>
      </c>
      <c r="L29" s="18">
        <f t="shared" ref="L29" si="4">J29*0.05</f>
        <v>906</v>
      </c>
      <c r="M29" s="17"/>
      <c r="N29" s="32">
        <f>(J29*'Base Data'!$C$5)+(K29*'Base Data'!$C$6)+(L29*'Base Data'!$C$7)</f>
        <v>1971048.3</v>
      </c>
      <c r="O29" s="32">
        <f t="shared" ref="O29" si="5">(D29+E29+F29)*G29*I29</f>
        <v>0</v>
      </c>
      <c r="P29" s="32">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P31" si="6">SUM(J22:J30)</f>
        <v>18120</v>
      </c>
      <c r="K31" s="184">
        <f t="shared" si="6"/>
        <v>1812</v>
      </c>
      <c r="L31" s="184">
        <f t="shared" si="6"/>
        <v>906</v>
      </c>
      <c r="M31" s="184">
        <f t="shared" si="6"/>
        <v>0</v>
      </c>
      <c r="N31" s="185">
        <f t="shared" si="6"/>
        <v>1971048.3</v>
      </c>
      <c r="O31" s="185">
        <f t="shared" si="6"/>
        <v>0</v>
      </c>
      <c r="P31" s="186">
        <f t="shared" si="6"/>
        <v>0</v>
      </c>
      <c r="Q31" s="187"/>
      <c r="R31" s="117">
        <f>SUM(O22:O31)</f>
        <v>0</v>
      </c>
    </row>
    <row r="32" spans="1:19" s="115" customFormat="1">
      <c r="A32" s="135" t="s">
        <v>351</v>
      </c>
      <c r="B32" s="136"/>
      <c r="C32" s="136"/>
      <c r="D32" s="136"/>
      <c r="E32" s="136"/>
      <c r="F32" s="136"/>
      <c r="G32" s="136"/>
      <c r="H32" s="136"/>
      <c r="I32" s="138"/>
      <c r="J32" s="139">
        <f t="shared" ref="J32:P32" si="7">SUM(J20,J31)</f>
        <v>49636</v>
      </c>
      <c r="K32" s="139">
        <f t="shared" si="7"/>
        <v>4963.6000000000004</v>
      </c>
      <c r="L32" s="139">
        <f t="shared" si="7"/>
        <v>2481.8000000000002</v>
      </c>
      <c r="M32" s="139">
        <f t="shared" si="7"/>
        <v>0</v>
      </c>
      <c r="N32" s="140">
        <f t="shared" si="7"/>
        <v>5399279.9900000002</v>
      </c>
      <c r="O32" s="140">
        <f t="shared" si="7"/>
        <v>13245012</v>
      </c>
      <c r="P32" s="139">
        <f t="shared" si="7"/>
        <v>0</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341</v>
      </c>
      <c r="B34" s="48"/>
      <c r="C34" s="48"/>
      <c r="D34" s="48"/>
      <c r="E34" s="48"/>
      <c r="F34" s="48"/>
      <c r="G34" s="48"/>
      <c r="H34" s="48"/>
      <c r="I34" s="49"/>
      <c r="J34" s="48"/>
      <c r="K34" s="48"/>
      <c r="L34" s="48"/>
      <c r="M34" s="48"/>
      <c r="N34" s="48"/>
      <c r="O34" s="146"/>
      <c r="P34" s="146"/>
      <c r="Q34" s="48"/>
    </row>
    <row r="35" spans="1:17" s="45" customFormat="1" ht="18" customHeight="1">
      <c r="A35" s="494" t="s">
        <v>547</v>
      </c>
      <c r="B35" s="494"/>
      <c r="C35" s="494"/>
      <c r="D35" s="494"/>
      <c r="E35" s="494"/>
      <c r="F35" s="494"/>
      <c r="G35" s="494"/>
      <c r="H35" s="494"/>
      <c r="I35" s="494"/>
      <c r="J35" s="494"/>
      <c r="K35" s="494"/>
      <c r="L35" s="494"/>
      <c r="M35" s="494"/>
      <c r="N35" s="494"/>
      <c r="O35" s="494"/>
      <c r="P35" s="124"/>
      <c r="Q35" s="48"/>
    </row>
    <row r="36" spans="1:17" s="45" customFormat="1" ht="28.5" customHeight="1">
      <c r="A36" s="494" t="s">
        <v>2</v>
      </c>
      <c r="B36" s="494"/>
      <c r="C36" s="494"/>
      <c r="D36" s="494"/>
      <c r="E36" s="494"/>
      <c r="F36" s="494"/>
      <c r="G36" s="494"/>
      <c r="H36" s="494"/>
      <c r="I36" s="494"/>
      <c r="J36" s="494"/>
      <c r="K36" s="494"/>
      <c r="L36" s="494"/>
      <c r="M36" s="494"/>
      <c r="N36" s="494"/>
      <c r="O36" s="494"/>
      <c r="P36" s="124"/>
      <c r="Q36" s="48"/>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8"/>
      <c r="I38" s="49"/>
      <c r="J38" s="48"/>
      <c r="K38" s="48"/>
      <c r="L38" s="48"/>
      <c r="M38" s="48"/>
      <c r="N38" s="48"/>
      <c r="O38" s="146"/>
      <c r="P38" s="146"/>
      <c r="Q38" s="48"/>
    </row>
    <row r="39" spans="1:17">
      <c r="A39" s="45" t="s">
        <v>503</v>
      </c>
      <c r="B39" s="48"/>
      <c r="C39" s="48"/>
      <c r="D39" s="48"/>
      <c r="E39" s="48"/>
      <c r="F39" s="48"/>
      <c r="G39" s="48"/>
      <c r="H39" s="48"/>
      <c r="I39" s="146"/>
      <c r="J39" s="146"/>
      <c r="K39" s="146"/>
      <c r="L39" s="146"/>
      <c r="M39" s="146"/>
      <c r="N39" s="48"/>
      <c r="O39" s="45"/>
      <c r="P39" s="45"/>
      <c r="Q39" s="45"/>
    </row>
    <row r="40" spans="1:17">
      <c r="A40" s="45" t="s">
        <v>502</v>
      </c>
      <c r="B40" s="48"/>
      <c r="C40" s="48"/>
      <c r="D40" s="48"/>
      <c r="E40" s="48"/>
      <c r="F40" s="48"/>
      <c r="G40" s="48"/>
      <c r="H40" s="48"/>
      <c r="I40" s="146"/>
      <c r="J40" s="146"/>
      <c r="K40" s="146"/>
      <c r="L40" s="146"/>
      <c r="M40" s="146"/>
      <c r="N40" s="48"/>
      <c r="O40" s="45"/>
      <c r="P40" s="45"/>
      <c r="Q40" s="45"/>
    </row>
    <row r="41" spans="1:17">
      <c r="A41" s="13" t="s">
        <v>501</v>
      </c>
    </row>
    <row r="42" spans="1:17">
      <c r="A42" s="382" t="s">
        <v>672</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sheetPr>
    <pageSetUpPr fitToPage="1"/>
  </sheetPr>
  <dimension ref="A1:S42"/>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E45" sqref="E45"/>
    </sheetView>
  </sheetViews>
  <sheetFormatPr defaultRowHeight="11.25"/>
  <cols>
    <col min="1" max="1" width="30.28515625" style="88" customWidth="1"/>
    <col min="2" max="2" width="8.85546875" style="46" bestFit="1" customWidth="1"/>
    <col min="3" max="3" width="7.85546875" style="46" bestFit="1" customWidth="1"/>
    <col min="4" max="4" width="8.42578125" style="46" bestFit="1" customWidth="1"/>
    <col min="5" max="5" width="9.28515625" style="46" bestFit="1" customWidth="1"/>
    <col min="6" max="6" width="7.85546875" style="46" bestFit="1" customWidth="1"/>
    <col min="7" max="7" width="9.28515625" style="46" bestFit="1" customWidth="1"/>
    <col min="8" max="8" width="8.7109375" style="46" bestFit="1" customWidth="1"/>
    <col min="9" max="9" width="9.42578125" style="145" bestFit="1" customWidth="1"/>
    <col min="10" max="10" width="7.7109375" style="145" bestFit="1" customWidth="1"/>
    <col min="11" max="11" width="6.85546875" style="145" bestFit="1" customWidth="1"/>
    <col min="12" max="12" width="9.28515625" style="145" customWidth="1"/>
    <col min="13" max="13" width="9" style="145" hidden="1" customWidth="1"/>
    <col min="14" max="14" width="9.140625" style="46" bestFit="1" customWidth="1"/>
    <col min="15" max="15" width="10.140625" style="88" bestFit="1" customWidth="1"/>
    <col min="16" max="16" width="8.5703125" style="88" bestFit="1" customWidth="1"/>
    <col min="17" max="17" width="4.42578125" style="88" customWidth="1"/>
    <col min="18" max="19" width="0" style="88" hidden="1" customWidth="1"/>
    <col min="20" max="16384" width="9.140625" style="88"/>
  </cols>
  <sheetData>
    <row r="1" spans="1:19">
      <c r="A1" s="496" t="s">
        <v>239</v>
      </c>
      <c r="B1" s="496"/>
      <c r="C1" s="496"/>
      <c r="D1" s="496"/>
      <c r="E1" s="496"/>
      <c r="F1" s="496"/>
      <c r="G1" s="496"/>
      <c r="H1" s="496"/>
      <c r="I1" s="496"/>
      <c r="J1" s="496"/>
      <c r="K1" s="496"/>
      <c r="L1" s="496"/>
      <c r="M1" s="496"/>
      <c r="N1" s="496"/>
      <c r="O1" s="496"/>
      <c r="P1" s="496"/>
      <c r="Q1" s="496"/>
    </row>
    <row r="2" spans="1:19">
      <c r="A2" s="497" t="s">
        <v>474</v>
      </c>
      <c r="B2" s="497"/>
      <c r="C2" s="497"/>
      <c r="D2" s="497"/>
      <c r="E2" s="497"/>
      <c r="F2" s="497"/>
      <c r="G2" s="497"/>
      <c r="H2" s="497"/>
      <c r="I2" s="497"/>
      <c r="J2" s="497"/>
      <c r="K2" s="497"/>
      <c r="L2" s="497"/>
      <c r="M2" s="497"/>
      <c r="N2" s="497"/>
      <c r="O2" s="497"/>
      <c r="P2" s="497"/>
      <c r="Q2" s="497"/>
    </row>
    <row r="3" spans="1:19" s="142" customFormat="1" ht="54">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374</v>
      </c>
      <c r="B9" s="37"/>
      <c r="C9" s="37"/>
      <c r="D9" s="76"/>
      <c r="E9" s="44"/>
      <c r="F9" s="44"/>
      <c r="G9" s="37"/>
      <c r="H9" s="37"/>
      <c r="I9" s="72"/>
      <c r="J9" s="72"/>
      <c r="K9" s="72"/>
      <c r="L9" s="72"/>
      <c r="M9" s="74"/>
      <c r="N9" s="44"/>
      <c r="O9" s="44"/>
      <c r="P9" s="73"/>
      <c r="Q9" s="75"/>
      <c r="R9" s="75"/>
    </row>
    <row r="10" spans="1:19" s="115" customFormat="1" ht="9">
      <c r="A10" s="110" t="s">
        <v>249</v>
      </c>
      <c r="B10" s="37">
        <v>20</v>
      </c>
      <c r="C10" s="37"/>
      <c r="D10" s="44">
        <v>854</v>
      </c>
      <c r="E10" s="44">
        <v>0</v>
      </c>
      <c r="F10" s="44">
        <v>0</v>
      </c>
      <c r="G10" s="37">
        <v>1</v>
      </c>
      <c r="H10" s="37">
        <f>B10*G10</f>
        <v>20</v>
      </c>
      <c r="I10" s="72">
        <f>ROUND(SUM('Base Data'!$H$26:$H$27,'Base Data'!$H$31:$H$32,'Base Data'!$H$36:$H$37)/2,0)*'Testing Costs'!$C$22</f>
        <v>54.36</v>
      </c>
      <c r="J10" s="73">
        <f>H10*I10</f>
        <v>1087.2</v>
      </c>
      <c r="K10" s="73">
        <f>J10*0.1</f>
        <v>108.72000000000001</v>
      </c>
      <c r="L10" s="73">
        <f>J10*0.05</f>
        <v>54.360000000000007</v>
      </c>
      <c r="M10" s="74">
        <f>C10*G10*I10</f>
        <v>0</v>
      </c>
      <c r="N10" s="44">
        <f>(J10*'Base Data'!$C$5)+(K10*'Base Data'!$C$6)+(L10*'Base Data'!$C$7)</f>
        <v>118262.898</v>
      </c>
      <c r="O10" s="44">
        <f>(D10+E10+F10)*G10*I10</f>
        <v>46423.44</v>
      </c>
      <c r="P10" s="73">
        <v>0</v>
      </c>
      <c r="Q10" s="75" t="s">
        <v>661</v>
      </c>
      <c r="R10" s="75"/>
    </row>
    <row r="11" spans="1:19" s="115" customFormat="1" ht="9">
      <c r="A11" s="110" t="s">
        <v>251</v>
      </c>
      <c r="B11" s="37">
        <v>20</v>
      </c>
      <c r="C11" s="37"/>
      <c r="D11" s="44">
        <v>18292</v>
      </c>
      <c r="E11" s="44">
        <v>0</v>
      </c>
      <c r="F11" s="44">
        <v>0</v>
      </c>
      <c r="G11" s="37">
        <v>1</v>
      </c>
      <c r="H11" s="37">
        <f>B11*G11</f>
        <v>20</v>
      </c>
      <c r="I11" s="72">
        <f>ROUNDDOWN(SUM('Base Data'!$H$26:$H$27,'Base Data'!$H$31:$H$32,'Base Data'!$H$36:$H$37)/2,0)*'Testing Costs'!$C$23</f>
        <v>397.76</v>
      </c>
      <c r="J11" s="73">
        <f>H11*I11</f>
        <v>7955.2</v>
      </c>
      <c r="K11" s="73">
        <f>J11*0.1</f>
        <v>795.52</v>
      </c>
      <c r="L11" s="73">
        <f>J11*0.05</f>
        <v>397.76</v>
      </c>
      <c r="M11" s="74">
        <f>C11*G11*I11</f>
        <v>0</v>
      </c>
      <c r="N11" s="44">
        <f>(J11*'Base Data'!$C$5)+(K11*'Base Data'!$C$6)+(L11*'Base Data'!$C$7)</f>
        <v>865346.76800000004</v>
      </c>
      <c r="O11" s="44">
        <f>(D11+E11+F11)*G11*I11</f>
        <v>7275825.9199999999</v>
      </c>
      <c r="P11" s="73">
        <v>0</v>
      </c>
      <c r="Q11" s="75" t="s">
        <v>661</v>
      </c>
      <c r="R11" s="75"/>
    </row>
    <row r="12" spans="1:19" s="115" customFormat="1" ht="9">
      <c r="A12" s="111" t="s">
        <v>10</v>
      </c>
      <c r="B12" s="37">
        <v>12</v>
      </c>
      <c r="C12" s="37"/>
      <c r="D12" s="44">
        <v>0</v>
      </c>
      <c r="E12" s="44">
        <v>1580</v>
      </c>
      <c r="F12" s="44">
        <v>0</v>
      </c>
      <c r="G12" s="37">
        <v>0.5</v>
      </c>
      <c r="H12" s="37">
        <f>B12*G12</f>
        <v>6</v>
      </c>
      <c r="I12" s="72">
        <f>ROUNDDOWN(SUM('Base Data'!$D$26:$D$27,'Base Data'!$D$31:$D$32,'Base Data'!$D$36:$D$37)/2,0)</f>
        <v>3745</v>
      </c>
      <c r="J12" s="72">
        <f>H12*I12</f>
        <v>22470</v>
      </c>
      <c r="K12" s="72">
        <f>J12*0.1</f>
        <v>2247</v>
      </c>
      <c r="L12" s="72">
        <f>J12*0.05</f>
        <v>1123.5</v>
      </c>
      <c r="M12" s="73"/>
      <c r="N12" s="44">
        <f>(J12*'Base Data'!$C$5)+(K12*'Base Data'!$C$6)+(L12*'Base Data'!$C$7)</f>
        <v>2444230.4250000003</v>
      </c>
      <c r="O12" s="44">
        <f>(D12+E12+F12)*I12</f>
        <v>5917100</v>
      </c>
      <c r="P12" s="73">
        <v>0</v>
      </c>
      <c r="Q12" s="75" t="s">
        <v>660</v>
      </c>
    </row>
    <row r="13" spans="1:19" s="115" customFormat="1" ht="9">
      <c r="A13" s="111" t="s">
        <v>366</v>
      </c>
      <c r="B13" s="37" t="s">
        <v>384</v>
      </c>
      <c r="C13" s="37"/>
      <c r="D13" s="44"/>
      <c r="E13" s="44"/>
      <c r="F13" s="44"/>
      <c r="G13" s="37"/>
      <c r="H13" s="37"/>
      <c r="I13" s="73"/>
      <c r="J13" s="37"/>
      <c r="K13" s="37"/>
      <c r="L13" s="37"/>
      <c r="M13" s="37"/>
      <c r="N13" s="44"/>
      <c r="O13" s="44"/>
      <c r="P13" s="73"/>
      <c r="Q13" s="75"/>
    </row>
    <row r="14" spans="1:19" s="115" customFormat="1" ht="9">
      <c r="A14" s="111" t="s">
        <v>367</v>
      </c>
      <c r="B14" s="37" t="s">
        <v>384</v>
      </c>
      <c r="C14" s="37"/>
      <c r="D14" s="44"/>
      <c r="E14" s="44"/>
      <c r="F14" s="44"/>
      <c r="G14" s="37"/>
      <c r="H14" s="37"/>
      <c r="I14" s="73"/>
      <c r="J14" s="37"/>
      <c r="K14" s="37"/>
      <c r="L14" s="37"/>
      <c r="M14" s="37"/>
      <c r="N14" s="44"/>
      <c r="O14" s="44"/>
      <c r="P14" s="73"/>
      <c r="Q14" s="75"/>
    </row>
    <row r="15" spans="1:19" s="115" customFormat="1" ht="9">
      <c r="A15" s="111" t="s">
        <v>368</v>
      </c>
      <c r="B15" s="37"/>
      <c r="C15" s="37"/>
      <c r="D15" s="44"/>
      <c r="E15" s="44"/>
      <c r="F15" s="44"/>
      <c r="G15" s="37"/>
      <c r="H15" s="37"/>
      <c r="I15" s="73"/>
      <c r="J15" s="37"/>
      <c r="K15" s="37"/>
      <c r="L15" s="37"/>
      <c r="M15" s="37"/>
      <c r="N15" s="44"/>
      <c r="O15" s="44"/>
      <c r="P15" s="73"/>
      <c r="Q15" s="75"/>
    </row>
    <row r="16" spans="1:19" s="115" customFormat="1" ht="9">
      <c r="A16" s="126" t="s">
        <v>386</v>
      </c>
      <c r="B16" s="37">
        <v>2</v>
      </c>
      <c r="C16" s="37"/>
      <c r="D16" s="44">
        <v>0</v>
      </c>
      <c r="E16" s="44">
        <v>0</v>
      </c>
      <c r="F16" s="44">
        <v>0</v>
      </c>
      <c r="G16" s="37">
        <v>1</v>
      </c>
      <c r="H16" s="37">
        <f>B16*G16</f>
        <v>2</v>
      </c>
      <c r="I16" s="72">
        <v>0</v>
      </c>
      <c r="J16" s="72">
        <f>H16*I16</f>
        <v>0</v>
      </c>
      <c r="K16" s="72">
        <f>J16*0.1</f>
        <v>0</v>
      </c>
      <c r="L16" s="72">
        <f>J16*0.05</f>
        <v>0</v>
      </c>
      <c r="M16" s="37">
        <f>C16*G16*I16</f>
        <v>0</v>
      </c>
      <c r="N16" s="44">
        <f>(J16*'Base Data'!$C$5)+(K16*'Base Data'!$C$6)+(L16*'Base Data'!$C$7)</f>
        <v>0</v>
      </c>
      <c r="O16" s="44">
        <f>(D16+E16+F16)*G16*I16</f>
        <v>0</v>
      </c>
      <c r="P16" s="73">
        <f>G16*I16</f>
        <v>0</v>
      </c>
      <c r="Q16" s="75" t="s">
        <v>338</v>
      </c>
    </row>
    <row r="17" spans="1:19" s="115" customFormat="1" ht="9">
      <c r="A17" s="126" t="s">
        <v>328</v>
      </c>
      <c r="B17" s="37">
        <v>8</v>
      </c>
      <c r="C17" s="37"/>
      <c r="D17" s="44">
        <v>0</v>
      </c>
      <c r="E17" s="44">
        <v>0</v>
      </c>
      <c r="F17" s="44">
        <v>0</v>
      </c>
      <c r="G17" s="37">
        <v>1</v>
      </c>
      <c r="H17" s="37">
        <f>B17*G17</f>
        <v>8</v>
      </c>
      <c r="I17" s="72">
        <f>SUM('Base Data'!$H$26:$H$27,'Base Data'!$H$31:$H$32,'Base Data'!$H$36:$H$37)</f>
        <v>905</v>
      </c>
      <c r="J17" s="72">
        <f>H17*I17</f>
        <v>7240</v>
      </c>
      <c r="K17" s="72">
        <f>J17*0.1</f>
        <v>724</v>
      </c>
      <c r="L17" s="72">
        <f>J17*0.05</f>
        <v>362</v>
      </c>
      <c r="M17" s="37">
        <f>C17*G17*I17</f>
        <v>0</v>
      </c>
      <c r="N17" s="44">
        <f>(J17*'Base Data'!$C$5)+(K17*'Base Data'!$C$6)+(L17*'Base Data'!$C$7)</f>
        <v>787549.1</v>
      </c>
      <c r="O17" s="44">
        <f>(D17+E17+F17)*G17*I17</f>
        <v>0</v>
      </c>
      <c r="P17" s="73">
        <f>G17*I17</f>
        <v>905</v>
      </c>
      <c r="Q17" s="75" t="s">
        <v>339</v>
      </c>
    </row>
    <row r="18" spans="1:19" s="115" customFormat="1" ht="9">
      <c r="A18" s="126" t="s">
        <v>11</v>
      </c>
      <c r="B18" s="37">
        <v>5</v>
      </c>
      <c r="C18" s="37"/>
      <c r="D18" s="44">
        <v>0</v>
      </c>
      <c r="E18" s="44">
        <v>0</v>
      </c>
      <c r="F18" s="44">
        <v>0</v>
      </c>
      <c r="G18" s="37">
        <v>0.5</v>
      </c>
      <c r="H18" s="37">
        <f>B18*G18</f>
        <v>2.5</v>
      </c>
      <c r="I18" s="72">
        <f>SUM('Base Data'!$H$26:$H$27,'Base Data'!$H$31:$H$32,'Base Data'!$H$36:$H$37)</f>
        <v>905</v>
      </c>
      <c r="J18" s="72">
        <f>H18*I18</f>
        <v>2262.5</v>
      </c>
      <c r="K18" s="72">
        <f>J18*0.1</f>
        <v>226.25</v>
      </c>
      <c r="L18" s="72">
        <f>J18*0.05</f>
        <v>113.125</v>
      </c>
      <c r="M18" s="37">
        <f>C18*G18*I18</f>
        <v>0</v>
      </c>
      <c r="N18" s="44">
        <f>(J18*'Base Data'!$C$5)+(K18*'Base Data'!$C$6)+(L18*'Base Data'!$C$7)</f>
        <v>246109.09375</v>
      </c>
      <c r="O18" s="44">
        <f>(D18+E18+F18)*G18*I18</f>
        <v>0</v>
      </c>
      <c r="P18" s="73">
        <f>G18*I18</f>
        <v>452.5</v>
      </c>
      <c r="Q18" s="75" t="s">
        <v>91</v>
      </c>
    </row>
    <row r="19" spans="1:19" s="6" customFormat="1" ht="9">
      <c r="A19" s="126" t="s">
        <v>444</v>
      </c>
      <c r="B19" s="37">
        <v>5</v>
      </c>
      <c r="C19" s="17"/>
      <c r="D19" s="32">
        <v>0</v>
      </c>
      <c r="E19" s="32">
        <v>0</v>
      </c>
      <c r="F19" s="32">
        <v>0</v>
      </c>
      <c r="G19" s="17">
        <v>1</v>
      </c>
      <c r="H19" s="17">
        <f>B19*G19</f>
        <v>5</v>
      </c>
      <c r="I19" s="72">
        <f>SUM('Base Data'!$H$26:$H$27,'Base Data'!$H$31:$H$32,'Base Data'!$H$36:$H$37)</f>
        <v>905</v>
      </c>
      <c r="J19" s="18">
        <f>H19*I19</f>
        <v>4525</v>
      </c>
      <c r="K19" s="18">
        <f>J19*0.1</f>
        <v>452.5</v>
      </c>
      <c r="L19" s="18">
        <f>J19*0.05</f>
        <v>226.25</v>
      </c>
      <c r="M19" s="17">
        <f>C19*G19*I19</f>
        <v>0</v>
      </c>
      <c r="N19" s="32">
        <f>(J19*'Base Data'!$C$5)+(K19*'Base Data'!$C$6)+(L19*'Base Data'!$C$7)</f>
        <v>492218.1875</v>
      </c>
      <c r="O19" s="32">
        <f>(D19+E19+F19)*G19*I19</f>
        <v>0</v>
      </c>
      <c r="P19" s="18">
        <f>G19*I19</f>
        <v>905</v>
      </c>
      <c r="Q19" s="23" t="s">
        <v>339</v>
      </c>
    </row>
    <row r="20" spans="1:19" s="115" customFormat="1" ht="9">
      <c r="A20" s="116" t="s">
        <v>7</v>
      </c>
      <c r="B20" s="37"/>
      <c r="C20" s="37"/>
      <c r="D20" s="44"/>
      <c r="E20" s="44"/>
      <c r="F20" s="44"/>
      <c r="G20" s="37"/>
      <c r="H20" s="37"/>
      <c r="I20" s="73"/>
      <c r="J20" s="73">
        <f>SUM(J7:J19)</f>
        <v>45539.9</v>
      </c>
      <c r="K20" s="73">
        <f t="shared" ref="K20:O20" si="0">SUM(K7:K19)</f>
        <v>4553.99</v>
      </c>
      <c r="L20" s="73">
        <f t="shared" si="0"/>
        <v>2276.9949999999999</v>
      </c>
      <c r="M20" s="73">
        <f t="shared" si="0"/>
        <v>0</v>
      </c>
      <c r="N20" s="32">
        <f t="shared" si="0"/>
        <v>4953716.4722500006</v>
      </c>
      <c r="O20" s="32">
        <f t="shared" si="0"/>
        <v>13239349.359999999</v>
      </c>
      <c r="P20" s="73">
        <f>ROUNDUP(SUM(P7:P19),0)</f>
        <v>2263</v>
      </c>
      <c r="Q20" s="75"/>
      <c r="R20" s="117">
        <f>SUM(O7:O12)</f>
        <v>13239349.359999999</v>
      </c>
      <c r="S20" s="115">
        <f>0</f>
        <v>0</v>
      </c>
    </row>
    <row r="21" spans="1:19" s="115" customFormat="1" ht="9">
      <c r="A21" s="111" t="s">
        <v>382</v>
      </c>
      <c r="B21" s="37"/>
      <c r="C21" s="37"/>
      <c r="D21" s="44"/>
      <c r="E21" s="44"/>
      <c r="F21" s="44"/>
      <c r="G21" s="37"/>
      <c r="H21" s="37"/>
      <c r="I21" s="73"/>
      <c r="J21" s="37"/>
      <c r="K21" s="37"/>
      <c r="L21" s="37"/>
      <c r="M21" s="37"/>
      <c r="N21" s="44"/>
      <c r="O21" s="44"/>
      <c r="P21" s="73"/>
      <c r="Q21" s="75"/>
    </row>
    <row r="22" spans="1:19" s="115" customFormat="1" ht="9">
      <c r="A22" s="111" t="s">
        <v>369</v>
      </c>
      <c r="B22" s="37" t="s">
        <v>373</v>
      </c>
      <c r="C22" s="37"/>
      <c r="D22" s="44"/>
      <c r="E22" s="44"/>
      <c r="F22" s="44"/>
      <c r="G22" s="37"/>
      <c r="H22" s="37"/>
      <c r="I22" s="73"/>
      <c r="J22" s="37"/>
      <c r="K22" s="37"/>
      <c r="L22" s="37"/>
      <c r="M22" s="37"/>
      <c r="N22" s="44"/>
      <c r="O22" s="44"/>
      <c r="P22" s="73"/>
      <c r="Q22" s="75"/>
    </row>
    <row r="23" spans="1:19" s="115" customFormat="1" ht="9">
      <c r="A23" s="111" t="s">
        <v>370</v>
      </c>
      <c r="B23" s="37" t="s">
        <v>384</v>
      </c>
      <c r="C23" s="37"/>
      <c r="D23" s="44"/>
      <c r="E23" s="44"/>
      <c r="F23" s="44"/>
      <c r="G23" s="37"/>
      <c r="H23" s="37"/>
      <c r="I23" s="73"/>
      <c r="J23" s="37"/>
      <c r="K23" s="37"/>
      <c r="L23" s="37"/>
      <c r="M23" s="37"/>
      <c r="N23" s="44"/>
      <c r="O23" s="44"/>
      <c r="P23" s="73"/>
      <c r="Q23" s="75"/>
    </row>
    <row r="24" spans="1:19" s="115" customFormat="1" ht="9">
      <c r="A24" s="111" t="s">
        <v>371</v>
      </c>
      <c r="B24" s="37" t="s">
        <v>384</v>
      </c>
      <c r="C24" s="37"/>
      <c r="D24" s="44"/>
      <c r="E24" s="44"/>
      <c r="F24" s="44"/>
      <c r="G24" s="37"/>
      <c r="H24" s="37"/>
      <c r="I24" s="73"/>
      <c r="J24" s="37"/>
      <c r="K24" s="37"/>
      <c r="L24" s="37"/>
      <c r="M24" s="37"/>
      <c r="N24" s="44"/>
      <c r="O24" s="44"/>
      <c r="P24" s="73"/>
      <c r="Q24" s="75" t="s">
        <v>340</v>
      </c>
    </row>
    <row r="25" spans="1:19" s="115" customFormat="1" ht="9">
      <c r="A25" s="111" t="s">
        <v>372</v>
      </c>
      <c r="B25" s="37"/>
      <c r="C25" s="37"/>
      <c r="D25" s="44"/>
      <c r="E25" s="44"/>
      <c r="F25" s="44"/>
      <c r="G25" s="37"/>
      <c r="H25" s="37"/>
      <c r="I25" s="73"/>
      <c r="J25" s="37"/>
      <c r="K25" s="37"/>
      <c r="L25" s="37"/>
      <c r="M25" s="37"/>
      <c r="N25" s="44"/>
      <c r="O25" s="44"/>
      <c r="P25" s="73"/>
      <c r="Q25" s="75"/>
    </row>
    <row r="26" spans="1:19" s="115" customFormat="1" ht="19.5" customHeight="1">
      <c r="A26" s="126" t="s">
        <v>326</v>
      </c>
      <c r="B26" s="37">
        <v>2</v>
      </c>
      <c r="C26" s="37">
        <v>0</v>
      </c>
      <c r="D26" s="44">
        <v>0</v>
      </c>
      <c r="E26" s="44">
        <v>0</v>
      </c>
      <c r="F26" s="44">
        <v>0</v>
      </c>
      <c r="G26" s="37">
        <v>0.5</v>
      </c>
      <c r="H26" s="37">
        <f>B26*G26</f>
        <v>1</v>
      </c>
      <c r="I26" s="72">
        <f>I18</f>
        <v>905</v>
      </c>
      <c r="J26" s="72">
        <f>H26*I26</f>
        <v>905</v>
      </c>
      <c r="K26" s="72">
        <f>J26*0.1</f>
        <v>90.5</v>
      </c>
      <c r="L26" s="72">
        <f>J26*0.05</f>
        <v>45.25</v>
      </c>
      <c r="M26" s="37">
        <f>C26*G26*I26</f>
        <v>0</v>
      </c>
      <c r="N26" s="44">
        <f>(J26*'Base Data'!$C$5)+(K26*'Base Data'!$C$6)+(L26*'Base Data'!$C$7)</f>
        <v>98443.637499999997</v>
      </c>
      <c r="O26" s="44">
        <f>(D26+E26+F26)*G26*I26</f>
        <v>0</v>
      </c>
      <c r="P26" s="73">
        <v>0</v>
      </c>
      <c r="Q26" s="75" t="s">
        <v>339</v>
      </c>
    </row>
    <row r="27" spans="1:19" s="115" customFormat="1" ht="18">
      <c r="A27" s="126" t="s">
        <v>327</v>
      </c>
      <c r="B27" s="37">
        <v>15</v>
      </c>
      <c r="C27" s="37">
        <v>0</v>
      </c>
      <c r="D27" s="44">
        <v>0</v>
      </c>
      <c r="E27" s="44">
        <v>0</v>
      </c>
      <c r="F27" s="44">
        <v>0</v>
      </c>
      <c r="G27" s="37">
        <v>1</v>
      </c>
      <c r="H27" s="37">
        <f>B27*G27</f>
        <v>15</v>
      </c>
      <c r="I27" s="72">
        <v>0</v>
      </c>
      <c r="J27" s="72">
        <f>H27*I27</f>
        <v>0</v>
      </c>
      <c r="K27" s="72">
        <f>J27*0.1</f>
        <v>0</v>
      </c>
      <c r="L27" s="72">
        <f>J27*0.05</f>
        <v>0</v>
      </c>
      <c r="M27" s="37">
        <f>C27*G27*I27</f>
        <v>0</v>
      </c>
      <c r="N27" s="44">
        <f>(J27*'Base Data'!$C$5)+(K27*'Base Data'!$C$6)+(L27*'Base Data'!$C$7)</f>
        <v>0</v>
      </c>
      <c r="O27" s="44">
        <f>(D27+E27+F27)*G27*I27</f>
        <v>0</v>
      </c>
      <c r="P27" s="73">
        <v>0</v>
      </c>
      <c r="Q27" s="75" t="s">
        <v>89</v>
      </c>
    </row>
    <row r="28" spans="1:19" s="115" customFormat="1" ht="9">
      <c r="A28" s="126" t="s">
        <v>236</v>
      </c>
      <c r="B28" s="37">
        <v>0.5</v>
      </c>
      <c r="C28" s="37"/>
      <c r="D28" s="44">
        <v>0</v>
      </c>
      <c r="E28" s="44">
        <v>0</v>
      </c>
      <c r="F28" s="44">
        <v>0</v>
      </c>
      <c r="G28" s="37">
        <v>0.5</v>
      </c>
      <c r="H28" s="37">
        <f>B28*G28</f>
        <v>0.25</v>
      </c>
      <c r="I28" s="72">
        <f>SUM('Base Data'!$D$26:$D$27,'Base Data'!$D$31:$D$32,'Base Data'!$D$36:$D$37)</f>
        <v>7491</v>
      </c>
      <c r="J28" s="72">
        <f>H28*I28</f>
        <v>1872.75</v>
      </c>
      <c r="K28" s="72">
        <f>J28*0.1</f>
        <v>187.27500000000001</v>
      </c>
      <c r="L28" s="72">
        <f>J28*0.05</f>
        <v>93.637500000000003</v>
      </c>
      <c r="M28" s="37">
        <f>C28*G28*I28</f>
        <v>0</v>
      </c>
      <c r="N28" s="44">
        <f>(J28*'Base Data'!$C$5)+(K28*'Base Data'!$C$6)+(L28*'Base Data'!$C$7)</f>
        <v>203713.06312500002</v>
      </c>
      <c r="O28" s="44">
        <f>(D28+E28+F28)*G28*I28</f>
        <v>0</v>
      </c>
      <c r="P28" s="73">
        <v>0</v>
      </c>
      <c r="Q28" s="75" t="s">
        <v>91</v>
      </c>
    </row>
    <row r="29" spans="1:19" s="6" customFormat="1" ht="9">
      <c r="A29" s="110" t="s">
        <v>378</v>
      </c>
      <c r="B29" s="37">
        <v>40</v>
      </c>
      <c r="C29" s="17"/>
      <c r="D29" s="32">
        <v>0</v>
      </c>
      <c r="E29" s="32">
        <v>0</v>
      </c>
      <c r="F29" s="32">
        <v>0</v>
      </c>
      <c r="G29" s="17">
        <v>1</v>
      </c>
      <c r="H29" s="17">
        <f t="shared" ref="H29" si="1">B29*G29</f>
        <v>40</v>
      </c>
      <c r="I29" s="72">
        <f>ROUNDDOWN(SUM('Base Data'!$H$26:$H$27,'Base Data'!$H$31:$H$32,'Base Data'!$H$36:$H$37)/2,0)</f>
        <v>452</v>
      </c>
      <c r="J29" s="18">
        <f t="shared" ref="J29" si="2">H29*I29</f>
        <v>18080</v>
      </c>
      <c r="K29" s="18">
        <f t="shared" ref="K29" si="3">J29*0.1</f>
        <v>1808</v>
      </c>
      <c r="L29" s="18">
        <f t="shared" ref="L29" si="4">J29*0.05</f>
        <v>904</v>
      </c>
      <c r="M29" s="17"/>
      <c r="N29" s="32">
        <f>(J29*'Base Data'!$C$5)+(K29*'Base Data'!$C$6)+(L29*'Base Data'!$C$7)</f>
        <v>1966697.2</v>
      </c>
      <c r="O29" s="32">
        <f t="shared" ref="O29" si="5">(D29+E29+F29)*G29*I29</f>
        <v>0</v>
      </c>
      <c r="P29" s="73">
        <v>0</v>
      </c>
      <c r="Q29" s="23" t="s">
        <v>77</v>
      </c>
    </row>
    <row r="30" spans="1:19" s="115" customFormat="1" ht="9">
      <c r="A30" s="111" t="s">
        <v>379</v>
      </c>
      <c r="B30" s="37" t="s">
        <v>384</v>
      </c>
      <c r="C30" s="37"/>
      <c r="D30" s="44"/>
      <c r="E30" s="44"/>
      <c r="F30" s="44"/>
      <c r="G30" s="37"/>
      <c r="H30" s="37"/>
      <c r="I30" s="73"/>
      <c r="J30" s="37"/>
      <c r="K30" s="37"/>
      <c r="L30" s="37"/>
      <c r="M30" s="37"/>
      <c r="N30" s="44"/>
      <c r="O30" s="44"/>
      <c r="P30" s="73"/>
      <c r="Q30" s="75"/>
    </row>
    <row r="31" spans="1:19" s="115" customFormat="1" ht="9">
      <c r="A31" s="191" t="s">
        <v>26</v>
      </c>
      <c r="B31" s="184"/>
      <c r="C31" s="184"/>
      <c r="D31" s="185"/>
      <c r="E31" s="185"/>
      <c r="F31" s="185"/>
      <c r="G31" s="184"/>
      <c r="H31" s="184"/>
      <c r="I31" s="186"/>
      <c r="J31" s="184">
        <f t="shared" ref="J31:P31" si="6">SUM(J22:J30)</f>
        <v>20857.75</v>
      </c>
      <c r="K31" s="184">
        <f t="shared" si="6"/>
        <v>2085.7750000000001</v>
      </c>
      <c r="L31" s="184">
        <f t="shared" si="6"/>
        <v>1042.8875</v>
      </c>
      <c r="M31" s="184">
        <f t="shared" si="6"/>
        <v>0</v>
      </c>
      <c r="N31" s="185">
        <f t="shared" si="6"/>
        <v>2268853.9006249998</v>
      </c>
      <c r="O31" s="185">
        <f t="shared" si="6"/>
        <v>0</v>
      </c>
      <c r="P31" s="73">
        <f t="shared" si="6"/>
        <v>0</v>
      </c>
      <c r="Q31" s="187"/>
      <c r="R31" s="117">
        <f>SUM(O22:O31)</f>
        <v>0</v>
      </c>
    </row>
    <row r="32" spans="1:19" s="115" customFormat="1">
      <c r="A32" s="135" t="s">
        <v>351</v>
      </c>
      <c r="B32" s="136"/>
      <c r="C32" s="136"/>
      <c r="D32" s="136"/>
      <c r="E32" s="136"/>
      <c r="F32" s="136"/>
      <c r="G32" s="136"/>
      <c r="H32" s="136"/>
      <c r="I32" s="138"/>
      <c r="J32" s="139">
        <f t="shared" ref="J32:P32" si="7">SUM(J20,J31)</f>
        <v>66397.649999999994</v>
      </c>
      <c r="K32" s="139">
        <f t="shared" si="7"/>
        <v>6639.7649999999994</v>
      </c>
      <c r="L32" s="139">
        <f t="shared" si="7"/>
        <v>3319.8824999999997</v>
      </c>
      <c r="M32" s="139">
        <f t="shared" si="7"/>
        <v>0</v>
      </c>
      <c r="N32" s="140">
        <f t="shared" si="7"/>
        <v>7222570.3728750004</v>
      </c>
      <c r="O32" s="140">
        <f t="shared" si="7"/>
        <v>13239349.359999999</v>
      </c>
      <c r="P32" s="139">
        <f t="shared" si="7"/>
        <v>2263</v>
      </c>
      <c r="Q32" s="141"/>
    </row>
    <row r="33" spans="1:17" s="115" customFormat="1">
      <c r="A33" s="88"/>
      <c r="B33" s="46"/>
      <c r="C33" s="46"/>
      <c r="D33" s="46"/>
      <c r="E33" s="46"/>
      <c r="F33" s="46"/>
      <c r="G33" s="46"/>
      <c r="H33" s="46"/>
      <c r="I33" s="47"/>
      <c r="J33" s="46"/>
      <c r="K33" s="46"/>
      <c r="L33" s="46"/>
      <c r="M33" s="46"/>
      <c r="N33" s="46"/>
      <c r="O33" s="145"/>
      <c r="P33" s="145"/>
      <c r="Q33" s="46"/>
    </row>
    <row r="34" spans="1:17" s="115" customFormat="1" ht="9">
      <c r="A34" s="45" t="s">
        <v>341</v>
      </c>
      <c r="B34" s="48"/>
      <c r="C34" s="48"/>
      <c r="D34" s="48"/>
      <c r="E34" s="48"/>
      <c r="F34" s="48"/>
      <c r="G34" s="48"/>
      <c r="H34" s="48"/>
      <c r="I34" s="49"/>
      <c r="J34" s="48"/>
      <c r="K34" s="48"/>
      <c r="L34" s="48"/>
      <c r="M34" s="48"/>
      <c r="N34" s="48"/>
      <c r="O34" s="146"/>
      <c r="P34" s="146"/>
      <c r="Q34" s="48"/>
    </row>
    <row r="35" spans="1:17" s="45" customFormat="1" ht="19.5" customHeight="1">
      <c r="A35" s="494" t="s">
        <v>547</v>
      </c>
      <c r="B35" s="494"/>
      <c r="C35" s="494"/>
      <c r="D35" s="494"/>
      <c r="E35" s="494"/>
      <c r="F35" s="494"/>
      <c r="G35" s="494"/>
      <c r="H35" s="494"/>
      <c r="I35" s="494"/>
      <c r="J35" s="494"/>
      <c r="K35" s="494"/>
      <c r="L35" s="494"/>
      <c r="M35" s="494"/>
      <c r="N35" s="494"/>
      <c r="O35" s="494"/>
      <c r="P35" s="124"/>
      <c r="Q35" s="48"/>
    </row>
    <row r="36" spans="1:17" s="45" customFormat="1" ht="28.5" customHeight="1">
      <c r="A36" s="494" t="s">
        <v>2</v>
      </c>
      <c r="B36" s="494"/>
      <c r="C36" s="494"/>
      <c r="D36" s="494"/>
      <c r="E36" s="494"/>
      <c r="F36" s="494"/>
      <c r="G36" s="494"/>
      <c r="H36" s="494"/>
      <c r="I36" s="494"/>
      <c r="J36" s="494"/>
      <c r="K36" s="494"/>
      <c r="L36" s="494"/>
      <c r="M36" s="494"/>
      <c r="N36" s="494"/>
      <c r="O36" s="494"/>
      <c r="P36" s="124"/>
      <c r="Q36" s="48"/>
    </row>
    <row r="37" spans="1:17" s="45" customFormat="1" ht="18.75" customHeight="1">
      <c r="A37" s="494" t="s">
        <v>94</v>
      </c>
      <c r="B37" s="494"/>
      <c r="C37" s="494"/>
      <c r="D37" s="494"/>
      <c r="E37" s="494"/>
      <c r="F37" s="494"/>
      <c r="G37" s="494"/>
      <c r="H37" s="494"/>
      <c r="I37" s="494"/>
      <c r="J37" s="494"/>
      <c r="K37" s="494"/>
      <c r="L37" s="494"/>
      <c r="M37" s="494"/>
      <c r="N37" s="494"/>
      <c r="O37" s="494"/>
      <c r="P37" s="494"/>
      <c r="Q37" s="494"/>
    </row>
    <row r="38" spans="1:17" s="45" customFormat="1" ht="10.5" customHeight="1">
      <c r="A38" s="45" t="s">
        <v>392</v>
      </c>
      <c r="B38" s="48"/>
      <c r="C38" s="48"/>
      <c r="D38" s="48"/>
      <c r="E38" s="48"/>
      <c r="F38" s="48"/>
      <c r="G38" s="48"/>
      <c r="H38" s="48"/>
      <c r="I38" s="49"/>
      <c r="J38" s="48"/>
      <c r="K38" s="48"/>
      <c r="L38" s="48"/>
      <c r="M38" s="48"/>
      <c r="N38" s="48"/>
      <c r="O38" s="146"/>
      <c r="P38" s="146"/>
      <c r="Q38" s="48"/>
    </row>
    <row r="39" spans="1:17">
      <c r="A39" s="45" t="s">
        <v>503</v>
      </c>
      <c r="Q39" s="45"/>
    </row>
    <row r="40" spans="1:17">
      <c r="A40" s="45" t="s">
        <v>502</v>
      </c>
      <c r="Q40" s="45"/>
    </row>
    <row r="41" spans="1:17">
      <c r="A41" s="13" t="s">
        <v>501</v>
      </c>
    </row>
    <row r="42" spans="1:17">
      <c r="A42" s="382" t="s">
        <v>672</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85" orientation="landscape" r:id="rId1"/>
  <headerFooter alignWithMargins="0"/>
</worksheet>
</file>

<file path=xl/worksheets/sheet37.xml><?xml version="1.0" encoding="utf-8"?>
<worksheet xmlns="http://schemas.openxmlformats.org/spreadsheetml/2006/main" xmlns:r="http://schemas.openxmlformats.org/officeDocument/2006/relationships">
  <sheetPr>
    <pageSetUpPr fitToPage="1"/>
  </sheetPr>
  <dimension ref="A1:S7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Q10" sqref="Q10"/>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8.42578125" style="46" customWidth="1"/>
    <col min="7" max="7" width="9.28515625" style="46" bestFit="1" customWidth="1"/>
    <col min="8" max="8" width="8.42578125" style="46" customWidth="1"/>
    <col min="9" max="9" width="9.42578125" style="47" bestFit="1" customWidth="1"/>
    <col min="10" max="11" width="6.85546875" style="46" bestFit="1" customWidth="1"/>
    <col min="12" max="12" width="9.28515625" style="46" customWidth="1"/>
    <col min="13" max="13" width="7.85546875" style="46" hidden="1" customWidth="1"/>
    <col min="14" max="14" width="8.42578125" style="46" bestFit="1" customWidth="1"/>
    <col min="15" max="15" width="8.85546875" style="145" customWidth="1"/>
    <col min="16" max="16" width="8.5703125" style="145" bestFit="1" customWidth="1"/>
    <col min="17" max="17" width="3.85546875" style="46" customWidth="1"/>
    <col min="18" max="19" width="9.140625" style="88" hidden="1" customWidth="1"/>
    <col min="20" max="20" width="11.140625" style="88" customWidth="1"/>
    <col min="21" max="21" width="8.5703125" style="88" customWidth="1"/>
    <col min="22" max="16384" width="9.140625" style="88"/>
  </cols>
  <sheetData>
    <row r="1" spans="1:19">
      <c r="A1" s="496" t="s">
        <v>267</v>
      </c>
      <c r="B1" s="496"/>
      <c r="C1" s="496"/>
      <c r="D1" s="496"/>
      <c r="E1" s="496"/>
      <c r="F1" s="496"/>
      <c r="G1" s="496"/>
      <c r="H1" s="496"/>
      <c r="I1" s="496"/>
      <c r="J1" s="496"/>
      <c r="K1" s="496"/>
      <c r="L1" s="496"/>
      <c r="M1" s="496"/>
      <c r="N1" s="496"/>
      <c r="O1" s="496"/>
      <c r="P1" s="496"/>
      <c r="Q1" s="496"/>
    </row>
    <row r="2" spans="1:19">
      <c r="A2" s="497" t="s">
        <v>656</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38"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'Base Data'!$H$62</f>
        <v>1</v>
      </c>
      <c r="J7" s="72">
        <f>H7*I7</f>
        <v>40</v>
      </c>
      <c r="K7" s="72">
        <f>J7*0.1</f>
        <v>4</v>
      </c>
      <c r="L7" s="72">
        <f>J7*0.05</f>
        <v>2</v>
      </c>
      <c r="M7" s="37">
        <f>C7*G7*I7</f>
        <v>0</v>
      </c>
      <c r="N7" s="44">
        <f>(J7*'Base Data'!$C$5)+(K7*'Base Data'!$C$6)+(L7*'Base Data'!$C$7)</f>
        <v>4351.0999999999995</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'Base Data'!D62</f>
        <v>4</v>
      </c>
      <c r="J9" s="72">
        <f>H9*I9</f>
        <v>24</v>
      </c>
      <c r="K9" s="72">
        <f>J9*0.1</f>
        <v>2.4000000000000004</v>
      </c>
      <c r="L9" s="72">
        <f>J9*0.05</f>
        <v>1.2000000000000002</v>
      </c>
      <c r="M9" s="73"/>
      <c r="N9" s="44">
        <f>(J9*'Base Data'!$C$5)+(K9*'Base Data'!$C$6)+(L9*'Base Data'!$C$7)</f>
        <v>2610.6600000000003</v>
      </c>
      <c r="O9" s="44">
        <f>(D9+E9+F9)*I9</f>
        <v>8912</v>
      </c>
      <c r="P9" s="73">
        <v>0</v>
      </c>
      <c r="Q9" s="75" t="s">
        <v>338</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f>$I$7</f>
        <v>1</v>
      </c>
      <c r="J13" s="72">
        <f>H13*I13</f>
        <v>2</v>
      </c>
      <c r="K13" s="72">
        <f>J13*0.1</f>
        <v>0.2</v>
      </c>
      <c r="L13" s="72">
        <f>J13*0.05</f>
        <v>0.1</v>
      </c>
      <c r="M13" s="37">
        <f>C13*G13*I13</f>
        <v>0</v>
      </c>
      <c r="N13" s="44">
        <f>(J13*'Base Data'!$C$5)+(K13*'Base Data'!$C$6)+(L13*'Base Data'!$C$7)</f>
        <v>217.55500000000001</v>
      </c>
      <c r="O13" s="44">
        <f>(D13+E13+F13)*G13*I13</f>
        <v>0</v>
      </c>
      <c r="P13" s="73">
        <f>G13*I13</f>
        <v>1</v>
      </c>
      <c r="Q13" s="75" t="s">
        <v>338</v>
      </c>
    </row>
    <row r="14" spans="1:19" s="115" customFormat="1" ht="9">
      <c r="A14" s="126" t="s">
        <v>328</v>
      </c>
      <c r="B14" s="37">
        <v>8</v>
      </c>
      <c r="C14" s="37"/>
      <c r="D14" s="44">
        <v>0</v>
      </c>
      <c r="E14" s="44">
        <v>0</v>
      </c>
      <c r="F14" s="44">
        <v>0</v>
      </c>
      <c r="G14" s="37">
        <v>1</v>
      </c>
      <c r="H14" s="37">
        <f>B14*G14</f>
        <v>8</v>
      </c>
      <c r="I14" s="72">
        <f t="shared" ref="I14:I15" si="0">$I$7</f>
        <v>1</v>
      </c>
      <c r="J14" s="72">
        <f>H14*I14</f>
        <v>8</v>
      </c>
      <c r="K14" s="72">
        <f>J14*0.1</f>
        <v>0.8</v>
      </c>
      <c r="L14" s="72">
        <f>J14*0.05</f>
        <v>0.4</v>
      </c>
      <c r="M14" s="37">
        <f>C14*G14*I14</f>
        <v>0</v>
      </c>
      <c r="N14" s="44">
        <f>(J14*'Base Data'!$C$5)+(K14*'Base Data'!$C$6)+(L14*'Base Data'!$C$7)</f>
        <v>870.22</v>
      </c>
      <c r="O14" s="44">
        <f>(D14+E14+F14)*G14*I14</f>
        <v>0</v>
      </c>
      <c r="P14" s="73">
        <f>G14*I14</f>
        <v>1</v>
      </c>
      <c r="Q14" s="75" t="s">
        <v>338</v>
      </c>
    </row>
    <row r="15" spans="1:19" s="115" customFormat="1" ht="9">
      <c r="A15" s="126" t="s">
        <v>11</v>
      </c>
      <c r="B15" s="37">
        <v>5</v>
      </c>
      <c r="C15" s="37"/>
      <c r="D15" s="44">
        <v>0</v>
      </c>
      <c r="E15" s="44">
        <v>0</v>
      </c>
      <c r="F15" s="44">
        <v>0</v>
      </c>
      <c r="G15" s="37">
        <v>0.5</v>
      </c>
      <c r="H15" s="37">
        <f>B15*G15</f>
        <v>2.5</v>
      </c>
      <c r="I15" s="72">
        <f t="shared" si="0"/>
        <v>1</v>
      </c>
      <c r="J15" s="72">
        <f>H15*I15</f>
        <v>2.5</v>
      </c>
      <c r="K15" s="72">
        <f>J15*0.1</f>
        <v>0.25</v>
      </c>
      <c r="L15" s="72">
        <f>J15*0.05</f>
        <v>0.125</v>
      </c>
      <c r="M15" s="37">
        <f>C15*G15*I15</f>
        <v>0</v>
      </c>
      <c r="N15" s="44">
        <f>(J15*'Base Data'!$C$5)+(K15*'Base Data'!$C$6)+(L15*'Base Data'!$C$7)</f>
        <v>271.94374999999997</v>
      </c>
      <c r="O15" s="44">
        <f>(D15+E15+F15)*G15*I15</f>
        <v>0</v>
      </c>
      <c r="P15" s="73">
        <f>ROUND(G15*I15,0)</f>
        <v>1</v>
      </c>
      <c r="Q15" s="75" t="s">
        <v>564</v>
      </c>
    </row>
    <row r="16" spans="1:19" s="115" customFormat="1" ht="9">
      <c r="A16" s="116" t="s">
        <v>7</v>
      </c>
      <c r="B16" s="37"/>
      <c r="C16" s="37"/>
      <c r="D16" s="44"/>
      <c r="E16" s="44"/>
      <c r="F16" s="44"/>
      <c r="G16" s="37"/>
      <c r="H16" s="37"/>
      <c r="I16" s="73"/>
      <c r="J16" s="73">
        <f t="shared" ref="J16:O16" si="1">SUM(J7:J15)</f>
        <v>76.5</v>
      </c>
      <c r="K16" s="73">
        <f t="shared" si="1"/>
        <v>7.65</v>
      </c>
      <c r="L16" s="73">
        <f t="shared" si="1"/>
        <v>3.8250000000000002</v>
      </c>
      <c r="M16" s="73">
        <f t="shared" si="1"/>
        <v>0</v>
      </c>
      <c r="N16" s="73">
        <f t="shared" si="1"/>
        <v>8321.4787500000002</v>
      </c>
      <c r="O16" s="73">
        <f t="shared" si="1"/>
        <v>8912</v>
      </c>
      <c r="P16" s="73">
        <f>ROUNDUP(SUM(P13:P15),0)</f>
        <v>3</v>
      </c>
      <c r="Q16" s="75"/>
      <c r="R16" s="117">
        <f>SUM(O7:O9)</f>
        <v>8912</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I15</f>
        <v>1</v>
      </c>
      <c r="J22" s="72">
        <f>H22*I22</f>
        <v>1</v>
      </c>
      <c r="K22" s="72">
        <f>J22*0.1</f>
        <v>0.1</v>
      </c>
      <c r="L22" s="72">
        <f>J22*0.05</f>
        <v>0.05</v>
      </c>
      <c r="M22" s="37">
        <f>C22*G22*I22</f>
        <v>0</v>
      </c>
      <c r="N22" s="44">
        <f>(J22*'Base Data'!$C$5)+(K22*'Base Data'!$C$6)+(L22*'Base Data'!$C$7)</f>
        <v>108.7775</v>
      </c>
      <c r="O22" s="44">
        <f>(D22+E22+F22)*G22*I22</f>
        <v>0</v>
      </c>
      <c r="P22" s="73">
        <v>0</v>
      </c>
      <c r="Q22" s="75" t="s">
        <v>338</v>
      </c>
    </row>
    <row r="23" spans="1:18" s="115" customFormat="1" ht="9">
      <c r="A23" s="126" t="s">
        <v>443</v>
      </c>
      <c r="B23" s="37">
        <v>0.5</v>
      </c>
      <c r="C23" s="37"/>
      <c r="D23" s="44">
        <v>0</v>
      </c>
      <c r="E23" s="44">
        <v>0</v>
      </c>
      <c r="F23" s="44">
        <v>0</v>
      </c>
      <c r="G23" s="37">
        <v>0.5</v>
      </c>
      <c r="H23" s="37">
        <f>B23*G23</f>
        <v>0.25</v>
      </c>
      <c r="I23" s="73">
        <f>I9</f>
        <v>4</v>
      </c>
      <c r="J23" s="72">
        <f>H23*I23</f>
        <v>1</v>
      </c>
      <c r="K23" s="72">
        <f>J23*0.1</f>
        <v>0.1</v>
      </c>
      <c r="L23" s="72">
        <f>J23*0.05</f>
        <v>0.05</v>
      </c>
      <c r="M23" s="37">
        <f>C23*G23*I23</f>
        <v>0</v>
      </c>
      <c r="N23" s="44">
        <f>(J23*'Base Data'!$C$5)+(K23*'Base Data'!$C$6)+(L23*'Base Data'!$C$7)</f>
        <v>108.7775</v>
      </c>
      <c r="O23" s="44">
        <f>(D23+E23+F23)*G23*I23</f>
        <v>0</v>
      </c>
      <c r="P23" s="73">
        <v>0</v>
      </c>
      <c r="Q23" s="75" t="s">
        <v>499</v>
      </c>
    </row>
    <row r="24" spans="1:18" s="115" customFormat="1" ht="9">
      <c r="A24" s="110" t="s">
        <v>378</v>
      </c>
      <c r="B24" s="37">
        <v>40</v>
      </c>
      <c r="C24" s="37"/>
      <c r="D24" s="44">
        <v>0</v>
      </c>
      <c r="E24" s="44">
        <v>0</v>
      </c>
      <c r="F24" s="44">
        <v>0</v>
      </c>
      <c r="G24" s="37">
        <v>1</v>
      </c>
      <c r="H24" s="37">
        <f t="shared" ref="H24" si="2">B24*G24</f>
        <v>40</v>
      </c>
      <c r="I24" s="72">
        <f>I7</f>
        <v>1</v>
      </c>
      <c r="J24" s="73">
        <f t="shared" ref="J24" si="3">H24*I24</f>
        <v>40</v>
      </c>
      <c r="K24" s="73">
        <f t="shared" ref="K24" si="4">J24*0.1</f>
        <v>4</v>
      </c>
      <c r="L24" s="73">
        <f t="shared" ref="L24" si="5">J24*0.05</f>
        <v>2</v>
      </c>
      <c r="M24" s="37"/>
      <c r="N24" s="44">
        <f>(J24*'Base Data'!$C$5)+(K24*'Base Data'!$C$6)+(L24*'Base Data'!$C$7)</f>
        <v>4351.0999999999995</v>
      </c>
      <c r="O24" s="44">
        <f t="shared" ref="O24" si="6">(D24+E24+F24)*G24*I24</f>
        <v>0</v>
      </c>
      <c r="P24" s="44"/>
      <c r="Q24" s="75" t="s">
        <v>339</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7">SUM(J18:J25)</f>
        <v>42</v>
      </c>
      <c r="K26" s="184">
        <f t="shared" si="7"/>
        <v>4.2</v>
      </c>
      <c r="L26" s="184">
        <f t="shared" si="7"/>
        <v>2.1</v>
      </c>
      <c r="M26" s="184">
        <f t="shared" si="7"/>
        <v>0</v>
      </c>
      <c r="N26" s="185">
        <f t="shared" si="7"/>
        <v>4568.6549999999997</v>
      </c>
      <c r="O26" s="185">
        <f t="shared" si="7"/>
        <v>0</v>
      </c>
      <c r="P26" s="186">
        <f>SUM(P18:P25)</f>
        <v>0</v>
      </c>
      <c r="Q26" s="187"/>
      <c r="R26" s="117">
        <f>SUM(O18:O26)</f>
        <v>0</v>
      </c>
    </row>
    <row r="27" spans="1:18" s="115" customFormat="1">
      <c r="A27" s="135" t="s">
        <v>351</v>
      </c>
      <c r="B27" s="136"/>
      <c r="C27" s="136"/>
      <c r="D27" s="136"/>
      <c r="E27" s="136"/>
      <c r="F27" s="136"/>
      <c r="G27" s="136"/>
      <c r="H27" s="136"/>
      <c r="I27" s="138"/>
      <c r="J27" s="139">
        <f t="shared" ref="J27:O27" si="8">SUM(J16,J26)</f>
        <v>118.5</v>
      </c>
      <c r="K27" s="139">
        <f t="shared" si="8"/>
        <v>11.850000000000001</v>
      </c>
      <c r="L27" s="139">
        <f t="shared" si="8"/>
        <v>5.9250000000000007</v>
      </c>
      <c r="M27" s="139">
        <f t="shared" si="8"/>
        <v>0</v>
      </c>
      <c r="N27" s="140">
        <f t="shared" si="8"/>
        <v>12890.133750000001</v>
      </c>
      <c r="O27" s="140">
        <f t="shared" si="8"/>
        <v>8912</v>
      </c>
      <c r="P27" s="139">
        <f>ROUNDUP(SUM(P16,P26),0)</f>
        <v>3</v>
      </c>
      <c r="Q27" s="141"/>
    </row>
    <row r="28" spans="1:18" s="115" customFormat="1">
      <c r="A28" s="88"/>
      <c r="B28" s="46"/>
      <c r="C28" s="46"/>
      <c r="D28" s="46"/>
      <c r="E28" s="46"/>
      <c r="F28" s="46"/>
      <c r="G28" s="46"/>
      <c r="H28" s="46"/>
      <c r="I28" s="47"/>
      <c r="J28" s="46"/>
      <c r="K28" s="46"/>
      <c r="L28" s="46"/>
      <c r="M28" s="46"/>
      <c r="N28" s="46"/>
      <c r="O28" s="145"/>
      <c r="P28" s="145"/>
      <c r="Q28" s="46"/>
    </row>
    <row r="29" spans="1:18" s="378" customFormat="1">
      <c r="A29" s="499" t="s">
        <v>653</v>
      </c>
      <c r="B29" s="499"/>
      <c r="C29" s="499"/>
      <c r="D29" s="499"/>
      <c r="E29" s="499"/>
      <c r="F29" s="499"/>
      <c r="G29" s="499"/>
      <c r="H29" s="499"/>
      <c r="I29" s="499"/>
      <c r="J29" s="499"/>
      <c r="K29" s="499"/>
      <c r="L29" s="499"/>
      <c r="M29" s="499"/>
      <c r="N29" s="499"/>
      <c r="O29" s="499"/>
    </row>
    <row r="30" spans="1:18" s="378" customFormat="1">
      <c r="A30" s="500" t="s">
        <v>122</v>
      </c>
      <c r="B30" s="500"/>
      <c r="C30" s="500"/>
      <c r="D30" s="500"/>
      <c r="E30" s="500"/>
      <c r="F30" s="500"/>
      <c r="G30" s="500"/>
      <c r="H30" s="500"/>
      <c r="I30" s="500"/>
      <c r="J30" s="500"/>
      <c r="K30" s="500"/>
      <c r="L30" s="500"/>
      <c r="M30" s="500"/>
      <c r="N30" s="500"/>
      <c r="O30" s="500"/>
    </row>
    <row r="31" spans="1:18" s="378" customFormat="1">
      <c r="A31" s="382" t="s">
        <v>504</v>
      </c>
      <c r="B31" s="379"/>
      <c r="C31" s="379"/>
      <c r="D31" s="379"/>
      <c r="E31" s="379"/>
      <c r="F31" s="379"/>
      <c r="G31" s="379"/>
      <c r="H31" s="379"/>
      <c r="I31" s="379"/>
      <c r="J31" s="379"/>
      <c r="K31" s="379"/>
      <c r="L31" s="379"/>
      <c r="M31" s="379"/>
      <c r="N31" s="379"/>
      <c r="O31" s="379"/>
    </row>
    <row r="32" spans="1:18" s="378" customFormat="1">
      <c r="A32" s="500" t="s">
        <v>652</v>
      </c>
      <c r="B32" s="500"/>
      <c r="C32" s="500"/>
      <c r="D32" s="500"/>
      <c r="E32" s="500"/>
      <c r="F32" s="500"/>
      <c r="G32" s="500"/>
      <c r="H32" s="500"/>
      <c r="I32" s="500"/>
      <c r="J32" s="500"/>
      <c r="K32" s="500"/>
      <c r="L32" s="500"/>
      <c r="M32" s="500"/>
      <c r="N32" s="500"/>
      <c r="O32" s="500"/>
    </row>
    <row r="33" spans="1:17" s="378" customFormat="1">
      <c r="A33" s="382"/>
      <c r="B33" s="380"/>
      <c r="C33" s="380"/>
      <c r="D33" s="380"/>
      <c r="E33" s="380"/>
      <c r="F33" s="380"/>
      <c r="G33" s="380"/>
      <c r="H33" s="380"/>
      <c r="I33" s="381"/>
      <c r="J33" s="381"/>
      <c r="K33" s="381"/>
      <c r="L33" s="381"/>
      <c r="M33" s="381"/>
      <c r="N33" s="380"/>
    </row>
    <row r="34" spans="1:17" s="378" customFormat="1">
      <c r="B34" s="380"/>
      <c r="C34" s="380"/>
      <c r="D34" s="380"/>
      <c r="E34" s="380"/>
      <c r="F34" s="380"/>
      <c r="G34" s="380"/>
      <c r="H34" s="380"/>
      <c r="I34" s="381"/>
      <c r="J34" s="381"/>
      <c r="K34" s="381"/>
      <c r="L34" s="381"/>
      <c r="M34" s="381"/>
      <c r="N34" s="380"/>
    </row>
    <row r="35" spans="1:17" s="378" customFormat="1">
      <c r="A35" s="382"/>
      <c r="B35" s="375"/>
      <c r="C35" s="375"/>
      <c r="D35" s="375"/>
      <c r="E35" s="375"/>
      <c r="F35" s="375"/>
      <c r="G35" s="375"/>
      <c r="H35" s="375"/>
      <c r="I35" s="463"/>
      <c r="J35" s="375"/>
      <c r="K35" s="375"/>
      <c r="L35" s="375"/>
      <c r="M35" s="375"/>
      <c r="N35" s="375"/>
      <c r="O35" s="464"/>
      <c r="P35" s="464"/>
      <c r="Q35" s="375"/>
    </row>
    <row r="36" spans="1:17">
      <c r="I36" s="145"/>
      <c r="J36" s="145"/>
      <c r="K36" s="145"/>
      <c r="L36" s="145"/>
      <c r="M36" s="145"/>
      <c r="O36" s="88"/>
      <c r="P36" s="88"/>
      <c r="Q36" s="88"/>
    </row>
    <row r="37" spans="1:17">
      <c r="I37" s="145"/>
      <c r="J37" s="145"/>
      <c r="K37" s="145"/>
      <c r="L37" s="145"/>
      <c r="M37" s="145"/>
      <c r="O37" s="88"/>
      <c r="P37" s="88"/>
      <c r="Q37" s="88"/>
    </row>
    <row r="38" spans="1:17">
      <c r="I38" s="145"/>
      <c r="J38" s="145"/>
      <c r="K38" s="145"/>
      <c r="L38" s="145"/>
      <c r="M38" s="145"/>
      <c r="O38" s="88"/>
      <c r="P38" s="88"/>
      <c r="Q38" s="88"/>
    </row>
    <row r="39" spans="1:17">
      <c r="I39" s="145"/>
      <c r="J39" s="145"/>
      <c r="K39" s="145"/>
      <c r="L39" s="145"/>
      <c r="M39" s="145"/>
      <c r="O39" s="88"/>
      <c r="P39" s="88"/>
      <c r="Q39" s="88"/>
    </row>
    <row r="40" spans="1:17">
      <c r="I40" s="145"/>
      <c r="J40" s="145"/>
      <c r="K40" s="145"/>
      <c r="L40" s="145"/>
      <c r="M40" s="145"/>
      <c r="O40" s="88"/>
      <c r="P40" s="88"/>
      <c r="Q40" s="88"/>
    </row>
    <row r="41" spans="1:17">
      <c r="I41" s="145"/>
      <c r="J41" s="145"/>
      <c r="K41" s="145"/>
      <c r="L41" s="145"/>
      <c r="M41" s="145"/>
      <c r="O41" s="88"/>
      <c r="P41" s="88"/>
      <c r="Q41" s="88"/>
    </row>
    <row r="42" spans="1:17">
      <c r="I42" s="145"/>
      <c r="J42" s="145"/>
      <c r="K42" s="145"/>
      <c r="L42" s="145"/>
      <c r="M42" s="145"/>
      <c r="O42" s="88"/>
      <c r="P42" s="88"/>
      <c r="Q42" s="88"/>
    </row>
    <row r="43" spans="1:17">
      <c r="I43" s="145"/>
      <c r="J43" s="145"/>
      <c r="K43" s="145"/>
      <c r="L43" s="145"/>
      <c r="M43" s="145"/>
      <c r="O43" s="88"/>
      <c r="P43" s="88"/>
      <c r="Q43" s="88"/>
    </row>
    <row r="44" spans="1:17" s="45" customFormat="1" ht="9">
      <c r="B44" s="48"/>
      <c r="C44" s="48"/>
      <c r="D44" s="48"/>
      <c r="E44" s="48"/>
      <c r="F44" s="48"/>
      <c r="G44" s="48"/>
      <c r="H44" s="48"/>
      <c r="I44" s="49"/>
      <c r="J44" s="48"/>
      <c r="K44" s="48"/>
      <c r="L44" s="48"/>
      <c r="M44" s="48"/>
      <c r="N44" s="48"/>
      <c r="O44" s="146"/>
      <c r="P44" s="146"/>
      <c r="Q44" s="48"/>
    </row>
    <row r="45" spans="1:17" s="45" customFormat="1" ht="9">
      <c r="B45" s="48"/>
      <c r="C45" s="48"/>
      <c r="D45" s="48"/>
      <c r="E45" s="48"/>
      <c r="F45" s="48"/>
      <c r="G45" s="48"/>
      <c r="H45" s="48"/>
      <c r="I45" s="49"/>
      <c r="J45" s="48"/>
      <c r="K45" s="48"/>
      <c r="L45" s="48"/>
      <c r="M45" s="48"/>
      <c r="N45" s="48"/>
      <c r="O45" s="146"/>
      <c r="P45" s="146"/>
      <c r="Q45" s="48"/>
    </row>
    <row r="46" spans="1:17" s="45" customFormat="1" ht="9">
      <c r="B46" s="48"/>
      <c r="C46" s="48"/>
      <c r="D46" s="48"/>
      <c r="E46" s="48"/>
      <c r="F46" s="48"/>
      <c r="G46" s="48"/>
      <c r="H46" s="48"/>
      <c r="I46" s="49"/>
      <c r="J46" s="48"/>
      <c r="K46" s="48"/>
      <c r="L46" s="48"/>
      <c r="M46" s="48"/>
      <c r="N46" s="48"/>
      <c r="O46" s="146"/>
      <c r="P46" s="146"/>
      <c r="Q46" s="48"/>
    </row>
    <row r="47" spans="1:17" s="45" customFormat="1" ht="9">
      <c r="B47" s="48"/>
      <c r="C47" s="48"/>
      <c r="D47" s="48"/>
      <c r="E47" s="48"/>
      <c r="F47" s="48"/>
      <c r="G47" s="48"/>
      <c r="H47" s="48"/>
      <c r="I47" s="49"/>
      <c r="J47" s="48"/>
      <c r="K47" s="48"/>
      <c r="L47" s="48"/>
      <c r="M47" s="48"/>
      <c r="N47" s="48"/>
      <c r="O47" s="146"/>
      <c r="P47" s="146"/>
      <c r="Q47" s="48"/>
    </row>
    <row r="48" spans="1:17" s="45" customFormat="1" ht="9">
      <c r="B48" s="48"/>
      <c r="C48" s="48"/>
      <c r="D48" s="48"/>
      <c r="E48" s="48"/>
      <c r="F48" s="48"/>
      <c r="G48" s="48"/>
      <c r="H48" s="48"/>
      <c r="I48" s="49"/>
      <c r="J48" s="48"/>
      <c r="K48" s="48"/>
      <c r="L48" s="48"/>
      <c r="M48" s="48"/>
      <c r="N48" s="48"/>
      <c r="O48" s="146"/>
      <c r="P48" s="146"/>
      <c r="Q48" s="48"/>
    </row>
    <row r="49" spans="2:17" s="45" customFormat="1" ht="9">
      <c r="B49" s="48"/>
      <c r="C49" s="48"/>
      <c r="D49" s="48"/>
      <c r="E49" s="48"/>
      <c r="F49" s="48"/>
      <c r="G49" s="48"/>
      <c r="H49" s="48"/>
      <c r="I49" s="49"/>
      <c r="J49" s="48"/>
      <c r="K49" s="48"/>
      <c r="L49" s="48"/>
      <c r="M49" s="48"/>
      <c r="N49" s="48"/>
      <c r="O49" s="146"/>
      <c r="P49" s="146"/>
      <c r="Q49" s="48"/>
    </row>
    <row r="50" spans="2:17" s="45" customFormat="1" ht="9">
      <c r="B50" s="48"/>
      <c r="C50" s="48"/>
      <c r="D50" s="48"/>
      <c r="E50" s="48"/>
      <c r="F50" s="48"/>
      <c r="G50" s="48"/>
      <c r="H50" s="48"/>
      <c r="I50" s="49"/>
      <c r="J50" s="48"/>
      <c r="K50" s="48"/>
      <c r="L50" s="48"/>
      <c r="M50" s="48"/>
      <c r="N50" s="48"/>
      <c r="O50" s="146"/>
      <c r="P50" s="146"/>
      <c r="Q50" s="48"/>
    </row>
    <row r="51" spans="2:17" s="45" customFormat="1" ht="9">
      <c r="B51" s="48"/>
      <c r="C51" s="48"/>
      <c r="D51" s="48"/>
      <c r="E51" s="48"/>
      <c r="F51" s="48"/>
      <c r="G51" s="48"/>
      <c r="H51" s="48"/>
      <c r="I51" s="49"/>
      <c r="J51" s="48"/>
      <c r="K51" s="48"/>
      <c r="L51" s="48"/>
      <c r="M51" s="48"/>
      <c r="N51" s="48"/>
      <c r="O51" s="146"/>
      <c r="P51" s="146"/>
      <c r="Q51" s="48"/>
    </row>
    <row r="52" spans="2:17" s="45" customFormat="1" ht="9">
      <c r="B52" s="48"/>
      <c r="C52" s="48"/>
      <c r="D52" s="48"/>
      <c r="E52" s="48"/>
      <c r="F52" s="48"/>
      <c r="G52" s="48"/>
      <c r="H52" s="48"/>
      <c r="I52" s="49"/>
      <c r="J52" s="48"/>
      <c r="K52" s="48"/>
      <c r="L52" s="48"/>
      <c r="M52" s="48"/>
      <c r="N52" s="48"/>
      <c r="O52" s="146"/>
      <c r="P52" s="146"/>
      <c r="Q52" s="48"/>
    </row>
    <row r="53" spans="2:17" s="45" customFormat="1" ht="9">
      <c r="B53" s="48"/>
      <c r="C53" s="48"/>
      <c r="D53" s="48"/>
      <c r="E53" s="48"/>
      <c r="F53" s="48"/>
      <c r="G53" s="48"/>
      <c r="H53" s="48"/>
      <c r="I53" s="49"/>
      <c r="J53" s="48"/>
      <c r="K53" s="48"/>
      <c r="L53" s="48"/>
      <c r="M53" s="48"/>
      <c r="N53" s="48"/>
      <c r="O53" s="146"/>
      <c r="P53" s="146"/>
      <c r="Q53" s="48"/>
    </row>
    <row r="54" spans="2:17" s="45" customFormat="1" ht="9">
      <c r="B54" s="48"/>
      <c r="C54" s="48"/>
      <c r="D54" s="48"/>
      <c r="E54" s="48"/>
      <c r="F54" s="48"/>
      <c r="G54" s="48"/>
      <c r="H54" s="48"/>
      <c r="I54" s="49"/>
      <c r="J54" s="48"/>
      <c r="K54" s="48"/>
      <c r="L54" s="48"/>
      <c r="M54" s="48"/>
      <c r="N54" s="48"/>
      <c r="O54" s="146"/>
      <c r="P54" s="146"/>
      <c r="Q54" s="48"/>
    </row>
    <row r="55" spans="2:17" s="45" customFormat="1" ht="9">
      <c r="B55" s="48"/>
      <c r="C55" s="48"/>
      <c r="D55" s="48"/>
      <c r="E55" s="48"/>
      <c r="F55" s="48"/>
      <c r="G55" s="48"/>
      <c r="H55" s="48"/>
      <c r="I55" s="49"/>
      <c r="J55" s="48"/>
      <c r="K55" s="48"/>
      <c r="L55" s="48"/>
      <c r="M55" s="48"/>
      <c r="N55" s="48"/>
      <c r="O55" s="146"/>
      <c r="P55" s="146"/>
      <c r="Q55" s="48"/>
    </row>
    <row r="56" spans="2:17" s="45" customFormat="1" ht="9">
      <c r="B56" s="48"/>
      <c r="C56" s="48"/>
      <c r="D56" s="48"/>
      <c r="E56" s="48"/>
      <c r="F56" s="48"/>
      <c r="G56" s="48"/>
      <c r="H56" s="48"/>
      <c r="I56" s="49"/>
      <c r="J56" s="48"/>
      <c r="K56" s="48"/>
      <c r="L56" s="48"/>
      <c r="M56" s="48"/>
      <c r="N56" s="48"/>
      <c r="O56" s="146"/>
      <c r="P56" s="146"/>
      <c r="Q56" s="48"/>
    </row>
    <row r="57" spans="2:17" s="45" customFormat="1" ht="9">
      <c r="B57" s="48"/>
      <c r="C57" s="48"/>
      <c r="D57" s="48"/>
      <c r="E57" s="48"/>
      <c r="F57" s="48"/>
      <c r="G57" s="48"/>
      <c r="H57" s="48"/>
      <c r="I57" s="49"/>
      <c r="J57" s="48"/>
      <c r="K57" s="48"/>
      <c r="L57" s="48"/>
      <c r="M57" s="48"/>
      <c r="N57" s="48"/>
      <c r="O57" s="146"/>
      <c r="P57" s="146"/>
      <c r="Q57" s="48"/>
    </row>
    <row r="58" spans="2:17" s="45" customFormat="1" ht="9">
      <c r="B58" s="48"/>
      <c r="C58" s="48"/>
      <c r="D58" s="48"/>
      <c r="E58" s="48"/>
      <c r="F58" s="48"/>
      <c r="G58" s="48"/>
      <c r="H58" s="48"/>
      <c r="I58" s="49"/>
      <c r="J58" s="48"/>
      <c r="K58" s="48"/>
      <c r="L58" s="48"/>
      <c r="M58" s="48"/>
      <c r="N58" s="48"/>
      <c r="O58" s="146"/>
      <c r="P58" s="146"/>
      <c r="Q58" s="48"/>
    </row>
    <row r="59" spans="2:17" s="45" customFormat="1" ht="9">
      <c r="B59" s="48"/>
      <c r="C59" s="48"/>
      <c r="D59" s="48"/>
      <c r="E59" s="48"/>
      <c r="F59" s="48"/>
      <c r="G59" s="48"/>
      <c r="H59" s="48"/>
      <c r="I59" s="49"/>
      <c r="J59" s="48"/>
      <c r="K59" s="48"/>
      <c r="L59" s="48"/>
      <c r="M59" s="48"/>
      <c r="N59" s="48"/>
      <c r="O59" s="146"/>
      <c r="P59" s="146"/>
      <c r="Q59" s="48"/>
    </row>
    <row r="60" spans="2:17" s="45" customFormat="1" ht="9">
      <c r="B60" s="48"/>
      <c r="C60" s="48"/>
      <c r="D60" s="48"/>
      <c r="E60" s="48"/>
      <c r="F60" s="48"/>
      <c r="G60" s="48"/>
      <c r="H60" s="48"/>
      <c r="I60" s="49"/>
      <c r="J60" s="48"/>
      <c r="K60" s="48"/>
      <c r="L60" s="48"/>
      <c r="M60" s="48"/>
      <c r="N60" s="48"/>
      <c r="O60" s="146"/>
      <c r="P60" s="146"/>
      <c r="Q60" s="48"/>
    </row>
    <row r="61" spans="2:17" s="45" customFormat="1" ht="9">
      <c r="B61" s="48"/>
      <c r="C61" s="48"/>
      <c r="D61" s="48"/>
      <c r="E61" s="48"/>
      <c r="F61" s="48"/>
      <c r="G61" s="48"/>
      <c r="H61" s="48"/>
      <c r="I61" s="49"/>
      <c r="J61" s="48"/>
      <c r="K61" s="48"/>
      <c r="L61" s="48"/>
      <c r="M61" s="48"/>
      <c r="N61" s="48"/>
      <c r="O61" s="146"/>
      <c r="P61" s="146"/>
      <c r="Q61" s="48"/>
    </row>
    <row r="62" spans="2:17" s="45" customFormat="1" ht="9">
      <c r="B62" s="48"/>
      <c r="C62" s="48"/>
      <c r="D62" s="48"/>
      <c r="E62" s="48"/>
      <c r="F62" s="48"/>
      <c r="G62" s="48"/>
      <c r="H62" s="48"/>
      <c r="I62" s="49"/>
      <c r="J62" s="48"/>
      <c r="K62" s="48"/>
      <c r="L62" s="48"/>
      <c r="M62" s="48"/>
      <c r="N62" s="48"/>
      <c r="O62" s="146"/>
      <c r="P62" s="146"/>
      <c r="Q62" s="48"/>
    </row>
    <row r="63" spans="2:17" s="45" customFormat="1" ht="9">
      <c r="B63" s="48"/>
      <c r="C63" s="48"/>
      <c r="D63" s="48"/>
      <c r="E63" s="48"/>
      <c r="F63" s="48"/>
      <c r="G63" s="48"/>
      <c r="H63" s="48"/>
      <c r="I63" s="49"/>
      <c r="J63" s="48"/>
      <c r="K63" s="48"/>
      <c r="L63" s="48"/>
      <c r="M63" s="48"/>
      <c r="N63" s="48"/>
      <c r="O63" s="146"/>
      <c r="P63" s="146"/>
      <c r="Q63" s="48"/>
    </row>
    <row r="64" spans="2:17" s="45" customFormat="1" ht="9">
      <c r="B64" s="48"/>
      <c r="C64" s="48"/>
      <c r="D64" s="48"/>
      <c r="E64" s="48"/>
      <c r="F64" s="48"/>
      <c r="G64" s="48"/>
      <c r="H64" s="48"/>
      <c r="I64" s="49"/>
      <c r="J64" s="48"/>
      <c r="K64" s="48"/>
      <c r="L64" s="48"/>
      <c r="M64" s="48"/>
      <c r="N64" s="48"/>
      <c r="O64" s="146"/>
      <c r="P64" s="146"/>
      <c r="Q64" s="48"/>
    </row>
    <row r="65" spans="2:18" s="45" customFormat="1" ht="9">
      <c r="P65" s="146"/>
      <c r="Q65" s="48"/>
    </row>
    <row r="66" spans="2:18" s="45" customFormat="1" ht="9">
      <c r="B66" s="48"/>
      <c r="C66" s="48"/>
      <c r="D66" s="48"/>
      <c r="E66" s="48"/>
      <c r="F66" s="48"/>
      <c r="G66" s="48"/>
      <c r="H66" s="48"/>
      <c r="I66" s="49"/>
      <c r="J66" s="48"/>
      <c r="K66" s="48"/>
      <c r="L66" s="48"/>
      <c r="M66" s="48"/>
      <c r="N66" s="48"/>
      <c r="O66" s="146"/>
      <c r="P66" s="146"/>
      <c r="Q66" s="48"/>
    </row>
    <row r="67" spans="2:18" s="45" customFormat="1" ht="9">
      <c r="B67" s="48"/>
      <c r="C67" s="48"/>
      <c r="D67" s="48"/>
      <c r="E67" s="48"/>
      <c r="F67" s="48"/>
      <c r="G67" s="48"/>
      <c r="H67" s="48"/>
      <c r="I67" s="49"/>
      <c r="J67" s="48"/>
      <c r="K67" s="48"/>
      <c r="L67" s="48"/>
      <c r="M67" s="48"/>
      <c r="N67" s="48"/>
      <c r="O67" s="146"/>
      <c r="P67" s="146"/>
      <c r="Q67" s="48"/>
    </row>
    <row r="68" spans="2:18" s="45" customFormat="1" ht="9">
      <c r="B68" s="48"/>
      <c r="C68" s="48"/>
      <c r="D68" s="48"/>
      <c r="E68" s="48"/>
      <c r="F68" s="48"/>
      <c r="G68" s="48"/>
      <c r="H68" s="48"/>
      <c r="I68" s="49"/>
      <c r="J68" s="48"/>
      <c r="K68" s="48"/>
      <c r="L68" s="48"/>
      <c r="M68" s="48"/>
      <c r="N68" s="48"/>
      <c r="O68" s="146"/>
      <c r="P68" s="146"/>
      <c r="Q68" s="48"/>
    </row>
    <row r="69" spans="2:18" s="45" customFormat="1" ht="9">
      <c r="B69" s="48"/>
      <c r="C69" s="48"/>
      <c r="D69" s="48"/>
      <c r="E69" s="48"/>
      <c r="F69" s="48"/>
      <c r="G69" s="48"/>
      <c r="H69" s="48"/>
      <c r="I69" s="49"/>
      <c r="J69" s="48"/>
      <c r="K69" s="48"/>
      <c r="L69" s="48"/>
      <c r="M69" s="48"/>
      <c r="N69" s="48"/>
      <c r="O69" s="146"/>
      <c r="P69" s="146"/>
      <c r="Q69" s="48"/>
    </row>
    <row r="70" spans="2:18" s="45" customFormat="1" ht="9">
      <c r="B70" s="48"/>
      <c r="C70" s="48"/>
      <c r="D70" s="48"/>
      <c r="E70" s="48"/>
      <c r="F70" s="48"/>
      <c r="G70" s="48"/>
      <c r="H70" s="48"/>
      <c r="I70" s="49"/>
      <c r="J70" s="48"/>
      <c r="K70" s="48"/>
      <c r="L70" s="48"/>
      <c r="M70" s="48"/>
      <c r="N70" s="48"/>
      <c r="O70" s="146"/>
      <c r="P70" s="146"/>
      <c r="Q70" s="48"/>
    </row>
    <row r="71" spans="2:18" s="45" customFormat="1" ht="9">
      <c r="B71" s="48"/>
      <c r="C71" s="48"/>
      <c r="D71" s="48"/>
      <c r="E71" s="48"/>
      <c r="F71" s="48"/>
      <c r="G71" s="48"/>
      <c r="H71" s="48"/>
      <c r="I71" s="49"/>
      <c r="J71" s="48"/>
      <c r="K71" s="48"/>
      <c r="L71" s="48"/>
      <c r="M71" s="48"/>
      <c r="N71" s="48"/>
      <c r="O71" s="146"/>
      <c r="P71" s="146"/>
      <c r="Q71" s="48"/>
    </row>
    <row r="72" spans="2:18" s="45" customFormat="1" ht="9">
      <c r="B72" s="48"/>
      <c r="C72" s="48"/>
      <c r="D72" s="48"/>
      <c r="E72" s="48"/>
      <c r="F72" s="48"/>
      <c r="G72" s="48"/>
      <c r="H72" s="48"/>
      <c r="I72" s="49"/>
      <c r="J72" s="48"/>
      <c r="K72" s="48"/>
      <c r="L72" s="48"/>
      <c r="M72" s="48"/>
      <c r="N72" s="48"/>
      <c r="O72" s="146"/>
      <c r="P72" s="146"/>
      <c r="Q72" s="48"/>
    </row>
    <row r="73" spans="2:18" s="45" customFormat="1">
      <c r="B73" s="48"/>
      <c r="C73" s="48"/>
      <c r="D73" s="48"/>
      <c r="E73" s="48"/>
      <c r="F73" s="48"/>
      <c r="G73" s="48"/>
      <c r="H73" s="48"/>
      <c r="I73" s="49"/>
      <c r="J73" s="48"/>
      <c r="K73" s="48"/>
      <c r="L73" s="48"/>
      <c r="M73" s="48"/>
      <c r="N73" s="48"/>
      <c r="O73" s="146"/>
      <c r="P73" s="146"/>
      <c r="Q73" s="48"/>
      <c r="R73" s="88"/>
    </row>
  </sheetData>
  <mergeCells count="5">
    <mergeCell ref="A1:Q1"/>
    <mergeCell ref="A2:Q2"/>
    <mergeCell ref="A29:O29"/>
    <mergeCell ref="A30:O30"/>
    <mergeCell ref="A32:O32"/>
  </mergeCells>
  <phoneticPr fontId="9" type="noConversion"/>
  <pageMargins left="0.25" right="0.25" top="0.5" bottom="0.75" header="0.5" footer="0.5"/>
  <pageSetup scale="89" orientation="landscape" r:id="rId1"/>
  <headerFooter alignWithMargins="0"/>
</worksheet>
</file>

<file path=xl/worksheets/sheet38.xml><?xml version="1.0" encoding="utf-8"?>
<worksheet xmlns="http://schemas.openxmlformats.org/spreadsheetml/2006/main" xmlns:r="http://schemas.openxmlformats.org/officeDocument/2006/relationships">
  <sheetPr>
    <pageSetUpPr fitToPage="1"/>
  </sheetPr>
  <dimension ref="A1:S74"/>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H44" sqref="H44"/>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customWidth="1"/>
    <col min="7" max="7" width="9.28515625" style="46" bestFit="1" customWidth="1"/>
    <col min="8" max="8" width="8.5703125" style="46" customWidth="1"/>
    <col min="9" max="9" width="9.42578125" style="47" bestFit="1" customWidth="1"/>
    <col min="10" max="11" width="6.85546875" style="46" bestFit="1" customWidth="1"/>
    <col min="12" max="12" width="9.140625" style="46" customWidth="1"/>
    <col min="13" max="13" width="7.85546875" style="46" hidden="1" customWidth="1"/>
    <col min="14" max="14" width="8.42578125" style="46" bestFit="1" customWidth="1"/>
    <col min="15" max="15" width="10.140625" style="145" bestFit="1" customWidth="1"/>
    <col min="16" max="16" width="10" style="145" bestFit="1" customWidth="1"/>
    <col min="17" max="17" width="3.85546875" style="46" customWidth="1"/>
    <col min="18" max="19" width="0" style="88" hidden="1" customWidth="1"/>
    <col min="20" max="20" width="11.140625" style="88" customWidth="1"/>
    <col min="21" max="21" width="8.5703125" style="88" customWidth="1"/>
    <col min="22" max="16384" width="9.140625" style="88"/>
  </cols>
  <sheetData>
    <row r="1" spans="1:19">
      <c r="A1" s="496" t="s">
        <v>268</v>
      </c>
      <c r="B1" s="496"/>
      <c r="C1" s="496"/>
      <c r="D1" s="496"/>
      <c r="E1" s="496"/>
      <c r="F1" s="496"/>
      <c r="G1" s="496"/>
      <c r="H1" s="496"/>
      <c r="I1" s="496"/>
      <c r="J1" s="496"/>
      <c r="K1" s="496"/>
      <c r="L1" s="496"/>
      <c r="M1" s="496"/>
      <c r="N1" s="496"/>
      <c r="O1" s="496"/>
      <c r="P1" s="496"/>
      <c r="Q1" s="496"/>
    </row>
    <row r="2" spans="1:19">
      <c r="A2" s="497" t="s">
        <v>655</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v>0</v>
      </c>
      <c r="J9" s="72">
        <f>H9*I9</f>
        <v>0</v>
      </c>
      <c r="K9" s="72">
        <f>J9*0.1</f>
        <v>0</v>
      </c>
      <c r="L9" s="72">
        <f>J9*0.05</f>
        <v>0</v>
      </c>
      <c r="M9" s="73"/>
      <c r="N9" s="44">
        <f>(J9*'Base Data'!$C$5)+(K9*'Base Data'!$C$6)+(L9*'Base Data'!$C$7)</f>
        <v>0</v>
      </c>
      <c r="O9" s="44">
        <f>(D9+E9+F9)*I9</f>
        <v>0</v>
      </c>
      <c r="P9" s="73">
        <v>0</v>
      </c>
      <c r="Q9" s="75" t="s">
        <v>338</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v>0</v>
      </c>
      <c r="J13" s="72">
        <f>H13*I13</f>
        <v>0</v>
      </c>
      <c r="K13" s="72">
        <f>J13*0.1</f>
        <v>0</v>
      </c>
      <c r="L13" s="72">
        <f>J13*0.05</f>
        <v>0</v>
      </c>
      <c r="M13" s="37">
        <f>C13*G13*I13</f>
        <v>0</v>
      </c>
      <c r="N13" s="44">
        <f>(J13*'Base Data'!$C$5)+(K13*'Base Data'!$C$6)+(L13*'Base Data'!$C$7)</f>
        <v>0</v>
      </c>
      <c r="O13" s="44">
        <f>(D13+E13+F13)*G13*I13</f>
        <v>0</v>
      </c>
      <c r="P13" s="73">
        <f>G13*I13</f>
        <v>0</v>
      </c>
      <c r="Q13" s="75" t="s">
        <v>338</v>
      </c>
    </row>
    <row r="14" spans="1:19" s="115" customFormat="1" ht="9">
      <c r="A14" s="126" t="s">
        <v>328</v>
      </c>
      <c r="B14" s="37">
        <v>8</v>
      </c>
      <c r="C14" s="37"/>
      <c r="D14" s="44">
        <v>0</v>
      </c>
      <c r="E14" s="44">
        <v>0</v>
      </c>
      <c r="F14" s="44">
        <v>0</v>
      </c>
      <c r="G14" s="37">
        <v>1</v>
      </c>
      <c r="H14" s="37">
        <f>B14*G14</f>
        <v>8</v>
      </c>
      <c r="I14" s="73">
        <v>0</v>
      </c>
      <c r="J14" s="72">
        <f>H14*I14</f>
        <v>0</v>
      </c>
      <c r="K14" s="72">
        <f>J14*0.1</f>
        <v>0</v>
      </c>
      <c r="L14" s="72">
        <f>J14*0.05</f>
        <v>0</v>
      </c>
      <c r="M14" s="37">
        <f>C14*G14*I14</f>
        <v>0</v>
      </c>
      <c r="N14" s="44">
        <f>(J14*'Base Data'!$C$5)+(K14*'Base Data'!$C$6)+(L14*'Base Data'!$C$7)</f>
        <v>0</v>
      </c>
      <c r="O14" s="44">
        <f>(D14+E14+F14)*G14*I14</f>
        <v>0</v>
      </c>
      <c r="P14" s="73">
        <f>G14*I14</f>
        <v>0</v>
      </c>
      <c r="Q14" s="75" t="s">
        <v>338</v>
      </c>
    </row>
    <row r="15" spans="1:19" s="115" customFormat="1" ht="9">
      <c r="A15" s="126" t="s">
        <v>11</v>
      </c>
      <c r="B15" s="37">
        <v>5</v>
      </c>
      <c r="C15" s="37"/>
      <c r="D15" s="44">
        <v>0</v>
      </c>
      <c r="E15" s="44">
        <v>0</v>
      </c>
      <c r="F15" s="44">
        <v>0</v>
      </c>
      <c r="G15" s="37">
        <v>0.5</v>
      </c>
      <c r="H15" s="37">
        <f>B15*G15</f>
        <v>2.5</v>
      </c>
      <c r="I15" s="73">
        <v>0</v>
      </c>
      <c r="J15" s="72">
        <f>H15*I15</f>
        <v>0</v>
      </c>
      <c r="K15" s="72">
        <f>J15*0.1</f>
        <v>0</v>
      </c>
      <c r="L15" s="72">
        <f>J15*0.05</f>
        <v>0</v>
      </c>
      <c r="M15" s="37">
        <f>C15*G15*I15</f>
        <v>0</v>
      </c>
      <c r="N15" s="44">
        <f>(J15*'Base Data'!$C$5)+(K15*'Base Data'!$C$6)+(L15*'Base Data'!$C$7)</f>
        <v>0</v>
      </c>
      <c r="O15" s="44">
        <f>(D15+E15+F15)*G15*I15</f>
        <v>0</v>
      </c>
      <c r="P15" s="73">
        <f>G15*I15</f>
        <v>0</v>
      </c>
      <c r="Q15" s="75" t="s">
        <v>247</v>
      </c>
    </row>
    <row r="16" spans="1:19" s="115" customFormat="1" ht="9">
      <c r="A16" s="116" t="s">
        <v>7</v>
      </c>
      <c r="B16" s="37"/>
      <c r="C16" s="37"/>
      <c r="D16" s="44"/>
      <c r="E16" s="44"/>
      <c r="F16" s="44"/>
      <c r="G16" s="37"/>
      <c r="H16" s="37"/>
      <c r="I16" s="73"/>
      <c r="J16" s="73">
        <f t="shared" ref="J16:O16" si="0">SUM(J7:J15)</f>
        <v>0</v>
      </c>
      <c r="K16" s="73">
        <f t="shared" si="0"/>
        <v>0</v>
      </c>
      <c r="L16" s="73">
        <f t="shared" si="0"/>
        <v>0</v>
      </c>
      <c r="M16" s="73">
        <f t="shared" si="0"/>
        <v>0</v>
      </c>
      <c r="N16" s="73">
        <f t="shared" si="0"/>
        <v>0</v>
      </c>
      <c r="O16" s="73">
        <f t="shared" si="0"/>
        <v>0</v>
      </c>
      <c r="P16" s="73">
        <f>SUM(P13:P15)</f>
        <v>0</v>
      </c>
      <c r="Q16" s="75"/>
      <c r="R16" s="117">
        <f>SUM(O7:O9)</f>
        <v>0</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v>0</v>
      </c>
      <c r="J22" s="72">
        <f>H22*I22</f>
        <v>0</v>
      </c>
      <c r="K22" s="72">
        <f>J22*0.1</f>
        <v>0</v>
      </c>
      <c r="L22" s="72">
        <f>J22*0.05</f>
        <v>0</v>
      </c>
      <c r="M22" s="37">
        <f>C22*G22*I22</f>
        <v>0</v>
      </c>
      <c r="N22" s="44">
        <f>(J22*'Base Data'!$C$5)+(K22*'Base Data'!$C$6)+(L22*'Base Data'!$C$7)</f>
        <v>0</v>
      </c>
      <c r="O22" s="44">
        <f>(D22+E22+F22)*G22*I22</f>
        <v>0</v>
      </c>
      <c r="P22" s="73">
        <f>G22*I22</f>
        <v>0</v>
      </c>
      <c r="Q22" s="75" t="s">
        <v>338</v>
      </c>
    </row>
    <row r="23" spans="1:18" s="115" customFormat="1" ht="9">
      <c r="A23" s="126" t="s">
        <v>443</v>
      </c>
      <c r="B23" s="37">
        <v>0.5</v>
      </c>
      <c r="C23" s="37"/>
      <c r="D23" s="44">
        <v>0</v>
      </c>
      <c r="E23" s="44">
        <v>0</v>
      </c>
      <c r="F23" s="44">
        <v>0</v>
      </c>
      <c r="G23" s="37">
        <v>0.5</v>
      </c>
      <c r="H23" s="37">
        <f>B23*G23</f>
        <v>0.25</v>
      </c>
      <c r="I23" s="73">
        <v>0</v>
      </c>
      <c r="J23" s="72">
        <f>H23*I23</f>
        <v>0</v>
      </c>
      <c r="K23" s="72">
        <f>J23*0.1</f>
        <v>0</v>
      </c>
      <c r="L23" s="72">
        <f>J23*0.05</f>
        <v>0</v>
      </c>
      <c r="M23" s="37">
        <f>C23*G23*I23</f>
        <v>0</v>
      </c>
      <c r="N23" s="44">
        <f>(J23*'Base Data'!$C$5)+(K23*'Base Data'!$C$6)+(L23*'Base Data'!$C$7)</f>
        <v>0</v>
      </c>
      <c r="O23" s="44">
        <f>(D23+E23+F23)*G23*I23</f>
        <v>0</v>
      </c>
      <c r="P23" s="73">
        <f>G23*I23</f>
        <v>0</v>
      </c>
      <c r="Q23" s="75" t="s">
        <v>338</v>
      </c>
    </row>
    <row r="24" spans="1:18" s="6" customFormat="1" ht="9">
      <c r="A24" s="110" t="s">
        <v>378</v>
      </c>
      <c r="B24" s="37">
        <v>40</v>
      </c>
      <c r="C24" s="17"/>
      <c r="D24" s="32">
        <v>0</v>
      </c>
      <c r="E24" s="32">
        <v>0</v>
      </c>
      <c r="F24" s="32">
        <v>0</v>
      </c>
      <c r="G24" s="17">
        <v>1</v>
      </c>
      <c r="H24" s="17">
        <f t="shared" ref="H24" si="1">B24*G24</f>
        <v>40</v>
      </c>
      <c r="I24" s="72">
        <v>0</v>
      </c>
      <c r="J24" s="18">
        <f t="shared" ref="J24" si="2">H24*I24</f>
        <v>0</v>
      </c>
      <c r="K24" s="18">
        <f t="shared" ref="K24" si="3">J24*0.1</f>
        <v>0</v>
      </c>
      <c r="L24" s="18">
        <f t="shared" ref="L24" si="4">J24*0.05</f>
        <v>0</v>
      </c>
      <c r="M24" s="17"/>
      <c r="N24" s="32">
        <f>(J24*'Base Data'!$C$5)+(K24*'Base Data'!$C$6)+(L24*'Base Data'!$C$7)</f>
        <v>0</v>
      </c>
      <c r="O24" s="32">
        <f t="shared" ref="O24" si="5">(D24+E24+F24)*G24*I24</f>
        <v>0</v>
      </c>
      <c r="P24" s="32"/>
      <c r="Q24" s="23" t="s">
        <v>339</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0</v>
      </c>
      <c r="K26" s="184">
        <f t="shared" si="6"/>
        <v>0</v>
      </c>
      <c r="L26" s="184">
        <f t="shared" si="6"/>
        <v>0</v>
      </c>
      <c r="M26" s="184">
        <f t="shared" si="6"/>
        <v>0</v>
      </c>
      <c r="N26" s="185">
        <f t="shared" si="6"/>
        <v>0</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0</v>
      </c>
      <c r="K27" s="139">
        <f t="shared" si="7"/>
        <v>0</v>
      </c>
      <c r="L27" s="139">
        <f t="shared" si="7"/>
        <v>0</v>
      </c>
      <c r="M27" s="139">
        <f t="shared" si="7"/>
        <v>0</v>
      </c>
      <c r="N27" s="140">
        <f t="shared" si="7"/>
        <v>0</v>
      </c>
      <c r="O27" s="140">
        <f t="shared" si="7"/>
        <v>0</v>
      </c>
      <c r="P27" s="139">
        <f t="shared" si="7"/>
        <v>0</v>
      </c>
      <c r="Q27" s="141"/>
    </row>
    <row r="28" spans="1:18" s="115" customFormat="1">
      <c r="A28" s="88"/>
      <c r="B28" s="46"/>
      <c r="C28" s="46"/>
      <c r="D28" s="46"/>
      <c r="E28" s="46"/>
      <c r="F28" s="46"/>
      <c r="G28" s="46"/>
      <c r="H28" s="46"/>
      <c r="I28" s="47"/>
      <c r="J28" s="46"/>
      <c r="K28" s="46"/>
      <c r="L28" s="46"/>
      <c r="M28" s="46"/>
      <c r="N28" s="46"/>
      <c r="O28" s="145"/>
      <c r="P28" s="145"/>
      <c r="Q28" s="46"/>
    </row>
    <row r="29" spans="1:18" s="115" customFormat="1" ht="11.25" customHeight="1">
      <c r="A29" s="499" t="s">
        <v>653</v>
      </c>
      <c r="B29" s="499"/>
      <c r="C29" s="499"/>
      <c r="D29" s="499"/>
      <c r="E29" s="499"/>
      <c r="F29" s="499"/>
      <c r="G29" s="499"/>
      <c r="H29" s="499"/>
      <c r="I29" s="499"/>
      <c r="J29" s="499"/>
      <c r="K29" s="499"/>
      <c r="L29" s="499"/>
      <c r="M29" s="499"/>
      <c r="N29" s="499"/>
      <c r="O29" s="499"/>
      <c r="P29" s="146"/>
      <c r="Q29" s="378"/>
    </row>
    <row r="30" spans="1:18">
      <c r="A30" s="500" t="s">
        <v>122</v>
      </c>
      <c r="B30" s="500"/>
      <c r="C30" s="500"/>
      <c r="D30" s="500"/>
      <c r="E30" s="500"/>
      <c r="F30" s="500"/>
      <c r="G30" s="500"/>
      <c r="H30" s="500"/>
      <c r="I30" s="500"/>
      <c r="J30" s="500"/>
      <c r="K30" s="500"/>
      <c r="L30" s="500"/>
      <c r="M30" s="500"/>
      <c r="N30" s="500"/>
      <c r="O30" s="500"/>
      <c r="Q30" s="378"/>
    </row>
    <row r="31" spans="1:18">
      <c r="A31" s="376" t="s">
        <v>504</v>
      </c>
      <c r="B31" s="379"/>
      <c r="C31" s="379"/>
      <c r="D31" s="379"/>
      <c r="E31" s="379"/>
      <c r="F31" s="379"/>
      <c r="G31" s="379"/>
      <c r="H31" s="379"/>
      <c r="I31" s="379"/>
      <c r="J31" s="379"/>
      <c r="K31" s="379"/>
      <c r="L31" s="379"/>
      <c r="M31" s="379"/>
      <c r="N31" s="379"/>
      <c r="O31" s="379"/>
      <c r="Q31" s="378"/>
    </row>
    <row r="32" spans="1:18">
      <c r="A32" s="382" t="s">
        <v>563</v>
      </c>
      <c r="B32" s="380"/>
      <c r="C32" s="380"/>
      <c r="D32" s="380"/>
      <c r="E32" s="380"/>
      <c r="F32" s="380"/>
      <c r="G32" s="380"/>
      <c r="H32" s="380"/>
      <c r="I32" s="381"/>
      <c r="J32" s="381"/>
      <c r="K32" s="381"/>
      <c r="L32" s="381"/>
      <c r="M32" s="381"/>
      <c r="N32" s="380"/>
      <c r="O32" s="378"/>
      <c r="Q32" s="378"/>
    </row>
    <row r="33" spans="17:17">
      <c r="Q33" s="378"/>
    </row>
    <row r="34" spans="17:17">
      <c r="Q34" s="378"/>
    </row>
    <row r="35" spans="17:17">
      <c r="Q35" s="377"/>
    </row>
    <row r="37" spans="17:17">
      <c r="Q37" s="88"/>
    </row>
    <row r="38" spans="17:17">
      <c r="Q38" s="88"/>
    </row>
    <row r="39" spans="17:17">
      <c r="Q39" s="88"/>
    </row>
    <row r="40" spans="17:17">
      <c r="Q40" s="88"/>
    </row>
    <row r="41" spans="17:17">
      <c r="Q41" s="88"/>
    </row>
    <row r="42" spans="17:17">
      <c r="Q42" s="88"/>
    </row>
    <row r="43" spans="17:17">
      <c r="Q43" s="88"/>
    </row>
    <row r="44" spans="17:17">
      <c r="Q44" s="88"/>
    </row>
    <row r="45" spans="17:17">
      <c r="Q45" s="48"/>
    </row>
    <row r="46" spans="17:17">
      <c r="Q46" s="48"/>
    </row>
    <row r="47" spans="17:17">
      <c r="Q47" s="48"/>
    </row>
    <row r="48" spans="17:17">
      <c r="Q48" s="48"/>
    </row>
    <row r="49" spans="17:17">
      <c r="Q49" s="48"/>
    </row>
    <row r="50" spans="17:17">
      <c r="Q50" s="48"/>
    </row>
    <row r="51" spans="17:17">
      <c r="Q51" s="48"/>
    </row>
    <row r="52" spans="17:17">
      <c r="Q52" s="48"/>
    </row>
    <row r="53" spans="17:17">
      <c r="Q53" s="48"/>
    </row>
    <row r="54" spans="17:17">
      <c r="Q54" s="48"/>
    </row>
    <row r="55" spans="17:17">
      <c r="Q55" s="48"/>
    </row>
    <row r="56" spans="17:17">
      <c r="Q56" s="48"/>
    </row>
    <row r="57" spans="17:17">
      <c r="Q57" s="48"/>
    </row>
    <row r="58" spans="17:17">
      <c r="Q58" s="48"/>
    </row>
    <row r="59" spans="17:17">
      <c r="Q59" s="48"/>
    </row>
    <row r="60" spans="17:17">
      <c r="Q60" s="48"/>
    </row>
    <row r="61" spans="17:17">
      <c r="Q61" s="48"/>
    </row>
    <row r="62" spans="17:17">
      <c r="Q62" s="48"/>
    </row>
    <row r="63" spans="17:17">
      <c r="Q63" s="48"/>
    </row>
    <row r="64" spans="17:17">
      <c r="Q64" s="48"/>
    </row>
    <row r="65" spans="17:17">
      <c r="Q65" s="48"/>
    </row>
    <row r="66" spans="17:17">
      <c r="Q66" s="48"/>
    </row>
    <row r="67" spans="17:17">
      <c r="Q67" s="48"/>
    </row>
    <row r="68" spans="17:17">
      <c r="Q68" s="48"/>
    </row>
    <row r="69" spans="17:17">
      <c r="Q69" s="48"/>
    </row>
    <row r="70" spans="17:17">
      <c r="Q70" s="48"/>
    </row>
    <row r="71" spans="17:17">
      <c r="Q71" s="48"/>
    </row>
    <row r="72" spans="17:17">
      <c r="Q72" s="48"/>
    </row>
    <row r="73" spans="17:17">
      <c r="Q73" s="48"/>
    </row>
    <row r="74" spans="17:17">
      <c r="Q74" s="48"/>
    </row>
  </sheetData>
  <mergeCells count="4">
    <mergeCell ref="A1:Q1"/>
    <mergeCell ref="A2:Q2"/>
    <mergeCell ref="A29:O29"/>
    <mergeCell ref="A30:O30"/>
  </mergeCells>
  <phoneticPr fontId="9" type="noConversion"/>
  <pageMargins left="0.25" right="0.25" top="0.5" bottom="0.75" header="0.5" footer="0.5"/>
  <pageSetup scale="64" orientation="landscape" r:id="rId1"/>
  <headerFooter alignWithMargins="0"/>
</worksheet>
</file>

<file path=xl/worksheets/sheet39.xml><?xml version="1.0" encoding="utf-8"?>
<worksheet xmlns="http://schemas.openxmlformats.org/spreadsheetml/2006/main" xmlns:r="http://schemas.openxmlformats.org/officeDocument/2006/relationships">
  <sheetPr>
    <pageSetUpPr fitToPage="1"/>
  </sheetPr>
  <dimension ref="A1:S74"/>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H41" sqref="H41"/>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8.140625" style="46" customWidth="1"/>
    <col min="7" max="7" width="9.28515625" style="46" bestFit="1" customWidth="1"/>
    <col min="8" max="8" width="8.85546875" style="46" customWidth="1"/>
    <col min="9" max="9" width="9.42578125" style="47" bestFit="1" customWidth="1"/>
    <col min="10" max="11" width="6.85546875" style="46" bestFit="1" customWidth="1"/>
    <col min="12" max="12" width="9.140625" style="46" customWidth="1"/>
    <col min="13" max="13" width="7.85546875" style="46" hidden="1" customWidth="1"/>
    <col min="14" max="14" width="10.140625" style="46" customWidth="1"/>
    <col min="15" max="15" width="10.140625" style="145" bestFit="1" customWidth="1"/>
    <col min="16" max="16" width="10" style="145" bestFit="1" customWidth="1"/>
    <col min="17" max="17" width="3.28515625" style="46" customWidth="1"/>
    <col min="18" max="19" width="9.140625" style="88" hidden="1" customWidth="1"/>
    <col min="20" max="20" width="11.140625" style="88" customWidth="1"/>
    <col min="21" max="21" width="8.5703125" style="88" customWidth="1"/>
    <col min="22" max="16384" width="9.140625" style="88"/>
  </cols>
  <sheetData>
    <row r="1" spans="1:19">
      <c r="A1" s="496" t="s">
        <v>269</v>
      </c>
      <c r="B1" s="496"/>
      <c r="C1" s="496"/>
      <c r="D1" s="496"/>
      <c r="E1" s="496"/>
      <c r="F1" s="496"/>
      <c r="G1" s="496"/>
      <c r="H1" s="496"/>
      <c r="I1" s="496"/>
      <c r="J1" s="496"/>
      <c r="K1" s="496"/>
      <c r="L1" s="496"/>
      <c r="M1" s="496"/>
      <c r="N1" s="496"/>
      <c r="O1" s="496"/>
      <c r="P1" s="496"/>
      <c r="Q1" s="496"/>
    </row>
    <row r="2" spans="1:19">
      <c r="A2" s="497" t="s">
        <v>654</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'Fac-NewSmlSolid-Yr1'!I9</f>
        <v>4</v>
      </c>
      <c r="J9" s="72">
        <f>H9*I9</f>
        <v>24</v>
      </c>
      <c r="K9" s="72">
        <f>J9*0.1</f>
        <v>2.4000000000000004</v>
      </c>
      <c r="L9" s="72">
        <f>J9*0.05</f>
        <v>1.2000000000000002</v>
      </c>
      <c r="M9" s="73"/>
      <c r="N9" s="44">
        <f>(J9*'Base Data'!$C$5)+(K9*'Base Data'!$C$6)+(L9*'Base Data'!$C$7)</f>
        <v>2610.6600000000003</v>
      </c>
      <c r="O9" s="44">
        <f>(D9+E9+F9)*I9</f>
        <v>8912</v>
      </c>
      <c r="P9" s="73">
        <v>0</v>
      </c>
      <c r="Q9" s="75" t="s">
        <v>338</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v>0</v>
      </c>
      <c r="J13" s="72">
        <f>H13*I13</f>
        <v>0</v>
      </c>
      <c r="K13" s="72">
        <f>J13*0.1</f>
        <v>0</v>
      </c>
      <c r="L13" s="72">
        <f>J13*0.05</f>
        <v>0</v>
      </c>
      <c r="M13" s="37">
        <f>C13*G13*I13</f>
        <v>0</v>
      </c>
      <c r="N13" s="44">
        <f>(J13*'Base Data'!$C$5)+(K13*'Base Data'!$C$6)+(L13*'Base Data'!$C$7)</f>
        <v>0</v>
      </c>
      <c r="O13" s="44">
        <f>(D13+E13+F13)*G13*I13</f>
        <v>0</v>
      </c>
      <c r="P13" s="73">
        <f>G13*I13</f>
        <v>0</v>
      </c>
      <c r="Q13" s="75" t="s">
        <v>338</v>
      </c>
    </row>
    <row r="14" spans="1:19" s="115" customFormat="1" ht="9">
      <c r="A14" s="126" t="s">
        <v>328</v>
      </c>
      <c r="B14" s="37">
        <v>8</v>
      </c>
      <c r="C14" s="37"/>
      <c r="D14" s="44">
        <v>0</v>
      </c>
      <c r="E14" s="44">
        <v>0</v>
      </c>
      <c r="F14" s="44">
        <v>0</v>
      </c>
      <c r="G14" s="37">
        <v>1</v>
      </c>
      <c r="H14" s="37">
        <f>B14*G14</f>
        <v>8</v>
      </c>
      <c r="I14" s="73">
        <v>0</v>
      </c>
      <c r="J14" s="72">
        <f>H14*I14</f>
        <v>0</v>
      </c>
      <c r="K14" s="72">
        <f>J14*0.1</f>
        <v>0</v>
      </c>
      <c r="L14" s="72">
        <f>J14*0.05</f>
        <v>0</v>
      </c>
      <c r="M14" s="37">
        <f>C14*G14*I14</f>
        <v>0</v>
      </c>
      <c r="N14" s="44">
        <f>(J14*'Base Data'!$C$5)+(K14*'Base Data'!$C$6)+(L14*'Base Data'!$C$7)</f>
        <v>0</v>
      </c>
      <c r="O14" s="44">
        <f>(D14+E14+F14)*G14*I14</f>
        <v>0</v>
      </c>
      <c r="P14" s="73">
        <f>G14*I14</f>
        <v>0</v>
      </c>
      <c r="Q14" s="75" t="s">
        <v>338</v>
      </c>
    </row>
    <row r="15" spans="1:19" s="115" customFormat="1" ht="9">
      <c r="A15" s="126" t="s">
        <v>11</v>
      </c>
      <c r="B15" s="37">
        <v>5</v>
      </c>
      <c r="C15" s="37"/>
      <c r="D15" s="44">
        <v>0</v>
      </c>
      <c r="E15" s="44">
        <v>0</v>
      </c>
      <c r="F15" s="44">
        <v>0</v>
      </c>
      <c r="G15" s="37">
        <v>0.5</v>
      </c>
      <c r="H15" s="37">
        <f>B15*G15</f>
        <v>2.5</v>
      </c>
      <c r="I15" s="73">
        <f>'Fac-NewSmlSolid-Yr1'!I15</f>
        <v>1</v>
      </c>
      <c r="J15" s="72">
        <f>H15*I15</f>
        <v>2.5</v>
      </c>
      <c r="K15" s="72">
        <f>J15*0.1</f>
        <v>0.25</v>
      </c>
      <c r="L15" s="72">
        <f>J15*0.05</f>
        <v>0.125</v>
      </c>
      <c r="M15" s="37">
        <f>C15*G15*I15</f>
        <v>0</v>
      </c>
      <c r="N15" s="44">
        <f>(J15*'Base Data'!$C$5)+(K15*'Base Data'!$C$6)+(L15*'Base Data'!$C$7)</f>
        <v>271.94374999999997</v>
      </c>
      <c r="O15" s="44">
        <f>(D15+E15+F15)*G15*I15</f>
        <v>0</v>
      </c>
      <c r="P15" s="73">
        <f>G15*I15</f>
        <v>0.5</v>
      </c>
      <c r="Q15" s="75" t="s">
        <v>564</v>
      </c>
    </row>
    <row r="16" spans="1:19" s="115" customFormat="1" ht="9">
      <c r="A16" s="116" t="s">
        <v>7</v>
      </c>
      <c r="B16" s="37"/>
      <c r="C16" s="37"/>
      <c r="D16" s="44"/>
      <c r="E16" s="44"/>
      <c r="F16" s="44"/>
      <c r="G16" s="37"/>
      <c r="H16" s="37"/>
      <c r="I16" s="73"/>
      <c r="J16" s="73">
        <f t="shared" ref="J16:O16" si="0">SUM(J7:J15)</f>
        <v>26.5</v>
      </c>
      <c r="K16" s="73">
        <f t="shared" si="0"/>
        <v>2.6500000000000004</v>
      </c>
      <c r="L16" s="73">
        <f t="shared" si="0"/>
        <v>1.3250000000000002</v>
      </c>
      <c r="M16" s="73">
        <f t="shared" si="0"/>
        <v>0</v>
      </c>
      <c r="N16" s="73">
        <f t="shared" si="0"/>
        <v>2882.6037500000002</v>
      </c>
      <c r="O16" s="73">
        <f t="shared" si="0"/>
        <v>8912</v>
      </c>
      <c r="P16" s="73">
        <f>ROUNDUP(SUM(P13:P15),0)</f>
        <v>1</v>
      </c>
      <c r="Q16" s="75"/>
      <c r="R16" s="117">
        <f>SUM(O7:O9)</f>
        <v>8912</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I15</f>
        <v>1</v>
      </c>
      <c r="J22" s="72">
        <f>H22*I22</f>
        <v>1</v>
      </c>
      <c r="K22" s="72">
        <f>J22*0.1</f>
        <v>0.1</v>
      </c>
      <c r="L22" s="72">
        <f>J22*0.05</f>
        <v>0.05</v>
      </c>
      <c r="M22" s="37">
        <f>C22*G22*I22</f>
        <v>0</v>
      </c>
      <c r="N22" s="44">
        <f>(J22*'Base Data'!$C$5)+(K22*'Base Data'!$C$6)+(L22*'Base Data'!$C$7)</f>
        <v>108.7775</v>
      </c>
      <c r="O22" s="44">
        <f>(D22+E22+F22)*G22*I22</f>
        <v>0</v>
      </c>
      <c r="P22" s="73">
        <v>0</v>
      </c>
      <c r="Q22" s="75" t="s">
        <v>338</v>
      </c>
    </row>
    <row r="23" spans="1:18" s="115" customFormat="1" ht="9">
      <c r="A23" s="126" t="s">
        <v>443</v>
      </c>
      <c r="B23" s="37">
        <v>0.5</v>
      </c>
      <c r="C23" s="37"/>
      <c r="D23" s="44">
        <v>0</v>
      </c>
      <c r="E23" s="44">
        <v>0</v>
      </c>
      <c r="F23" s="44">
        <v>0</v>
      </c>
      <c r="G23" s="37">
        <v>0.5</v>
      </c>
      <c r="H23" s="37">
        <f>B23*G23</f>
        <v>0.25</v>
      </c>
      <c r="I23" s="73">
        <f>I9</f>
        <v>4</v>
      </c>
      <c r="J23" s="72">
        <f>H23*I23</f>
        <v>1</v>
      </c>
      <c r="K23" s="72">
        <f>J23*0.1</f>
        <v>0.1</v>
      </c>
      <c r="L23" s="72">
        <f>J23*0.05</f>
        <v>0.05</v>
      </c>
      <c r="M23" s="37">
        <f>C23*G23*I23</f>
        <v>0</v>
      </c>
      <c r="N23" s="44">
        <f>(J23*'Base Data'!$C$5)+(K23*'Base Data'!$C$6)+(L23*'Base Data'!$C$7)</f>
        <v>108.7775</v>
      </c>
      <c r="O23" s="44">
        <f>(D23+E23+F23)*G23*I23</f>
        <v>0</v>
      </c>
      <c r="P23" s="73">
        <v>0</v>
      </c>
      <c r="Q23" s="75" t="s">
        <v>499</v>
      </c>
    </row>
    <row r="24" spans="1:18" s="6" customFormat="1" ht="9">
      <c r="A24" s="110" t="s">
        <v>378</v>
      </c>
      <c r="B24" s="37">
        <v>40</v>
      </c>
      <c r="C24" s="17"/>
      <c r="D24" s="32">
        <v>0</v>
      </c>
      <c r="E24" s="32">
        <v>0</v>
      </c>
      <c r="F24" s="32">
        <v>0</v>
      </c>
      <c r="G24" s="17">
        <v>1</v>
      </c>
      <c r="H24" s="17">
        <f t="shared" ref="H24" si="1">B24*G24</f>
        <v>40</v>
      </c>
      <c r="I24" s="72">
        <v>0</v>
      </c>
      <c r="J24" s="18">
        <f t="shared" ref="J24" si="2">H24*I24</f>
        <v>0</v>
      </c>
      <c r="K24" s="18">
        <f t="shared" ref="K24" si="3">J24*0.1</f>
        <v>0</v>
      </c>
      <c r="L24" s="18">
        <f t="shared" ref="L24" si="4">J24*0.05</f>
        <v>0</v>
      </c>
      <c r="M24" s="17"/>
      <c r="N24" s="32">
        <f>(J24*'Base Data'!$C$5)+(K24*'Base Data'!$C$6)+(L24*'Base Data'!$C$7)</f>
        <v>0</v>
      </c>
      <c r="O24" s="32">
        <f t="shared" ref="O24" si="5">(D24+E24+F24)*G24*I24</f>
        <v>0</v>
      </c>
      <c r="P24" s="73">
        <v>0</v>
      </c>
      <c r="Q24" s="23" t="s">
        <v>339</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2</v>
      </c>
      <c r="K26" s="184">
        <f t="shared" si="6"/>
        <v>0.2</v>
      </c>
      <c r="L26" s="184">
        <f t="shared" si="6"/>
        <v>0.1</v>
      </c>
      <c r="M26" s="184">
        <f t="shared" si="6"/>
        <v>0</v>
      </c>
      <c r="N26" s="185">
        <f t="shared" si="6"/>
        <v>217.55500000000001</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O27" si="7">SUM(J16,J26)</f>
        <v>28.5</v>
      </c>
      <c r="K27" s="139">
        <f t="shared" si="7"/>
        <v>2.8500000000000005</v>
      </c>
      <c r="L27" s="139">
        <f t="shared" si="7"/>
        <v>1.4250000000000003</v>
      </c>
      <c r="M27" s="139">
        <f t="shared" si="7"/>
        <v>0</v>
      </c>
      <c r="N27" s="140">
        <f t="shared" si="7"/>
        <v>3100.1587500000001</v>
      </c>
      <c r="O27" s="140">
        <f t="shared" si="7"/>
        <v>8912</v>
      </c>
      <c r="P27" s="139">
        <f>ROUNDUP(SUM(P16,P26),0)</f>
        <v>1</v>
      </c>
      <c r="Q27" s="141"/>
    </row>
    <row r="28" spans="1:18" s="115" customFormat="1">
      <c r="A28" s="88"/>
      <c r="B28" s="46"/>
      <c r="C28" s="46"/>
      <c r="D28" s="46"/>
      <c r="E28" s="46"/>
      <c r="F28" s="46"/>
      <c r="G28" s="46"/>
      <c r="H28" s="46"/>
      <c r="I28" s="47"/>
      <c r="J28" s="46"/>
      <c r="K28" s="46"/>
      <c r="L28" s="46"/>
      <c r="M28" s="46"/>
      <c r="N28" s="46"/>
      <c r="O28" s="145"/>
      <c r="P28" s="145"/>
      <c r="Q28" s="46"/>
    </row>
    <row r="29" spans="1:18" s="115" customFormat="1" ht="11.25" customHeight="1">
      <c r="A29" s="499" t="s">
        <v>653</v>
      </c>
      <c r="B29" s="499"/>
      <c r="C29" s="499"/>
      <c r="D29" s="499"/>
      <c r="E29" s="499"/>
      <c r="F29" s="499"/>
      <c r="G29" s="499"/>
      <c r="H29" s="499"/>
      <c r="I29" s="499"/>
      <c r="J29" s="499"/>
      <c r="K29" s="499"/>
      <c r="L29" s="499"/>
      <c r="M29" s="499"/>
      <c r="N29" s="499"/>
      <c r="O29" s="499"/>
      <c r="P29" s="146"/>
      <c r="Q29" s="378"/>
    </row>
    <row r="30" spans="1:18" s="45" customFormat="1">
      <c r="A30" s="500" t="s">
        <v>122</v>
      </c>
      <c r="B30" s="500"/>
      <c r="C30" s="500"/>
      <c r="D30" s="500"/>
      <c r="E30" s="500"/>
      <c r="F30" s="500"/>
      <c r="G30" s="500"/>
      <c r="H30" s="500"/>
      <c r="I30" s="500"/>
      <c r="J30" s="500"/>
      <c r="K30" s="500"/>
      <c r="L30" s="500"/>
      <c r="M30" s="500"/>
      <c r="N30" s="500"/>
      <c r="O30" s="500"/>
      <c r="P30" s="146"/>
      <c r="Q30" s="378"/>
    </row>
    <row r="31" spans="1:18" s="45" customFormat="1">
      <c r="A31" s="376" t="s">
        <v>504</v>
      </c>
      <c r="B31" s="379"/>
      <c r="C31" s="379"/>
      <c r="D31" s="379"/>
      <c r="E31" s="379"/>
      <c r="F31" s="379"/>
      <c r="G31" s="379"/>
      <c r="H31" s="379"/>
      <c r="I31" s="379"/>
      <c r="J31" s="379"/>
      <c r="K31" s="379"/>
      <c r="L31" s="379"/>
      <c r="M31" s="379"/>
      <c r="N31" s="379"/>
      <c r="O31" s="379"/>
      <c r="P31" s="146"/>
      <c r="Q31" s="378"/>
    </row>
    <row r="32" spans="1:18" s="45" customFormat="1">
      <c r="A32" s="382" t="s">
        <v>563</v>
      </c>
      <c r="B32" s="380"/>
      <c r="C32" s="380"/>
      <c r="D32" s="380"/>
      <c r="E32" s="380"/>
      <c r="F32" s="380"/>
      <c r="G32" s="380"/>
      <c r="H32" s="380"/>
      <c r="I32" s="381"/>
      <c r="J32" s="381"/>
      <c r="K32" s="381"/>
      <c r="L32" s="381"/>
      <c r="M32" s="381"/>
      <c r="N32" s="380"/>
      <c r="O32" s="378"/>
      <c r="P32" s="146"/>
      <c r="Q32" s="378"/>
    </row>
    <row r="33" spans="1:17" s="45" customFormat="1">
      <c r="A33" s="45" t="s">
        <v>668</v>
      </c>
      <c r="B33" s="48"/>
      <c r="C33" s="48"/>
      <c r="D33" s="48"/>
      <c r="E33" s="48"/>
      <c r="F33" s="48"/>
      <c r="G33" s="48"/>
      <c r="H33" s="48"/>
      <c r="I33" s="49"/>
      <c r="J33" s="48"/>
      <c r="K33" s="48"/>
      <c r="L33" s="48"/>
      <c r="M33" s="48"/>
      <c r="N33" s="48"/>
      <c r="O33" s="146"/>
      <c r="P33" s="146"/>
      <c r="Q33" s="378"/>
    </row>
    <row r="34" spans="1:17" s="45" customFormat="1">
      <c r="B34" s="48"/>
      <c r="C34" s="48"/>
      <c r="D34" s="48"/>
      <c r="E34" s="48"/>
      <c r="F34" s="48"/>
      <c r="G34" s="48"/>
      <c r="H34" s="48"/>
      <c r="I34" s="49"/>
      <c r="J34" s="48"/>
      <c r="K34" s="48"/>
      <c r="L34" s="48"/>
      <c r="M34" s="48"/>
      <c r="N34" s="48"/>
      <c r="O34" s="146"/>
      <c r="P34" s="146"/>
      <c r="Q34" s="378"/>
    </row>
    <row r="35" spans="1:17" s="45" customFormat="1" ht="9">
      <c r="B35" s="48"/>
      <c r="C35" s="48"/>
      <c r="D35" s="48"/>
      <c r="E35" s="48"/>
      <c r="F35" s="48"/>
      <c r="G35" s="48"/>
      <c r="H35" s="48"/>
      <c r="I35" s="49"/>
      <c r="J35" s="48"/>
      <c r="K35" s="48"/>
      <c r="L35" s="48"/>
      <c r="M35" s="48"/>
      <c r="N35" s="48"/>
      <c r="O35" s="146"/>
      <c r="P35" s="146"/>
      <c r="Q35" s="377"/>
    </row>
    <row r="36" spans="1:17" s="45" customFormat="1">
      <c r="B36" s="48"/>
      <c r="C36" s="48"/>
      <c r="D36" s="48"/>
      <c r="E36" s="48"/>
      <c r="F36" s="48"/>
      <c r="G36" s="48"/>
      <c r="H36" s="48"/>
      <c r="I36" s="49"/>
      <c r="J36" s="48"/>
      <c r="K36" s="48"/>
      <c r="L36" s="48"/>
      <c r="M36" s="48"/>
      <c r="N36" s="48"/>
      <c r="O36" s="146"/>
      <c r="P36" s="146"/>
      <c r="Q36" s="46"/>
    </row>
    <row r="37" spans="1:17" s="45" customFormat="1">
      <c r="B37" s="48"/>
      <c r="C37" s="48"/>
      <c r="D37" s="48"/>
      <c r="E37" s="48"/>
      <c r="F37" s="48"/>
      <c r="G37" s="48"/>
      <c r="H37" s="48"/>
      <c r="I37" s="49"/>
      <c r="J37" s="48"/>
      <c r="K37" s="48"/>
      <c r="L37" s="48"/>
      <c r="M37" s="48"/>
      <c r="N37" s="48"/>
      <c r="O37" s="146"/>
      <c r="P37" s="146"/>
      <c r="Q37" s="88"/>
    </row>
    <row r="38" spans="1:17" s="45" customFormat="1">
      <c r="B38" s="48"/>
      <c r="C38" s="48"/>
      <c r="D38" s="48"/>
      <c r="E38" s="48"/>
      <c r="F38" s="48"/>
      <c r="G38" s="48"/>
      <c r="H38" s="48"/>
      <c r="I38" s="49"/>
      <c r="J38" s="48"/>
      <c r="K38" s="48"/>
      <c r="L38" s="48"/>
      <c r="M38" s="48"/>
      <c r="N38" s="48"/>
      <c r="O38" s="146"/>
      <c r="P38" s="146"/>
      <c r="Q38" s="88"/>
    </row>
    <row r="39" spans="1:17" s="45" customFormat="1">
      <c r="B39" s="48"/>
      <c r="C39" s="48"/>
      <c r="D39" s="48"/>
      <c r="E39" s="48"/>
      <c r="F39" s="48"/>
      <c r="G39" s="48"/>
      <c r="H39" s="48"/>
      <c r="I39" s="49"/>
      <c r="J39" s="48"/>
      <c r="K39" s="48"/>
      <c r="L39" s="48"/>
      <c r="M39" s="48"/>
      <c r="N39" s="48"/>
      <c r="O39" s="146"/>
      <c r="P39" s="146"/>
      <c r="Q39" s="88"/>
    </row>
    <row r="40" spans="1:17" s="45" customFormat="1">
      <c r="B40" s="48"/>
      <c r="C40" s="48"/>
      <c r="D40" s="48"/>
      <c r="E40" s="48"/>
      <c r="F40" s="48"/>
      <c r="G40" s="48"/>
      <c r="H40" s="48"/>
      <c r="I40" s="49"/>
      <c r="J40" s="48"/>
      <c r="K40" s="48"/>
      <c r="L40" s="48"/>
      <c r="M40" s="48"/>
      <c r="N40" s="48"/>
      <c r="O40" s="146"/>
      <c r="P40" s="146"/>
      <c r="Q40" s="88"/>
    </row>
    <row r="41" spans="1:17" s="45" customFormat="1">
      <c r="B41" s="48"/>
      <c r="C41" s="48"/>
      <c r="D41" s="48"/>
      <c r="E41" s="48"/>
      <c r="F41" s="48"/>
      <c r="G41" s="48"/>
      <c r="H41" s="48"/>
      <c r="I41" s="49"/>
      <c r="J41" s="48"/>
      <c r="K41" s="48"/>
      <c r="L41" s="48"/>
      <c r="M41" s="48"/>
      <c r="N41" s="48"/>
      <c r="O41" s="146"/>
      <c r="P41" s="146"/>
      <c r="Q41" s="88"/>
    </row>
    <row r="42" spans="1:17" s="45" customFormat="1">
      <c r="B42" s="48"/>
      <c r="C42" s="48"/>
      <c r="D42" s="48"/>
      <c r="E42" s="48"/>
      <c r="F42" s="48"/>
      <c r="G42" s="48"/>
      <c r="H42" s="48"/>
      <c r="I42" s="49"/>
      <c r="J42" s="48"/>
      <c r="K42" s="48"/>
      <c r="L42" s="48"/>
      <c r="M42" s="48"/>
      <c r="N42" s="48"/>
      <c r="O42" s="146"/>
      <c r="P42" s="146"/>
      <c r="Q42" s="88"/>
    </row>
    <row r="43" spans="1:17" s="45" customFormat="1">
      <c r="B43" s="48"/>
      <c r="C43" s="48"/>
      <c r="D43" s="48"/>
      <c r="E43" s="48"/>
      <c r="F43" s="48"/>
      <c r="G43" s="48"/>
      <c r="H43" s="48"/>
      <c r="I43" s="49"/>
      <c r="J43" s="48"/>
      <c r="K43" s="48"/>
      <c r="L43" s="48"/>
      <c r="M43" s="48"/>
      <c r="N43" s="48"/>
      <c r="O43" s="146"/>
      <c r="P43" s="146"/>
      <c r="Q43" s="88"/>
    </row>
    <row r="44" spans="1:17" s="45" customFormat="1">
      <c r="B44" s="48"/>
      <c r="C44" s="48"/>
      <c r="D44" s="48"/>
      <c r="E44" s="48"/>
      <c r="F44" s="48"/>
      <c r="G44" s="48"/>
      <c r="H44" s="48"/>
      <c r="I44" s="49"/>
      <c r="J44" s="48"/>
      <c r="K44" s="48"/>
      <c r="L44" s="48"/>
      <c r="M44" s="48"/>
      <c r="N44" s="48"/>
      <c r="O44" s="146"/>
      <c r="P44" s="146"/>
      <c r="Q44" s="88"/>
    </row>
    <row r="45" spans="1:17" s="45" customFormat="1" ht="9">
      <c r="B45" s="48"/>
      <c r="C45" s="48"/>
      <c r="D45" s="48"/>
      <c r="E45" s="48"/>
      <c r="F45" s="48"/>
      <c r="G45" s="48"/>
      <c r="H45" s="48"/>
      <c r="I45" s="49"/>
      <c r="J45" s="48"/>
      <c r="K45" s="48"/>
      <c r="L45" s="48"/>
      <c r="M45" s="48"/>
      <c r="N45" s="48"/>
      <c r="O45" s="146"/>
      <c r="P45" s="146"/>
      <c r="Q45" s="48"/>
    </row>
    <row r="46" spans="1:17" s="45" customFormat="1" ht="9">
      <c r="B46" s="48"/>
      <c r="C46" s="48"/>
      <c r="D46" s="48"/>
      <c r="E46" s="48"/>
      <c r="F46" s="48"/>
      <c r="G46" s="48"/>
      <c r="H46" s="48"/>
      <c r="I46" s="49"/>
      <c r="J46" s="48"/>
      <c r="K46" s="48"/>
      <c r="L46" s="48"/>
      <c r="M46" s="48"/>
      <c r="N46" s="48"/>
      <c r="O46" s="146"/>
      <c r="P46" s="146"/>
      <c r="Q46" s="48"/>
    </row>
    <row r="47" spans="1:17" s="45" customFormat="1" ht="9">
      <c r="B47" s="48"/>
      <c r="C47" s="48"/>
      <c r="D47" s="48"/>
      <c r="E47" s="48"/>
      <c r="F47" s="48"/>
      <c r="G47" s="48"/>
      <c r="H47" s="48"/>
      <c r="I47" s="49"/>
      <c r="J47" s="48"/>
      <c r="K47" s="48"/>
      <c r="L47" s="48"/>
      <c r="M47" s="48"/>
      <c r="N47" s="48"/>
      <c r="O47" s="146"/>
      <c r="P47" s="146"/>
      <c r="Q47" s="48"/>
    </row>
    <row r="48" spans="1:17" s="45" customFormat="1" ht="9">
      <c r="B48" s="48"/>
      <c r="C48" s="48"/>
      <c r="D48" s="48"/>
      <c r="E48" s="48"/>
      <c r="F48" s="48"/>
      <c r="G48" s="48"/>
      <c r="H48" s="48"/>
      <c r="I48" s="49"/>
      <c r="J48" s="48"/>
      <c r="K48" s="48"/>
      <c r="L48" s="48"/>
      <c r="M48" s="48"/>
      <c r="N48" s="48"/>
      <c r="O48" s="146"/>
      <c r="P48" s="146"/>
      <c r="Q48" s="48"/>
    </row>
    <row r="49" spans="2:17" s="45" customFormat="1" ht="9">
      <c r="B49" s="48"/>
      <c r="C49" s="48"/>
      <c r="D49" s="48"/>
      <c r="E49" s="48"/>
      <c r="F49" s="48"/>
      <c r="G49" s="48"/>
      <c r="H49" s="48"/>
      <c r="I49" s="49"/>
      <c r="J49" s="48"/>
      <c r="K49" s="48"/>
      <c r="L49" s="48"/>
      <c r="M49" s="48"/>
      <c r="N49" s="48"/>
      <c r="O49" s="146"/>
      <c r="P49" s="146"/>
      <c r="Q49" s="48"/>
    </row>
    <row r="50" spans="2:17" s="45" customFormat="1" ht="9">
      <c r="B50" s="48"/>
      <c r="C50" s="48"/>
      <c r="D50" s="48"/>
      <c r="E50" s="48"/>
      <c r="F50" s="48"/>
      <c r="G50" s="48"/>
      <c r="H50" s="48"/>
      <c r="I50" s="49"/>
      <c r="J50" s="48"/>
      <c r="K50" s="48"/>
      <c r="L50" s="48"/>
      <c r="M50" s="48"/>
      <c r="N50" s="48"/>
      <c r="O50" s="146"/>
      <c r="P50" s="146"/>
      <c r="Q50" s="48"/>
    </row>
    <row r="51" spans="2:17" s="45" customFormat="1" ht="9">
      <c r="B51" s="48"/>
      <c r="C51" s="48"/>
      <c r="D51" s="48"/>
      <c r="E51" s="48"/>
      <c r="F51" s="48"/>
      <c r="G51" s="48"/>
      <c r="H51" s="48"/>
      <c r="I51" s="49"/>
      <c r="J51" s="48"/>
      <c r="K51" s="48"/>
      <c r="L51" s="48"/>
      <c r="M51" s="48"/>
      <c r="N51" s="48"/>
      <c r="O51" s="146"/>
      <c r="P51" s="146"/>
      <c r="Q51" s="48"/>
    </row>
    <row r="52" spans="2:17" s="45" customFormat="1" ht="9">
      <c r="B52" s="48"/>
      <c r="C52" s="48"/>
      <c r="D52" s="48"/>
      <c r="E52" s="48"/>
      <c r="F52" s="48"/>
      <c r="G52" s="48"/>
      <c r="H52" s="48"/>
      <c r="I52" s="49"/>
      <c r="J52" s="48"/>
      <c r="K52" s="48"/>
      <c r="L52" s="48"/>
      <c r="M52" s="48"/>
      <c r="N52" s="48"/>
      <c r="O52" s="146"/>
      <c r="P52" s="146"/>
      <c r="Q52" s="48"/>
    </row>
    <row r="53" spans="2:17" s="45" customFormat="1" ht="9">
      <c r="B53" s="48"/>
      <c r="C53" s="48"/>
      <c r="D53" s="48"/>
      <c r="E53" s="48"/>
      <c r="F53" s="48"/>
      <c r="G53" s="48"/>
      <c r="H53" s="48"/>
      <c r="I53" s="49"/>
      <c r="J53" s="48"/>
      <c r="K53" s="48"/>
      <c r="L53" s="48"/>
      <c r="M53" s="48"/>
      <c r="N53" s="48"/>
      <c r="O53" s="146"/>
      <c r="P53" s="146"/>
      <c r="Q53" s="48"/>
    </row>
    <row r="54" spans="2:17" s="45" customFormat="1" ht="9">
      <c r="B54" s="48"/>
      <c r="C54" s="48"/>
      <c r="D54" s="48"/>
      <c r="E54" s="48"/>
      <c r="F54" s="48"/>
      <c r="G54" s="48"/>
      <c r="H54" s="48"/>
      <c r="I54" s="49"/>
      <c r="J54" s="48"/>
      <c r="K54" s="48"/>
      <c r="L54" s="48"/>
      <c r="M54" s="48"/>
      <c r="N54" s="48"/>
      <c r="O54" s="146"/>
      <c r="P54" s="146"/>
      <c r="Q54" s="48"/>
    </row>
    <row r="55" spans="2:17" s="45" customFormat="1" ht="9">
      <c r="B55" s="48"/>
      <c r="C55" s="48"/>
      <c r="D55" s="48"/>
      <c r="E55" s="48"/>
      <c r="F55" s="48"/>
      <c r="G55" s="48"/>
      <c r="H55" s="48"/>
      <c r="I55" s="49"/>
      <c r="J55" s="48"/>
      <c r="K55" s="48"/>
      <c r="L55" s="48"/>
      <c r="M55" s="48"/>
      <c r="N55" s="48"/>
      <c r="O55" s="146"/>
      <c r="P55" s="146"/>
      <c r="Q55" s="48"/>
    </row>
    <row r="56" spans="2:17" s="45" customFormat="1" ht="9">
      <c r="B56" s="48"/>
      <c r="C56" s="48"/>
      <c r="D56" s="48"/>
      <c r="E56" s="48"/>
      <c r="F56" s="48"/>
      <c r="G56" s="48"/>
      <c r="H56" s="48"/>
      <c r="I56" s="49"/>
      <c r="J56" s="48"/>
      <c r="K56" s="48"/>
      <c r="L56" s="48"/>
      <c r="M56" s="48"/>
      <c r="N56" s="48"/>
      <c r="O56" s="146"/>
      <c r="P56" s="146"/>
      <c r="Q56" s="48"/>
    </row>
    <row r="57" spans="2:17" s="45" customFormat="1" ht="9">
      <c r="B57" s="48"/>
      <c r="C57" s="48"/>
      <c r="D57" s="48"/>
      <c r="E57" s="48"/>
      <c r="F57" s="48"/>
      <c r="G57" s="48"/>
      <c r="H57" s="48"/>
      <c r="I57" s="49"/>
      <c r="J57" s="48"/>
      <c r="K57" s="48"/>
      <c r="L57" s="48"/>
      <c r="M57" s="48"/>
      <c r="N57" s="48"/>
      <c r="O57" s="146"/>
      <c r="P57" s="146"/>
      <c r="Q57" s="48"/>
    </row>
    <row r="58" spans="2:17" s="45" customFormat="1" ht="9">
      <c r="B58" s="48"/>
      <c r="C58" s="48"/>
      <c r="D58" s="48"/>
      <c r="E58" s="48"/>
      <c r="F58" s="48"/>
      <c r="G58" s="48"/>
      <c r="H58" s="48"/>
      <c r="I58" s="49"/>
      <c r="J58" s="48"/>
      <c r="K58" s="48"/>
      <c r="L58" s="48"/>
      <c r="M58" s="48"/>
      <c r="N58" s="48"/>
      <c r="O58" s="146"/>
      <c r="P58" s="146"/>
      <c r="Q58" s="48"/>
    </row>
    <row r="59" spans="2:17" s="45" customFormat="1" ht="9">
      <c r="B59" s="48"/>
      <c r="C59" s="48"/>
      <c r="D59" s="48"/>
      <c r="E59" s="48"/>
      <c r="F59" s="48"/>
      <c r="G59" s="48"/>
      <c r="H59" s="48"/>
      <c r="I59" s="49"/>
      <c r="J59" s="48"/>
      <c r="K59" s="48"/>
      <c r="L59" s="48"/>
      <c r="M59" s="48"/>
      <c r="N59" s="48"/>
      <c r="O59" s="146"/>
      <c r="P59" s="146"/>
      <c r="Q59" s="48"/>
    </row>
    <row r="60" spans="2:17" s="45" customFormat="1" ht="9">
      <c r="B60" s="48"/>
      <c r="C60" s="48"/>
      <c r="D60" s="48"/>
      <c r="E60" s="48"/>
      <c r="F60" s="48"/>
      <c r="G60" s="48"/>
      <c r="H60" s="48"/>
      <c r="I60" s="49"/>
      <c r="J60" s="48"/>
      <c r="K60" s="48"/>
      <c r="L60" s="48"/>
      <c r="M60" s="48"/>
      <c r="N60" s="48"/>
      <c r="O60" s="146"/>
      <c r="P60" s="146"/>
      <c r="Q60" s="48"/>
    </row>
    <row r="61" spans="2:17" s="45" customFormat="1" ht="9">
      <c r="B61" s="48"/>
      <c r="C61" s="48"/>
      <c r="D61" s="48"/>
      <c r="E61" s="48"/>
      <c r="F61" s="48"/>
      <c r="G61" s="48"/>
      <c r="H61" s="48"/>
      <c r="I61" s="49"/>
      <c r="J61" s="48"/>
      <c r="K61" s="48"/>
      <c r="L61" s="48"/>
      <c r="M61" s="48"/>
      <c r="N61" s="48"/>
      <c r="O61" s="146"/>
      <c r="P61" s="146"/>
      <c r="Q61" s="48"/>
    </row>
    <row r="62" spans="2:17" s="45" customFormat="1" ht="9">
      <c r="B62" s="48"/>
      <c r="C62" s="48"/>
      <c r="D62" s="48"/>
      <c r="E62" s="48"/>
      <c r="F62" s="48"/>
      <c r="G62" s="48"/>
      <c r="H62" s="48"/>
      <c r="I62" s="49"/>
      <c r="J62" s="48"/>
      <c r="K62" s="48"/>
      <c r="L62" s="48"/>
      <c r="M62" s="48"/>
      <c r="N62" s="48"/>
      <c r="O62" s="146"/>
      <c r="P62" s="146"/>
      <c r="Q62" s="48"/>
    </row>
    <row r="63" spans="2:17">
      <c r="Q63" s="48"/>
    </row>
    <row r="64" spans="2:17">
      <c r="Q64" s="48"/>
    </row>
    <row r="65" spans="17:17">
      <c r="Q65" s="48"/>
    </row>
    <row r="66" spans="17:17">
      <c r="Q66" s="48"/>
    </row>
    <row r="67" spans="17:17">
      <c r="Q67" s="48"/>
    </row>
    <row r="68" spans="17:17">
      <c r="Q68" s="48"/>
    </row>
    <row r="69" spans="17:17">
      <c r="Q69" s="48"/>
    </row>
    <row r="70" spans="17:17">
      <c r="Q70" s="48"/>
    </row>
    <row r="71" spans="17:17">
      <c r="Q71" s="48"/>
    </row>
    <row r="72" spans="17:17">
      <c r="Q72" s="48"/>
    </row>
    <row r="73" spans="17:17">
      <c r="Q73" s="48"/>
    </row>
    <row r="74" spans="17:17">
      <c r="Q74" s="48"/>
    </row>
  </sheetData>
  <mergeCells count="4">
    <mergeCell ref="A1:Q1"/>
    <mergeCell ref="A2:Q2"/>
    <mergeCell ref="A29:O29"/>
    <mergeCell ref="A30:O30"/>
  </mergeCells>
  <phoneticPr fontId="9" type="noConversion"/>
  <pageMargins left="0.25" right="0.25" top="0.5" bottom="0.75" header="0.5" footer="0.5"/>
  <pageSetup scale="86" orientation="landscape" r:id="rId1"/>
  <headerFooter alignWithMargins="0"/>
</worksheet>
</file>

<file path=xl/worksheets/sheet4.xml><?xml version="1.0" encoding="utf-8"?>
<worksheet xmlns="http://schemas.openxmlformats.org/spreadsheetml/2006/main" xmlns:r="http://schemas.openxmlformats.org/officeDocument/2006/relationships">
  <dimension ref="A1:M9"/>
  <sheetViews>
    <sheetView zoomScaleNormal="100" workbookViewId="0">
      <selection activeCell="K24" sqref="K24"/>
    </sheetView>
  </sheetViews>
  <sheetFormatPr defaultRowHeight="11.25"/>
  <cols>
    <col min="1" max="1" width="15.5703125" style="1" customWidth="1"/>
    <col min="2" max="2" width="8.42578125" style="1" hidden="1" customWidth="1"/>
    <col min="3" max="3" width="11.28515625" style="1" hidden="1" customWidth="1"/>
    <col min="4" max="4" width="6.85546875" style="1" hidden="1" customWidth="1"/>
    <col min="5" max="5" width="11" style="1" hidden="1" customWidth="1"/>
    <col min="6" max="6" width="9.42578125" style="1" hidden="1" customWidth="1"/>
    <col min="7" max="7" width="10" style="1" bestFit="1" customWidth="1"/>
    <col min="8" max="8" width="9.85546875" style="1" bestFit="1" customWidth="1"/>
    <col min="9" max="9" width="8.85546875" style="1" bestFit="1" customWidth="1"/>
    <col min="10" max="10" width="9.7109375" style="1" bestFit="1" customWidth="1"/>
    <col min="11" max="11" width="10" style="1" bestFit="1" customWidth="1"/>
    <col min="12" max="16384" width="9.140625" style="1"/>
  </cols>
  <sheetData>
    <row r="1" spans="1:13" s="2" customFormat="1">
      <c r="A1" s="475" t="s">
        <v>390</v>
      </c>
      <c r="B1" s="475"/>
      <c r="C1" s="475"/>
      <c r="D1" s="475"/>
      <c r="E1" s="475"/>
      <c r="F1" s="475"/>
      <c r="G1" s="475"/>
      <c r="H1" s="475"/>
      <c r="I1" s="475"/>
      <c r="J1" s="475"/>
      <c r="K1" s="475"/>
    </row>
    <row r="2" spans="1:13" s="2" customFormat="1">
      <c r="A2" s="475" t="s">
        <v>332</v>
      </c>
      <c r="B2" s="475"/>
      <c r="C2" s="475"/>
      <c r="D2" s="475"/>
      <c r="E2" s="475"/>
      <c r="F2" s="475"/>
      <c r="G2" s="475"/>
      <c r="H2" s="475"/>
      <c r="I2" s="475"/>
      <c r="J2" s="475"/>
      <c r="K2" s="475"/>
    </row>
    <row r="4" spans="1:13" ht="45">
      <c r="A4" s="5" t="s">
        <v>347</v>
      </c>
      <c r="B4" s="5" t="s">
        <v>352</v>
      </c>
      <c r="C4" s="5" t="s">
        <v>353</v>
      </c>
      <c r="D4" s="5" t="s">
        <v>354</v>
      </c>
      <c r="E4" s="5" t="s">
        <v>331</v>
      </c>
      <c r="F4" s="5" t="s">
        <v>335</v>
      </c>
      <c r="G4" s="5" t="s">
        <v>333</v>
      </c>
      <c r="H4" s="5" t="s">
        <v>336</v>
      </c>
      <c r="I4" s="5" t="s">
        <v>337</v>
      </c>
      <c r="J4" s="5" t="s">
        <v>330</v>
      </c>
      <c r="K4" s="5" t="s">
        <v>355</v>
      </c>
      <c r="M4" s="265" t="s">
        <v>452</v>
      </c>
    </row>
    <row r="5" spans="1:13" ht="18" customHeight="1">
      <c r="A5" s="4" t="s">
        <v>348</v>
      </c>
      <c r="B5" s="264">
        <f>SUM('Fac-ExistLrgSolid-Yr1'!J70,'Fac-ExistLrgLiquid-Yr1'!J70,'Fac-ExistLrgGas-Yr1'!J69,'Fac-NewLrgSolid-Yr1'!J63,'Fac-NewLrgLiquid-Yr1'!J63,'Fac-NewLrgGas-Yr1'!J65,'Fac - ExistSmlSolid-Yr1'!J32,'Fac - ExistSmlLiquid-Yr1'!J32,'Fac - ExistSmlGas-Yr1'!J32,'Fac-NewSmlSolid-Yr1'!J27,'Fac-NewSmlLiquid-Yr1'!J27,'Fac-NewSmlGas-Yr1'!J27)</f>
        <v>91799</v>
      </c>
      <c r="C5" s="264">
        <f>SUM('Fac-ExistLrgSolid-Yr1'!K70,'Fac-ExistLrgLiquid-Yr1'!K70,'Fac-ExistLrgGas-Yr1'!K69,'Fac-NewLrgSolid-Yr1'!K63,'Fac-NewLrgLiquid-Yr1'!K63,'Fac-NewLrgGas-Yr1'!K65,'Fac - ExistSmlSolid-Yr1'!K32,'Fac - ExistSmlLiquid-Yr1'!K32,'Fac - ExistSmlGas-Yr1'!K32,'Fac-NewSmlSolid-Yr1'!K27,'Fac-NewSmlLiquid-Yr1'!K27,'Fac-NewSmlGas-Yr1'!K27)</f>
        <v>9179.9000000000015</v>
      </c>
      <c r="D5" s="264">
        <f>SUM('Fac-ExistLrgSolid-Yr1'!L70,'Fac-ExistLrgLiquid-Yr1'!L70,'Fac-ExistLrgGas-Yr1'!L69,'Fac-NewLrgSolid-Yr1'!L63,'Fac-NewLrgLiquid-Yr1'!L63,'Fac-NewLrgGas-Yr1'!L65,'Fac - ExistSmlSolid-Yr1'!L32,'Fac - ExistSmlLiquid-Yr1'!L32,'Fac - ExistSmlGas-Yr1'!L32,'Fac-NewSmlSolid-Yr1'!L27,'Fac-NewSmlLiquid-Yr1'!L27,'Fac-NewSmlGas-Yr1'!L27)</f>
        <v>4589.9500000000007</v>
      </c>
      <c r="E5" s="9" t="e">
        <f>('Fac-ExistLrgSolid-Yr1'!#REF!)</f>
        <v>#REF!</v>
      </c>
      <c r="F5" s="9" t="e">
        <f>SUM(#REF!,#REF!,#REF!)</f>
        <v>#REF!</v>
      </c>
      <c r="G5" s="9" t="e">
        <f>SUM(B5:F5)</f>
        <v>#REF!</v>
      </c>
      <c r="H5" s="9" t="e">
        <f>SUM('Fac-ExistLrgSolid-Yr1'!N70,#REF!,#REF!,#REF!,#REF!,#REF!,#REF!)</f>
        <v>#REF!</v>
      </c>
      <c r="I5" s="9" t="e">
        <f>SUM('Fac-ExistLrgSolid-Yr1'!O70,#REF!,#REF!,#REF!,#REF!,#REF!,#REF!)</f>
        <v>#REF!</v>
      </c>
      <c r="J5" s="9" t="e">
        <f>SUM(#REF!,#REF!,#REF!,#REF!)</f>
        <v>#REF!</v>
      </c>
      <c r="K5" s="9" t="e">
        <f>H5+I5</f>
        <v>#REF!</v>
      </c>
    </row>
    <row r="6" spans="1:13" ht="21.75" customHeight="1">
      <c r="A6" s="4" t="s">
        <v>349</v>
      </c>
      <c r="B6" s="264">
        <f>SUM('Fac-ExistLrgSolid-Yr2'!J70,'Fac-ExistLrgLiquid-Yr2'!J70,'Fac-ExistLrgGas-Yr2'!J69,'Fac-NewLrgSolid-Yr2'!J63,'Fac-NewLrgLiquid-Yr2'!J63,'Fac-NewLrgGas-Yr2'!J65,'Fac - ExistSmlSolid-Yr2'!J32,'Fac - ExistSmlLiquid-Yr2'!J32,'Fac - ExistSmlGas-Yr2'!J32,'Fac-NewSmlSolid-Yr2'!J27,'Fac-NewSmlLiquid-Yr2'!J27,'Fac-NewSmlGas-Yr2'!J27)</f>
        <v>243608</v>
      </c>
      <c r="C6" s="264">
        <f>SUM('Fac-ExistLrgSolid-Yr2'!K70,'Fac-ExistLrgLiquid-Yr2'!K70,'Fac-ExistLrgGas-Yr2'!K69,'Fac-NewLrgSolid-Yr2'!K63,'Fac-NewLrgLiquid-Yr2'!K63,'Fac-NewLrgGas-Yr2'!K65,'Fac - ExistSmlSolid-Yr2'!K32,'Fac - ExistSmlLiquid-Yr2'!K32,'Fac - ExistSmlGas-Yr2'!K32,'Fac-NewSmlSolid-Yr2'!K27,'Fac-NewSmlLiquid-Yr2'!K27,'Fac-NewSmlGas-Yr2'!K27)</f>
        <v>24360.799999999996</v>
      </c>
      <c r="D6" s="264">
        <f>SUM('Fac-ExistLrgSolid-Yr2'!L70,'Fac-ExistLrgLiquid-Yr2'!L70,'Fac-ExistLrgGas-Yr2'!L69,'Fac-NewLrgSolid-Yr2'!L63,'Fac-NewLrgLiquid-Yr2'!L63,'Fac-NewLrgGas-Yr2'!L65,'Fac - ExistSmlSolid-Yr2'!L32,'Fac - ExistSmlLiquid-Yr2'!L32,'Fac - ExistSmlGas-Yr2'!L32,'Fac-NewSmlSolid-Yr2'!L27,'Fac-NewSmlLiquid-Yr2'!L27,'Fac-NewSmlGas-Yr2'!L27)</f>
        <v>12180.399999999998</v>
      </c>
      <c r="E6" s="9" t="e">
        <f>#REF!</f>
        <v>#REF!</v>
      </c>
      <c r="F6" s="9" t="e">
        <f>SUM(#REF!,#REF!,#REF!)</f>
        <v>#REF!</v>
      </c>
      <c r="G6" s="9" t="e">
        <f>SUM(B6:F6)</f>
        <v>#REF!</v>
      </c>
      <c r="H6" s="9" t="e">
        <f>SUM(#REF!,#REF!,#REF!,#REF!,#REF!,#REF!,#REF!)</f>
        <v>#REF!</v>
      </c>
      <c r="I6" s="9" t="e">
        <f>SUM(#REF!,#REF!,#REF!,#REF!,#REF!,#REF!,#REF!)</f>
        <v>#REF!</v>
      </c>
      <c r="J6" s="9" t="e">
        <f>SUM(#REF!,#REF!,#REF!,#REF!)</f>
        <v>#REF!</v>
      </c>
      <c r="K6" s="9" t="e">
        <f>H6+I6</f>
        <v>#REF!</v>
      </c>
    </row>
    <row r="7" spans="1:13" ht="20.25" customHeight="1">
      <c r="A7" s="4" t="s">
        <v>350</v>
      </c>
      <c r="B7" s="264">
        <f>SUM('Fac-ExistLrgSolid-Yr3'!J70,'Fac-ExistLrgLiquid-Yr3'!J70,'Fac-ExistLrgGas-Yr3'!J69,'Fac-NewLrgSolid-Yr3'!J63,'Fac-NewLrgLiquid-Yr3'!J63,'Fac-NewLrgGas-Yr3'!J65,'Fac - ExistSmlSolid-Yr3'!J32,'Fac - ExistSmlLiquid-Yr3'!J32,'Fac - ExistSmlGas-Yr3'!J32,'Fac-NewSmlSolid-Yr3'!J27,'Fac-NewSmlLiquid-Yr3'!J27,'Fac-NewSmlGas-Yr3'!J27)</f>
        <v>516761.15</v>
      </c>
      <c r="C7" s="264">
        <f>SUM('Fac-ExistLrgSolid-Yr3'!K70,'Fac-ExistLrgLiquid-Yr3'!K70,'Fac-ExistLrgGas-Yr3'!K69,'Fac-NewLrgSolid-Yr3'!K63,'Fac-NewLrgLiquid-Yr3'!K63,'Fac-NewLrgGas-Yr3'!K65,'Fac - ExistSmlSolid-Yr3'!K32,'Fac - ExistSmlLiquid-Yr3'!K32,'Fac - ExistSmlGas-Yr3'!K32,'Fac-NewSmlSolid-Yr3'!K27,'Fac-NewSmlLiquid-Yr3'!K27,'Fac-NewSmlGas-Yr3'!K27)</f>
        <v>51676.114999999983</v>
      </c>
      <c r="D7" s="264">
        <f>SUM('Fac-ExistLrgSolid-Yr3'!L70,'Fac-ExistLrgLiquid-Yr3'!L70,'Fac-ExistLrgGas-Yr3'!L69,'Fac-NewLrgSolid-Yr3'!L63,'Fac-NewLrgLiquid-Yr3'!L63,'Fac-NewLrgGas-Yr3'!L65,'Fac - ExistSmlSolid-Yr3'!L32,'Fac - ExistSmlLiquid-Yr3'!L32,'Fac - ExistSmlGas-Yr3'!L32,'Fac-NewSmlSolid-Yr3'!L27,'Fac-NewSmlLiquid-Yr3'!L27,'Fac-NewSmlGas-Yr3'!L27)</f>
        <v>25838.057499999992</v>
      </c>
      <c r="E7" s="9" t="e">
        <f>#REF!</f>
        <v>#REF!</v>
      </c>
      <c r="F7" s="9" t="e">
        <f>SUM(#REF!,#REF!,#REF!)</f>
        <v>#REF!</v>
      </c>
      <c r="G7" s="9" t="e">
        <f>SUM(B7:F7)</f>
        <v>#REF!</v>
      </c>
      <c r="H7" s="9" t="e">
        <f>SUM(#REF!,#REF!,#REF!,#REF!,#REF!,#REF!,#REF!)</f>
        <v>#REF!</v>
      </c>
      <c r="I7" s="9" t="e">
        <f>SUM(#REF!,#REF!,#REF!,#REF!,#REF!,#REF!,#REF!)</f>
        <v>#REF!</v>
      </c>
      <c r="J7" s="9" t="e">
        <f>SUM(#REF!,#REF!,#REF!,#REF!)</f>
        <v>#REF!</v>
      </c>
      <c r="K7" s="9" t="e">
        <f>H7+I7</f>
        <v>#REF!</v>
      </c>
    </row>
    <row r="8" spans="1:13" ht="25.5" customHeight="1">
      <c r="A8" s="4" t="s">
        <v>351</v>
      </c>
      <c r="B8" s="9">
        <f t="shared" ref="B8:K8" si="0">SUM(B5:B7)</f>
        <v>852168.15</v>
      </c>
      <c r="C8" s="9">
        <f t="shared" si="0"/>
        <v>85216.814999999973</v>
      </c>
      <c r="D8" s="9">
        <f t="shared" si="0"/>
        <v>42608.407499999987</v>
      </c>
      <c r="E8" s="9" t="e">
        <f t="shared" si="0"/>
        <v>#REF!</v>
      </c>
      <c r="F8" s="9" t="e">
        <f t="shared" si="0"/>
        <v>#REF!</v>
      </c>
      <c r="G8" s="9" t="e">
        <f t="shared" si="0"/>
        <v>#REF!</v>
      </c>
      <c r="H8" s="9" t="e">
        <f t="shared" si="0"/>
        <v>#REF!</v>
      </c>
      <c r="I8" s="9" t="e">
        <f>SUM(I5:I7)</f>
        <v>#REF!</v>
      </c>
      <c r="J8" s="9" t="e">
        <f>SUM(J5:J7)</f>
        <v>#REF!</v>
      </c>
      <c r="K8" s="9" t="e">
        <f t="shared" si="0"/>
        <v>#REF!</v>
      </c>
    </row>
    <row r="9" spans="1:13" ht="32.25" customHeight="1">
      <c r="A9" s="472" t="s">
        <v>385</v>
      </c>
      <c r="B9" s="473"/>
      <c r="C9" s="473"/>
      <c r="D9" s="473"/>
      <c r="E9" s="473"/>
      <c r="F9" s="474"/>
      <c r="G9" s="10" t="e">
        <f>G8/3</f>
        <v>#REF!</v>
      </c>
      <c r="H9" s="10" t="e">
        <f>H8/3</f>
        <v>#REF!</v>
      </c>
      <c r="I9" s="10" t="e">
        <f>I8/3</f>
        <v>#REF!</v>
      </c>
      <c r="J9" s="10" t="e">
        <f>J8/3</f>
        <v>#REF!</v>
      </c>
      <c r="K9" s="10" t="e">
        <f>K8/3</f>
        <v>#REF!</v>
      </c>
    </row>
  </sheetData>
  <mergeCells count="3">
    <mergeCell ref="A9:F9"/>
    <mergeCell ref="A1:K1"/>
    <mergeCell ref="A2:K2"/>
  </mergeCells>
  <phoneticPr fontId="9" type="noConversion"/>
  <printOptions horizontalCentered="1"/>
  <pageMargins left="0.75" right="0.75" top="1" bottom="1" header="0.5" footer="0.5"/>
  <pageSetup orientation="landscape" r:id="rId1"/>
  <headerFooter alignWithMargins="0"/>
</worksheet>
</file>

<file path=xl/worksheets/sheet40.xml><?xml version="1.0" encoding="utf-8"?>
<worksheet xmlns="http://schemas.openxmlformats.org/spreadsheetml/2006/main" xmlns:r="http://schemas.openxmlformats.org/officeDocument/2006/relationships">
  <sheetPr>
    <pageSetUpPr fitToPage="1"/>
  </sheetPr>
  <dimension ref="A1:S49"/>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N50" sqref="N50"/>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7.85546875" style="46" customWidth="1"/>
    <col min="7" max="7" width="9.28515625" style="46" bestFit="1" customWidth="1"/>
    <col min="8" max="8" width="8.85546875" style="46" customWidth="1"/>
    <col min="9" max="9" width="9.42578125" style="47" bestFit="1" customWidth="1"/>
    <col min="10" max="11" width="6.85546875" style="46" bestFit="1" customWidth="1"/>
    <col min="12" max="12" width="9" style="46" customWidth="1"/>
    <col min="13" max="13" width="7.85546875" style="46" hidden="1" customWidth="1"/>
    <col min="14" max="14" width="10.140625" style="46" customWidth="1"/>
    <col min="15" max="15" width="10.140625" style="145" bestFit="1" customWidth="1"/>
    <col min="16" max="16" width="10" style="145" bestFit="1" customWidth="1"/>
    <col min="17" max="17" width="2.5703125" style="46" bestFit="1" customWidth="1"/>
    <col min="18" max="19" width="9.140625" style="88" hidden="1" customWidth="1"/>
    <col min="20" max="20" width="11.140625" style="88" customWidth="1"/>
    <col min="21" max="21" width="8.5703125" style="88" customWidth="1"/>
    <col min="22" max="16384" width="9.140625" style="88"/>
  </cols>
  <sheetData>
    <row r="1" spans="1:19">
      <c r="A1" s="496" t="s">
        <v>264</v>
      </c>
      <c r="B1" s="496"/>
      <c r="C1" s="496"/>
      <c r="D1" s="496"/>
      <c r="E1" s="496"/>
      <c r="F1" s="496"/>
      <c r="G1" s="496"/>
      <c r="H1" s="496"/>
      <c r="I1" s="496"/>
      <c r="J1" s="496"/>
      <c r="K1" s="496"/>
      <c r="L1" s="496"/>
      <c r="M1" s="496"/>
      <c r="N1" s="496"/>
      <c r="O1" s="496"/>
      <c r="P1" s="496"/>
      <c r="Q1" s="496"/>
    </row>
    <row r="2" spans="1:19">
      <c r="A2" s="497" t="s">
        <v>271</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'Base Data'!$H$78</f>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'Base Data'!$D$78</f>
        <v>0</v>
      </c>
      <c r="J9" s="72">
        <f>H9*I9</f>
        <v>0</v>
      </c>
      <c r="K9" s="72">
        <f>J9*0.1</f>
        <v>0</v>
      </c>
      <c r="L9" s="72">
        <f>J9*0.05</f>
        <v>0</v>
      </c>
      <c r="M9" s="73"/>
      <c r="N9" s="44">
        <f>(J9*'Base Data'!$C$5)+(K9*'Base Data'!$C$6)+(L9*'Base Data'!$C$7)</f>
        <v>0</v>
      </c>
      <c r="O9" s="44">
        <f>(D9+E9+F9)*I9</f>
        <v>0</v>
      </c>
      <c r="P9" s="73">
        <v>0</v>
      </c>
      <c r="Q9" s="75"/>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f>'Base Data'!$H$78</f>
        <v>0</v>
      </c>
      <c r="J13" s="72">
        <f>H13*I13</f>
        <v>0</v>
      </c>
      <c r="K13" s="72">
        <f>J13*0.1</f>
        <v>0</v>
      </c>
      <c r="L13" s="72">
        <f>J13*0.05</f>
        <v>0</v>
      </c>
      <c r="M13" s="37">
        <f>C13*G13*I13</f>
        <v>0</v>
      </c>
      <c r="N13" s="44">
        <f>(J13*'Base Data'!$C$5)+(K13*'Base Data'!$C$6)+(L13*'Base Data'!$C$7)</f>
        <v>0</v>
      </c>
      <c r="O13" s="44">
        <f>(D13+E13+F13)*G13*I13</f>
        <v>0</v>
      </c>
      <c r="P13" s="73">
        <f>G13*I13</f>
        <v>0</v>
      </c>
      <c r="Q13" s="75"/>
    </row>
    <row r="14" spans="1:19" s="115" customFormat="1" ht="9">
      <c r="A14" s="126" t="s">
        <v>328</v>
      </c>
      <c r="B14" s="37">
        <v>8</v>
      </c>
      <c r="C14" s="37"/>
      <c r="D14" s="44">
        <v>0</v>
      </c>
      <c r="E14" s="44">
        <v>0</v>
      </c>
      <c r="F14" s="44">
        <v>0</v>
      </c>
      <c r="G14" s="37">
        <v>1</v>
      </c>
      <c r="H14" s="37">
        <f>B14*G14</f>
        <v>8</v>
      </c>
      <c r="I14" s="72">
        <f>'Base Data'!$H$78</f>
        <v>0</v>
      </c>
      <c r="J14" s="72">
        <f>H14*I14</f>
        <v>0</v>
      </c>
      <c r="K14" s="72">
        <f>J14*0.1</f>
        <v>0</v>
      </c>
      <c r="L14" s="72">
        <f>J14*0.05</f>
        <v>0</v>
      </c>
      <c r="M14" s="37">
        <f>C14*G14*I14</f>
        <v>0</v>
      </c>
      <c r="N14" s="44">
        <f>(J14*'Base Data'!$C$5)+(K14*'Base Data'!$C$6)+(L14*'Base Data'!$C$7)</f>
        <v>0</v>
      </c>
      <c r="O14" s="44">
        <f>(D14+E14+F14)*G14*I14</f>
        <v>0</v>
      </c>
      <c r="P14" s="73">
        <f>G14*I14</f>
        <v>0</v>
      </c>
      <c r="Q14" s="75"/>
    </row>
    <row r="15" spans="1:19" s="115" customFormat="1" ht="9">
      <c r="A15" s="126" t="s">
        <v>11</v>
      </c>
      <c r="B15" s="37">
        <v>5</v>
      </c>
      <c r="C15" s="37"/>
      <c r="D15" s="44">
        <v>0</v>
      </c>
      <c r="E15" s="44">
        <v>0</v>
      </c>
      <c r="F15" s="44">
        <v>0</v>
      </c>
      <c r="G15" s="37">
        <v>0.5</v>
      </c>
      <c r="H15" s="37">
        <f>B15*G15</f>
        <v>2.5</v>
      </c>
      <c r="I15" s="72">
        <f>'Base Data'!$H$78</f>
        <v>0</v>
      </c>
      <c r="J15" s="72">
        <f>H15*I15</f>
        <v>0</v>
      </c>
      <c r="K15" s="72">
        <f>J15*0.1</f>
        <v>0</v>
      </c>
      <c r="L15" s="72">
        <f>J15*0.05</f>
        <v>0</v>
      </c>
      <c r="M15" s="37">
        <f>C15*G15*I15</f>
        <v>0</v>
      </c>
      <c r="N15" s="44">
        <f>(J15*'Base Data'!$C$5)+(K15*'Base Data'!$C$6)+(L15*'Base Data'!$C$7)</f>
        <v>0</v>
      </c>
      <c r="O15" s="44">
        <f>(D15+E15+F15)*G15*I15</f>
        <v>0</v>
      </c>
      <c r="P15" s="73">
        <f>G15*I15</f>
        <v>0</v>
      </c>
      <c r="Q15" s="75"/>
    </row>
    <row r="16" spans="1:19" s="115" customFormat="1" ht="9">
      <c r="A16" s="116" t="s">
        <v>7</v>
      </c>
      <c r="B16" s="37"/>
      <c r="C16" s="37"/>
      <c r="D16" s="44"/>
      <c r="E16" s="44"/>
      <c r="F16" s="44"/>
      <c r="G16" s="37"/>
      <c r="H16" s="37"/>
      <c r="I16" s="73"/>
      <c r="J16" s="73">
        <f t="shared" ref="J16:O16" si="0">SUM(J7:J15)</f>
        <v>0</v>
      </c>
      <c r="K16" s="73">
        <f t="shared" si="0"/>
        <v>0</v>
      </c>
      <c r="L16" s="73">
        <f t="shared" si="0"/>
        <v>0</v>
      </c>
      <c r="M16" s="73">
        <f t="shared" si="0"/>
        <v>0</v>
      </c>
      <c r="N16" s="73">
        <f t="shared" si="0"/>
        <v>0</v>
      </c>
      <c r="O16" s="73">
        <f t="shared" si="0"/>
        <v>0</v>
      </c>
      <c r="P16" s="73">
        <f>ROUND(SUM(P13:P15),0)</f>
        <v>0</v>
      </c>
      <c r="Q16" s="75"/>
      <c r="R16" s="117">
        <f>SUM(O7:O9)</f>
        <v>0</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$I$9</f>
        <v>0</v>
      </c>
      <c r="J22" s="72">
        <f>H22*I22</f>
        <v>0</v>
      </c>
      <c r="K22" s="72">
        <f>J22*0.1</f>
        <v>0</v>
      </c>
      <c r="L22" s="72">
        <f>J22*0.05</f>
        <v>0</v>
      </c>
      <c r="M22" s="37">
        <f>C22*G22*I22</f>
        <v>0</v>
      </c>
      <c r="N22" s="44">
        <f>(J22*'Base Data'!$C$5)+(K22*'Base Data'!$C$6)+(L22*'Base Data'!$C$7)</f>
        <v>0</v>
      </c>
      <c r="O22" s="44">
        <f>(D22+E22+F22)*G22*I22</f>
        <v>0</v>
      </c>
      <c r="P22" s="73">
        <v>0</v>
      </c>
      <c r="Q22" s="75"/>
    </row>
    <row r="23" spans="1:18" s="115" customFormat="1" ht="9">
      <c r="A23" s="126" t="s">
        <v>443</v>
      </c>
      <c r="B23" s="37">
        <v>0.5</v>
      </c>
      <c r="C23" s="37"/>
      <c r="D23" s="44">
        <v>0</v>
      </c>
      <c r="E23" s="44">
        <v>0</v>
      </c>
      <c r="F23" s="44">
        <v>0</v>
      </c>
      <c r="G23" s="37">
        <v>0.5</v>
      </c>
      <c r="H23" s="37">
        <f>B23*G23</f>
        <v>0.25</v>
      </c>
      <c r="I23" s="73">
        <f>$I$9</f>
        <v>0</v>
      </c>
      <c r="J23" s="72">
        <f>H23*I23</f>
        <v>0</v>
      </c>
      <c r="K23" s="72">
        <f>J23*0.1</f>
        <v>0</v>
      </c>
      <c r="L23" s="72">
        <f>J23*0.05</f>
        <v>0</v>
      </c>
      <c r="M23" s="37">
        <f>C23*G23*I23</f>
        <v>0</v>
      </c>
      <c r="N23" s="44">
        <f>(J23*'Base Data'!$C$5)+(K23*'Base Data'!$C$6)+(L23*'Base Data'!$C$7)</f>
        <v>0</v>
      </c>
      <c r="O23" s="44">
        <f>(D23+E23+F23)*G23*I23</f>
        <v>0</v>
      </c>
      <c r="P23" s="73">
        <v>0</v>
      </c>
      <c r="Q23" s="75"/>
    </row>
    <row r="24" spans="1:18" s="6" customFormat="1" ht="9">
      <c r="A24" s="110" t="s">
        <v>378</v>
      </c>
      <c r="B24" s="37">
        <v>40</v>
      </c>
      <c r="C24" s="17"/>
      <c r="D24" s="32">
        <v>0</v>
      </c>
      <c r="E24" s="32">
        <v>0</v>
      </c>
      <c r="F24" s="32">
        <v>0</v>
      </c>
      <c r="G24" s="17">
        <v>1</v>
      </c>
      <c r="H24" s="17">
        <f t="shared" ref="H24" si="1">B24*G24</f>
        <v>40</v>
      </c>
      <c r="I24" s="72">
        <f>$I$7</f>
        <v>0</v>
      </c>
      <c r="J24" s="18">
        <f t="shared" ref="J24" si="2">H24*I24</f>
        <v>0</v>
      </c>
      <c r="K24" s="18">
        <f t="shared" ref="K24" si="3">J24*0.1</f>
        <v>0</v>
      </c>
      <c r="L24" s="18">
        <f t="shared" ref="L24" si="4">J24*0.05</f>
        <v>0</v>
      </c>
      <c r="M24" s="17"/>
      <c r="N24" s="32">
        <f>(J24*'Base Data'!$C$5)+(K24*'Base Data'!$C$6)+(L24*'Base Data'!$C$7)</f>
        <v>0</v>
      </c>
      <c r="O24" s="32">
        <f t="shared" ref="O24" si="5">(D24+E24+F24)*G24*I24</f>
        <v>0</v>
      </c>
      <c r="P24" s="73">
        <v>0</v>
      </c>
      <c r="Q24" s="23"/>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0</v>
      </c>
      <c r="K26" s="184">
        <f t="shared" si="6"/>
        <v>0</v>
      </c>
      <c r="L26" s="184">
        <f t="shared" si="6"/>
        <v>0</v>
      </c>
      <c r="M26" s="184">
        <f t="shared" si="6"/>
        <v>0</v>
      </c>
      <c r="N26" s="185">
        <f t="shared" si="6"/>
        <v>0</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0</v>
      </c>
      <c r="K27" s="139">
        <f t="shared" si="7"/>
        <v>0</v>
      </c>
      <c r="L27" s="139">
        <f t="shared" si="7"/>
        <v>0</v>
      </c>
      <c r="M27" s="139">
        <f t="shared" si="7"/>
        <v>0</v>
      </c>
      <c r="N27" s="140">
        <f t="shared" si="7"/>
        <v>0</v>
      </c>
      <c r="O27" s="140">
        <f t="shared" si="7"/>
        <v>0</v>
      </c>
      <c r="P27" s="139">
        <f t="shared" si="7"/>
        <v>0</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417</v>
      </c>
      <c r="B29" s="499"/>
      <c r="C29" s="499"/>
      <c r="D29" s="499"/>
      <c r="E29" s="499"/>
      <c r="F29" s="499"/>
      <c r="G29" s="499"/>
      <c r="H29" s="499"/>
      <c r="I29" s="499"/>
      <c r="J29" s="499"/>
      <c r="K29" s="499"/>
      <c r="L29" s="499"/>
      <c r="M29" s="499"/>
      <c r="N29" s="499"/>
      <c r="O29" s="499"/>
      <c r="P29" s="146"/>
      <c r="Q29" s="48"/>
    </row>
    <row r="30" spans="1:18" s="45" customFormat="1" ht="9">
      <c r="B30" s="48"/>
      <c r="C30" s="48"/>
      <c r="D30" s="48"/>
      <c r="E30" s="48"/>
      <c r="F30" s="48"/>
      <c r="G30" s="48"/>
      <c r="H30" s="48"/>
      <c r="I30" s="49"/>
      <c r="J30" s="48"/>
      <c r="K30" s="48"/>
      <c r="L30" s="48"/>
      <c r="M30" s="48"/>
      <c r="N30" s="48"/>
      <c r="O30" s="146"/>
      <c r="P30" s="146"/>
      <c r="Q30" s="48"/>
    </row>
    <row r="31" spans="1:18" s="45" customFormat="1" ht="9">
      <c r="B31" s="48"/>
      <c r="C31" s="48"/>
      <c r="D31" s="48"/>
      <c r="E31" s="48"/>
      <c r="F31" s="48"/>
      <c r="G31" s="48"/>
      <c r="H31" s="48"/>
      <c r="I31" s="49"/>
      <c r="J31" s="48"/>
      <c r="K31" s="48"/>
      <c r="L31" s="48"/>
      <c r="M31" s="48"/>
      <c r="N31" s="48"/>
      <c r="O31" s="146"/>
      <c r="P31" s="146"/>
      <c r="Q31" s="48"/>
    </row>
    <row r="32" spans="1:18" s="45" customFormat="1" ht="9">
      <c r="B32" s="48"/>
      <c r="C32" s="48"/>
      <c r="D32" s="48"/>
      <c r="E32" s="48"/>
      <c r="F32" s="48"/>
      <c r="G32" s="48"/>
      <c r="H32" s="48"/>
      <c r="I32" s="49"/>
      <c r="J32" s="48"/>
      <c r="K32" s="48"/>
      <c r="L32" s="48"/>
      <c r="M32" s="48"/>
      <c r="N32" s="48"/>
      <c r="O32" s="146"/>
      <c r="P32" s="146"/>
      <c r="Q32" s="48"/>
    </row>
    <row r="33" spans="2:18" s="45" customFormat="1" ht="9">
      <c r="B33" s="48"/>
      <c r="C33" s="48"/>
      <c r="D33" s="48"/>
      <c r="E33" s="48"/>
      <c r="F33" s="48"/>
      <c r="G33" s="48"/>
      <c r="H33" s="48"/>
      <c r="I33" s="49"/>
      <c r="J33" s="48"/>
      <c r="K33" s="48"/>
      <c r="L33" s="48"/>
      <c r="M33" s="48"/>
      <c r="N33" s="48"/>
      <c r="O33" s="146"/>
      <c r="P33" s="146"/>
      <c r="Q33" s="48"/>
    </row>
    <row r="34" spans="2:18" s="45" customFormat="1" ht="9">
      <c r="B34" s="48"/>
      <c r="C34" s="48"/>
      <c r="D34" s="48"/>
      <c r="E34" s="48"/>
      <c r="F34" s="48"/>
      <c r="G34" s="48"/>
      <c r="H34" s="48"/>
      <c r="I34" s="49"/>
      <c r="J34" s="48"/>
      <c r="K34" s="48"/>
      <c r="L34" s="48"/>
      <c r="M34" s="48"/>
      <c r="N34" s="48"/>
      <c r="O34" s="146"/>
      <c r="P34" s="146"/>
      <c r="Q34" s="48"/>
    </row>
    <row r="35" spans="2:18" s="45" customFormat="1">
      <c r="B35" s="48"/>
      <c r="C35" s="48"/>
      <c r="D35" s="48"/>
      <c r="E35" s="48"/>
      <c r="F35" s="48"/>
      <c r="G35" s="48"/>
      <c r="H35" s="48"/>
      <c r="I35" s="49"/>
      <c r="J35" s="48"/>
      <c r="K35" s="48"/>
      <c r="L35" s="48"/>
      <c r="M35" s="48"/>
      <c r="N35" s="48"/>
      <c r="O35" s="146"/>
      <c r="P35" s="146"/>
      <c r="Q35" s="48"/>
      <c r="R35" s="88"/>
    </row>
    <row r="46" spans="2:18">
      <c r="B46" s="88"/>
      <c r="C46" s="88"/>
      <c r="D46" s="88"/>
      <c r="E46" s="88"/>
      <c r="F46" s="88"/>
      <c r="G46" s="88"/>
      <c r="H46" s="88"/>
      <c r="I46" s="88"/>
      <c r="J46" s="88"/>
      <c r="K46" s="88"/>
      <c r="L46" s="88"/>
      <c r="M46" s="88"/>
      <c r="N46" s="88"/>
      <c r="O46" s="88"/>
    </row>
    <row r="47" spans="2:18">
      <c r="B47" s="88"/>
      <c r="C47" s="88"/>
      <c r="D47" s="88"/>
      <c r="E47" s="88"/>
      <c r="F47" s="88"/>
      <c r="G47" s="88"/>
      <c r="H47" s="88"/>
      <c r="I47" s="88"/>
      <c r="J47" s="88"/>
      <c r="K47" s="88"/>
      <c r="L47" s="88"/>
      <c r="M47" s="88"/>
      <c r="N47" s="88"/>
      <c r="O47" s="88"/>
    </row>
    <row r="48" spans="2:18">
      <c r="B48" s="88"/>
      <c r="C48" s="88"/>
      <c r="D48" s="88"/>
      <c r="E48" s="88"/>
      <c r="F48" s="88"/>
      <c r="G48" s="88"/>
      <c r="H48" s="88"/>
      <c r="I48" s="88"/>
      <c r="J48" s="88"/>
      <c r="K48" s="88"/>
      <c r="L48" s="88"/>
      <c r="M48" s="88"/>
      <c r="N48" s="88"/>
      <c r="O48" s="88"/>
    </row>
    <row r="49" spans="2:15">
      <c r="B49" s="88"/>
      <c r="C49" s="88"/>
      <c r="D49" s="88"/>
      <c r="E49" s="88"/>
      <c r="F49" s="88"/>
      <c r="G49" s="88"/>
      <c r="H49" s="88"/>
      <c r="I49" s="88"/>
      <c r="J49" s="88"/>
      <c r="K49" s="88"/>
      <c r="L49" s="88"/>
      <c r="M49" s="88"/>
      <c r="N49" s="88"/>
      <c r="O49" s="88"/>
    </row>
  </sheetData>
  <mergeCells count="3">
    <mergeCell ref="A1:Q1"/>
    <mergeCell ref="A2:Q2"/>
    <mergeCell ref="A29:O29"/>
  </mergeCells>
  <phoneticPr fontId="9" type="noConversion"/>
  <pageMargins left="0.25" right="0.25" top="0.5" bottom="0.75" header="0.5" footer="0.5"/>
  <pageSetup scale="86" orientation="landscape" r:id="rId1"/>
  <headerFooter alignWithMargins="0"/>
</worksheet>
</file>

<file path=xl/worksheets/sheet41.xml><?xml version="1.0" encoding="utf-8"?>
<worksheet xmlns="http://schemas.openxmlformats.org/spreadsheetml/2006/main" xmlns:r="http://schemas.openxmlformats.org/officeDocument/2006/relationships">
  <sheetPr>
    <pageSetUpPr fitToPage="1"/>
  </sheetPr>
  <dimension ref="A1:S50"/>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O55" sqref="O55"/>
    </sheetView>
  </sheetViews>
  <sheetFormatPr defaultRowHeight="11.25"/>
  <cols>
    <col min="1" max="1" width="36.5703125" style="88" customWidth="1"/>
    <col min="2" max="2" width="9.7109375" style="46" customWidth="1"/>
    <col min="3" max="3" width="8" style="46" hidden="1" customWidth="1"/>
    <col min="4" max="5" width="9.42578125" style="46" customWidth="1"/>
    <col min="6" max="6" width="7.42578125" style="46" customWidth="1"/>
    <col min="7" max="7" width="9.85546875" style="46" customWidth="1"/>
    <col min="8" max="8" width="8.140625" style="46" customWidth="1"/>
    <col min="9" max="9" width="10.140625" style="47" customWidth="1"/>
    <col min="10" max="10" width="7.5703125" style="46" customWidth="1"/>
    <col min="11" max="11" width="7.140625" style="46" customWidth="1"/>
    <col min="12" max="12" width="7.5703125" style="46" customWidth="1"/>
    <col min="13" max="13" width="7.85546875" style="46" hidden="1" customWidth="1"/>
    <col min="14" max="14" width="10.140625" style="46" customWidth="1"/>
    <col min="15" max="16" width="10.85546875" style="145" customWidth="1"/>
    <col min="17" max="17" width="2.5703125" style="46" bestFit="1" customWidth="1"/>
    <col min="18" max="19" width="0" style="88" hidden="1" customWidth="1"/>
    <col min="20" max="20" width="11.140625" style="88" customWidth="1"/>
    <col min="21" max="21" width="8.5703125" style="88" customWidth="1"/>
    <col min="22" max="16384" width="9.140625" style="88"/>
  </cols>
  <sheetData>
    <row r="1" spans="1:19">
      <c r="A1" s="496" t="s">
        <v>265</v>
      </c>
      <c r="B1" s="496"/>
      <c r="C1" s="496"/>
      <c r="D1" s="496"/>
      <c r="E1" s="496"/>
      <c r="F1" s="496"/>
      <c r="G1" s="496"/>
      <c r="H1" s="496"/>
      <c r="I1" s="496"/>
      <c r="J1" s="496"/>
      <c r="K1" s="496"/>
      <c r="L1" s="496"/>
      <c r="M1" s="496"/>
      <c r="N1" s="496"/>
      <c r="O1" s="496"/>
      <c r="P1" s="496"/>
      <c r="Q1" s="496"/>
    </row>
    <row r="2" spans="1:19">
      <c r="A2" s="497" t="s">
        <v>273</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v>0</v>
      </c>
      <c r="J9" s="72">
        <f>H9*I9</f>
        <v>0</v>
      </c>
      <c r="K9" s="72">
        <f>J9*0.1</f>
        <v>0</v>
      </c>
      <c r="L9" s="72">
        <f>J9*0.05</f>
        <v>0</v>
      </c>
      <c r="M9" s="73"/>
      <c r="N9" s="44">
        <f>(J9*'Base Data'!$C$5)+(K9*'Base Data'!$C$6)+(L9*'Base Data'!$C$7)</f>
        <v>0</v>
      </c>
      <c r="O9" s="44">
        <f>(D9+E9+F9)*I9</f>
        <v>0</v>
      </c>
      <c r="P9" s="73">
        <v>0</v>
      </c>
      <c r="Q9" s="75"/>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v>0</v>
      </c>
      <c r="J13" s="72">
        <f>H13*I13</f>
        <v>0</v>
      </c>
      <c r="K13" s="72">
        <f>J13*0.1</f>
        <v>0</v>
      </c>
      <c r="L13" s="72">
        <f>J13*0.05</f>
        <v>0</v>
      </c>
      <c r="M13" s="37">
        <f>C13*G13*I13</f>
        <v>0</v>
      </c>
      <c r="N13" s="44">
        <f>(J13*'Base Data'!$C$5)+(K13*'Base Data'!$C$6)+(L13*'Base Data'!$C$7)</f>
        <v>0</v>
      </c>
      <c r="O13" s="44">
        <f>(D13+E13+F13)*G13*I13</f>
        <v>0</v>
      </c>
      <c r="P13" s="73">
        <f>G13*I13</f>
        <v>0</v>
      </c>
      <c r="Q13" s="75"/>
    </row>
    <row r="14" spans="1:19" s="115" customFormat="1" ht="9">
      <c r="A14" s="126" t="s">
        <v>328</v>
      </c>
      <c r="B14" s="37">
        <v>8</v>
      </c>
      <c r="C14" s="37"/>
      <c r="D14" s="44">
        <v>0</v>
      </c>
      <c r="E14" s="44">
        <v>0</v>
      </c>
      <c r="F14" s="44">
        <v>0</v>
      </c>
      <c r="G14" s="37">
        <v>1</v>
      </c>
      <c r="H14" s="37">
        <f>B14*G14</f>
        <v>8</v>
      </c>
      <c r="I14" s="73">
        <v>0</v>
      </c>
      <c r="J14" s="72">
        <f>H14*I14</f>
        <v>0</v>
      </c>
      <c r="K14" s="72">
        <f>J14*0.1</f>
        <v>0</v>
      </c>
      <c r="L14" s="72">
        <f>J14*0.05</f>
        <v>0</v>
      </c>
      <c r="M14" s="37">
        <f>C14*G14*I14</f>
        <v>0</v>
      </c>
      <c r="N14" s="44">
        <f>(J14*'Base Data'!$C$5)+(K14*'Base Data'!$C$6)+(L14*'Base Data'!$C$7)</f>
        <v>0</v>
      </c>
      <c r="O14" s="44">
        <f>(D14+E14+F14)*G14*I14</f>
        <v>0</v>
      </c>
      <c r="P14" s="73">
        <f>G14*I14</f>
        <v>0</v>
      </c>
      <c r="Q14" s="75"/>
    </row>
    <row r="15" spans="1:19" s="115" customFormat="1" ht="9">
      <c r="A15" s="126" t="s">
        <v>11</v>
      </c>
      <c r="B15" s="37">
        <v>5</v>
      </c>
      <c r="C15" s="37"/>
      <c r="D15" s="44">
        <v>0</v>
      </c>
      <c r="E15" s="44">
        <v>0</v>
      </c>
      <c r="F15" s="44">
        <v>0</v>
      </c>
      <c r="G15" s="37">
        <v>0.5</v>
      </c>
      <c r="H15" s="37">
        <f>B15*G15</f>
        <v>2.5</v>
      </c>
      <c r="I15" s="72">
        <f>'Base Data'!$H$78</f>
        <v>0</v>
      </c>
      <c r="J15" s="72">
        <f>H15*I15</f>
        <v>0</v>
      </c>
      <c r="K15" s="72">
        <f>J15*0.1</f>
        <v>0</v>
      </c>
      <c r="L15" s="72">
        <f>J15*0.05</f>
        <v>0</v>
      </c>
      <c r="M15" s="37">
        <f>C15*G15*I15</f>
        <v>0</v>
      </c>
      <c r="N15" s="44">
        <f>(J15*'Base Data'!$C$5)+(K15*'Base Data'!$C$6)+(L15*'Base Data'!$C$7)</f>
        <v>0</v>
      </c>
      <c r="O15" s="44">
        <f>(D15+E15+F15)*G15*I15</f>
        <v>0</v>
      </c>
      <c r="P15" s="73">
        <f>G15*I15</f>
        <v>0</v>
      </c>
      <c r="Q15" s="75"/>
    </row>
    <row r="16" spans="1:19" s="115" customFormat="1" ht="9">
      <c r="A16" s="116" t="s">
        <v>7</v>
      </c>
      <c r="B16" s="37"/>
      <c r="C16" s="37"/>
      <c r="D16" s="44"/>
      <c r="E16" s="44"/>
      <c r="F16" s="44"/>
      <c r="G16" s="37"/>
      <c r="H16" s="37"/>
      <c r="I16" s="73"/>
      <c r="J16" s="73">
        <f t="shared" ref="J16:O16" si="0">SUM(J7:J15)</f>
        <v>0</v>
      </c>
      <c r="K16" s="73">
        <f t="shared" si="0"/>
        <v>0</v>
      </c>
      <c r="L16" s="73">
        <f t="shared" si="0"/>
        <v>0</v>
      </c>
      <c r="M16" s="73">
        <f t="shared" si="0"/>
        <v>0</v>
      </c>
      <c r="N16" s="73">
        <f t="shared" si="0"/>
        <v>0</v>
      </c>
      <c r="O16" s="73">
        <f t="shared" si="0"/>
        <v>0</v>
      </c>
      <c r="P16" s="73">
        <f>ROUND(SUM(P13:P15),0)</f>
        <v>0</v>
      </c>
      <c r="Q16" s="75"/>
      <c r="R16" s="117">
        <f>SUM(O7:O9)</f>
        <v>0</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2">
        <f>'Base Data'!$D$78</f>
        <v>0</v>
      </c>
      <c r="J22" s="72">
        <f>H22*I22</f>
        <v>0</v>
      </c>
      <c r="K22" s="72">
        <f>J22*0.1</f>
        <v>0</v>
      </c>
      <c r="L22" s="72">
        <f>J22*0.05</f>
        <v>0</v>
      </c>
      <c r="M22" s="37">
        <f>C22*G22*I22</f>
        <v>0</v>
      </c>
      <c r="N22" s="44">
        <f>(J22*'Base Data'!$C$5)+(K22*'Base Data'!$C$6)+(L22*'Base Data'!$C$7)</f>
        <v>0</v>
      </c>
      <c r="O22" s="44">
        <f>(D22+E22+F22)*G22*I22</f>
        <v>0</v>
      </c>
      <c r="P22" s="73">
        <v>0</v>
      </c>
      <c r="Q22" s="75"/>
    </row>
    <row r="23" spans="1:18" s="115" customFormat="1" ht="9">
      <c r="A23" s="126" t="s">
        <v>443</v>
      </c>
      <c r="B23" s="37">
        <v>0.5</v>
      </c>
      <c r="C23" s="37"/>
      <c r="D23" s="44">
        <v>0</v>
      </c>
      <c r="E23" s="44">
        <v>0</v>
      </c>
      <c r="F23" s="44">
        <v>0</v>
      </c>
      <c r="G23" s="37">
        <v>0.5</v>
      </c>
      <c r="H23" s="37">
        <f>B23*G23</f>
        <v>0.25</v>
      </c>
      <c r="I23" s="72">
        <f>'Base Data'!$D$78</f>
        <v>0</v>
      </c>
      <c r="J23" s="72">
        <f>H23*I23</f>
        <v>0</v>
      </c>
      <c r="K23" s="72">
        <f>J23*0.1</f>
        <v>0</v>
      </c>
      <c r="L23" s="72">
        <f>J23*0.05</f>
        <v>0</v>
      </c>
      <c r="M23" s="37">
        <f>C23*G23*I23</f>
        <v>0</v>
      </c>
      <c r="N23" s="44">
        <f>(J23*'Base Data'!$C$5)+(K23*'Base Data'!$C$6)+(L23*'Base Data'!$C$7)</f>
        <v>0</v>
      </c>
      <c r="O23" s="44">
        <f>(D23+E23+F23)*G23*I23</f>
        <v>0</v>
      </c>
      <c r="P23" s="73">
        <v>0</v>
      </c>
      <c r="Q23" s="75"/>
    </row>
    <row r="24" spans="1:18" s="6" customFormat="1" ht="9">
      <c r="A24" s="110" t="s">
        <v>378</v>
      </c>
      <c r="B24" s="37">
        <v>40</v>
      </c>
      <c r="C24" s="17"/>
      <c r="D24" s="32">
        <v>0</v>
      </c>
      <c r="E24" s="32">
        <v>0</v>
      </c>
      <c r="F24" s="32">
        <v>0</v>
      </c>
      <c r="G24" s="17">
        <v>1</v>
      </c>
      <c r="H24" s="17">
        <f t="shared" ref="H24" si="1">B24*G24</f>
        <v>40</v>
      </c>
      <c r="I24" s="72">
        <v>0</v>
      </c>
      <c r="J24" s="18">
        <f t="shared" ref="J24" si="2">H24*I24</f>
        <v>0</v>
      </c>
      <c r="K24" s="18">
        <f t="shared" ref="K24" si="3">J24*0.1</f>
        <v>0</v>
      </c>
      <c r="L24" s="18">
        <f t="shared" ref="L24" si="4">J24*0.05</f>
        <v>0</v>
      </c>
      <c r="M24" s="17"/>
      <c r="N24" s="32">
        <f>(J24*'Base Data'!$C$5)+(K24*'Base Data'!$C$6)+(L24*'Base Data'!$C$7)</f>
        <v>0</v>
      </c>
      <c r="O24" s="32">
        <f t="shared" ref="O24" si="5">(D24+E24+F24)*G24*I24</f>
        <v>0</v>
      </c>
      <c r="P24" s="73">
        <v>0</v>
      </c>
      <c r="Q24" s="23"/>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0</v>
      </c>
      <c r="K26" s="184">
        <f t="shared" si="6"/>
        <v>0</v>
      </c>
      <c r="L26" s="184">
        <f t="shared" si="6"/>
        <v>0</v>
      </c>
      <c r="M26" s="184">
        <f t="shared" si="6"/>
        <v>0</v>
      </c>
      <c r="N26" s="185">
        <f t="shared" si="6"/>
        <v>0</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0</v>
      </c>
      <c r="K27" s="139">
        <f t="shared" si="7"/>
        <v>0</v>
      </c>
      <c r="L27" s="139">
        <f t="shared" si="7"/>
        <v>0</v>
      </c>
      <c r="M27" s="139">
        <f t="shared" si="7"/>
        <v>0</v>
      </c>
      <c r="N27" s="140">
        <f t="shared" si="7"/>
        <v>0</v>
      </c>
      <c r="O27" s="140">
        <f t="shared" si="7"/>
        <v>0</v>
      </c>
      <c r="P27" s="139">
        <f t="shared" si="7"/>
        <v>0</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417</v>
      </c>
      <c r="B29" s="499"/>
      <c r="C29" s="499"/>
      <c r="D29" s="499"/>
      <c r="E29" s="499"/>
      <c r="F29" s="499"/>
      <c r="G29" s="499"/>
      <c r="H29" s="499"/>
      <c r="I29" s="499"/>
      <c r="J29" s="499"/>
      <c r="K29" s="499"/>
      <c r="L29" s="499"/>
      <c r="M29" s="499"/>
      <c r="N29" s="499"/>
      <c r="O29" s="499"/>
      <c r="P29" s="146"/>
      <c r="Q29" s="48"/>
    </row>
    <row r="30" spans="1:18" s="45" customFormat="1" ht="9">
      <c r="B30" s="48"/>
      <c r="C30" s="48"/>
      <c r="D30" s="48"/>
      <c r="E30" s="48"/>
      <c r="F30" s="48"/>
      <c r="G30" s="48"/>
      <c r="H30" s="48"/>
      <c r="I30" s="49"/>
      <c r="J30" s="48"/>
      <c r="K30" s="48"/>
      <c r="L30" s="48"/>
      <c r="M30" s="48"/>
      <c r="N30" s="48"/>
      <c r="O30" s="146"/>
      <c r="P30" s="146"/>
      <c r="Q30" s="48"/>
    </row>
    <row r="31" spans="1:18" s="45" customFormat="1" ht="9">
      <c r="B31" s="48"/>
      <c r="C31" s="48"/>
      <c r="D31" s="48"/>
      <c r="E31" s="48"/>
      <c r="F31" s="48"/>
      <c r="G31" s="48"/>
      <c r="H31" s="48"/>
      <c r="I31" s="49"/>
      <c r="J31" s="48"/>
      <c r="K31" s="48"/>
      <c r="L31" s="48"/>
      <c r="M31" s="48"/>
      <c r="N31" s="48"/>
      <c r="O31" s="146"/>
      <c r="P31" s="146"/>
      <c r="Q31" s="48"/>
    </row>
    <row r="32" spans="1:18" s="45" customFormat="1" ht="9">
      <c r="B32" s="48"/>
      <c r="C32" s="48"/>
      <c r="D32" s="48"/>
      <c r="E32" s="48"/>
      <c r="F32" s="48"/>
      <c r="G32" s="48"/>
      <c r="H32" s="48"/>
      <c r="I32" s="49"/>
      <c r="J32" s="48"/>
      <c r="K32" s="48"/>
      <c r="L32" s="48"/>
      <c r="M32" s="48"/>
      <c r="N32" s="48"/>
      <c r="O32" s="146"/>
      <c r="P32" s="146"/>
      <c r="Q32" s="48"/>
    </row>
    <row r="33" spans="2:18" s="45" customFormat="1" ht="9">
      <c r="B33" s="48"/>
      <c r="C33" s="48"/>
      <c r="D33" s="48"/>
      <c r="E33" s="48"/>
      <c r="F33" s="48"/>
      <c r="G33" s="48"/>
      <c r="H33" s="48"/>
      <c r="I33" s="49"/>
      <c r="J33" s="48"/>
      <c r="K33" s="48"/>
      <c r="L33" s="48"/>
      <c r="M33" s="48"/>
      <c r="N33" s="48"/>
      <c r="O33" s="146"/>
      <c r="P33" s="146"/>
      <c r="Q33" s="48"/>
    </row>
    <row r="34" spans="2:18" s="45" customFormat="1" ht="9">
      <c r="B34" s="48"/>
      <c r="C34" s="48"/>
      <c r="D34" s="48"/>
      <c r="E34" s="48"/>
      <c r="F34" s="48"/>
      <c r="G34" s="48"/>
      <c r="H34" s="48"/>
      <c r="I34" s="49"/>
      <c r="J34" s="48"/>
      <c r="K34" s="48"/>
      <c r="L34" s="48"/>
      <c r="M34" s="48"/>
      <c r="N34" s="48"/>
      <c r="O34" s="146"/>
      <c r="P34" s="146"/>
      <c r="Q34" s="48"/>
    </row>
    <row r="35" spans="2:18" s="45" customFormat="1">
      <c r="B35" s="48"/>
      <c r="C35" s="48"/>
      <c r="D35" s="48"/>
      <c r="E35" s="48"/>
      <c r="F35" s="48"/>
      <c r="G35" s="48"/>
      <c r="H35" s="48"/>
      <c r="I35" s="49"/>
      <c r="J35" s="48"/>
      <c r="K35" s="48"/>
      <c r="L35" s="48"/>
      <c r="M35" s="48"/>
      <c r="N35" s="48"/>
      <c r="O35" s="146"/>
      <c r="P35" s="146"/>
      <c r="Q35" s="48"/>
      <c r="R35" s="88"/>
    </row>
    <row r="37" spans="2:18" s="45" customFormat="1" ht="9">
      <c r="B37" s="48"/>
      <c r="C37" s="48"/>
      <c r="D37" s="48"/>
      <c r="E37" s="48"/>
      <c r="F37" s="48"/>
      <c r="G37" s="48"/>
      <c r="H37" s="48"/>
      <c r="I37" s="49"/>
      <c r="J37" s="48"/>
      <c r="K37" s="48"/>
      <c r="L37" s="48"/>
      <c r="M37" s="48"/>
      <c r="N37" s="48"/>
      <c r="O37" s="146"/>
      <c r="P37" s="146"/>
      <c r="Q37" s="48"/>
    </row>
    <row r="38" spans="2:18" s="45" customFormat="1" ht="9">
      <c r="B38" s="48"/>
      <c r="C38" s="48"/>
      <c r="D38" s="48"/>
      <c r="E38" s="48"/>
      <c r="F38" s="48"/>
      <c r="G38" s="48"/>
      <c r="H38" s="48"/>
      <c r="I38" s="49"/>
      <c r="J38" s="48"/>
      <c r="K38" s="48"/>
      <c r="L38" s="48"/>
      <c r="M38" s="48"/>
      <c r="N38" s="48"/>
      <c r="O38" s="146"/>
      <c r="P38" s="146"/>
      <c r="Q38" s="48"/>
    </row>
    <row r="39" spans="2:18" s="45" customFormat="1">
      <c r="B39" s="48"/>
      <c r="C39" s="48"/>
      <c r="D39" s="48"/>
      <c r="E39" s="48"/>
      <c r="F39" s="48"/>
      <c r="G39" s="48"/>
      <c r="H39" s="48"/>
      <c r="I39" s="49"/>
      <c r="J39" s="48"/>
      <c r="K39" s="48"/>
      <c r="L39" s="48"/>
      <c r="M39" s="48"/>
      <c r="N39" s="48"/>
      <c r="O39" s="146"/>
      <c r="P39" s="146"/>
      <c r="Q39" s="48"/>
      <c r="R39" s="88"/>
    </row>
    <row r="49" spans="2:15">
      <c r="B49" s="88"/>
      <c r="C49" s="88"/>
      <c r="D49" s="88"/>
      <c r="E49" s="88"/>
      <c r="F49" s="88"/>
      <c r="G49" s="88"/>
      <c r="H49" s="88"/>
      <c r="I49" s="88"/>
      <c r="J49" s="88"/>
      <c r="K49" s="88"/>
      <c r="L49" s="88"/>
      <c r="M49" s="88"/>
      <c r="N49" s="88"/>
      <c r="O49" s="88"/>
    </row>
    <row r="50" spans="2:15">
      <c r="B50" s="88"/>
      <c r="C50" s="88"/>
      <c r="D50" s="88"/>
      <c r="E50" s="88"/>
      <c r="F50" s="88"/>
      <c r="G50" s="88"/>
      <c r="H50" s="88"/>
      <c r="I50" s="88"/>
      <c r="J50" s="88"/>
      <c r="K50" s="88"/>
      <c r="L50" s="88"/>
      <c r="M50" s="88"/>
      <c r="N50" s="88"/>
      <c r="O50" s="88"/>
    </row>
  </sheetData>
  <mergeCells count="3">
    <mergeCell ref="A1:Q1"/>
    <mergeCell ref="A2:Q2"/>
    <mergeCell ref="A29:O29"/>
  </mergeCells>
  <phoneticPr fontId="9" type="noConversion"/>
  <pageMargins left="0.25" right="0.25" top="0.5" bottom="0.75" header="0.5" footer="0.5"/>
  <pageSetup scale="64" orientation="landscape" r:id="rId1"/>
  <headerFooter alignWithMargins="0"/>
</worksheet>
</file>

<file path=xl/worksheets/sheet42.xml><?xml version="1.0" encoding="utf-8"?>
<worksheet xmlns="http://schemas.openxmlformats.org/spreadsheetml/2006/main" xmlns:r="http://schemas.openxmlformats.org/officeDocument/2006/relationships">
  <sheetPr>
    <pageSetUpPr fitToPage="1"/>
  </sheetPr>
  <dimension ref="A1:S54"/>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H51" sqref="H51"/>
    </sheetView>
  </sheetViews>
  <sheetFormatPr defaultRowHeight="11.25"/>
  <cols>
    <col min="1" max="1" width="36.5703125" style="88" customWidth="1"/>
    <col min="2" max="2" width="9.7109375" style="46" customWidth="1"/>
    <col min="3" max="3" width="8" style="46" hidden="1" customWidth="1"/>
    <col min="4" max="5" width="9.42578125" style="46" customWidth="1"/>
    <col min="6" max="6" width="7.42578125" style="46" customWidth="1"/>
    <col min="7" max="7" width="9.85546875" style="46" customWidth="1"/>
    <col min="8" max="8" width="8.140625" style="46" customWidth="1"/>
    <col min="9" max="9" width="10.140625" style="47" customWidth="1"/>
    <col min="10" max="10" width="7.5703125" style="46" customWidth="1"/>
    <col min="11" max="11" width="7.140625" style="46" customWidth="1"/>
    <col min="12" max="12" width="8.85546875" style="46" customWidth="1"/>
    <col min="13" max="13" width="7.85546875" style="46" hidden="1" customWidth="1"/>
    <col min="14" max="14" width="10.140625" style="46" customWidth="1"/>
    <col min="15" max="16" width="10.85546875" style="145" customWidth="1"/>
    <col min="17" max="17" width="2.5703125" style="46" bestFit="1" customWidth="1"/>
    <col min="18" max="19" width="0" style="88" hidden="1" customWidth="1"/>
    <col min="20" max="20" width="11.140625" style="88" customWidth="1"/>
    <col min="21" max="21" width="8.5703125" style="88" customWidth="1"/>
    <col min="22" max="16384" width="9.140625" style="88"/>
  </cols>
  <sheetData>
    <row r="1" spans="1:19">
      <c r="A1" s="496" t="s">
        <v>266</v>
      </c>
      <c r="B1" s="496"/>
      <c r="C1" s="496"/>
      <c r="D1" s="496"/>
      <c r="E1" s="496"/>
      <c r="F1" s="496"/>
      <c r="G1" s="496"/>
      <c r="H1" s="496"/>
      <c r="I1" s="496"/>
      <c r="J1" s="496"/>
      <c r="K1" s="496"/>
      <c r="L1" s="496"/>
      <c r="M1" s="496"/>
      <c r="N1" s="496"/>
      <c r="O1" s="496"/>
      <c r="P1" s="496"/>
      <c r="Q1" s="496"/>
    </row>
    <row r="2" spans="1:19">
      <c r="A2" s="497" t="s">
        <v>272</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v>0</v>
      </c>
      <c r="J7" s="72">
        <f>H7*I7</f>
        <v>0</v>
      </c>
      <c r="K7" s="72">
        <f>J7*0.1</f>
        <v>0</v>
      </c>
      <c r="L7" s="72">
        <f>J7*0.05</f>
        <v>0</v>
      </c>
      <c r="M7" s="37">
        <f>C7*G7*I7</f>
        <v>0</v>
      </c>
      <c r="N7" s="44">
        <f>(J7*'Base Data'!$C$5)+(K7*'Base Data'!$C$6)+(L7*'Base Data'!$C$7)</f>
        <v>0</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v>0</v>
      </c>
      <c r="J9" s="72">
        <f>H9*I9</f>
        <v>0</v>
      </c>
      <c r="K9" s="72">
        <f>J9*0.1</f>
        <v>0</v>
      </c>
      <c r="L9" s="72">
        <f>J9*0.05</f>
        <v>0</v>
      </c>
      <c r="M9" s="73"/>
      <c r="N9" s="44">
        <f>(J9*'Base Data'!$C$5)+(K9*'Base Data'!$C$6)+(L9*'Base Data'!$C$7)</f>
        <v>0</v>
      </c>
      <c r="O9" s="44">
        <f>(D9+E9+F9)*I9</f>
        <v>0</v>
      </c>
      <c r="P9" s="73">
        <v>0</v>
      </c>
      <c r="Q9" s="75"/>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v>0</v>
      </c>
      <c r="J13" s="72">
        <f>H13*I13</f>
        <v>0</v>
      </c>
      <c r="K13" s="72">
        <f>J13*0.1</f>
        <v>0</v>
      </c>
      <c r="L13" s="72">
        <f>J13*0.05</f>
        <v>0</v>
      </c>
      <c r="M13" s="37">
        <f>C13*G13*I13</f>
        <v>0</v>
      </c>
      <c r="N13" s="44">
        <f>(J13*'Base Data'!$C$5)+(K13*'Base Data'!$C$6)+(L13*'Base Data'!$C$7)</f>
        <v>0</v>
      </c>
      <c r="O13" s="44">
        <f>(D13+E13+F13)*G13*I13</f>
        <v>0</v>
      </c>
      <c r="P13" s="73">
        <f>G13*I13</f>
        <v>0</v>
      </c>
      <c r="Q13" s="75"/>
    </row>
    <row r="14" spans="1:19" s="115" customFormat="1" ht="9">
      <c r="A14" s="126" t="s">
        <v>328</v>
      </c>
      <c r="B14" s="37">
        <v>8</v>
      </c>
      <c r="C14" s="37"/>
      <c r="D14" s="44">
        <v>0</v>
      </c>
      <c r="E14" s="44">
        <v>0</v>
      </c>
      <c r="F14" s="44">
        <v>0</v>
      </c>
      <c r="G14" s="37">
        <v>1</v>
      </c>
      <c r="H14" s="37">
        <f>B14*G14</f>
        <v>8</v>
      </c>
      <c r="I14" s="73">
        <v>0</v>
      </c>
      <c r="J14" s="72">
        <f>H14*I14</f>
        <v>0</v>
      </c>
      <c r="K14" s="72">
        <f>J14*0.1</f>
        <v>0</v>
      </c>
      <c r="L14" s="72">
        <f>J14*0.05</f>
        <v>0</v>
      </c>
      <c r="M14" s="37">
        <f>C14*G14*I14</f>
        <v>0</v>
      </c>
      <c r="N14" s="44">
        <f>(J14*'Base Data'!$C$5)+(K14*'Base Data'!$C$6)+(L14*'Base Data'!$C$7)</f>
        <v>0</v>
      </c>
      <c r="O14" s="44">
        <f>(D14+E14+F14)*G14*I14</f>
        <v>0</v>
      </c>
      <c r="P14" s="73">
        <f>G14*I14</f>
        <v>0</v>
      </c>
      <c r="Q14" s="75"/>
    </row>
    <row r="15" spans="1:19" s="115" customFormat="1" ht="9">
      <c r="A15" s="126" t="s">
        <v>11</v>
      </c>
      <c r="B15" s="37">
        <v>5</v>
      </c>
      <c r="C15" s="37"/>
      <c r="D15" s="44">
        <v>0</v>
      </c>
      <c r="E15" s="44">
        <v>0</v>
      </c>
      <c r="F15" s="44">
        <v>0</v>
      </c>
      <c r="G15" s="37">
        <v>0.5</v>
      </c>
      <c r="H15" s="37">
        <f>B15*G15</f>
        <v>2.5</v>
      </c>
      <c r="I15" s="72">
        <f>'Base Data'!$H$78</f>
        <v>0</v>
      </c>
      <c r="J15" s="72">
        <f>H15*I15</f>
        <v>0</v>
      </c>
      <c r="K15" s="72">
        <f>J15*0.1</f>
        <v>0</v>
      </c>
      <c r="L15" s="72">
        <f>J15*0.05</f>
        <v>0</v>
      </c>
      <c r="M15" s="37">
        <f>C15*G15*I15</f>
        <v>0</v>
      </c>
      <c r="N15" s="44">
        <f>(J15*'Base Data'!$C$5)+(K15*'Base Data'!$C$6)+(L15*'Base Data'!$C$7)</f>
        <v>0</v>
      </c>
      <c r="O15" s="44">
        <f>(D15+E15+F15)*G15*I15</f>
        <v>0</v>
      </c>
      <c r="P15" s="73">
        <f>G15*I15</f>
        <v>0</v>
      </c>
      <c r="Q15" s="75"/>
    </row>
    <row r="16" spans="1:19" s="115" customFormat="1" ht="9">
      <c r="A16" s="116" t="s">
        <v>7</v>
      </c>
      <c r="B16" s="37"/>
      <c r="C16" s="37"/>
      <c r="D16" s="44"/>
      <c r="E16" s="44"/>
      <c r="F16" s="44"/>
      <c r="G16" s="37"/>
      <c r="H16" s="37"/>
      <c r="I16" s="73"/>
      <c r="J16" s="73">
        <f t="shared" ref="J16:O16" si="0">SUM(J7:J15)</f>
        <v>0</v>
      </c>
      <c r="K16" s="73">
        <f t="shared" si="0"/>
        <v>0</v>
      </c>
      <c r="L16" s="73">
        <f t="shared" si="0"/>
        <v>0</v>
      </c>
      <c r="M16" s="73">
        <f t="shared" si="0"/>
        <v>0</v>
      </c>
      <c r="N16" s="73">
        <f t="shared" si="0"/>
        <v>0</v>
      </c>
      <c r="O16" s="73">
        <f t="shared" si="0"/>
        <v>0</v>
      </c>
      <c r="P16" s="73">
        <f>ROUND(SUM(P13:P15),0)</f>
        <v>0</v>
      </c>
      <c r="Q16" s="75"/>
      <c r="R16" s="117">
        <f>SUM(O7:O9)</f>
        <v>0</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2">
        <f>'Base Data'!$D$78</f>
        <v>0</v>
      </c>
      <c r="J22" s="72">
        <f>H22*I22</f>
        <v>0</v>
      </c>
      <c r="K22" s="72">
        <f>J22*0.1</f>
        <v>0</v>
      </c>
      <c r="L22" s="72">
        <f>J22*0.05</f>
        <v>0</v>
      </c>
      <c r="M22" s="37">
        <f>C22*G22*I22</f>
        <v>0</v>
      </c>
      <c r="N22" s="44">
        <f>(J22*'Base Data'!$C$5)+(K22*'Base Data'!$C$6)+(L22*'Base Data'!$C$7)</f>
        <v>0</v>
      </c>
      <c r="O22" s="44">
        <f>(D22+E22+F22)*G22*I22</f>
        <v>0</v>
      </c>
      <c r="P22" s="73">
        <v>0</v>
      </c>
      <c r="Q22" s="75"/>
    </row>
    <row r="23" spans="1:18" s="115" customFormat="1" ht="9">
      <c r="A23" s="126" t="s">
        <v>443</v>
      </c>
      <c r="B23" s="37">
        <v>0.5</v>
      </c>
      <c r="C23" s="37"/>
      <c r="D23" s="44">
        <v>0</v>
      </c>
      <c r="E23" s="44">
        <v>0</v>
      </c>
      <c r="F23" s="44">
        <v>0</v>
      </c>
      <c r="G23" s="37">
        <v>0.5</v>
      </c>
      <c r="H23" s="37">
        <f>B23*G23</f>
        <v>0.25</v>
      </c>
      <c r="I23" s="72">
        <f>'Base Data'!$D$78</f>
        <v>0</v>
      </c>
      <c r="J23" s="72">
        <f>H23*I23</f>
        <v>0</v>
      </c>
      <c r="K23" s="72">
        <f>J23*0.1</f>
        <v>0</v>
      </c>
      <c r="L23" s="72">
        <f>J23*0.05</f>
        <v>0</v>
      </c>
      <c r="M23" s="37">
        <f>C23*G23*I23</f>
        <v>0</v>
      </c>
      <c r="N23" s="44">
        <f>(J23*'Base Data'!$C$5)+(K23*'Base Data'!$C$6)+(L23*'Base Data'!$C$7)</f>
        <v>0</v>
      </c>
      <c r="O23" s="44">
        <f>(D23+E23+F23)*G23*I23</f>
        <v>0</v>
      </c>
      <c r="P23" s="73">
        <v>0</v>
      </c>
      <c r="Q23" s="75"/>
    </row>
    <row r="24" spans="1:18" s="6" customFormat="1" ht="9">
      <c r="A24" s="110" t="s">
        <v>378</v>
      </c>
      <c r="B24" s="37">
        <v>40</v>
      </c>
      <c r="C24" s="17"/>
      <c r="D24" s="32">
        <v>0</v>
      </c>
      <c r="E24" s="32">
        <v>0</v>
      </c>
      <c r="F24" s="32">
        <v>0</v>
      </c>
      <c r="G24" s="17">
        <v>1</v>
      </c>
      <c r="H24" s="17">
        <f t="shared" ref="H24" si="1">B24*G24</f>
        <v>40</v>
      </c>
      <c r="I24" s="72">
        <v>0</v>
      </c>
      <c r="J24" s="18">
        <f t="shared" ref="J24" si="2">H24*I24</f>
        <v>0</v>
      </c>
      <c r="K24" s="18">
        <f t="shared" ref="K24" si="3">J24*0.1</f>
        <v>0</v>
      </c>
      <c r="L24" s="18">
        <f t="shared" ref="L24" si="4">J24*0.05</f>
        <v>0</v>
      </c>
      <c r="M24" s="17"/>
      <c r="N24" s="32">
        <f>(J24*'Base Data'!$C$5)+(K24*'Base Data'!$C$6)+(L24*'Base Data'!$C$7)</f>
        <v>0</v>
      </c>
      <c r="O24" s="32">
        <f t="shared" ref="O24" si="5">(D24+E24+F24)*G24*I24</f>
        <v>0</v>
      </c>
      <c r="P24" s="73">
        <v>0</v>
      </c>
      <c r="Q24" s="23"/>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0</v>
      </c>
      <c r="K26" s="184">
        <f t="shared" si="6"/>
        <v>0</v>
      </c>
      <c r="L26" s="184">
        <f t="shared" si="6"/>
        <v>0</v>
      </c>
      <c r="M26" s="184">
        <f t="shared" si="6"/>
        <v>0</v>
      </c>
      <c r="N26" s="185">
        <f t="shared" si="6"/>
        <v>0</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0</v>
      </c>
      <c r="K27" s="139">
        <f t="shared" si="7"/>
        <v>0</v>
      </c>
      <c r="L27" s="139">
        <f t="shared" si="7"/>
        <v>0</v>
      </c>
      <c r="M27" s="139">
        <f t="shared" si="7"/>
        <v>0</v>
      </c>
      <c r="N27" s="140">
        <f t="shared" si="7"/>
        <v>0</v>
      </c>
      <c r="O27" s="140">
        <f t="shared" si="7"/>
        <v>0</v>
      </c>
      <c r="P27" s="139">
        <f t="shared" si="7"/>
        <v>0</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417</v>
      </c>
      <c r="B29" s="499"/>
      <c r="C29" s="499"/>
      <c r="D29" s="499"/>
      <c r="E29" s="499"/>
      <c r="F29" s="499"/>
      <c r="G29" s="499"/>
      <c r="H29" s="499"/>
      <c r="I29" s="499"/>
      <c r="J29" s="499"/>
      <c r="K29" s="499"/>
      <c r="L29" s="499"/>
      <c r="M29" s="499"/>
      <c r="N29" s="499"/>
      <c r="O29" s="499"/>
      <c r="P29" s="146"/>
      <c r="Q29" s="48"/>
    </row>
    <row r="30" spans="1:18" s="45" customFormat="1" ht="9">
      <c r="B30" s="48"/>
      <c r="C30" s="48"/>
      <c r="D30" s="48"/>
      <c r="E30" s="48"/>
      <c r="F30" s="48"/>
      <c r="G30" s="48"/>
      <c r="H30" s="48"/>
      <c r="I30" s="49"/>
      <c r="J30" s="48"/>
      <c r="K30" s="48"/>
      <c r="L30" s="48"/>
      <c r="M30" s="48"/>
      <c r="N30" s="48"/>
      <c r="O30" s="146"/>
      <c r="P30" s="146"/>
      <c r="Q30" s="48"/>
    </row>
    <row r="31" spans="1:18" s="45" customFormat="1" ht="9">
      <c r="B31" s="48"/>
      <c r="C31" s="48"/>
      <c r="D31" s="48"/>
      <c r="E31" s="48"/>
      <c r="F31" s="48"/>
      <c r="G31" s="48"/>
      <c r="H31" s="48"/>
      <c r="I31" s="49"/>
      <c r="J31" s="48"/>
      <c r="K31" s="48"/>
      <c r="L31" s="48"/>
      <c r="M31" s="48"/>
      <c r="N31" s="48"/>
      <c r="O31" s="146"/>
      <c r="P31" s="146"/>
      <c r="Q31" s="48"/>
    </row>
    <row r="32" spans="1:18" s="45" customFormat="1" ht="9">
      <c r="B32" s="48"/>
      <c r="C32" s="48"/>
      <c r="D32" s="48"/>
      <c r="E32" s="48"/>
      <c r="F32" s="48"/>
      <c r="G32" s="48"/>
      <c r="H32" s="48"/>
      <c r="I32" s="49"/>
      <c r="J32" s="48"/>
      <c r="K32" s="48"/>
      <c r="L32" s="48"/>
      <c r="M32" s="48"/>
      <c r="N32" s="48"/>
      <c r="O32" s="146"/>
      <c r="P32" s="146"/>
      <c r="Q32" s="48"/>
    </row>
    <row r="33" spans="2:18" s="45" customFormat="1" ht="9">
      <c r="B33" s="48"/>
      <c r="C33" s="48"/>
      <c r="D33" s="48"/>
      <c r="E33" s="48"/>
      <c r="F33" s="48"/>
      <c r="G33" s="48"/>
      <c r="H33" s="48"/>
      <c r="I33" s="49"/>
      <c r="J33" s="48"/>
      <c r="K33" s="48"/>
      <c r="L33" s="48"/>
      <c r="M33" s="48"/>
      <c r="N33" s="48"/>
      <c r="O33" s="146"/>
      <c r="P33" s="146"/>
      <c r="Q33" s="48"/>
    </row>
    <row r="34" spans="2:18" s="45" customFormat="1" ht="9">
      <c r="B34" s="48"/>
      <c r="C34" s="48"/>
      <c r="D34" s="48"/>
      <c r="E34" s="48"/>
      <c r="F34" s="48"/>
      <c r="G34" s="48"/>
      <c r="H34" s="48"/>
      <c r="I34" s="49"/>
      <c r="J34" s="48"/>
      <c r="K34" s="48"/>
      <c r="L34" s="48"/>
      <c r="M34" s="48"/>
      <c r="N34" s="48"/>
      <c r="O34" s="146"/>
      <c r="P34" s="146"/>
      <c r="Q34" s="48"/>
    </row>
    <row r="35" spans="2:18" s="45" customFormat="1">
      <c r="B35" s="48"/>
      <c r="C35" s="48"/>
      <c r="D35" s="48"/>
      <c r="E35" s="48"/>
      <c r="F35" s="48"/>
      <c r="G35" s="48"/>
      <c r="H35" s="48"/>
      <c r="I35" s="49"/>
      <c r="J35" s="48"/>
      <c r="K35" s="48"/>
      <c r="L35" s="48"/>
      <c r="M35" s="48"/>
      <c r="N35" s="48"/>
      <c r="O35" s="146"/>
      <c r="P35" s="146"/>
      <c r="Q35" s="48"/>
      <c r="R35" s="88"/>
    </row>
    <row r="37" spans="2:18" s="45" customFormat="1" ht="9">
      <c r="B37" s="48"/>
      <c r="C37" s="48"/>
      <c r="D37" s="48"/>
      <c r="E37" s="48"/>
      <c r="F37" s="48"/>
      <c r="G37" s="48"/>
      <c r="H37" s="48"/>
      <c r="I37" s="49"/>
      <c r="J37" s="48"/>
      <c r="K37" s="48"/>
      <c r="L37" s="48"/>
      <c r="M37" s="48"/>
      <c r="N37" s="48"/>
      <c r="O37" s="146"/>
      <c r="P37" s="146"/>
      <c r="Q37" s="48"/>
    </row>
    <row r="38" spans="2:18" s="45" customFormat="1" ht="9">
      <c r="B38" s="48"/>
      <c r="C38" s="48"/>
      <c r="D38" s="48"/>
      <c r="E38" s="48"/>
      <c r="F38" s="48"/>
      <c r="G38" s="48"/>
      <c r="H38" s="48"/>
      <c r="I38" s="49"/>
      <c r="J38" s="48"/>
      <c r="K38" s="48"/>
      <c r="L38" s="48"/>
      <c r="M38" s="48"/>
      <c r="N38" s="48"/>
      <c r="O38" s="146"/>
      <c r="P38" s="146"/>
      <c r="Q38" s="48"/>
    </row>
    <row r="39" spans="2:18" s="45" customFormat="1" ht="9">
      <c r="B39" s="48"/>
      <c r="C39" s="48"/>
      <c r="D39" s="48"/>
      <c r="E39" s="48"/>
      <c r="F39" s="48"/>
      <c r="G39" s="48"/>
      <c r="H39" s="48"/>
      <c r="I39" s="49"/>
      <c r="J39" s="48"/>
      <c r="K39" s="48"/>
      <c r="L39" s="48"/>
      <c r="M39" s="48"/>
      <c r="N39" s="48"/>
      <c r="O39" s="146"/>
      <c r="P39" s="146"/>
      <c r="Q39" s="48"/>
    </row>
    <row r="40" spans="2:18" s="45" customFormat="1">
      <c r="B40" s="48"/>
      <c r="C40" s="48"/>
      <c r="D40" s="48"/>
      <c r="E40" s="48"/>
      <c r="F40" s="48"/>
      <c r="G40" s="48"/>
      <c r="H40" s="48"/>
      <c r="I40" s="49"/>
      <c r="J40" s="48"/>
      <c r="K40" s="48"/>
      <c r="L40" s="48"/>
      <c r="M40" s="48"/>
      <c r="N40" s="48"/>
      <c r="O40" s="146"/>
      <c r="P40" s="146"/>
      <c r="Q40" s="46"/>
    </row>
    <row r="41" spans="2:18" s="45" customFormat="1">
      <c r="B41" s="48"/>
      <c r="C41" s="48"/>
      <c r="D41" s="48"/>
      <c r="E41" s="48"/>
      <c r="F41" s="48"/>
      <c r="G41" s="48"/>
      <c r="H41" s="48"/>
      <c r="I41" s="49"/>
      <c r="J41" s="48"/>
      <c r="K41" s="48"/>
      <c r="L41" s="48"/>
      <c r="M41" s="48"/>
      <c r="N41" s="48"/>
      <c r="O41" s="146"/>
      <c r="P41" s="146"/>
      <c r="Q41" s="46"/>
    </row>
    <row r="42" spans="2:18" s="45" customFormat="1">
      <c r="B42" s="48"/>
      <c r="C42" s="48"/>
      <c r="D42" s="48"/>
      <c r="E42" s="48"/>
      <c r="F42" s="48"/>
      <c r="G42" s="48"/>
      <c r="H42" s="48"/>
      <c r="I42" s="49"/>
      <c r="J42" s="48"/>
      <c r="K42" s="48"/>
      <c r="L42" s="48"/>
      <c r="M42" s="48"/>
      <c r="N42" s="48"/>
      <c r="O42" s="146"/>
      <c r="P42" s="146"/>
      <c r="Q42" s="46"/>
    </row>
    <row r="43" spans="2:18" s="45" customFormat="1">
      <c r="B43" s="48"/>
      <c r="C43" s="48"/>
      <c r="D43" s="48"/>
      <c r="E43" s="48"/>
      <c r="F43" s="48"/>
      <c r="G43" s="48"/>
      <c r="H43" s="48"/>
      <c r="I43" s="49"/>
      <c r="J43" s="48"/>
      <c r="K43" s="48"/>
      <c r="L43" s="48"/>
      <c r="M43" s="48"/>
      <c r="N43" s="48"/>
      <c r="O43" s="146"/>
      <c r="P43" s="146"/>
      <c r="Q43" s="46"/>
    </row>
    <row r="44" spans="2:18" s="45" customFormat="1">
      <c r="B44" s="48"/>
      <c r="C44" s="48"/>
      <c r="D44" s="48"/>
      <c r="E44" s="48"/>
      <c r="F44" s="48"/>
      <c r="G44" s="48"/>
      <c r="H44" s="48"/>
      <c r="I44" s="49"/>
      <c r="J44" s="48"/>
      <c r="K44" s="48"/>
      <c r="L44" s="48"/>
      <c r="M44" s="48"/>
      <c r="N44" s="48"/>
      <c r="O44" s="146"/>
      <c r="P44" s="146"/>
      <c r="Q44" s="46"/>
      <c r="R44" s="88"/>
    </row>
    <row r="53" spans="2:15">
      <c r="B53" s="88"/>
      <c r="C53" s="88"/>
      <c r="D53" s="88"/>
      <c r="E53" s="88"/>
      <c r="F53" s="88"/>
      <c r="G53" s="88"/>
      <c r="H53" s="88"/>
      <c r="I53" s="88"/>
      <c r="J53" s="88"/>
      <c r="K53" s="88"/>
      <c r="L53" s="88"/>
      <c r="M53" s="88"/>
      <c r="N53" s="88"/>
      <c r="O53" s="88"/>
    </row>
    <row r="54" spans="2:15">
      <c r="B54" s="88"/>
      <c r="C54" s="88"/>
      <c r="D54" s="88"/>
      <c r="E54" s="88"/>
      <c r="F54" s="88"/>
      <c r="G54" s="88"/>
      <c r="H54" s="88"/>
      <c r="I54" s="88"/>
      <c r="J54" s="88"/>
      <c r="K54" s="88"/>
      <c r="L54" s="88"/>
      <c r="M54" s="88"/>
      <c r="N54" s="88"/>
      <c r="O54" s="88"/>
    </row>
  </sheetData>
  <mergeCells count="3">
    <mergeCell ref="A1:Q1"/>
    <mergeCell ref="A2:Q2"/>
    <mergeCell ref="A29:O29"/>
  </mergeCells>
  <phoneticPr fontId="9" type="noConversion"/>
  <pageMargins left="0.25" right="0.25" top="0.5" bottom="0.75" header="0.5" footer="0.5"/>
  <pageSetup scale="64" orientation="landscape" r:id="rId1"/>
  <headerFooter alignWithMargins="0"/>
</worksheet>
</file>

<file path=xl/worksheets/sheet43.xml><?xml version="1.0" encoding="utf-8"?>
<worksheet xmlns="http://schemas.openxmlformats.org/spreadsheetml/2006/main" xmlns:r="http://schemas.openxmlformats.org/officeDocument/2006/relationships">
  <sheetPr>
    <pageSetUpPr fitToPage="1"/>
  </sheetPr>
  <dimension ref="A1:S40"/>
  <sheetViews>
    <sheetView zoomScaleNormal="100" workbookViewId="0">
      <pane xSplit="1" ySplit="2" topLeftCell="B3" activePane="bottomRight" state="frozen"/>
      <selection activeCell="N53" sqref="N53"/>
      <selection pane="topRight" activeCell="N53" sqref="N53"/>
      <selection pane="bottomLeft" activeCell="N53" sqref="N53"/>
      <selection pane="bottomRight" activeCell="I9" sqref="I9"/>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8.28515625" style="46" customWidth="1"/>
    <col min="7" max="7" width="9.28515625" style="46" bestFit="1" customWidth="1"/>
    <col min="8" max="8" width="7.85546875" style="46" bestFit="1" customWidth="1"/>
    <col min="9" max="9" width="9.42578125" style="47" bestFit="1" customWidth="1"/>
    <col min="10" max="10" width="8.85546875" style="46" bestFit="1" customWidth="1"/>
    <col min="11" max="11" width="7.28515625" style="46" customWidth="1"/>
    <col min="12" max="12" width="8.85546875" style="46" customWidth="1"/>
    <col min="13" max="13" width="7.85546875" style="46" hidden="1" customWidth="1"/>
    <col min="14" max="14" width="10.140625" style="46" customWidth="1"/>
    <col min="15" max="15" width="10.140625" style="145" bestFit="1" customWidth="1"/>
    <col min="16" max="16" width="10" style="145" bestFit="1" customWidth="1"/>
    <col min="17" max="17" width="3.7109375" style="46" customWidth="1"/>
    <col min="18" max="19" width="0" style="88" hidden="1" customWidth="1"/>
    <col min="20" max="20" width="11.140625" style="88" customWidth="1"/>
    <col min="21" max="21" width="8.5703125" style="88" customWidth="1"/>
    <col min="22" max="16384" width="9.140625" style="88"/>
  </cols>
  <sheetData>
    <row r="1" spans="1:19">
      <c r="A1" s="496" t="s">
        <v>119</v>
      </c>
      <c r="B1" s="496"/>
      <c r="C1" s="496"/>
      <c r="D1" s="496"/>
      <c r="E1" s="496"/>
      <c r="F1" s="496"/>
      <c r="G1" s="496"/>
      <c r="H1" s="496"/>
      <c r="I1" s="496"/>
      <c r="J1" s="496"/>
      <c r="K1" s="496"/>
      <c r="L1" s="496"/>
      <c r="M1" s="496"/>
      <c r="N1" s="496"/>
      <c r="O1" s="496"/>
      <c r="P1" s="496"/>
      <c r="Q1" s="496"/>
    </row>
    <row r="2" spans="1:19">
      <c r="A2" s="497" t="s">
        <v>274</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ROUND('Base Data'!$H$70/3,0)</f>
        <v>41</v>
      </c>
      <c r="J7" s="72">
        <f>H7*I7</f>
        <v>1640</v>
      </c>
      <c r="K7" s="72">
        <f>J7*0.1</f>
        <v>164</v>
      </c>
      <c r="L7" s="72">
        <f>J7*0.05</f>
        <v>82</v>
      </c>
      <c r="M7" s="37">
        <f>C7*G7*I7</f>
        <v>0</v>
      </c>
      <c r="N7" s="44">
        <f>(J7*'Base Data'!$C$5)+(K7*'Base Data'!$C$6)+(L7*'Base Data'!$C$7)</f>
        <v>178395.1</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ROUNDUP('Base Data'!$D$70/3,0)</f>
        <v>326</v>
      </c>
      <c r="J9" s="72">
        <f>H9*I9</f>
        <v>1956</v>
      </c>
      <c r="K9" s="72">
        <f>J9*0.1</f>
        <v>195.60000000000002</v>
      </c>
      <c r="L9" s="72">
        <f>J9*0.05</f>
        <v>97.800000000000011</v>
      </c>
      <c r="M9" s="73"/>
      <c r="N9" s="44">
        <f>(J9*'Base Data'!$C$5)+(K9*'Base Data'!$C$6)+(L9*'Base Data'!$C$7)</f>
        <v>212768.79</v>
      </c>
      <c r="O9" s="44">
        <f>(D9+E9+F9)*I9</f>
        <v>726328</v>
      </c>
      <c r="P9" s="73">
        <v>0</v>
      </c>
      <c r="Q9" s="75" t="s">
        <v>499</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f>$I$7</f>
        <v>41</v>
      </c>
      <c r="J13" s="72">
        <f>H13*I13</f>
        <v>82</v>
      </c>
      <c r="K13" s="72">
        <f>J13*0.1</f>
        <v>8.2000000000000011</v>
      </c>
      <c r="L13" s="72">
        <f>J13*0.05</f>
        <v>4.1000000000000005</v>
      </c>
      <c r="M13" s="37">
        <f>C13*G13*I13</f>
        <v>0</v>
      </c>
      <c r="N13" s="44">
        <f>(J13*'Base Data'!$C$5)+(K13*'Base Data'!$C$6)+(L13*'Base Data'!$C$7)</f>
        <v>8919.755000000001</v>
      </c>
      <c r="O13" s="44">
        <f>(D13+E13+F13)*G13*I13</f>
        <v>0</v>
      </c>
      <c r="P13" s="73">
        <f>G13*I13</f>
        <v>41</v>
      </c>
      <c r="Q13" s="75" t="s">
        <v>338</v>
      </c>
    </row>
    <row r="14" spans="1:19" s="115" customFormat="1" ht="9">
      <c r="A14" s="126" t="s">
        <v>328</v>
      </c>
      <c r="B14" s="37">
        <v>8</v>
      </c>
      <c r="C14" s="37"/>
      <c r="D14" s="44">
        <v>0</v>
      </c>
      <c r="E14" s="44">
        <v>0</v>
      </c>
      <c r="F14" s="44">
        <v>0</v>
      </c>
      <c r="G14" s="37">
        <v>1</v>
      </c>
      <c r="H14" s="37">
        <f>B14*G14</f>
        <v>8</v>
      </c>
      <c r="I14" s="72">
        <f>$I$7</f>
        <v>41</v>
      </c>
      <c r="J14" s="72">
        <f>H14*I14</f>
        <v>328</v>
      </c>
      <c r="K14" s="72">
        <f>J14*0.1</f>
        <v>32.800000000000004</v>
      </c>
      <c r="L14" s="72">
        <f>J14*0.05</f>
        <v>16.400000000000002</v>
      </c>
      <c r="M14" s="37">
        <f>C14*G14*I14</f>
        <v>0</v>
      </c>
      <c r="N14" s="44">
        <f>(J14*'Base Data'!$C$5)+(K14*'Base Data'!$C$6)+(L14*'Base Data'!$C$7)</f>
        <v>35679.020000000004</v>
      </c>
      <c r="O14" s="44">
        <f>(D14+E14+F14)*G14*I14</f>
        <v>0</v>
      </c>
      <c r="P14" s="73">
        <f>G14*I14</f>
        <v>41</v>
      </c>
      <c r="Q14" s="75" t="s">
        <v>338</v>
      </c>
    </row>
    <row r="15" spans="1:19" s="115" customFormat="1" ht="9">
      <c r="A15" s="126" t="s">
        <v>11</v>
      </c>
      <c r="B15" s="37">
        <v>5</v>
      </c>
      <c r="C15" s="37"/>
      <c r="D15" s="44">
        <v>0</v>
      </c>
      <c r="E15" s="44">
        <v>0</v>
      </c>
      <c r="F15" s="44">
        <v>0</v>
      </c>
      <c r="G15" s="37">
        <v>0.5</v>
      </c>
      <c r="H15" s="37">
        <f>B15*G15</f>
        <v>2.5</v>
      </c>
      <c r="I15" s="72">
        <f>$I$7</f>
        <v>41</v>
      </c>
      <c r="J15" s="72">
        <f>H15*I15</f>
        <v>102.5</v>
      </c>
      <c r="K15" s="72">
        <f>J15*0.1</f>
        <v>10.25</v>
      </c>
      <c r="L15" s="72">
        <f>J15*0.05</f>
        <v>5.125</v>
      </c>
      <c r="M15" s="37">
        <f>C15*G15*I15</f>
        <v>0</v>
      </c>
      <c r="N15" s="44">
        <f>(J15*'Base Data'!$C$5)+(K15*'Base Data'!$C$6)+(L15*'Base Data'!$C$7)</f>
        <v>11149.69375</v>
      </c>
      <c r="O15" s="44">
        <f>(D15+E15+F15)*G15*I15</f>
        <v>0</v>
      </c>
      <c r="P15" s="73">
        <f>G15*I15</f>
        <v>20.5</v>
      </c>
      <c r="Q15" s="75" t="s">
        <v>556</v>
      </c>
    </row>
    <row r="16" spans="1:19" s="115" customFormat="1" ht="9">
      <c r="A16" s="116" t="s">
        <v>7</v>
      </c>
      <c r="B16" s="37"/>
      <c r="C16" s="37"/>
      <c r="D16" s="44"/>
      <c r="E16" s="44"/>
      <c r="F16" s="44"/>
      <c r="G16" s="37"/>
      <c r="H16" s="37"/>
      <c r="I16" s="73"/>
      <c r="J16" s="73">
        <f t="shared" ref="J16:O16" si="0">SUM(J7:J15)</f>
        <v>4108.5</v>
      </c>
      <c r="K16" s="73">
        <f t="shared" si="0"/>
        <v>410.85</v>
      </c>
      <c r="L16" s="73">
        <f t="shared" si="0"/>
        <v>205.42500000000001</v>
      </c>
      <c r="M16" s="73">
        <f t="shared" si="0"/>
        <v>0</v>
      </c>
      <c r="N16" s="73">
        <f t="shared" si="0"/>
        <v>446912.35875000001</v>
      </c>
      <c r="O16" s="73">
        <f t="shared" si="0"/>
        <v>726328</v>
      </c>
      <c r="P16" s="73">
        <f>SUM(P13:P15)</f>
        <v>102.5</v>
      </c>
      <c r="Q16" s="75"/>
      <c r="R16" s="117">
        <f>SUM(O7:O9)</f>
        <v>726328</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$I$15</f>
        <v>41</v>
      </c>
      <c r="J22" s="72">
        <f>H22*I22</f>
        <v>41</v>
      </c>
      <c r="K22" s="72">
        <f>J22*0.1</f>
        <v>4.1000000000000005</v>
      </c>
      <c r="L22" s="72">
        <f>J22*0.05</f>
        <v>2.0500000000000003</v>
      </c>
      <c r="M22" s="37">
        <f>C22*G22*I22</f>
        <v>0</v>
      </c>
      <c r="N22" s="44">
        <f>(J22*'Base Data'!$C$5)+(K22*'Base Data'!$C$6)+(L22*'Base Data'!$C$7)</f>
        <v>4459.8775000000005</v>
      </c>
      <c r="O22" s="44">
        <f>(D22+E22+F22)*G22*I22</f>
        <v>0</v>
      </c>
      <c r="P22" s="73">
        <v>0</v>
      </c>
      <c r="Q22" s="75" t="s">
        <v>338</v>
      </c>
    </row>
    <row r="23" spans="1:18" s="115" customFormat="1" ht="9">
      <c r="A23" s="126" t="s">
        <v>443</v>
      </c>
      <c r="B23" s="37">
        <v>0.5</v>
      </c>
      <c r="C23" s="37"/>
      <c r="D23" s="44">
        <v>0</v>
      </c>
      <c r="E23" s="44">
        <v>0</v>
      </c>
      <c r="F23" s="44">
        <v>0</v>
      </c>
      <c r="G23" s="37">
        <v>0.5</v>
      </c>
      <c r="H23" s="37">
        <f>B23*G23</f>
        <v>0.25</v>
      </c>
      <c r="I23" s="73">
        <f>$I$9</f>
        <v>326</v>
      </c>
      <c r="J23" s="72">
        <f>H23*I23</f>
        <v>81.5</v>
      </c>
      <c r="K23" s="72">
        <f>J23*0.1</f>
        <v>8.15</v>
      </c>
      <c r="L23" s="72">
        <f>J23*0.05</f>
        <v>4.0750000000000002</v>
      </c>
      <c r="M23" s="37">
        <f>C23*G23*I23</f>
        <v>0</v>
      </c>
      <c r="N23" s="44">
        <f>(J23*'Base Data'!$C$5)+(K23*'Base Data'!$C$6)+(L23*'Base Data'!$C$7)</f>
        <v>8865.3662499999991</v>
      </c>
      <c r="O23" s="44">
        <f>(D23+E23+F23)*G23*I23</f>
        <v>0</v>
      </c>
      <c r="P23" s="73">
        <v>0</v>
      </c>
      <c r="Q23" s="75" t="s">
        <v>556</v>
      </c>
    </row>
    <row r="24" spans="1:18" s="6" customFormat="1" ht="9">
      <c r="A24" s="110" t="s">
        <v>378</v>
      </c>
      <c r="B24" s="37">
        <v>40</v>
      </c>
      <c r="C24" s="17"/>
      <c r="D24" s="32">
        <v>0</v>
      </c>
      <c r="E24" s="32">
        <v>0</v>
      </c>
      <c r="F24" s="32">
        <v>0</v>
      </c>
      <c r="G24" s="17">
        <v>1</v>
      </c>
      <c r="H24" s="17">
        <f t="shared" ref="H24" si="1">B24*G24</f>
        <v>40</v>
      </c>
      <c r="I24" s="72">
        <f>$I$7</f>
        <v>41</v>
      </c>
      <c r="J24" s="18">
        <f t="shared" ref="J24" si="2">H24*I24</f>
        <v>1640</v>
      </c>
      <c r="K24" s="18">
        <f t="shared" ref="K24" si="3">J24*0.1</f>
        <v>164</v>
      </c>
      <c r="L24" s="18">
        <f t="shared" ref="L24" si="4">J24*0.05</f>
        <v>82</v>
      </c>
      <c r="M24" s="17"/>
      <c r="N24" s="32">
        <f>(J24*'Base Data'!$C$5)+(K24*'Base Data'!$C$6)+(L24*'Base Data'!$C$7)</f>
        <v>178395.1</v>
      </c>
      <c r="O24" s="32">
        <f t="shared" ref="O24" si="5">(D24+E24+F24)*G24*I24</f>
        <v>0</v>
      </c>
      <c r="P24" s="73">
        <v>0</v>
      </c>
      <c r="Q24" s="23" t="s">
        <v>339</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1762.5</v>
      </c>
      <c r="K26" s="184">
        <f t="shared" si="6"/>
        <v>176.25</v>
      </c>
      <c r="L26" s="184">
        <f t="shared" si="6"/>
        <v>88.125</v>
      </c>
      <c r="M26" s="184">
        <f t="shared" si="6"/>
        <v>0</v>
      </c>
      <c r="N26" s="185">
        <f t="shared" si="6"/>
        <v>191720.34375</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5871</v>
      </c>
      <c r="K27" s="139">
        <f t="shared" si="7"/>
        <v>587.1</v>
      </c>
      <c r="L27" s="139">
        <f t="shared" si="7"/>
        <v>293.55</v>
      </c>
      <c r="M27" s="139">
        <f t="shared" si="7"/>
        <v>0</v>
      </c>
      <c r="N27" s="140">
        <f t="shared" si="7"/>
        <v>638632.70250000001</v>
      </c>
      <c r="O27" s="140">
        <f t="shared" si="7"/>
        <v>726328</v>
      </c>
      <c r="P27" s="139">
        <f t="shared" si="7"/>
        <v>102.5</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620</v>
      </c>
      <c r="B29" s="499"/>
      <c r="C29" s="499"/>
      <c r="D29" s="499"/>
      <c r="E29" s="499"/>
      <c r="F29" s="499"/>
      <c r="G29" s="499"/>
      <c r="H29" s="499"/>
      <c r="I29" s="499"/>
      <c r="J29" s="499"/>
      <c r="K29" s="499"/>
      <c r="L29" s="499"/>
      <c r="M29" s="499"/>
      <c r="N29" s="499"/>
      <c r="O29" s="499"/>
      <c r="P29" s="146"/>
      <c r="Q29" s="48"/>
    </row>
    <row r="30" spans="1:18" s="45" customFormat="1" ht="9">
      <c r="A30" s="494" t="s">
        <v>122</v>
      </c>
      <c r="B30" s="494"/>
      <c r="C30" s="494"/>
      <c r="D30" s="494"/>
      <c r="E30" s="494"/>
      <c r="F30" s="494"/>
      <c r="G30" s="494"/>
      <c r="H30" s="494"/>
      <c r="I30" s="494"/>
      <c r="J30" s="494"/>
      <c r="K30" s="494"/>
      <c r="L30" s="494"/>
      <c r="M30" s="494"/>
      <c r="N30" s="494"/>
      <c r="O30" s="494"/>
      <c r="P30" s="146"/>
      <c r="Q30" s="48"/>
    </row>
    <row r="31" spans="1:18" s="45" customFormat="1" ht="9">
      <c r="A31" s="13" t="s">
        <v>504</v>
      </c>
      <c r="B31" s="93"/>
      <c r="C31" s="93"/>
      <c r="D31" s="93"/>
      <c r="E31" s="93"/>
      <c r="F31" s="93"/>
      <c r="G31" s="93"/>
      <c r="H31" s="93"/>
      <c r="I31" s="93"/>
      <c r="J31" s="93"/>
      <c r="K31" s="93"/>
      <c r="L31" s="93"/>
      <c r="M31" s="93"/>
      <c r="N31" s="93"/>
      <c r="O31" s="93"/>
      <c r="P31" s="146"/>
      <c r="Q31" s="48"/>
    </row>
    <row r="32" spans="1:18" s="45" customFormat="1" ht="9">
      <c r="A32" s="382" t="s">
        <v>563</v>
      </c>
      <c r="B32" s="48"/>
      <c r="C32" s="48"/>
      <c r="D32" s="48"/>
      <c r="E32" s="48"/>
      <c r="F32" s="48"/>
      <c r="G32" s="48"/>
      <c r="H32" s="48"/>
      <c r="I32" s="49"/>
      <c r="J32" s="48"/>
      <c r="K32" s="48"/>
      <c r="L32" s="48"/>
      <c r="M32" s="48"/>
      <c r="N32" s="48"/>
      <c r="O32" s="146"/>
      <c r="P32" s="146"/>
      <c r="Q32" s="48"/>
    </row>
    <row r="33" spans="1:18" s="45" customFormat="1" ht="9">
      <c r="A33" s="382" t="s">
        <v>669</v>
      </c>
      <c r="P33" s="146"/>
      <c r="Q33" s="48"/>
    </row>
    <row r="34" spans="1:18" s="45" customFormat="1" ht="9">
      <c r="B34" s="48"/>
      <c r="C34" s="48"/>
      <c r="D34" s="48"/>
      <c r="E34" s="48"/>
      <c r="F34" s="48"/>
      <c r="G34" s="48"/>
      <c r="H34" s="48"/>
      <c r="I34" s="49"/>
      <c r="J34" s="48"/>
      <c r="K34" s="48"/>
      <c r="L34" s="48"/>
      <c r="M34" s="48"/>
      <c r="N34" s="48"/>
      <c r="O34" s="146"/>
      <c r="P34" s="146"/>
      <c r="Q34" s="48"/>
    </row>
    <row r="35" spans="1:18" s="45" customFormat="1" ht="9">
      <c r="A35" s="376"/>
      <c r="B35" s="379"/>
      <c r="C35" s="379"/>
      <c r="D35" s="379"/>
      <c r="E35" s="379"/>
      <c r="F35" s="379"/>
      <c r="G35" s="379"/>
      <c r="H35" s="379"/>
      <c r="I35" s="379"/>
      <c r="J35" s="379"/>
      <c r="K35" s="379"/>
      <c r="L35" s="379"/>
      <c r="M35" s="379"/>
      <c r="N35" s="379"/>
      <c r="O35" s="379"/>
      <c r="P35" s="146"/>
      <c r="Q35" s="48"/>
    </row>
    <row r="36" spans="1:18" s="45" customFormat="1">
      <c r="B36" s="380"/>
      <c r="C36" s="380"/>
      <c r="D36" s="380"/>
      <c r="E36" s="380"/>
      <c r="F36" s="380"/>
      <c r="G36" s="380"/>
      <c r="H36" s="380"/>
      <c r="I36" s="381"/>
      <c r="J36" s="381"/>
      <c r="K36" s="381"/>
      <c r="L36" s="381"/>
      <c r="M36" s="381"/>
      <c r="N36" s="380"/>
      <c r="O36" s="378"/>
      <c r="P36" s="146"/>
      <c r="Q36" s="48"/>
    </row>
    <row r="37" spans="1:18" s="45" customFormat="1" ht="9">
      <c r="B37" s="48"/>
      <c r="C37" s="48"/>
      <c r="D37" s="48"/>
      <c r="E37" s="48"/>
      <c r="F37" s="48"/>
      <c r="G37" s="48"/>
      <c r="H37" s="48"/>
      <c r="I37" s="49"/>
      <c r="J37" s="48"/>
      <c r="K37" s="48"/>
      <c r="L37" s="48"/>
      <c r="M37" s="48"/>
      <c r="N37" s="48"/>
      <c r="O37" s="146"/>
      <c r="P37" s="146"/>
      <c r="Q37" s="48"/>
    </row>
    <row r="38" spans="1:18" s="45" customFormat="1" ht="9">
      <c r="B38" s="48"/>
      <c r="C38" s="48"/>
      <c r="D38" s="48"/>
      <c r="E38" s="48"/>
      <c r="F38" s="48"/>
      <c r="G38" s="48"/>
      <c r="H38" s="48"/>
      <c r="I38" s="49"/>
      <c r="J38" s="48"/>
      <c r="K38" s="48"/>
      <c r="L38" s="48"/>
      <c r="M38" s="48"/>
      <c r="N38" s="48"/>
      <c r="O38" s="146"/>
      <c r="P38" s="146"/>
      <c r="Q38" s="48"/>
    </row>
    <row r="39" spans="1:18" s="45" customFormat="1" ht="9">
      <c r="B39" s="48"/>
      <c r="C39" s="48"/>
      <c r="D39" s="48"/>
      <c r="E39" s="48"/>
      <c r="F39" s="48"/>
      <c r="G39" s="48"/>
      <c r="H39" s="48"/>
      <c r="I39" s="49"/>
      <c r="J39" s="48"/>
      <c r="K39" s="48"/>
      <c r="L39" s="48"/>
      <c r="M39" s="48"/>
      <c r="N39" s="48"/>
      <c r="O39" s="146"/>
      <c r="P39" s="146"/>
      <c r="Q39" s="48"/>
    </row>
    <row r="40" spans="1:18" s="45" customFormat="1">
      <c r="B40" s="48"/>
      <c r="C40" s="48"/>
      <c r="D40" s="48"/>
      <c r="E40" s="48"/>
      <c r="F40" s="48"/>
      <c r="G40" s="48"/>
      <c r="H40" s="48"/>
      <c r="I40" s="49"/>
      <c r="J40" s="48"/>
      <c r="K40" s="48"/>
      <c r="L40" s="48"/>
      <c r="M40" s="48"/>
      <c r="N40" s="48"/>
      <c r="O40" s="146"/>
      <c r="P40" s="146"/>
      <c r="Q40" s="48"/>
      <c r="R40" s="88"/>
    </row>
  </sheetData>
  <mergeCells count="4">
    <mergeCell ref="A1:Q1"/>
    <mergeCell ref="A2:Q2"/>
    <mergeCell ref="A30:O30"/>
    <mergeCell ref="A29:O29"/>
  </mergeCells>
  <phoneticPr fontId="9" type="noConversion"/>
  <pageMargins left="0.25" right="0.25" top="0.5" bottom="0.75" header="0.5" footer="0.5"/>
  <pageSetup scale="85" orientation="landscape" r:id="rId1"/>
  <headerFooter alignWithMargins="0"/>
</worksheet>
</file>

<file path=xl/worksheets/sheet44.xml><?xml version="1.0" encoding="utf-8"?>
<worksheet xmlns="http://schemas.openxmlformats.org/spreadsheetml/2006/main" xmlns:r="http://schemas.openxmlformats.org/officeDocument/2006/relationships">
  <sheetPr>
    <pageSetUpPr fitToPage="1"/>
  </sheetPr>
  <dimension ref="A1:S58"/>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I23" sqref="I23"/>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8.710937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8.7109375" style="46" customWidth="1"/>
    <col min="13" max="13" width="7.85546875" style="46" hidden="1" customWidth="1"/>
    <col min="14" max="14" width="10.140625" style="46" customWidth="1"/>
    <col min="15" max="15" width="10.140625" style="145" bestFit="1" customWidth="1"/>
    <col min="16" max="16" width="10" style="145" bestFit="1" customWidth="1"/>
    <col min="17" max="17" width="2.5703125" style="46" bestFit="1" customWidth="1"/>
    <col min="18" max="19" width="0" style="88" hidden="1" customWidth="1"/>
    <col min="20" max="20" width="11.140625" style="88" customWidth="1"/>
    <col min="21" max="21" width="8.5703125" style="88" customWidth="1"/>
    <col min="22" max="16384" width="9.140625" style="88"/>
  </cols>
  <sheetData>
    <row r="1" spans="1:19">
      <c r="A1" s="496" t="s">
        <v>120</v>
      </c>
      <c r="B1" s="496"/>
      <c r="C1" s="496"/>
      <c r="D1" s="496"/>
      <c r="E1" s="496"/>
      <c r="F1" s="496"/>
      <c r="G1" s="496"/>
      <c r="H1" s="496"/>
      <c r="I1" s="496"/>
      <c r="J1" s="496"/>
      <c r="K1" s="496"/>
      <c r="L1" s="496"/>
      <c r="M1" s="496"/>
      <c r="N1" s="496"/>
      <c r="O1" s="496"/>
      <c r="P1" s="496"/>
      <c r="Q1" s="496"/>
    </row>
    <row r="2" spans="1:19">
      <c r="A2" s="497" t="s">
        <v>290</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ROUND('Base Data'!$H$70/3,0)</f>
        <v>41</v>
      </c>
      <c r="J7" s="72">
        <f>H7*I7</f>
        <v>1640</v>
      </c>
      <c r="K7" s="72">
        <f>J7*0.1</f>
        <v>164</v>
      </c>
      <c r="L7" s="72">
        <f>J7*0.05</f>
        <v>82</v>
      </c>
      <c r="M7" s="37">
        <f>C7*G7*I7</f>
        <v>0</v>
      </c>
      <c r="N7" s="44">
        <f>(J7*'Base Data'!$C$5)+(K7*'Base Data'!$C$6)+(L7*'Base Data'!$C$7)</f>
        <v>178395.1</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ROUND('Base Data'!$D$70/3,0)</f>
        <v>326</v>
      </c>
      <c r="J9" s="72">
        <f>H9*I9</f>
        <v>1956</v>
      </c>
      <c r="K9" s="72">
        <f>J9*0.1</f>
        <v>195.60000000000002</v>
      </c>
      <c r="L9" s="72">
        <f>J9*0.05</f>
        <v>97.800000000000011</v>
      </c>
      <c r="M9" s="73"/>
      <c r="N9" s="44">
        <f>(J9*'Base Data'!$C$5)+(K9*'Base Data'!$C$6)+(L9*'Base Data'!$C$7)</f>
        <v>212768.79</v>
      </c>
      <c r="O9" s="44">
        <f>(D9+E9+F9)*I9</f>
        <v>726328</v>
      </c>
      <c r="P9" s="73">
        <v>0</v>
      </c>
      <c r="Q9" s="75" t="s">
        <v>499</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f>$I$7</f>
        <v>41</v>
      </c>
      <c r="J13" s="72">
        <f>H13*I13</f>
        <v>82</v>
      </c>
      <c r="K13" s="72">
        <f>J13*0.1</f>
        <v>8.2000000000000011</v>
      </c>
      <c r="L13" s="72">
        <f>J13*0.05</f>
        <v>4.1000000000000005</v>
      </c>
      <c r="M13" s="37">
        <f>C13*G13*I13</f>
        <v>0</v>
      </c>
      <c r="N13" s="44">
        <f>(J13*'Base Data'!$C$5)+(K13*'Base Data'!$C$6)+(L13*'Base Data'!$C$7)</f>
        <v>8919.755000000001</v>
      </c>
      <c r="O13" s="44">
        <f>(D13+E13+F13)*G13*I13</f>
        <v>0</v>
      </c>
      <c r="P13" s="73">
        <f>G13*I13</f>
        <v>41</v>
      </c>
      <c r="Q13" s="75" t="s">
        <v>338</v>
      </c>
    </row>
    <row r="14" spans="1:19" s="115" customFormat="1" ht="9">
      <c r="A14" s="126" t="s">
        <v>328</v>
      </c>
      <c r="B14" s="37">
        <v>8</v>
      </c>
      <c r="C14" s="37"/>
      <c r="D14" s="44">
        <v>0</v>
      </c>
      <c r="E14" s="44">
        <v>0</v>
      </c>
      <c r="F14" s="44">
        <v>0</v>
      </c>
      <c r="G14" s="37">
        <v>1</v>
      </c>
      <c r="H14" s="37">
        <f>B14*G14</f>
        <v>8</v>
      </c>
      <c r="I14" s="72">
        <f>$I$7</f>
        <v>41</v>
      </c>
      <c r="J14" s="72">
        <f>H14*I14</f>
        <v>328</v>
      </c>
      <c r="K14" s="72">
        <f>J14*0.1</f>
        <v>32.800000000000004</v>
      </c>
      <c r="L14" s="72">
        <f>J14*0.05</f>
        <v>16.400000000000002</v>
      </c>
      <c r="M14" s="37">
        <f>C14*G14*I14</f>
        <v>0</v>
      </c>
      <c r="N14" s="44">
        <f>(J14*'Base Data'!$C$5)+(K14*'Base Data'!$C$6)+(L14*'Base Data'!$C$7)</f>
        <v>35679.020000000004</v>
      </c>
      <c r="O14" s="44">
        <f>(D14+E14+F14)*G14*I14</f>
        <v>0</v>
      </c>
      <c r="P14" s="73">
        <f>G14*I14</f>
        <v>41</v>
      </c>
      <c r="Q14" s="75" t="s">
        <v>338</v>
      </c>
    </row>
    <row r="15" spans="1:19" s="115" customFormat="1" ht="9">
      <c r="A15" s="126" t="s">
        <v>11</v>
      </c>
      <c r="B15" s="37">
        <v>5</v>
      </c>
      <c r="C15" s="37"/>
      <c r="D15" s="44">
        <v>0</v>
      </c>
      <c r="E15" s="44">
        <v>0</v>
      </c>
      <c r="F15" s="44">
        <v>0</v>
      </c>
      <c r="G15" s="37">
        <v>0.5</v>
      </c>
      <c r="H15" s="37">
        <f>B15*G15</f>
        <v>2.5</v>
      </c>
      <c r="I15" s="72">
        <f>$I$7</f>
        <v>41</v>
      </c>
      <c r="J15" s="72">
        <f>H15*I15</f>
        <v>102.5</v>
      </c>
      <c r="K15" s="72">
        <f>J15*0.1</f>
        <v>10.25</v>
      </c>
      <c r="L15" s="72">
        <f>J15*0.05</f>
        <v>5.125</v>
      </c>
      <c r="M15" s="37">
        <f>C15*G15*I15</f>
        <v>0</v>
      </c>
      <c r="N15" s="44">
        <f>(J15*'Base Data'!$C$5)+(K15*'Base Data'!$C$6)+(L15*'Base Data'!$C$7)</f>
        <v>11149.69375</v>
      </c>
      <c r="O15" s="44">
        <f>(D15+E15+F15)*G15*I15</f>
        <v>0</v>
      </c>
      <c r="P15" s="73">
        <f>G15*I15</f>
        <v>20.5</v>
      </c>
      <c r="Q15" s="75" t="s">
        <v>556</v>
      </c>
    </row>
    <row r="16" spans="1:19" s="115" customFormat="1" ht="9">
      <c r="A16" s="116" t="s">
        <v>7</v>
      </c>
      <c r="B16" s="37"/>
      <c r="C16" s="37"/>
      <c r="D16" s="44"/>
      <c r="E16" s="44"/>
      <c r="F16" s="44"/>
      <c r="G16" s="37"/>
      <c r="H16" s="37"/>
      <c r="I16" s="73"/>
      <c r="J16" s="73">
        <f t="shared" ref="J16:O16" si="0">SUM(J7:J15)</f>
        <v>4108.5</v>
      </c>
      <c r="K16" s="73">
        <f t="shared" si="0"/>
        <v>410.85</v>
      </c>
      <c r="L16" s="73">
        <f t="shared" si="0"/>
        <v>205.42500000000001</v>
      </c>
      <c r="M16" s="73">
        <f t="shared" si="0"/>
        <v>0</v>
      </c>
      <c r="N16" s="73">
        <f t="shared" si="0"/>
        <v>446912.35875000001</v>
      </c>
      <c r="O16" s="73">
        <f t="shared" si="0"/>
        <v>726328</v>
      </c>
      <c r="P16" s="73">
        <f>SUM(P13:P15)</f>
        <v>102.5</v>
      </c>
      <c r="Q16" s="75"/>
      <c r="R16" s="117">
        <f>SUM(O7:O9)</f>
        <v>726328</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I15</f>
        <v>41</v>
      </c>
      <c r="J22" s="72">
        <f>H22*I22</f>
        <v>41</v>
      </c>
      <c r="K22" s="72">
        <f>J22*0.1</f>
        <v>4.1000000000000005</v>
      </c>
      <c r="L22" s="72">
        <f>J22*0.05</f>
        <v>2.0500000000000003</v>
      </c>
      <c r="M22" s="37">
        <f>C22*G22*I22</f>
        <v>0</v>
      </c>
      <c r="N22" s="44">
        <f>(J22*'Base Data'!$C$5)+(K22*'Base Data'!$C$6)+(L22*'Base Data'!$C$7)</f>
        <v>4459.8775000000005</v>
      </c>
      <c r="O22" s="44">
        <f>(D22+E22+F22)*G22*I22</f>
        <v>0</v>
      </c>
      <c r="P22" s="73">
        <v>0</v>
      </c>
      <c r="Q22" s="75" t="s">
        <v>338</v>
      </c>
    </row>
    <row r="23" spans="1:18" s="115" customFormat="1" ht="9">
      <c r="A23" s="126" t="s">
        <v>443</v>
      </c>
      <c r="B23" s="37">
        <v>0.5</v>
      </c>
      <c r="C23" s="37"/>
      <c r="D23" s="44">
        <v>0</v>
      </c>
      <c r="E23" s="44">
        <v>0</v>
      </c>
      <c r="F23" s="44">
        <v>0</v>
      </c>
      <c r="G23" s="37">
        <v>0.5</v>
      </c>
      <c r="H23" s="37">
        <f>B23*G23</f>
        <v>0.25</v>
      </c>
      <c r="I23" s="73">
        <f>I9</f>
        <v>326</v>
      </c>
      <c r="J23" s="72">
        <f>H23*I23</f>
        <v>81.5</v>
      </c>
      <c r="K23" s="72">
        <f>J23*0.1</f>
        <v>8.15</v>
      </c>
      <c r="L23" s="72">
        <f>J23*0.05</f>
        <v>4.0750000000000002</v>
      </c>
      <c r="M23" s="37">
        <f>C23*G23*I23</f>
        <v>0</v>
      </c>
      <c r="N23" s="44">
        <f>(J23*'Base Data'!$C$5)+(K23*'Base Data'!$C$6)+(L23*'Base Data'!$C$7)</f>
        <v>8865.3662499999991</v>
      </c>
      <c r="O23" s="44">
        <f>(D23+E23+F23)*G23*I23</f>
        <v>0</v>
      </c>
      <c r="P23" s="73">
        <v>0</v>
      </c>
      <c r="Q23" s="75" t="s">
        <v>556</v>
      </c>
    </row>
    <row r="24" spans="1:18" s="6" customFormat="1" ht="9">
      <c r="A24" s="110" t="s">
        <v>378</v>
      </c>
      <c r="B24" s="37">
        <v>40</v>
      </c>
      <c r="C24" s="17"/>
      <c r="D24" s="32">
        <v>0</v>
      </c>
      <c r="E24" s="32">
        <v>0</v>
      </c>
      <c r="F24" s="32">
        <v>0</v>
      </c>
      <c r="G24" s="17">
        <v>1</v>
      </c>
      <c r="H24" s="17">
        <f t="shared" ref="H24" si="1">B24*G24</f>
        <v>40</v>
      </c>
      <c r="I24" s="72">
        <f>$I$7</f>
        <v>41</v>
      </c>
      <c r="J24" s="18">
        <f t="shared" ref="J24" si="2">H24*I24</f>
        <v>1640</v>
      </c>
      <c r="K24" s="18">
        <f t="shared" ref="K24" si="3">J24*0.1</f>
        <v>164</v>
      </c>
      <c r="L24" s="18">
        <f t="shared" ref="L24" si="4">J24*0.05</f>
        <v>82</v>
      </c>
      <c r="M24" s="17"/>
      <c r="N24" s="32">
        <f>(J24*'Base Data'!$C$5)+(K24*'Base Data'!$C$6)+(L24*'Base Data'!$C$7)</f>
        <v>178395.1</v>
      </c>
      <c r="O24" s="32">
        <f t="shared" ref="O24" si="5">(D24+E24+F24)*G24*I24</f>
        <v>0</v>
      </c>
      <c r="P24" s="73">
        <v>0</v>
      </c>
      <c r="Q24" s="23" t="s">
        <v>338</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1762.5</v>
      </c>
      <c r="K26" s="184">
        <f t="shared" si="6"/>
        <v>176.25</v>
      </c>
      <c r="L26" s="184">
        <f t="shared" si="6"/>
        <v>88.125</v>
      </c>
      <c r="M26" s="184">
        <f t="shared" si="6"/>
        <v>0</v>
      </c>
      <c r="N26" s="185">
        <f t="shared" si="6"/>
        <v>191720.34375</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5871</v>
      </c>
      <c r="K27" s="139">
        <f t="shared" si="7"/>
        <v>587.1</v>
      </c>
      <c r="L27" s="139">
        <f t="shared" si="7"/>
        <v>293.55</v>
      </c>
      <c r="M27" s="139">
        <f t="shared" si="7"/>
        <v>0</v>
      </c>
      <c r="N27" s="140">
        <f t="shared" si="7"/>
        <v>638632.70250000001</v>
      </c>
      <c r="O27" s="140">
        <f t="shared" si="7"/>
        <v>726328</v>
      </c>
      <c r="P27" s="139">
        <f t="shared" si="7"/>
        <v>102.5</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620</v>
      </c>
      <c r="B29" s="499"/>
      <c r="C29" s="499"/>
      <c r="D29" s="499"/>
      <c r="E29" s="499"/>
      <c r="F29" s="499"/>
      <c r="G29" s="499"/>
      <c r="H29" s="499"/>
      <c r="I29" s="499"/>
      <c r="J29" s="499"/>
      <c r="K29" s="499"/>
      <c r="L29" s="499"/>
      <c r="M29" s="499"/>
      <c r="N29" s="499"/>
      <c r="O29" s="499"/>
      <c r="P29" s="146"/>
      <c r="Q29" s="48"/>
    </row>
    <row r="30" spans="1:18" s="45" customFormat="1" ht="9" customHeight="1">
      <c r="A30" s="494" t="s">
        <v>122</v>
      </c>
      <c r="B30" s="494"/>
      <c r="C30" s="494"/>
      <c r="D30" s="494"/>
      <c r="E30" s="494"/>
      <c r="F30" s="494"/>
      <c r="G30" s="494"/>
      <c r="H30" s="494"/>
      <c r="I30" s="494"/>
      <c r="J30" s="494"/>
      <c r="K30" s="494"/>
      <c r="L30" s="494"/>
      <c r="M30" s="494"/>
      <c r="N30" s="494"/>
      <c r="O30" s="494"/>
      <c r="P30" s="146"/>
      <c r="Q30" s="48"/>
    </row>
    <row r="31" spans="1:18" s="45" customFormat="1" ht="9">
      <c r="A31" s="13" t="s">
        <v>504</v>
      </c>
      <c r="B31" s="93"/>
      <c r="C31" s="93"/>
      <c r="D31" s="93"/>
      <c r="E31" s="93"/>
      <c r="F31" s="93"/>
      <c r="G31" s="93"/>
      <c r="H31" s="93"/>
      <c r="I31" s="93"/>
      <c r="J31" s="93"/>
      <c r="K31" s="93"/>
      <c r="L31" s="93"/>
      <c r="M31" s="93"/>
      <c r="N31" s="93"/>
      <c r="O31" s="93"/>
      <c r="P31" s="146"/>
      <c r="Q31" s="48"/>
    </row>
    <row r="32" spans="1:18" s="45" customFormat="1" ht="9">
      <c r="A32" s="382" t="s">
        <v>563</v>
      </c>
      <c r="B32" s="48"/>
      <c r="C32" s="48"/>
      <c r="D32" s="48"/>
      <c r="E32" s="48"/>
      <c r="F32" s="48"/>
      <c r="G32" s="48"/>
      <c r="H32" s="48"/>
      <c r="I32" s="49"/>
      <c r="J32" s="48"/>
      <c r="K32" s="48"/>
      <c r="L32" s="48"/>
      <c r="M32" s="48"/>
      <c r="N32" s="48"/>
      <c r="O32" s="146"/>
      <c r="P32" s="146"/>
      <c r="Q32" s="48"/>
    </row>
    <row r="33" spans="1:18" s="45" customFormat="1" ht="9">
      <c r="A33" s="382" t="s">
        <v>657</v>
      </c>
      <c r="B33" s="48"/>
      <c r="C33" s="48"/>
      <c r="D33" s="48"/>
      <c r="E33" s="48"/>
      <c r="F33" s="48"/>
      <c r="G33" s="48"/>
      <c r="H33" s="48"/>
      <c r="I33" s="49"/>
      <c r="J33" s="48"/>
      <c r="K33" s="48"/>
      <c r="L33" s="48"/>
      <c r="M33" s="48"/>
      <c r="N33" s="48"/>
      <c r="O33" s="146"/>
      <c r="P33" s="146"/>
      <c r="Q33" s="48"/>
    </row>
    <row r="34" spans="1:18" s="45" customFormat="1" ht="9">
      <c r="B34" s="48"/>
      <c r="C34" s="48"/>
      <c r="D34" s="48"/>
      <c r="E34" s="48"/>
      <c r="F34" s="48"/>
      <c r="G34" s="48"/>
      <c r="H34" s="48"/>
      <c r="I34" s="49"/>
      <c r="J34" s="48"/>
      <c r="K34" s="48"/>
      <c r="L34" s="48"/>
      <c r="M34" s="48"/>
      <c r="N34" s="48"/>
      <c r="O34" s="146"/>
      <c r="P34" s="146"/>
      <c r="Q34" s="48"/>
    </row>
    <row r="35" spans="1:18" s="45" customFormat="1" ht="9">
      <c r="B35" s="48"/>
      <c r="C35" s="48"/>
      <c r="D35" s="48"/>
      <c r="E35" s="48"/>
      <c r="F35" s="48"/>
      <c r="G35" s="48"/>
      <c r="H35" s="48"/>
      <c r="I35" s="49"/>
      <c r="J35" s="48"/>
      <c r="K35" s="48"/>
      <c r="L35" s="48"/>
      <c r="M35" s="48"/>
      <c r="N35" s="48"/>
      <c r="O35" s="146"/>
      <c r="P35" s="146"/>
      <c r="Q35" s="48"/>
    </row>
    <row r="36" spans="1:18" s="45" customFormat="1" ht="9">
      <c r="A36" s="494"/>
      <c r="B36" s="494"/>
      <c r="C36" s="494"/>
      <c r="D36" s="494"/>
      <c r="E36" s="494"/>
      <c r="F36" s="494"/>
      <c r="G36" s="494"/>
      <c r="H36" s="494"/>
      <c r="I36" s="494"/>
      <c r="J36" s="494"/>
      <c r="K36" s="494"/>
      <c r="L36" s="494"/>
      <c r="M36" s="494"/>
      <c r="N36" s="494"/>
      <c r="O36" s="494"/>
      <c r="P36" s="146"/>
      <c r="Q36" s="48"/>
    </row>
    <row r="37" spans="1:18" s="45" customFormat="1" ht="9">
      <c r="A37" s="94"/>
      <c r="B37" s="93"/>
      <c r="C37" s="93"/>
      <c r="D37" s="93"/>
      <c r="E37" s="93"/>
      <c r="F37" s="93"/>
      <c r="G37" s="93"/>
      <c r="H37" s="93"/>
      <c r="I37" s="93"/>
      <c r="J37" s="93"/>
      <c r="K37" s="93"/>
      <c r="L37" s="93"/>
      <c r="M37" s="93"/>
      <c r="N37" s="93"/>
      <c r="O37" s="93"/>
      <c r="P37" s="146"/>
      <c r="Q37" s="48"/>
    </row>
    <row r="38" spans="1:18" s="45" customFormat="1" ht="9">
      <c r="A38" s="94"/>
      <c r="B38" s="93"/>
      <c r="C38" s="93"/>
      <c r="D38" s="93"/>
      <c r="E38" s="93"/>
      <c r="F38" s="93"/>
      <c r="G38" s="93"/>
      <c r="H38" s="93"/>
      <c r="I38" s="93"/>
      <c r="J38" s="93"/>
      <c r="K38" s="93"/>
      <c r="L38" s="93"/>
      <c r="M38" s="93"/>
      <c r="N38" s="93"/>
      <c r="O38" s="93"/>
      <c r="P38" s="146"/>
      <c r="Q38" s="48"/>
    </row>
    <row r="39" spans="1:18" s="45" customFormat="1" ht="9">
      <c r="B39" s="48"/>
      <c r="C39" s="48"/>
      <c r="D39" s="48"/>
      <c r="E39" s="48"/>
      <c r="F39" s="48"/>
      <c r="G39" s="48"/>
      <c r="H39" s="48"/>
      <c r="I39" s="49"/>
      <c r="J39" s="48"/>
      <c r="K39" s="48"/>
      <c r="L39" s="48"/>
      <c r="M39" s="48"/>
      <c r="N39" s="48"/>
      <c r="O39" s="146"/>
      <c r="P39" s="146"/>
      <c r="Q39" s="48"/>
    </row>
    <row r="40" spans="1:18" s="45" customFormat="1">
      <c r="B40" s="48"/>
      <c r="C40" s="48"/>
      <c r="D40" s="48"/>
      <c r="E40" s="48"/>
      <c r="F40" s="48"/>
      <c r="G40" s="48"/>
      <c r="H40" s="48"/>
      <c r="I40" s="49"/>
      <c r="J40" s="48"/>
      <c r="K40" s="48"/>
      <c r="L40" s="48"/>
      <c r="M40" s="48"/>
      <c r="N40" s="48"/>
      <c r="O40" s="146"/>
      <c r="P40" s="146"/>
      <c r="Q40" s="48"/>
      <c r="R40" s="88"/>
    </row>
    <row r="41" spans="1:18">
      <c r="Q41" s="48"/>
    </row>
    <row r="42" spans="1:18">
      <c r="Q42" s="48"/>
    </row>
    <row r="43" spans="1:18">
      <c r="Q43" s="48"/>
    </row>
    <row r="44" spans="1:18">
      <c r="Q44" s="48"/>
    </row>
    <row r="45" spans="1:18">
      <c r="Q45" s="48"/>
    </row>
    <row r="46" spans="1:18">
      <c r="Q46" s="48"/>
    </row>
    <row r="47" spans="1:18">
      <c r="Q47" s="48"/>
    </row>
    <row r="48" spans="1:18">
      <c r="Q48" s="48"/>
    </row>
    <row r="49" spans="17:17">
      <c r="Q49" s="48"/>
    </row>
    <row r="50" spans="17:17">
      <c r="Q50" s="48"/>
    </row>
    <row r="51" spans="17:17">
      <c r="Q51" s="48"/>
    </row>
    <row r="52" spans="17:17">
      <c r="Q52" s="48"/>
    </row>
    <row r="53" spans="17:17">
      <c r="Q53" s="48"/>
    </row>
    <row r="54" spans="17:17">
      <c r="Q54" s="48"/>
    </row>
    <row r="55" spans="17:17">
      <c r="Q55" s="48"/>
    </row>
    <row r="56" spans="17:17">
      <c r="Q56" s="48"/>
    </row>
    <row r="57" spans="17:17">
      <c r="Q57" s="48"/>
    </row>
    <row r="58" spans="17:17">
      <c r="Q58" s="48"/>
    </row>
  </sheetData>
  <mergeCells count="5">
    <mergeCell ref="A36:O36"/>
    <mergeCell ref="A1:Q1"/>
    <mergeCell ref="A2:Q2"/>
    <mergeCell ref="A30:O30"/>
    <mergeCell ref="A29:O29"/>
  </mergeCells>
  <phoneticPr fontId="9" type="noConversion"/>
  <pageMargins left="0.25" right="0.25" top="0.5" bottom="0.75" header="0.5" footer="0.5"/>
  <pageSetup scale="60" orientation="landscape" r:id="rId1"/>
  <headerFooter alignWithMargins="0"/>
</worksheet>
</file>

<file path=xl/worksheets/sheet45.xml><?xml version="1.0" encoding="utf-8"?>
<worksheet xmlns="http://schemas.openxmlformats.org/spreadsheetml/2006/main" xmlns:r="http://schemas.openxmlformats.org/officeDocument/2006/relationships">
  <sheetPr>
    <pageSetUpPr fitToPage="1"/>
  </sheetPr>
  <dimension ref="A1:S58"/>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A49" sqref="A49"/>
    </sheetView>
  </sheetViews>
  <sheetFormatPr defaultRowHeight="11.25"/>
  <cols>
    <col min="1" max="1" width="36.5703125" style="88" customWidth="1"/>
    <col min="2" max="2" width="8.85546875" style="46" bestFit="1" customWidth="1"/>
    <col min="3" max="3" width="8" style="46" hidden="1" customWidth="1"/>
    <col min="4" max="4" width="8.42578125" style="46" bestFit="1" customWidth="1"/>
    <col min="5" max="5" width="9.28515625" style="46" bestFit="1" customWidth="1"/>
    <col min="6" max="6" width="7.42578125" style="46" customWidth="1"/>
    <col min="7" max="7" width="9.28515625" style="46" bestFit="1" customWidth="1"/>
    <col min="8" max="8" width="7.85546875" style="46" bestFit="1" customWidth="1"/>
    <col min="9" max="9" width="9.42578125" style="47" bestFit="1" customWidth="1"/>
    <col min="10" max="11" width="6.85546875" style="46" bestFit="1" customWidth="1"/>
    <col min="12" max="12" width="9" style="46" customWidth="1"/>
    <col min="13" max="13" width="7.85546875" style="46" hidden="1" customWidth="1"/>
    <col min="14" max="14" width="10.140625" style="46" customWidth="1"/>
    <col min="15" max="15" width="10.140625" style="145" bestFit="1" customWidth="1"/>
    <col min="16" max="16" width="10" style="145" bestFit="1" customWidth="1"/>
    <col min="17" max="17" width="3" style="46" customWidth="1"/>
    <col min="18" max="19" width="0" style="88" hidden="1" customWidth="1"/>
    <col min="20" max="20" width="11.140625" style="88" customWidth="1"/>
    <col min="21" max="21" width="8.5703125" style="88" customWidth="1"/>
    <col min="22" max="16384" width="9.140625" style="88"/>
  </cols>
  <sheetData>
    <row r="1" spans="1:19">
      <c r="A1" s="496" t="s">
        <v>121</v>
      </c>
      <c r="B1" s="496"/>
      <c r="C1" s="496"/>
      <c r="D1" s="496"/>
      <c r="E1" s="496"/>
      <c r="F1" s="496"/>
      <c r="G1" s="496"/>
      <c r="H1" s="496"/>
      <c r="I1" s="496"/>
      <c r="J1" s="496"/>
      <c r="K1" s="496"/>
      <c r="L1" s="496"/>
      <c r="M1" s="496"/>
      <c r="N1" s="496"/>
      <c r="O1" s="496"/>
      <c r="P1" s="496"/>
      <c r="Q1" s="496"/>
    </row>
    <row r="2" spans="1:19">
      <c r="A2" s="497" t="s">
        <v>289</v>
      </c>
      <c r="B2" s="497"/>
      <c r="C2" s="497"/>
      <c r="D2" s="497"/>
      <c r="E2" s="497"/>
      <c r="F2" s="497"/>
      <c r="G2" s="497"/>
      <c r="H2" s="497"/>
      <c r="I2" s="497"/>
      <c r="J2" s="497"/>
      <c r="K2" s="497"/>
      <c r="L2" s="497"/>
      <c r="M2" s="497"/>
      <c r="N2" s="497"/>
      <c r="O2" s="497"/>
      <c r="P2" s="497"/>
      <c r="Q2" s="497"/>
    </row>
    <row r="3" spans="1:19" s="142" customFormat="1" ht="63">
      <c r="A3" s="38" t="s">
        <v>343</v>
      </c>
      <c r="B3" s="38" t="s">
        <v>344</v>
      </c>
      <c r="C3" s="38" t="s">
        <v>381</v>
      </c>
      <c r="D3" s="38" t="s">
        <v>4</v>
      </c>
      <c r="E3" s="38" t="s">
        <v>93</v>
      </c>
      <c r="F3" s="38" t="s">
        <v>5</v>
      </c>
      <c r="G3" s="12" t="s">
        <v>163</v>
      </c>
      <c r="H3" s="38" t="s">
        <v>410</v>
      </c>
      <c r="I3" s="51" t="s">
        <v>411</v>
      </c>
      <c r="J3" s="79" t="s">
        <v>413</v>
      </c>
      <c r="K3" s="79" t="s">
        <v>414</v>
      </c>
      <c r="L3" s="79" t="s">
        <v>412</v>
      </c>
      <c r="M3" s="38" t="s">
        <v>342</v>
      </c>
      <c r="N3" s="38" t="s">
        <v>8</v>
      </c>
      <c r="O3" s="79" t="s">
        <v>95</v>
      </c>
      <c r="P3" s="79" t="s">
        <v>162</v>
      </c>
      <c r="Q3" s="131" t="s">
        <v>345</v>
      </c>
      <c r="R3" s="142" t="s">
        <v>275</v>
      </c>
      <c r="S3" s="142" t="s">
        <v>276</v>
      </c>
    </row>
    <row r="4" spans="1:19" s="115" customFormat="1" ht="9">
      <c r="A4" s="143" t="s">
        <v>356</v>
      </c>
      <c r="B4" s="128" t="s">
        <v>384</v>
      </c>
      <c r="C4" s="128"/>
      <c r="D4" s="130"/>
      <c r="E4" s="130"/>
      <c r="F4" s="130"/>
      <c r="G4" s="128"/>
      <c r="H4" s="128"/>
      <c r="I4" s="132"/>
      <c r="J4" s="128"/>
      <c r="K4" s="128"/>
      <c r="L4" s="128"/>
      <c r="M4" s="128"/>
      <c r="N4" s="130"/>
      <c r="O4" s="130"/>
      <c r="P4" s="130"/>
      <c r="Q4" s="188"/>
    </row>
    <row r="5" spans="1:19" s="115" customFormat="1" ht="9">
      <c r="A5" s="111" t="s">
        <v>357</v>
      </c>
      <c r="B5" s="37" t="s">
        <v>384</v>
      </c>
      <c r="C5" s="37"/>
      <c r="D5" s="44"/>
      <c r="E5" s="44"/>
      <c r="F5" s="44"/>
      <c r="G5" s="37"/>
      <c r="H5" s="37"/>
      <c r="I5" s="73"/>
      <c r="J5" s="37"/>
      <c r="K5" s="37"/>
      <c r="L5" s="37"/>
      <c r="M5" s="37"/>
      <c r="N5" s="44"/>
      <c r="O5" s="44"/>
      <c r="P5" s="44"/>
      <c r="Q5" s="75"/>
    </row>
    <row r="6" spans="1:19" s="115" customFormat="1" ht="9">
      <c r="A6" s="111" t="s">
        <v>358</v>
      </c>
      <c r="B6" s="37"/>
      <c r="C6" s="37"/>
      <c r="D6" s="44"/>
      <c r="E6" s="44"/>
      <c r="F6" s="44"/>
      <c r="G6" s="37"/>
      <c r="H6" s="37"/>
      <c r="I6" s="73"/>
      <c r="J6" s="37"/>
      <c r="K6" s="37"/>
      <c r="L6" s="37"/>
      <c r="M6" s="37"/>
      <c r="N6" s="44"/>
      <c r="O6" s="44"/>
      <c r="P6" s="44"/>
      <c r="Q6" s="75"/>
    </row>
    <row r="7" spans="1:19" s="115" customFormat="1" ht="9">
      <c r="A7" s="111" t="s">
        <v>359</v>
      </c>
      <c r="B7" s="37">
        <v>40</v>
      </c>
      <c r="C7" s="37"/>
      <c r="D7" s="44">
        <v>0</v>
      </c>
      <c r="E7" s="44">
        <v>0</v>
      </c>
      <c r="F7" s="44">
        <v>0</v>
      </c>
      <c r="G7" s="37">
        <v>1</v>
      </c>
      <c r="H7" s="37">
        <f>B7*G7</f>
        <v>40</v>
      </c>
      <c r="I7" s="72">
        <f>ROUND('Base Data'!$H$70/3,0)</f>
        <v>41</v>
      </c>
      <c r="J7" s="72">
        <f>H7*I7</f>
        <v>1640</v>
      </c>
      <c r="K7" s="72">
        <f>J7*0.1</f>
        <v>164</v>
      </c>
      <c r="L7" s="72">
        <f>J7*0.05</f>
        <v>82</v>
      </c>
      <c r="M7" s="37">
        <f>C7*G7*I7</f>
        <v>0</v>
      </c>
      <c r="N7" s="44">
        <f>(J7*'Base Data'!$C$5)+(K7*'Base Data'!$C$6)+(L7*'Base Data'!$C$7)</f>
        <v>178395.1</v>
      </c>
      <c r="O7" s="44">
        <f>(D7+E7+F7)*G7*I7</f>
        <v>0</v>
      </c>
      <c r="P7" s="73">
        <v>0</v>
      </c>
      <c r="Q7" s="75" t="s">
        <v>338</v>
      </c>
    </row>
    <row r="8" spans="1:19" s="115" customFormat="1" ht="9">
      <c r="A8" s="111" t="s">
        <v>360</v>
      </c>
      <c r="B8" s="37"/>
      <c r="C8" s="37"/>
      <c r="D8" s="44"/>
      <c r="E8" s="44"/>
      <c r="F8" s="44"/>
      <c r="G8" s="37"/>
      <c r="H8" s="37"/>
      <c r="I8" s="73"/>
      <c r="J8" s="37"/>
      <c r="K8" s="37"/>
      <c r="L8" s="37"/>
      <c r="M8" s="37"/>
      <c r="N8" s="44"/>
      <c r="O8" s="44"/>
      <c r="P8" s="73"/>
      <c r="Q8" s="75"/>
    </row>
    <row r="9" spans="1:19" s="115" customFormat="1" ht="9">
      <c r="A9" s="111" t="s">
        <v>442</v>
      </c>
      <c r="B9" s="37">
        <v>12</v>
      </c>
      <c r="C9" s="37"/>
      <c r="D9" s="44">
        <v>0</v>
      </c>
      <c r="E9" s="44">
        <v>2228</v>
      </c>
      <c r="F9" s="44">
        <v>0</v>
      </c>
      <c r="G9" s="37">
        <v>0.5</v>
      </c>
      <c r="H9" s="37">
        <f>B9*G9</f>
        <v>6</v>
      </c>
      <c r="I9" s="72">
        <f>ROUNDDOWN('Base Data'!$D$70/3,0)+'Fac-NewSmlGas-Yr1'!I9-4</f>
        <v>648</v>
      </c>
      <c r="J9" s="72">
        <f>H9*I9</f>
        <v>3888</v>
      </c>
      <c r="K9" s="72">
        <f>J9*0.1</f>
        <v>388.8</v>
      </c>
      <c r="L9" s="72">
        <f>J9*0.05</f>
        <v>194.4</v>
      </c>
      <c r="M9" s="73"/>
      <c r="N9" s="44">
        <f>(J9*'Base Data'!$C$5)+(K9*'Base Data'!$C$6)+(L9*'Base Data'!$C$7)</f>
        <v>422926.92000000004</v>
      </c>
      <c r="O9" s="44">
        <f>(D9+E9+F9)*I9</f>
        <v>1443744</v>
      </c>
      <c r="P9" s="73">
        <v>0</v>
      </c>
      <c r="Q9" s="75" t="s">
        <v>658</v>
      </c>
    </row>
    <row r="10" spans="1:19" s="115" customFormat="1" ht="9">
      <c r="A10" s="111" t="s">
        <v>366</v>
      </c>
      <c r="B10" s="37" t="s">
        <v>384</v>
      </c>
      <c r="C10" s="37"/>
      <c r="D10" s="44"/>
      <c r="E10" s="44"/>
      <c r="F10" s="44"/>
      <c r="G10" s="37"/>
      <c r="H10" s="37"/>
      <c r="I10" s="73"/>
      <c r="J10" s="37"/>
      <c r="K10" s="37"/>
      <c r="L10" s="37"/>
      <c r="M10" s="37"/>
      <c r="N10" s="44"/>
      <c r="O10" s="44"/>
      <c r="P10" s="73"/>
      <c r="Q10" s="75"/>
    </row>
    <row r="11" spans="1:19" s="115" customFormat="1" ht="9">
      <c r="A11" s="111" t="s">
        <v>367</v>
      </c>
      <c r="B11" s="37" t="s">
        <v>384</v>
      </c>
      <c r="C11" s="37"/>
      <c r="D11" s="44"/>
      <c r="E11" s="44"/>
      <c r="F11" s="44"/>
      <c r="G11" s="37"/>
      <c r="H11" s="37"/>
      <c r="I11" s="73"/>
      <c r="J11" s="37"/>
      <c r="K11" s="37"/>
      <c r="L11" s="37"/>
      <c r="M11" s="37"/>
      <c r="N11" s="44"/>
      <c r="O11" s="44"/>
      <c r="P11" s="73"/>
      <c r="Q11" s="75"/>
    </row>
    <row r="12" spans="1:19" s="115" customFormat="1" ht="9">
      <c r="A12" s="111" t="s">
        <v>368</v>
      </c>
      <c r="B12" s="37"/>
      <c r="C12" s="37"/>
      <c r="D12" s="44"/>
      <c r="E12" s="44"/>
      <c r="F12" s="44"/>
      <c r="G12" s="37"/>
      <c r="H12" s="37"/>
      <c r="I12" s="73"/>
      <c r="J12" s="37"/>
      <c r="K12" s="37"/>
      <c r="L12" s="37"/>
      <c r="M12" s="37"/>
      <c r="N12" s="44"/>
      <c r="O12" s="44"/>
      <c r="P12" s="73"/>
      <c r="Q12" s="75"/>
    </row>
    <row r="13" spans="1:19" s="115" customFormat="1" ht="9">
      <c r="A13" s="126" t="s">
        <v>386</v>
      </c>
      <c r="B13" s="37">
        <v>2</v>
      </c>
      <c r="C13" s="37"/>
      <c r="D13" s="44">
        <v>0</v>
      </c>
      <c r="E13" s="44">
        <v>0</v>
      </c>
      <c r="F13" s="44">
        <v>0</v>
      </c>
      <c r="G13" s="37">
        <v>1</v>
      </c>
      <c r="H13" s="37">
        <f>B13*G13</f>
        <v>2</v>
      </c>
      <c r="I13" s="72">
        <f>$I$7</f>
        <v>41</v>
      </c>
      <c r="J13" s="72">
        <f>H13*I13</f>
        <v>82</v>
      </c>
      <c r="K13" s="72">
        <f>J13*0.1</f>
        <v>8.2000000000000011</v>
      </c>
      <c r="L13" s="72">
        <f>J13*0.05</f>
        <v>4.1000000000000005</v>
      </c>
      <c r="M13" s="37">
        <f>C13*G13*I13</f>
        <v>0</v>
      </c>
      <c r="N13" s="44">
        <f>(J13*'Base Data'!$C$5)+(K13*'Base Data'!$C$6)+(L13*'Base Data'!$C$7)</f>
        <v>8919.755000000001</v>
      </c>
      <c r="O13" s="44">
        <f>(D13+E13+F13)*G13*I13</f>
        <v>0</v>
      </c>
      <c r="P13" s="73">
        <f>G13*I13</f>
        <v>41</v>
      </c>
      <c r="Q13" s="75" t="s">
        <v>338</v>
      </c>
    </row>
    <row r="14" spans="1:19" s="115" customFormat="1" ht="9">
      <c r="A14" s="126" t="s">
        <v>328</v>
      </c>
      <c r="B14" s="37">
        <v>8</v>
      </c>
      <c r="C14" s="37"/>
      <c r="D14" s="44">
        <v>0</v>
      </c>
      <c r="E14" s="44">
        <v>0</v>
      </c>
      <c r="F14" s="44">
        <v>0</v>
      </c>
      <c r="G14" s="37">
        <v>1</v>
      </c>
      <c r="H14" s="37">
        <f>B14*G14</f>
        <v>8</v>
      </c>
      <c r="I14" s="72">
        <f>$I$7</f>
        <v>41</v>
      </c>
      <c r="J14" s="72">
        <f>H14*I14</f>
        <v>328</v>
      </c>
      <c r="K14" s="72">
        <f>J14*0.1</f>
        <v>32.800000000000004</v>
      </c>
      <c r="L14" s="72">
        <f>J14*0.05</f>
        <v>16.400000000000002</v>
      </c>
      <c r="M14" s="37">
        <f>C14*G14*I14</f>
        <v>0</v>
      </c>
      <c r="N14" s="44">
        <f>(J14*'Base Data'!$C$5)+(K14*'Base Data'!$C$6)+(L14*'Base Data'!$C$7)</f>
        <v>35679.020000000004</v>
      </c>
      <c r="O14" s="44">
        <f>(D14+E14+F14)*G14*I14</f>
        <v>0</v>
      </c>
      <c r="P14" s="73">
        <f>G14*I14</f>
        <v>41</v>
      </c>
      <c r="Q14" s="75" t="s">
        <v>338</v>
      </c>
    </row>
    <row r="15" spans="1:19" s="115" customFormat="1" ht="9">
      <c r="A15" s="126" t="s">
        <v>11</v>
      </c>
      <c r="B15" s="37">
        <v>5</v>
      </c>
      <c r="C15" s="37"/>
      <c r="D15" s="44">
        <v>0</v>
      </c>
      <c r="E15" s="44">
        <v>0</v>
      </c>
      <c r="F15" s="44">
        <v>0</v>
      </c>
      <c r="G15" s="37">
        <v>0.5</v>
      </c>
      <c r="H15" s="37">
        <f>B15*G15</f>
        <v>2.5</v>
      </c>
      <c r="I15" s="72">
        <f>$I$7+'Fac-NewSmlGas-Yr1'!$I$15</f>
        <v>82</v>
      </c>
      <c r="J15" s="72">
        <f>H15*I15</f>
        <v>205</v>
      </c>
      <c r="K15" s="72">
        <f>J15*0.1</f>
        <v>20.5</v>
      </c>
      <c r="L15" s="72">
        <f>J15*0.05</f>
        <v>10.25</v>
      </c>
      <c r="M15" s="37">
        <f>C15*G15*I15</f>
        <v>0</v>
      </c>
      <c r="N15" s="44">
        <f>(J15*'Base Data'!$C$5)+(K15*'Base Data'!$C$6)+(L15*'Base Data'!$C$7)</f>
        <v>22299.387500000001</v>
      </c>
      <c r="O15" s="44">
        <f>(D15+E15+F15)*G15*I15</f>
        <v>0</v>
      </c>
      <c r="P15" s="73">
        <f>G15*I15</f>
        <v>41</v>
      </c>
      <c r="Q15" s="75" t="s">
        <v>564</v>
      </c>
    </row>
    <row r="16" spans="1:19" s="115" customFormat="1" ht="9">
      <c r="A16" s="116" t="s">
        <v>7</v>
      </c>
      <c r="B16" s="37"/>
      <c r="C16" s="37"/>
      <c r="D16" s="44"/>
      <c r="E16" s="44"/>
      <c r="F16" s="44"/>
      <c r="G16" s="37"/>
      <c r="H16" s="37"/>
      <c r="I16" s="73"/>
      <c r="J16" s="73">
        <f t="shared" ref="J16:O16" si="0">SUM(J7:J15)</f>
        <v>6143</v>
      </c>
      <c r="K16" s="73">
        <f t="shared" si="0"/>
        <v>614.29999999999995</v>
      </c>
      <c r="L16" s="73">
        <f t="shared" si="0"/>
        <v>307.14999999999998</v>
      </c>
      <c r="M16" s="73">
        <f t="shared" si="0"/>
        <v>0</v>
      </c>
      <c r="N16" s="73">
        <f t="shared" si="0"/>
        <v>668220.1825</v>
      </c>
      <c r="O16" s="73">
        <f t="shared" si="0"/>
        <v>1443744</v>
      </c>
      <c r="P16" s="73">
        <f>SUM(P13:P15)</f>
        <v>123</v>
      </c>
      <c r="Q16" s="75"/>
      <c r="R16" s="117">
        <f>SUM(O7:O9)</f>
        <v>1443744</v>
      </c>
      <c r="S16" s="115">
        <f>0</f>
        <v>0</v>
      </c>
    </row>
    <row r="17" spans="1:18" s="115" customFormat="1" ht="9">
      <c r="A17" s="111" t="s">
        <v>382</v>
      </c>
      <c r="B17" s="37"/>
      <c r="C17" s="37"/>
      <c r="D17" s="44"/>
      <c r="E17" s="44"/>
      <c r="F17" s="44"/>
      <c r="G17" s="37"/>
      <c r="H17" s="37"/>
      <c r="I17" s="73"/>
      <c r="J17" s="37"/>
      <c r="K17" s="37"/>
      <c r="L17" s="37"/>
      <c r="M17" s="37"/>
      <c r="N17" s="44"/>
      <c r="O17" s="44"/>
      <c r="P17" s="73"/>
      <c r="Q17" s="75"/>
    </row>
    <row r="18" spans="1:18" s="115" customFormat="1" ht="9">
      <c r="A18" s="111" t="s">
        <v>369</v>
      </c>
      <c r="B18" s="37" t="s">
        <v>373</v>
      </c>
      <c r="C18" s="37"/>
      <c r="D18" s="44"/>
      <c r="E18" s="44"/>
      <c r="F18" s="44"/>
      <c r="G18" s="37"/>
      <c r="H18" s="37"/>
      <c r="I18" s="73"/>
      <c r="J18" s="37"/>
      <c r="K18" s="37"/>
      <c r="L18" s="37"/>
      <c r="M18" s="37"/>
      <c r="N18" s="44"/>
      <c r="O18" s="44"/>
      <c r="P18" s="73"/>
      <c r="Q18" s="75"/>
    </row>
    <row r="19" spans="1:18" s="115" customFormat="1" ht="9">
      <c r="A19" s="111" t="s">
        <v>370</v>
      </c>
      <c r="B19" s="37" t="s">
        <v>384</v>
      </c>
      <c r="C19" s="37"/>
      <c r="D19" s="44"/>
      <c r="E19" s="44"/>
      <c r="F19" s="44"/>
      <c r="G19" s="37"/>
      <c r="H19" s="37"/>
      <c r="I19" s="73"/>
      <c r="J19" s="37"/>
      <c r="K19" s="37"/>
      <c r="L19" s="37"/>
      <c r="M19" s="37"/>
      <c r="N19" s="44"/>
      <c r="O19" s="44"/>
      <c r="P19" s="73"/>
      <c r="Q19" s="75"/>
    </row>
    <row r="20" spans="1:18" s="115" customFormat="1" ht="9">
      <c r="A20" s="111" t="s">
        <v>371</v>
      </c>
      <c r="B20" s="37" t="s">
        <v>384</v>
      </c>
      <c r="C20" s="37"/>
      <c r="D20" s="44"/>
      <c r="E20" s="44"/>
      <c r="F20" s="44"/>
      <c r="G20" s="37"/>
      <c r="H20" s="37"/>
      <c r="I20" s="73"/>
      <c r="J20" s="37"/>
      <c r="K20" s="37"/>
      <c r="L20" s="37"/>
      <c r="M20" s="37"/>
      <c r="N20" s="44"/>
      <c r="O20" s="44"/>
      <c r="P20" s="73"/>
      <c r="Q20" s="75" t="s">
        <v>123</v>
      </c>
    </row>
    <row r="21" spans="1:18" s="115" customFormat="1" ht="9">
      <c r="A21" s="111" t="s">
        <v>372</v>
      </c>
      <c r="B21" s="37"/>
      <c r="C21" s="37"/>
      <c r="D21" s="44"/>
      <c r="E21" s="44"/>
      <c r="F21" s="44"/>
      <c r="G21" s="37"/>
      <c r="H21" s="37"/>
      <c r="I21" s="73"/>
      <c r="J21" s="37"/>
      <c r="K21" s="37"/>
      <c r="L21" s="37"/>
      <c r="M21" s="37"/>
      <c r="N21" s="44"/>
      <c r="O21" s="44"/>
      <c r="P21" s="73"/>
      <c r="Q21" s="75"/>
    </row>
    <row r="22" spans="1:18" s="115" customFormat="1" ht="19.5" customHeight="1">
      <c r="A22" s="126" t="s">
        <v>326</v>
      </c>
      <c r="B22" s="37">
        <v>2</v>
      </c>
      <c r="C22" s="37">
        <v>0</v>
      </c>
      <c r="D22" s="44">
        <v>0</v>
      </c>
      <c r="E22" s="44">
        <v>0</v>
      </c>
      <c r="F22" s="44">
        <v>0</v>
      </c>
      <c r="G22" s="37">
        <v>0.5</v>
      </c>
      <c r="H22" s="37">
        <f>B22*G22</f>
        <v>1</v>
      </c>
      <c r="I22" s="73">
        <f>I15</f>
        <v>82</v>
      </c>
      <c r="J22" s="72">
        <f>H22*I22</f>
        <v>82</v>
      </c>
      <c r="K22" s="72">
        <f>J22*0.1</f>
        <v>8.2000000000000011</v>
      </c>
      <c r="L22" s="72">
        <f>J22*0.05</f>
        <v>4.1000000000000005</v>
      </c>
      <c r="M22" s="37">
        <f>C22*G22*I22</f>
        <v>0</v>
      </c>
      <c r="N22" s="44">
        <f>(J22*'Base Data'!$C$5)+(K22*'Base Data'!$C$6)+(L22*'Base Data'!$C$7)</f>
        <v>8919.755000000001</v>
      </c>
      <c r="O22" s="44">
        <f>(D22+E22+F22)*G22*I22</f>
        <v>0</v>
      </c>
      <c r="P22" s="73">
        <v>0</v>
      </c>
      <c r="Q22" s="75" t="s">
        <v>338</v>
      </c>
    </row>
    <row r="23" spans="1:18" s="115" customFormat="1" ht="9">
      <c r="A23" s="126" t="s">
        <v>443</v>
      </c>
      <c r="B23" s="37">
        <v>0.5</v>
      </c>
      <c r="C23" s="37"/>
      <c r="D23" s="44">
        <v>0</v>
      </c>
      <c r="E23" s="44">
        <v>0</v>
      </c>
      <c r="F23" s="44">
        <v>0</v>
      </c>
      <c r="G23" s="37">
        <v>0.5</v>
      </c>
      <c r="H23" s="37">
        <f>B23*G23</f>
        <v>0.25</v>
      </c>
      <c r="I23" s="73">
        <f>I9</f>
        <v>648</v>
      </c>
      <c r="J23" s="72">
        <f>H23*I23</f>
        <v>162</v>
      </c>
      <c r="K23" s="72">
        <f>J23*0.1</f>
        <v>16.2</v>
      </c>
      <c r="L23" s="72">
        <f>J23*0.05</f>
        <v>8.1</v>
      </c>
      <c r="M23" s="37">
        <f>C23*G23*I23</f>
        <v>0</v>
      </c>
      <c r="N23" s="44">
        <f>(J23*'Base Data'!$C$5)+(K23*'Base Data'!$C$6)+(L23*'Base Data'!$C$7)</f>
        <v>17621.954999999998</v>
      </c>
      <c r="O23" s="44">
        <f>(D23+E23+F23)*G23*I23</f>
        <v>0</v>
      </c>
      <c r="P23" s="73">
        <v>0</v>
      </c>
      <c r="Q23" s="75" t="s">
        <v>658</v>
      </c>
    </row>
    <row r="24" spans="1:18" s="6" customFormat="1" ht="9">
      <c r="A24" s="110" t="s">
        <v>378</v>
      </c>
      <c r="B24" s="37">
        <v>40</v>
      </c>
      <c r="C24" s="17"/>
      <c r="D24" s="32">
        <v>0</v>
      </c>
      <c r="E24" s="32">
        <v>0</v>
      </c>
      <c r="F24" s="32">
        <v>0</v>
      </c>
      <c r="G24" s="17">
        <v>1</v>
      </c>
      <c r="H24" s="17">
        <f t="shared" ref="H24" si="1">B24*G24</f>
        <v>40</v>
      </c>
      <c r="I24" s="72">
        <f>$I$7</f>
        <v>41</v>
      </c>
      <c r="J24" s="18">
        <f t="shared" ref="J24" si="2">H24*I24</f>
        <v>1640</v>
      </c>
      <c r="K24" s="18">
        <f t="shared" ref="K24" si="3">J24*0.1</f>
        <v>164</v>
      </c>
      <c r="L24" s="18">
        <f t="shared" ref="L24" si="4">J24*0.05</f>
        <v>82</v>
      </c>
      <c r="M24" s="17"/>
      <c r="N24" s="32">
        <f>(J24*'Base Data'!$C$5)+(K24*'Base Data'!$C$6)+(L24*'Base Data'!$C$7)</f>
        <v>178395.1</v>
      </c>
      <c r="O24" s="32">
        <f t="shared" ref="O24" si="5">(D24+E24+F24)*G24*I24</f>
        <v>0</v>
      </c>
      <c r="P24" s="73">
        <v>0</v>
      </c>
      <c r="Q24" s="23" t="s">
        <v>339</v>
      </c>
    </row>
    <row r="25" spans="1:18" s="115" customFormat="1" ht="9">
      <c r="A25" s="111" t="s">
        <v>379</v>
      </c>
      <c r="B25" s="37" t="s">
        <v>384</v>
      </c>
      <c r="C25" s="37"/>
      <c r="D25" s="44"/>
      <c r="E25" s="44"/>
      <c r="F25" s="44"/>
      <c r="G25" s="37"/>
      <c r="H25" s="37"/>
      <c r="I25" s="73"/>
      <c r="J25" s="37"/>
      <c r="K25" s="37"/>
      <c r="L25" s="37"/>
      <c r="M25" s="37"/>
      <c r="N25" s="44"/>
      <c r="O25" s="44"/>
      <c r="P25" s="73"/>
      <c r="Q25" s="75"/>
    </row>
    <row r="26" spans="1:18" s="115" customFormat="1" ht="9">
      <c r="A26" s="191" t="s">
        <v>26</v>
      </c>
      <c r="B26" s="184"/>
      <c r="C26" s="184"/>
      <c r="D26" s="185"/>
      <c r="E26" s="185"/>
      <c r="F26" s="185"/>
      <c r="G26" s="184"/>
      <c r="H26" s="184"/>
      <c r="I26" s="186"/>
      <c r="J26" s="184">
        <f t="shared" ref="J26:O26" si="6">SUM(J18:J25)</f>
        <v>1884</v>
      </c>
      <c r="K26" s="184">
        <f t="shared" si="6"/>
        <v>188.4</v>
      </c>
      <c r="L26" s="184">
        <f t="shared" si="6"/>
        <v>94.2</v>
      </c>
      <c r="M26" s="184">
        <f t="shared" si="6"/>
        <v>0</v>
      </c>
      <c r="N26" s="185">
        <f t="shared" si="6"/>
        <v>204936.81</v>
      </c>
      <c r="O26" s="185">
        <f t="shared" si="6"/>
        <v>0</v>
      </c>
      <c r="P26" s="186">
        <f>SUM(P18:P25)</f>
        <v>0</v>
      </c>
      <c r="Q26" s="187"/>
      <c r="R26" s="117">
        <f>SUM(O18:O26)</f>
        <v>0</v>
      </c>
    </row>
    <row r="27" spans="1:18" s="115" customFormat="1">
      <c r="A27" s="135" t="s">
        <v>351</v>
      </c>
      <c r="B27" s="136"/>
      <c r="C27" s="136"/>
      <c r="D27" s="136"/>
      <c r="E27" s="136"/>
      <c r="F27" s="136"/>
      <c r="G27" s="136"/>
      <c r="H27" s="136"/>
      <c r="I27" s="138"/>
      <c r="J27" s="139">
        <f t="shared" ref="J27:P27" si="7">SUM(J16,J26)</f>
        <v>8027</v>
      </c>
      <c r="K27" s="139">
        <f t="shared" si="7"/>
        <v>802.69999999999993</v>
      </c>
      <c r="L27" s="139">
        <f t="shared" si="7"/>
        <v>401.34999999999997</v>
      </c>
      <c r="M27" s="139">
        <f t="shared" si="7"/>
        <v>0</v>
      </c>
      <c r="N27" s="140">
        <f t="shared" si="7"/>
        <v>873156.99249999993</v>
      </c>
      <c r="O27" s="140">
        <f t="shared" si="7"/>
        <v>1443744</v>
      </c>
      <c r="P27" s="139">
        <f t="shared" si="7"/>
        <v>123</v>
      </c>
      <c r="Q27" s="141"/>
    </row>
    <row r="28" spans="1:18" s="45" customFormat="1" ht="9">
      <c r="B28" s="48"/>
      <c r="C28" s="48"/>
      <c r="D28" s="48"/>
      <c r="E28" s="48"/>
      <c r="F28" s="48"/>
      <c r="G28" s="48"/>
      <c r="H28" s="48"/>
      <c r="I28" s="49"/>
      <c r="J28" s="48"/>
      <c r="K28" s="48"/>
      <c r="L28" s="48"/>
      <c r="M28" s="48"/>
      <c r="N28" s="48"/>
      <c r="O28" s="146"/>
      <c r="P28" s="146"/>
      <c r="Q28" s="48"/>
    </row>
    <row r="29" spans="1:18" s="45" customFormat="1" ht="9" customHeight="1">
      <c r="A29" s="499" t="s">
        <v>620</v>
      </c>
      <c r="B29" s="499"/>
      <c r="C29" s="499"/>
      <c r="D29" s="499"/>
      <c r="E29" s="499"/>
      <c r="F29" s="499"/>
      <c r="G29" s="499"/>
      <c r="H29" s="499"/>
      <c r="I29" s="499"/>
      <c r="J29" s="499"/>
      <c r="K29" s="499"/>
      <c r="L29" s="499"/>
      <c r="M29" s="499"/>
      <c r="N29" s="499"/>
      <c r="O29" s="499"/>
      <c r="P29" s="146"/>
      <c r="Q29" s="48"/>
    </row>
    <row r="30" spans="1:18" s="45" customFormat="1" ht="9" customHeight="1">
      <c r="A30" s="494" t="s">
        <v>122</v>
      </c>
      <c r="B30" s="494"/>
      <c r="C30" s="494"/>
      <c r="D30" s="494"/>
      <c r="E30" s="494"/>
      <c r="F30" s="494"/>
      <c r="G30" s="494"/>
      <c r="H30" s="494"/>
      <c r="I30" s="494"/>
      <c r="J30" s="494"/>
      <c r="K30" s="494"/>
      <c r="L30" s="494"/>
      <c r="M30" s="494"/>
      <c r="N30" s="494"/>
      <c r="O30" s="494"/>
      <c r="P30" s="146"/>
      <c r="Q30" s="48"/>
    </row>
    <row r="31" spans="1:18" s="45" customFormat="1" ht="9">
      <c r="A31" s="13" t="s">
        <v>504</v>
      </c>
      <c r="B31" s="93"/>
      <c r="C31" s="93"/>
      <c r="D31" s="93"/>
      <c r="E31" s="93"/>
      <c r="F31" s="93"/>
      <c r="G31" s="93"/>
      <c r="H31" s="93"/>
      <c r="I31" s="93"/>
      <c r="J31" s="93"/>
      <c r="K31" s="93"/>
      <c r="L31" s="93"/>
      <c r="M31" s="93"/>
      <c r="N31" s="93"/>
      <c r="O31" s="93"/>
      <c r="P31" s="146"/>
      <c r="Q31" s="48"/>
    </row>
    <row r="32" spans="1:18" s="45" customFormat="1" ht="9">
      <c r="A32" s="382" t="s">
        <v>563</v>
      </c>
      <c r="B32" s="48"/>
      <c r="C32" s="48"/>
      <c r="D32" s="48"/>
      <c r="E32" s="48"/>
      <c r="F32" s="48"/>
      <c r="G32" s="48"/>
      <c r="H32" s="48"/>
      <c r="I32" s="49"/>
      <c r="J32" s="48"/>
      <c r="K32" s="48"/>
      <c r="L32" s="48"/>
      <c r="M32" s="48"/>
      <c r="N32" s="48"/>
      <c r="O32" s="146"/>
      <c r="P32" s="146"/>
      <c r="Q32" s="48"/>
    </row>
    <row r="33" spans="1:18" s="45" customFormat="1" ht="9">
      <c r="A33" s="494" t="s">
        <v>659</v>
      </c>
      <c r="B33" s="494"/>
      <c r="C33" s="494"/>
      <c r="D33" s="494"/>
      <c r="E33" s="494"/>
      <c r="F33" s="494"/>
      <c r="G33" s="494"/>
      <c r="H33" s="494"/>
      <c r="I33" s="494"/>
      <c r="J33" s="494"/>
      <c r="K33" s="494"/>
      <c r="L33" s="494"/>
      <c r="M33" s="494"/>
      <c r="N33" s="494"/>
      <c r="O33" s="494"/>
      <c r="P33" s="146"/>
      <c r="Q33" s="48"/>
    </row>
    <row r="34" spans="1:18" s="45" customFormat="1" ht="21.75" customHeight="1">
      <c r="A34" s="500" t="s">
        <v>670</v>
      </c>
      <c r="B34" s="500"/>
      <c r="C34" s="500"/>
      <c r="D34" s="500"/>
      <c r="E34" s="500"/>
      <c r="F34" s="500"/>
      <c r="G34" s="500"/>
      <c r="H34" s="500"/>
      <c r="I34" s="500"/>
      <c r="J34" s="500"/>
      <c r="K34" s="500"/>
      <c r="L34" s="500"/>
      <c r="M34" s="500"/>
      <c r="N34" s="500"/>
      <c r="O34" s="500"/>
      <c r="P34" s="146"/>
      <c r="Q34" s="48"/>
    </row>
    <row r="35" spans="1:18" s="45" customFormat="1" ht="9">
      <c r="B35" s="48"/>
      <c r="C35" s="48"/>
      <c r="D35" s="48"/>
      <c r="E35" s="48"/>
      <c r="F35" s="48"/>
      <c r="G35" s="48"/>
      <c r="H35" s="48"/>
      <c r="I35" s="49"/>
      <c r="J35" s="48"/>
      <c r="K35" s="48"/>
      <c r="L35" s="48"/>
      <c r="M35" s="48"/>
      <c r="N35" s="48"/>
      <c r="O35" s="146"/>
      <c r="P35" s="146"/>
      <c r="Q35" s="48"/>
    </row>
    <row r="36" spans="1:18" s="45" customFormat="1" ht="9">
      <c r="B36" s="48"/>
      <c r="C36" s="48"/>
      <c r="D36" s="48"/>
      <c r="E36" s="48"/>
      <c r="F36" s="48"/>
      <c r="G36" s="48"/>
      <c r="H36" s="48"/>
      <c r="I36" s="49"/>
      <c r="J36" s="48"/>
      <c r="K36" s="48"/>
      <c r="L36" s="48"/>
      <c r="M36" s="48"/>
      <c r="N36" s="48"/>
      <c r="O36" s="146"/>
      <c r="P36" s="146"/>
      <c r="Q36" s="48"/>
    </row>
    <row r="37" spans="1:18" s="45" customFormat="1" ht="9">
      <c r="B37" s="48"/>
      <c r="C37" s="48"/>
      <c r="D37" s="48"/>
      <c r="E37" s="48"/>
      <c r="F37" s="48"/>
      <c r="G37" s="48"/>
      <c r="H37" s="48"/>
      <c r="I37" s="49"/>
      <c r="J37" s="48"/>
      <c r="K37" s="48"/>
      <c r="L37" s="48"/>
      <c r="M37" s="48"/>
      <c r="N37" s="48"/>
      <c r="O37" s="146"/>
      <c r="P37" s="146"/>
      <c r="Q37" s="48"/>
    </row>
    <row r="38" spans="1:18" s="45" customFormat="1" ht="9">
      <c r="P38" s="146"/>
      <c r="Q38" s="48"/>
    </row>
    <row r="39" spans="1:18" s="45" customFormat="1" ht="9">
      <c r="A39" s="94"/>
      <c r="B39" s="93"/>
      <c r="C39" s="93"/>
      <c r="D39" s="93"/>
      <c r="E39" s="93"/>
      <c r="F39" s="93"/>
      <c r="G39" s="93"/>
      <c r="H39" s="93"/>
      <c r="I39" s="93"/>
      <c r="J39" s="93"/>
      <c r="K39" s="93"/>
      <c r="L39" s="93"/>
      <c r="M39" s="93"/>
      <c r="N39" s="93"/>
      <c r="O39" s="93"/>
      <c r="P39" s="146"/>
      <c r="Q39" s="48"/>
    </row>
    <row r="40" spans="1:18" s="45" customFormat="1" ht="9">
      <c r="A40" s="94"/>
      <c r="B40" s="93"/>
      <c r="C40" s="93"/>
      <c r="D40" s="93"/>
      <c r="E40" s="93"/>
      <c r="F40" s="93"/>
      <c r="G40" s="93"/>
      <c r="H40" s="93"/>
      <c r="I40" s="93"/>
      <c r="J40" s="93"/>
      <c r="K40" s="93"/>
      <c r="L40" s="93"/>
      <c r="M40" s="93"/>
      <c r="N40" s="93"/>
      <c r="O40" s="93"/>
      <c r="P40" s="146"/>
      <c r="Q40" s="48"/>
    </row>
    <row r="41" spans="1:18" s="45" customFormat="1" ht="9">
      <c r="B41" s="48"/>
      <c r="C41" s="48"/>
      <c r="D41" s="48"/>
      <c r="E41" s="48"/>
      <c r="F41" s="48"/>
      <c r="G41" s="48"/>
      <c r="H41" s="48"/>
      <c r="I41" s="49"/>
      <c r="J41" s="48"/>
      <c r="K41" s="48"/>
      <c r="L41" s="48"/>
      <c r="M41" s="48"/>
      <c r="N41" s="48"/>
      <c r="O41" s="146"/>
      <c r="P41" s="146"/>
      <c r="Q41" s="48"/>
    </row>
    <row r="42" spans="1:18" s="45" customFormat="1" ht="9">
      <c r="B42" s="48"/>
      <c r="C42" s="48"/>
      <c r="D42" s="48"/>
      <c r="E42" s="48"/>
      <c r="F42" s="48"/>
      <c r="G42" s="48"/>
      <c r="H42" s="48"/>
      <c r="I42" s="49"/>
      <c r="J42" s="48"/>
      <c r="K42" s="48"/>
      <c r="L42" s="48"/>
      <c r="M42" s="48"/>
      <c r="N42" s="48"/>
      <c r="O42" s="146"/>
      <c r="P42" s="146"/>
      <c r="Q42" s="48"/>
    </row>
    <row r="43" spans="1:18" s="45" customFormat="1">
      <c r="B43" s="48"/>
      <c r="C43" s="48"/>
      <c r="D43" s="48"/>
      <c r="E43" s="48"/>
      <c r="F43" s="48"/>
      <c r="G43" s="48"/>
      <c r="H43" s="48"/>
      <c r="I43" s="49"/>
      <c r="J43" s="48"/>
      <c r="K43" s="48"/>
      <c r="L43" s="48"/>
      <c r="M43" s="48"/>
      <c r="N43" s="48"/>
      <c r="O43" s="146"/>
      <c r="P43" s="146"/>
      <c r="Q43" s="48"/>
      <c r="R43" s="88"/>
    </row>
    <row r="44" spans="1:18">
      <c r="Q44" s="48"/>
    </row>
    <row r="45" spans="1:18">
      <c r="Q45" s="48"/>
    </row>
    <row r="46" spans="1:18">
      <c r="Q46" s="48"/>
    </row>
    <row r="47" spans="1:18">
      <c r="Q47" s="48"/>
    </row>
    <row r="48" spans="1:18">
      <c r="Q48" s="48"/>
    </row>
    <row r="49" spans="17:17">
      <c r="Q49" s="48"/>
    </row>
    <row r="50" spans="17:17">
      <c r="Q50" s="48"/>
    </row>
    <row r="51" spans="17:17">
      <c r="Q51" s="48"/>
    </row>
    <row r="52" spans="17:17">
      <c r="Q52" s="48"/>
    </row>
    <row r="53" spans="17:17">
      <c r="Q53" s="48"/>
    </row>
    <row r="54" spans="17:17">
      <c r="Q54" s="48"/>
    </row>
    <row r="55" spans="17:17">
      <c r="Q55" s="48"/>
    </row>
    <row r="56" spans="17:17">
      <c r="Q56" s="48"/>
    </row>
    <row r="57" spans="17:17">
      <c r="Q57" s="48"/>
    </row>
    <row r="58" spans="17:17">
      <c r="Q58" s="48"/>
    </row>
  </sheetData>
  <mergeCells count="6">
    <mergeCell ref="A34:O34"/>
    <mergeCell ref="A33:O33"/>
    <mergeCell ref="A1:Q1"/>
    <mergeCell ref="A2:Q2"/>
    <mergeCell ref="A30:O30"/>
    <mergeCell ref="A29:O29"/>
  </mergeCells>
  <phoneticPr fontId="9" type="noConversion"/>
  <pageMargins left="0.25" right="0.25" top="0.5" bottom="0.75" header="0.5" footer="0.5"/>
  <pageSetup scale="60" orientation="landscape" r:id="rId1"/>
  <headerFooter alignWithMargins="0"/>
</worksheet>
</file>

<file path=xl/worksheets/sheet46.xml><?xml version="1.0" encoding="utf-8"?>
<worksheet xmlns="http://schemas.openxmlformats.org/spreadsheetml/2006/main" xmlns:r="http://schemas.openxmlformats.org/officeDocument/2006/relationships">
  <dimension ref="B2:E21"/>
  <sheetViews>
    <sheetView workbookViewId="0">
      <selection activeCell="O55" sqref="O55"/>
    </sheetView>
  </sheetViews>
  <sheetFormatPr defaultRowHeight="12.75"/>
  <cols>
    <col min="1" max="1" width="3.28515625" customWidth="1"/>
    <col min="2" max="2" width="13.42578125" customWidth="1"/>
    <col min="4" max="4" width="14" customWidth="1"/>
  </cols>
  <sheetData>
    <row r="2" spans="2:3">
      <c r="B2" s="66" t="s">
        <v>35</v>
      </c>
    </row>
    <row r="4" spans="2:3">
      <c r="B4" s="29" t="s">
        <v>393</v>
      </c>
      <c r="C4" s="34">
        <v>62.27</v>
      </c>
    </row>
    <row r="5" spans="2:3">
      <c r="B5" s="29" t="s">
        <v>395</v>
      </c>
      <c r="C5" s="34">
        <v>25.01</v>
      </c>
    </row>
    <row r="6" spans="2:3">
      <c r="B6" s="29" t="s">
        <v>394</v>
      </c>
      <c r="C6" s="34">
        <v>46.21</v>
      </c>
    </row>
    <row r="9" spans="2:3">
      <c r="B9" s="66" t="s">
        <v>36</v>
      </c>
    </row>
    <row r="11" spans="2:3">
      <c r="B11" s="29" t="s">
        <v>37</v>
      </c>
      <c r="C11" s="86">
        <v>110</v>
      </c>
    </row>
    <row r="12" spans="2:3">
      <c r="B12" s="29" t="s">
        <v>38</v>
      </c>
      <c r="C12" s="86">
        <v>58</v>
      </c>
    </row>
    <row r="13" spans="2:3">
      <c r="B13" s="29" t="s">
        <v>39</v>
      </c>
      <c r="C13" s="86">
        <v>600</v>
      </c>
    </row>
    <row r="14" spans="2:3">
      <c r="B14" s="29" t="s">
        <v>40</v>
      </c>
      <c r="C14" s="29">
        <v>3</v>
      </c>
    </row>
    <row r="17" spans="2:5">
      <c r="B17" s="66" t="s">
        <v>41</v>
      </c>
    </row>
    <row r="19" spans="2:5">
      <c r="B19" s="502" t="s">
        <v>42</v>
      </c>
      <c r="C19" s="502"/>
      <c r="D19" s="502"/>
      <c r="E19" s="87">
        <v>0.2</v>
      </c>
    </row>
    <row r="20" spans="2:5">
      <c r="B20" s="502" t="s">
        <v>43</v>
      </c>
      <c r="C20" s="502"/>
      <c r="D20" s="502"/>
      <c r="E20" s="87">
        <v>0.1</v>
      </c>
    </row>
    <row r="21" spans="2:5">
      <c r="B21" s="502" t="s">
        <v>44</v>
      </c>
      <c r="C21" s="502"/>
      <c r="D21" s="502"/>
      <c r="E21" s="87">
        <v>0.1</v>
      </c>
    </row>
  </sheetData>
  <mergeCells count="3">
    <mergeCell ref="B20:D20"/>
    <mergeCell ref="B19:D19"/>
    <mergeCell ref="B21:D21"/>
  </mergeCells>
  <phoneticPr fontId="9"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sheetPr>
    <pageSetUpPr fitToPage="1"/>
  </sheetPr>
  <dimension ref="A1:O48"/>
  <sheetViews>
    <sheetView zoomScaleNormal="100" workbookViewId="0">
      <selection activeCell="Q10" sqref="Q10"/>
    </sheetView>
  </sheetViews>
  <sheetFormatPr defaultRowHeight="12.75"/>
  <cols>
    <col min="1" max="1" width="2.28515625" style="71" customWidth="1"/>
    <col min="2" max="2" width="2.42578125" style="71" customWidth="1"/>
    <col min="3" max="3" width="2.140625" style="71" customWidth="1"/>
    <col min="4" max="4" width="1.42578125" style="71" customWidth="1"/>
    <col min="5" max="5" width="2.42578125" style="71" customWidth="1"/>
    <col min="6" max="6" width="40.7109375" style="71" customWidth="1"/>
    <col min="7" max="7" width="12" style="147" customWidth="1"/>
    <col min="8" max="8" width="13" style="147" customWidth="1"/>
    <col min="9" max="9" width="14.28515625" style="147" customWidth="1"/>
    <col min="10" max="10" width="10.5703125" style="147" customWidth="1"/>
    <col min="11" max="11" width="11" style="147" customWidth="1"/>
    <col min="12" max="12" width="14" style="147" customWidth="1"/>
    <col min="13" max="13" width="13" style="148" customWidth="1"/>
    <col min="14" max="14" width="3.85546875" style="149" bestFit="1" customWidth="1"/>
    <col min="15" max="15" width="15.28515625" style="71" customWidth="1"/>
    <col min="16" max="16384" width="9.140625" style="71"/>
  </cols>
  <sheetData>
    <row r="1" spans="1:15">
      <c r="A1" s="505" t="s">
        <v>45</v>
      </c>
      <c r="B1" s="505"/>
      <c r="C1" s="505"/>
      <c r="D1" s="505"/>
      <c r="E1" s="505"/>
      <c r="F1" s="505"/>
      <c r="G1" s="505"/>
      <c r="H1" s="505"/>
      <c r="I1" s="505"/>
      <c r="J1" s="505"/>
      <c r="K1" s="505"/>
      <c r="L1" s="505"/>
      <c r="M1" s="505"/>
      <c r="N1" s="505"/>
    </row>
    <row r="2" spans="1:15" ht="12" customHeight="1">
      <c r="A2" s="505" t="s">
        <v>250</v>
      </c>
      <c r="B2" s="505"/>
      <c r="C2" s="505"/>
      <c r="D2" s="505"/>
      <c r="E2" s="505"/>
      <c r="F2" s="505"/>
      <c r="G2" s="505"/>
      <c r="H2" s="505"/>
      <c r="I2" s="505"/>
      <c r="J2" s="505"/>
      <c r="K2" s="505"/>
      <c r="L2" s="505"/>
      <c r="M2" s="505"/>
      <c r="N2" s="505"/>
    </row>
    <row r="3" spans="1:15" ht="15" customHeight="1" thickBot="1"/>
    <row r="4" spans="1:15" s="104" customFormat="1" ht="51">
      <c r="A4" s="150" t="s">
        <v>343</v>
      </c>
      <c r="B4" s="151"/>
      <c r="C4" s="151"/>
      <c r="D4" s="151"/>
      <c r="E4" s="151"/>
      <c r="F4" s="151"/>
      <c r="G4" s="152" t="s">
        <v>46</v>
      </c>
      <c r="H4" s="152" t="s">
        <v>47</v>
      </c>
      <c r="I4" s="152" t="s">
        <v>48</v>
      </c>
      <c r="J4" s="152" t="s">
        <v>49</v>
      </c>
      <c r="K4" s="152" t="s">
        <v>50</v>
      </c>
      <c r="L4" s="152" t="s">
        <v>51</v>
      </c>
      <c r="M4" s="153" t="s">
        <v>22</v>
      </c>
      <c r="N4" s="154" t="s">
        <v>345</v>
      </c>
    </row>
    <row r="5" spans="1:15" ht="15" customHeight="1">
      <c r="A5" s="192" t="s">
        <v>52</v>
      </c>
      <c r="B5" s="193" t="s">
        <v>53</v>
      </c>
      <c r="C5" s="193"/>
      <c r="D5" s="193"/>
      <c r="E5" s="193"/>
      <c r="F5" s="194"/>
      <c r="G5" s="195">
        <v>40</v>
      </c>
      <c r="H5" s="195">
        <v>60</v>
      </c>
      <c r="I5" s="196">
        <f>G5*H5</f>
        <v>2400</v>
      </c>
      <c r="J5" s="196">
        <f>I5</f>
        <v>2400</v>
      </c>
      <c r="K5" s="196">
        <f>J5*0.05</f>
        <v>120</v>
      </c>
      <c r="L5" s="196">
        <f>J5*0.1</f>
        <v>240</v>
      </c>
      <c r="M5" s="197">
        <f>(J5*'Agency Base Data'!$C$6)+(K5*'Agency Base Data'!$C$4)+(L5*'Agency Base Data'!$C$5)</f>
        <v>124378.79999999999</v>
      </c>
      <c r="N5" s="198" t="s">
        <v>338</v>
      </c>
      <c r="O5" s="35"/>
    </row>
    <row r="6" spans="1:15" ht="27" customHeight="1">
      <c r="A6" s="199" t="s">
        <v>54</v>
      </c>
      <c r="B6" s="506" t="s">
        <v>55</v>
      </c>
      <c r="C6" s="506"/>
      <c r="D6" s="506"/>
      <c r="E6" s="506"/>
      <c r="F6" s="506"/>
      <c r="G6" s="200">
        <v>2</v>
      </c>
      <c r="H6" s="201">
        <f>SUM('Fac-ExistLrgSolid-Yr1'!$I$50,'Fac-ExistLrgLiquid-Yr1'!$I$50,'Fac-ExistLrgGas-Yr1'!$I$45,'Fac-NewLrgSolid-Yr1'!$I$44,'Fac-NewLrgLiquid-Yr1'!$I$44,'Fac-NewLrgGas-Yr1'!$I$42,'Fac - ExistSmlSolid-Yr1'!$I$16,'Fac - ExistSmlLiquid-Yr1'!$I$16,'Fac - ExistSmlGas-Yr1'!$I$16,'Fac-NewSmlSolid-Yr1'!$I$13,'Fac-NewSmlLiquid-Yr1'!$I$13,'Fac-NewSmlGas-Yr1'!$I$13)</f>
        <v>1783</v>
      </c>
      <c r="I6" s="201">
        <f>G6*H6</f>
        <v>3566</v>
      </c>
      <c r="J6" s="201">
        <f>I6</f>
        <v>3566</v>
      </c>
      <c r="K6" s="201">
        <f>J6*0.05</f>
        <v>178.3</v>
      </c>
      <c r="L6" s="201">
        <f>J6*0.1</f>
        <v>356.6</v>
      </c>
      <c r="M6" s="202">
        <f>(J6*'Agency Base Data'!$C$6)+(K6*'Agency Base Data'!$C$4)+(L6*'Agency Base Data'!$C$5)</f>
        <v>184806.16700000002</v>
      </c>
      <c r="N6" s="203" t="s">
        <v>123</v>
      </c>
      <c r="O6" s="156"/>
    </row>
    <row r="7" spans="1:15" ht="15" customHeight="1">
      <c r="A7" s="199" t="s">
        <v>56</v>
      </c>
      <c r="B7" s="204" t="s">
        <v>57</v>
      </c>
      <c r="C7" s="205"/>
      <c r="D7" s="206"/>
      <c r="E7" s="206"/>
      <c r="F7" s="207"/>
      <c r="G7" s="200"/>
      <c r="H7" s="200"/>
      <c r="I7" s="201"/>
      <c r="J7" s="201"/>
      <c r="K7" s="201"/>
      <c r="L7" s="201"/>
      <c r="M7" s="202"/>
      <c r="N7" s="203"/>
      <c r="O7" s="155"/>
    </row>
    <row r="8" spans="1:15" ht="15" customHeight="1">
      <c r="A8" s="199"/>
      <c r="B8" s="204" t="s">
        <v>58</v>
      </c>
      <c r="C8" s="420" t="s">
        <v>621</v>
      </c>
      <c r="D8" s="206"/>
      <c r="E8" s="208"/>
      <c r="F8" s="207"/>
      <c r="G8" s="200">
        <v>20</v>
      </c>
      <c r="H8" s="201">
        <f>SUM('Fac-ExistLrgSolid-Yr1'!I25,'Fac-ExistLrgLiquid-Yr1'!I25,'Fac-ExistLrgGas-Yr1'!I24,'Fac-NewLrgSolid-Yr1'!I22,'Fac-NewLrgLiquid-Yr1'!I22,'Fac-NewLrgGas-Yr1'!I21)</f>
        <v>4</v>
      </c>
      <c r="I8" s="201">
        <f t="shared" ref="I8:I13" si="0">G8*H8</f>
        <v>80</v>
      </c>
      <c r="J8" s="201">
        <f t="shared" ref="J8:J14" si="1">I8</f>
        <v>80</v>
      </c>
      <c r="K8" s="201">
        <f t="shared" ref="K8:K14" si="2">J8*0.05</f>
        <v>4</v>
      </c>
      <c r="L8" s="201">
        <f t="shared" ref="L8:L14" si="3">J8*0.1</f>
        <v>8</v>
      </c>
      <c r="M8" s="202">
        <f>(J8*'Agency Base Data'!$C$6)+(K8*'Agency Base Data'!$C$4)+(L8*'Agency Base Data'!$C$5)</f>
        <v>4145.96</v>
      </c>
      <c r="N8" s="421" t="s">
        <v>496</v>
      </c>
      <c r="O8" s="157"/>
    </row>
    <row r="9" spans="1:15" ht="15" customHeight="1">
      <c r="A9" s="199"/>
      <c r="B9" s="420" t="s">
        <v>60</v>
      </c>
      <c r="C9" s="420" t="s">
        <v>627</v>
      </c>
      <c r="D9" s="206"/>
      <c r="E9" s="208"/>
      <c r="F9" s="207"/>
      <c r="G9" s="200">
        <v>20</v>
      </c>
      <c r="H9" s="201">
        <f>SUM('Fac-NewLrgSolid-Yr1'!I22,'Fac-NewLrgLiquid-Yr1'!I22,'Fac-NewLrgGas-Yr1'!I21)</f>
        <v>4</v>
      </c>
      <c r="I9" s="201">
        <f t="shared" si="0"/>
        <v>80</v>
      </c>
      <c r="J9" s="201">
        <f t="shared" si="1"/>
        <v>80</v>
      </c>
      <c r="K9" s="201">
        <f t="shared" si="2"/>
        <v>4</v>
      </c>
      <c r="L9" s="201">
        <f t="shared" si="3"/>
        <v>8</v>
      </c>
      <c r="M9" s="202">
        <f>(J9*'Agency Base Data'!$C$6)+(K9*'Agency Base Data'!$C$4)+(L9*'Agency Base Data'!$C$5)</f>
        <v>4145.96</v>
      </c>
      <c r="N9" s="421" t="s">
        <v>508</v>
      </c>
      <c r="O9" s="157"/>
    </row>
    <row r="10" spans="1:15" ht="15" customHeight="1">
      <c r="A10" s="199"/>
      <c r="B10" s="420" t="s">
        <v>62</v>
      </c>
      <c r="C10" s="204" t="s">
        <v>59</v>
      </c>
      <c r="D10" s="206"/>
      <c r="E10" s="208"/>
      <c r="F10" s="207"/>
      <c r="G10" s="200">
        <v>40</v>
      </c>
      <c r="H10" s="201">
        <f>ROUND(0.2*SUM('Fac-ExistLrgSolid-Yr1'!$I$12:$I$15,'Fac-ExistLrgLiquid-Yr1'!$I$12:$I$15,'Fac-NewLrgSolid-Yr1'!$I$9:$I$12,'Fac-NewLrgLiquid-Yr1'!$I$9:$I$12,'Fac-ExistLrgGas-Yr1'!I12:I15,'Fac-NewLrgGas-Yr1'!I9:I12),0)</f>
        <v>21</v>
      </c>
      <c r="I10" s="201">
        <f t="shared" si="0"/>
        <v>840</v>
      </c>
      <c r="J10" s="201">
        <f t="shared" si="1"/>
        <v>840</v>
      </c>
      <c r="K10" s="201">
        <f t="shared" si="2"/>
        <v>42</v>
      </c>
      <c r="L10" s="201">
        <f t="shared" si="3"/>
        <v>84</v>
      </c>
      <c r="M10" s="202">
        <f>(J10*'Agency Base Data'!$C$6)+(K10*'Agency Base Data'!$C$4)+(L10*'Agency Base Data'!$C$5)</f>
        <v>43532.58</v>
      </c>
      <c r="N10" s="203" t="s">
        <v>339</v>
      </c>
      <c r="O10" s="157"/>
    </row>
    <row r="11" spans="1:15" ht="15" customHeight="1">
      <c r="A11" s="199"/>
      <c r="B11" s="420" t="s">
        <v>64</v>
      </c>
      <c r="C11" s="204" t="s">
        <v>61</v>
      </c>
      <c r="D11" s="206"/>
      <c r="E11" s="208"/>
      <c r="F11" s="207"/>
      <c r="G11" s="200">
        <v>40</v>
      </c>
      <c r="H11" s="201">
        <f>ROUNDUP(0.1*SUM('Fac-ExistLrgSolid-Yr1'!$I$12:$I$15,'Fac-ExistLrgLiquid-Yr1'!$I$12:$I$15,'Fac-NewLrgSolid-Yr1'!$I$9:$I$12,'Fac-NewLrgLiquid-Yr1'!$I$9:$I$12,'Fac-ExistLrgGas-Yr1'!I12:I15,'Fac-NewLrgGas-Yr1'!I9:I12,'Fac-ExistLrgSolid-Yr1'!I20,'Fac-NewLrgSolid-Yr1'!I17),0)</f>
        <v>13</v>
      </c>
      <c r="I11" s="201">
        <f t="shared" si="0"/>
        <v>520</v>
      </c>
      <c r="J11" s="201">
        <f t="shared" si="1"/>
        <v>520</v>
      </c>
      <c r="K11" s="201">
        <f t="shared" si="2"/>
        <v>26</v>
      </c>
      <c r="L11" s="201">
        <f t="shared" si="3"/>
        <v>52</v>
      </c>
      <c r="M11" s="202">
        <f>(J11*'Agency Base Data'!$C$6)+(K11*'Agency Base Data'!$C$4)+(L11*'Agency Base Data'!$C$5)</f>
        <v>26948.74</v>
      </c>
      <c r="N11" s="203" t="s">
        <v>247</v>
      </c>
      <c r="O11" s="383"/>
    </row>
    <row r="12" spans="1:15" ht="15" customHeight="1">
      <c r="A12" s="199"/>
      <c r="B12" s="420" t="s">
        <v>630</v>
      </c>
      <c r="C12" s="204" t="s">
        <v>63</v>
      </c>
      <c r="D12" s="206"/>
      <c r="E12" s="208"/>
      <c r="F12" s="207"/>
      <c r="G12" s="200">
        <v>2</v>
      </c>
      <c r="H12" s="201">
        <f>ROUND(SUM('Fac-ExistLrgSolid-Yr1'!$I$12:$I$15,'Fac-ExistLrgLiquid-Yr1'!$I$12:$I$15,'Fac-NewLrgSolid-Yr1'!$I$9:$I$12,'Fac-NewLrgLiquid-Yr1'!$I$9:$I$12,'Fac-ExistLrgGas-Yr1'!I12:I15,'Fac-NewLrgGas-Yr1'!I9:I12),0)</f>
        <v>104</v>
      </c>
      <c r="I12" s="201">
        <f t="shared" si="0"/>
        <v>208</v>
      </c>
      <c r="J12" s="201">
        <f t="shared" si="1"/>
        <v>208</v>
      </c>
      <c r="K12" s="201">
        <f t="shared" si="2"/>
        <v>10.4</v>
      </c>
      <c r="L12" s="201">
        <f t="shared" si="3"/>
        <v>20.8</v>
      </c>
      <c r="M12" s="202">
        <f>(J12*'Agency Base Data'!$C$6)+(K12*'Agency Base Data'!$C$4)+(L12*'Agency Base Data'!$C$5)</f>
        <v>10779.496000000001</v>
      </c>
      <c r="N12" s="203" t="s">
        <v>340</v>
      </c>
      <c r="O12" s="156"/>
    </row>
    <row r="13" spans="1:15" ht="15" customHeight="1">
      <c r="A13" s="199"/>
      <c r="B13" s="420" t="s">
        <v>631</v>
      </c>
      <c r="C13" s="204" t="s">
        <v>65</v>
      </c>
      <c r="D13" s="206"/>
      <c r="E13" s="208"/>
      <c r="F13" s="207"/>
      <c r="G13" s="200">
        <v>2</v>
      </c>
      <c r="H13" s="201">
        <f>SUM('Fac-ExistLrgSolid-Yr1'!I61,'Fac-ExistLrgLiquid-Yr1'!I61,'Fac-NewLrgSolid-Yr1'!I54,'Fac-NewLrgLiquid-Yr1'!I54,'Fac-ExistLrgGas-Yr1'!I58,'Fac-NewLrgGas-Yr1'!I54)</f>
        <v>26</v>
      </c>
      <c r="I13" s="201">
        <f t="shared" si="0"/>
        <v>52</v>
      </c>
      <c r="J13" s="201">
        <f t="shared" si="1"/>
        <v>52</v>
      </c>
      <c r="K13" s="201">
        <f t="shared" si="2"/>
        <v>2.6</v>
      </c>
      <c r="L13" s="201">
        <f t="shared" si="3"/>
        <v>5.2</v>
      </c>
      <c r="M13" s="202">
        <f>(J13*'Agency Base Data'!$C$6)+(K13*'Agency Base Data'!$C$4)+(L13*'Agency Base Data'!$C$5)</f>
        <v>2694.8740000000003</v>
      </c>
      <c r="N13" s="203" t="s">
        <v>248</v>
      </c>
      <c r="O13" s="155"/>
    </row>
    <row r="14" spans="1:15" ht="15" customHeight="1">
      <c r="A14" s="199" t="s">
        <v>66</v>
      </c>
      <c r="B14" s="204" t="s">
        <v>67</v>
      </c>
      <c r="C14" s="204"/>
      <c r="D14" s="206"/>
      <c r="E14" s="208"/>
      <c r="F14" s="207"/>
      <c r="G14" s="200">
        <v>24</v>
      </c>
      <c r="H14" s="201">
        <f>ROUNDUP(0.1*SUM(MAX('Fac-ExistLrgSolid-Yr1'!$I$12:$I$15),MAX('Fac-ExistLrgLiquid-Yr1'!$I$12:$I$15),MAX('Fac-NewLrgSolid-Yr1'!$I$9:$I$12),MAX('Fac-NewLrgLiquid-Yr1'!$I$9:$I$12),MAX('Fac-ExistLrgGas-Yr1'!I12:I15),MAX('Fac-NewLrgGas-Yr1'!I9:I12)),0)</f>
        <v>3</v>
      </c>
      <c r="I14" s="201">
        <v>0</v>
      </c>
      <c r="J14" s="201">
        <f t="shared" si="1"/>
        <v>0</v>
      </c>
      <c r="K14" s="201">
        <f t="shared" si="2"/>
        <v>0</v>
      </c>
      <c r="L14" s="201">
        <f t="shared" si="3"/>
        <v>0</v>
      </c>
      <c r="M14" s="202">
        <f>(J14*'Agency Base Data'!$C$6)+(K14*'Agency Base Data'!$C$4)+(L14*'Agency Base Data'!$C$5)</f>
        <v>0</v>
      </c>
      <c r="N14" s="203" t="s">
        <v>68</v>
      </c>
      <c r="O14" s="155"/>
    </row>
    <row r="15" spans="1:15" ht="15.75" customHeight="1">
      <c r="A15" s="199" t="s">
        <v>69</v>
      </c>
      <c r="B15" s="204" t="s">
        <v>70</v>
      </c>
      <c r="C15" s="205"/>
      <c r="D15" s="209"/>
      <c r="E15" s="208"/>
      <c r="F15" s="207"/>
      <c r="G15" s="200"/>
      <c r="H15" s="201"/>
      <c r="I15" s="201"/>
      <c r="J15" s="201"/>
      <c r="K15" s="201"/>
      <c r="L15" s="201"/>
      <c r="M15" s="202"/>
      <c r="N15" s="203"/>
      <c r="O15" s="155"/>
    </row>
    <row r="16" spans="1:15" ht="27" customHeight="1">
      <c r="A16" s="199"/>
      <c r="B16" s="204" t="s">
        <v>58</v>
      </c>
      <c r="C16" s="506" t="s">
        <v>71</v>
      </c>
      <c r="D16" s="506"/>
      <c r="E16" s="506"/>
      <c r="F16" s="506"/>
      <c r="G16" s="200">
        <v>2</v>
      </c>
      <c r="H16" s="201">
        <f>H6</f>
        <v>1783</v>
      </c>
      <c r="I16" s="201">
        <f t="shared" ref="I16:I23" si="4">G16*H16</f>
        <v>3566</v>
      </c>
      <c r="J16" s="201">
        <f t="shared" ref="J16:J23" si="5">I16</f>
        <v>3566</v>
      </c>
      <c r="K16" s="201">
        <f t="shared" ref="K16:K23" si="6">J16*0.05</f>
        <v>178.3</v>
      </c>
      <c r="L16" s="201">
        <f t="shared" ref="L16:L23" si="7">J16*0.1</f>
        <v>356.6</v>
      </c>
      <c r="M16" s="202">
        <f>(J16*'Agency Base Data'!$C$6)+(K16*'Agency Base Data'!$C$4)+(L16*'Agency Base Data'!$C$5)</f>
        <v>184806.16700000002</v>
      </c>
      <c r="N16" s="203" t="s">
        <v>123</v>
      </c>
      <c r="O16" s="155"/>
    </row>
    <row r="17" spans="1:15" ht="27" customHeight="1">
      <c r="A17" s="199"/>
      <c r="B17" s="204" t="s">
        <v>60</v>
      </c>
      <c r="C17" s="506" t="s">
        <v>72</v>
      </c>
      <c r="D17" s="506"/>
      <c r="E17" s="506"/>
      <c r="F17" s="506"/>
      <c r="G17" s="200">
        <v>20</v>
      </c>
      <c r="H17" s="201">
        <f>ROUND(SUM('Fac-ExistLrgSolid-Yr1'!$I$12:$I$15,'Fac-ExistLrgLiquid-Yr1'!$I$12:$I$15,'Fac-NewLrgSolid-Yr1'!$I$9:$I$12,'Fac-NewLrgLiquid-Yr1'!$I$9:$I$12,'Fac-ExistLrgGas-Yr1'!I12:I15,'Fac-NewLrgGas-Yr1'!I9:I12),0)</f>
        <v>104</v>
      </c>
      <c r="I17" s="201">
        <f t="shared" si="4"/>
        <v>2080</v>
      </c>
      <c r="J17" s="201">
        <f t="shared" si="5"/>
        <v>2080</v>
      </c>
      <c r="K17" s="201">
        <f t="shared" si="6"/>
        <v>104</v>
      </c>
      <c r="L17" s="201">
        <f t="shared" si="7"/>
        <v>208</v>
      </c>
      <c r="M17" s="202">
        <f>(J17*'Agency Base Data'!$C$6)+(K17*'Agency Base Data'!$C$4)+(L17*'Agency Base Data'!$C$5)</f>
        <v>107794.96</v>
      </c>
      <c r="N17" s="203" t="s">
        <v>340</v>
      </c>
      <c r="O17" s="155"/>
    </row>
    <row r="18" spans="1:15" ht="15" customHeight="1">
      <c r="A18" s="199"/>
      <c r="B18" s="204" t="s">
        <v>62</v>
      </c>
      <c r="C18" s="204" t="s">
        <v>73</v>
      </c>
      <c r="D18" s="208"/>
      <c r="E18" s="208"/>
      <c r="F18" s="207"/>
      <c r="G18" s="200">
        <v>2</v>
      </c>
      <c r="H18" s="201">
        <f>SUM('Fac-ExistLrgSolid-Yr1'!$I$51,'Fac-ExistLrgLiquid-Yr1'!$I$51,'Fac-ExistLrgGas-Yr1'!$I$46,'Fac-NewLrgSolid-Yr1'!$I$45,'Fac-NewLrgLiquid-Yr1'!$I$45,'Fac-NewLrgGas-Yr1'!$I$43,'Fac - ExistSmlSolid-Yr1'!$I$17,'Fac - ExistSmlLiquid-Yr1'!$I$17,'Fac - ExistSmlGas-Yr1'!$I$17,'Fac-NewSmlSolid-Yr1'!$I$14,'Fac-NewSmlLiquid-Yr1'!$I$14,'Fac-NewSmlGas-Yr1'!$I$14)</f>
        <v>79</v>
      </c>
      <c r="I18" s="201">
        <f t="shared" si="4"/>
        <v>158</v>
      </c>
      <c r="J18" s="201">
        <f t="shared" si="5"/>
        <v>158</v>
      </c>
      <c r="K18" s="201">
        <f t="shared" si="6"/>
        <v>7.9</v>
      </c>
      <c r="L18" s="201">
        <f t="shared" si="7"/>
        <v>15.8</v>
      </c>
      <c r="M18" s="202">
        <f>(J18*'Agency Base Data'!$C$6)+(K18*'Agency Base Data'!$C$4)+(L18*'Agency Base Data'!$C$5)</f>
        <v>8188.2710000000006</v>
      </c>
      <c r="N18" s="203" t="s">
        <v>123</v>
      </c>
      <c r="O18" s="155"/>
    </row>
    <row r="19" spans="1:15" ht="15" customHeight="1">
      <c r="A19" s="199" t="s">
        <v>74</v>
      </c>
      <c r="B19" s="204" t="s">
        <v>75</v>
      </c>
      <c r="C19" s="204"/>
      <c r="D19" s="206"/>
      <c r="E19" s="208"/>
      <c r="F19" s="207"/>
      <c r="G19" s="200"/>
      <c r="H19" s="201"/>
      <c r="I19" s="201">
        <f t="shared" si="4"/>
        <v>0</v>
      </c>
      <c r="J19" s="201">
        <f t="shared" si="5"/>
        <v>0</v>
      </c>
      <c r="K19" s="201">
        <f t="shared" si="6"/>
        <v>0</v>
      </c>
      <c r="L19" s="201">
        <f t="shared" si="7"/>
        <v>0</v>
      </c>
      <c r="M19" s="202">
        <f>(J19*'Agency Base Data'!$C$6)+(K19*'Agency Base Data'!$C$4)+(L19*'Agency Base Data'!$C$5)</f>
        <v>0</v>
      </c>
      <c r="N19" s="203"/>
      <c r="O19" s="155"/>
    </row>
    <row r="20" spans="1:15" ht="15" customHeight="1">
      <c r="A20" s="199"/>
      <c r="B20" s="204" t="s">
        <v>58</v>
      </c>
      <c r="C20" s="204" t="s">
        <v>76</v>
      </c>
      <c r="D20" s="204"/>
      <c r="E20" s="208"/>
      <c r="F20" s="207"/>
      <c r="G20" s="200">
        <v>4</v>
      </c>
      <c r="H20" s="201">
        <f>2*SUM('Fac-ExistLrgSolid-Yr1'!$I$53,'Fac-ExistLrgLiquid-Yr1'!$I$53,,'Fac-NewLrgSolid-Yr1'!$I$46,'Fac-NewLrgLiquid-Yr1'!$I$46,'Fac-ExistLrgGas-Yr1'!$I$49,'Fac-NewLrgGas-Yr1'!$I$45)</f>
        <v>8</v>
      </c>
      <c r="I20" s="201">
        <f t="shared" si="4"/>
        <v>32</v>
      </c>
      <c r="J20" s="201">
        <f t="shared" si="5"/>
        <v>32</v>
      </c>
      <c r="K20" s="201">
        <f t="shared" si="6"/>
        <v>1.6</v>
      </c>
      <c r="L20" s="201">
        <f t="shared" si="7"/>
        <v>3.2</v>
      </c>
      <c r="M20" s="202">
        <f>(J20*'Agency Base Data'!$C$6)+(K20*'Agency Base Data'!$C$4)+(L20*'Agency Base Data'!$C$5)</f>
        <v>1658.384</v>
      </c>
      <c r="N20" s="203" t="s">
        <v>77</v>
      </c>
    </row>
    <row r="21" spans="1:15" ht="15" customHeight="1">
      <c r="A21" s="199"/>
      <c r="B21" s="204" t="s">
        <v>60</v>
      </c>
      <c r="C21" s="204" t="s">
        <v>14</v>
      </c>
      <c r="D21" s="204"/>
      <c r="E21" s="208"/>
      <c r="F21" s="207"/>
      <c r="G21" s="200">
        <v>2</v>
      </c>
      <c r="H21" s="201">
        <f>SUM('Fac-ExistLrgGas-Yr1'!$I$49,'Fac-NewLrgGas-Yr1'!$I$45)</f>
        <v>0</v>
      </c>
      <c r="I21" s="201">
        <f>G21*H21</f>
        <v>0</v>
      </c>
      <c r="J21" s="201">
        <f t="shared" si="5"/>
        <v>0</v>
      </c>
      <c r="K21" s="201">
        <f t="shared" si="6"/>
        <v>0</v>
      </c>
      <c r="L21" s="201">
        <f>J21*0.1</f>
        <v>0</v>
      </c>
      <c r="M21" s="202">
        <f>(J21*'Agency Base Data'!$C$6)+(K21*'Agency Base Data'!$C$4)+(L21*'Agency Base Data'!$C$5)</f>
        <v>0</v>
      </c>
      <c r="N21" s="203" t="s">
        <v>83</v>
      </c>
    </row>
    <row r="22" spans="1:15" ht="15" customHeight="1">
      <c r="A22" s="199"/>
      <c r="B22" s="204" t="s">
        <v>62</v>
      </c>
      <c r="C22" s="204" t="s">
        <v>15</v>
      </c>
      <c r="D22" s="204"/>
      <c r="E22" s="208"/>
      <c r="F22" s="207"/>
      <c r="G22" s="200">
        <v>1</v>
      </c>
      <c r="H22" s="201">
        <f>0.5*SUM('Fac - ExistSmlSolid-Yr1'!$I$18,'Fac - ExistSmlLiquid-Yr1'!$I$18,'Fac - ExistSmlGas-Yr1'!$I$18,'Fac-NewSmlGas-Yr1'!$I$15,'Fac-NewSmlLiquid-Yr1'!$I$15,'Fac-NewSmlSolid-Yr1'!$I$15)</f>
        <v>21</v>
      </c>
      <c r="I22" s="201">
        <f>G22*H22</f>
        <v>21</v>
      </c>
      <c r="J22" s="201">
        <f t="shared" si="5"/>
        <v>21</v>
      </c>
      <c r="K22" s="201">
        <f t="shared" si="6"/>
        <v>1.05</v>
      </c>
      <c r="L22" s="201">
        <f>J22*0.1</f>
        <v>2.1</v>
      </c>
      <c r="M22" s="202">
        <f>(J22*'Agency Base Data'!$C$6)+(K22*'Agency Base Data'!$C$4)+(L22*'Agency Base Data'!$C$5)</f>
        <v>1088.3145</v>
      </c>
      <c r="N22" s="203" t="s">
        <v>16</v>
      </c>
    </row>
    <row r="23" spans="1:15" ht="15" customHeight="1">
      <c r="A23" s="199"/>
      <c r="B23" s="204" t="s">
        <v>64</v>
      </c>
      <c r="C23" s="204" t="s">
        <v>79</v>
      </c>
      <c r="D23" s="204"/>
      <c r="E23" s="208"/>
      <c r="F23" s="210"/>
      <c r="G23" s="200">
        <v>2</v>
      </c>
      <c r="H23" s="201">
        <f>SUM('Fac-ExistLrgSolid-Yr1'!$I$52,'Fac-ExistLrgLiquid-Yr1'!$I$52,'Fac-ExistLrgGas-Yr1'!$I$47,'Fac - ExistSmlSolid-Yr1'!$I$19,'Fac - ExistSmlLiquid-Yr1'!$I$19,'Fac - ExistSmlGas-Yr1'!$I$19)</f>
        <v>0</v>
      </c>
      <c r="I23" s="201">
        <f t="shared" si="4"/>
        <v>0</v>
      </c>
      <c r="J23" s="201">
        <f t="shared" si="5"/>
        <v>0</v>
      </c>
      <c r="K23" s="201">
        <f t="shared" si="6"/>
        <v>0</v>
      </c>
      <c r="L23" s="201">
        <f t="shared" si="7"/>
        <v>0</v>
      </c>
      <c r="M23" s="202">
        <f>(J23*'Agency Base Data'!$C$6)+(K23*'Agency Base Data'!$C$4)+(L23*'Agency Base Data'!$C$5)</f>
        <v>0</v>
      </c>
      <c r="N23" s="203" t="s">
        <v>17</v>
      </c>
    </row>
    <row r="24" spans="1:15" ht="30.75" customHeight="1" thickBot="1">
      <c r="A24" s="211" t="s">
        <v>80</v>
      </c>
      <c r="B24" s="212" t="s">
        <v>81</v>
      </c>
      <c r="C24" s="213"/>
      <c r="D24" s="214"/>
      <c r="E24" s="214"/>
      <c r="F24" s="215"/>
      <c r="G24" s="504" t="s">
        <v>82</v>
      </c>
      <c r="H24" s="504"/>
      <c r="I24" s="504"/>
      <c r="J24" s="504"/>
      <c r="K24" s="216"/>
      <c r="L24" s="217"/>
      <c r="M24" s="218">
        <f>(('Agency Base Data'!$C$14*('Agency Base Data'!$C$11+'Agency Base Data'!$C$12))+'Agency Base Data'!$C$13)*SUM(H10:H11)</f>
        <v>37536</v>
      </c>
      <c r="N24" s="219" t="s">
        <v>18</v>
      </c>
    </row>
    <row r="25" spans="1:15" ht="18.75" customHeight="1">
      <c r="A25" s="230" t="s">
        <v>84</v>
      </c>
      <c r="B25" s="220"/>
      <c r="C25" s="221"/>
      <c r="D25" s="220"/>
      <c r="E25" s="222"/>
      <c r="F25" s="223"/>
      <c r="G25" s="224"/>
      <c r="H25" s="224"/>
      <c r="I25" s="224"/>
      <c r="J25" s="225">
        <f>SUM(J5:J23)</f>
        <v>13603</v>
      </c>
      <c r="K25" s="225">
        <f>SUM(K5:K23)</f>
        <v>680.15</v>
      </c>
      <c r="L25" s="225">
        <f>SUM(L5:L23)</f>
        <v>1360.3</v>
      </c>
      <c r="M25" s="226">
        <f>SUM(M5:M24)</f>
        <v>742504.67349999992</v>
      </c>
      <c r="N25" s="227"/>
    </row>
    <row r="26" spans="1:15" ht="18" customHeight="1" thickBot="1">
      <c r="A26" s="267" t="s">
        <v>85</v>
      </c>
      <c r="B26" s="228"/>
      <c r="C26" s="228"/>
      <c r="D26" s="228"/>
      <c r="E26" s="228"/>
      <c r="F26" s="228"/>
      <c r="G26" s="215"/>
      <c r="H26" s="215"/>
      <c r="I26" s="215"/>
      <c r="J26" s="268"/>
      <c r="K26" s="217"/>
      <c r="L26" s="269">
        <f>(SUM(J5:J23))+(SUM(K5:K23))+(SUM(L5:L23))</f>
        <v>15643.449999999999</v>
      </c>
      <c r="M26" s="229"/>
      <c r="N26" s="219"/>
    </row>
    <row r="27" spans="1:15" ht="6.75" customHeight="1">
      <c r="G27" s="71"/>
      <c r="H27" s="71"/>
      <c r="I27" s="71"/>
    </row>
    <row r="28" spans="1:15" s="88" customFormat="1" ht="11.25">
      <c r="A28" s="88" t="s">
        <v>86</v>
      </c>
      <c r="J28" s="89"/>
      <c r="K28" s="89"/>
      <c r="L28" s="89"/>
      <c r="M28" s="90"/>
      <c r="N28" s="46"/>
    </row>
    <row r="29" spans="1:15" s="88" customFormat="1" ht="35.25" customHeight="1">
      <c r="A29" s="503" t="s">
        <v>445</v>
      </c>
      <c r="B29" s="503"/>
      <c r="C29" s="503"/>
      <c r="D29" s="503"/>
      <c r="E29" s="503"/>
      <c r="F29" s="503"/>
      <c r="G29" s="503"/>
      <c r="H29" s="503"/>
      <c r="I29" s="503"/>
      <c r="J29" s="503"/>
      <c r="K29" s="503"/>
      <c r="L29" s="503"/>
      <c r="M29" s="503"/>
      <c r="N29" s="503"/>
    </row>
    <row r="30" spans="1:15" s="88" customFormat="1" ht="11.25">
      <c r="A30" s="503" t="s">
        <v>446</v>
      </c>
      <c r="B30" s="503"/>
      <c r="C30" s="503"/>
      <c r="D30" s="503"/>
      <c r="E30" s="503"/>
      <c r="F30" s="503"/>
      <c r="G30" s="503"/>
      <c r="H30" s="503"/>
      <c r="I30" s="503"/>
      <c r="J30" s="503"/>
      <c r="K30" s="503"/>
      <c r="L30" s="503"/>
      <c r="M30" s="503"/>
      <c r="N30" s="503"/>
    </row>
    <row r="31" spans="1:15" s="88" customFormat="1" ht="11.25">
      <c r="A31" s="88" t="s">
        <v>481</v>
      </c>
      <c r="J31" s="89"/>
      <c r="K31" s="89"/>
      <c r="L31" s="89"/>
      <c r="M31" s="90"/>
      <c r="N31" s="46"/>
    </row>
    <row r="32" spans="1:15" s="88" customFormat="1" ht="12.75" customHeight="1">
      <c r="A32" s="503" t="s">
        <v>447</v>
      </c>
      <c r="B32" s="503"/>
      <c r="C32" s="503"/>
      <c r="D32" s="503"/>
      <c r="E32" s="503"/>
      <c r="F32" s="503"/>
      <c r="G32" s="503"/>
      <c r="H32" s="503"/>
      <c r="I32" s="503"/>
      <c r="J32" s="503"/>
      <c r="K32" s="503"/>
      <c r="L32" s="503"/>
      <c r="M32" s="503"/>
      <c r="N32" s="503"/>
    </row>
    <row r="33" spans="1:14" s="88" customFormat="1" ht="11.25" customHeight="1">
      <c r="A33" s="88" t="s">
        <v>317</v>
      </c>
      <c r="J33" s="89"/>
      <c r="K33" s="89"/>
      <c r="L33" s="89"/>
      <c r="M33" s="90"/>
      <c r="N33" s="46"/>
    </row>
    <row r="34" spans="1:14" s="88" customFormat="1" ht="11.25">
      <c r="A34" s="88" t="s">
        <v>448</v>
      </c>
      <c r="J34" s="89"/>
      <c r="K34" s="89"/>
      <c r="L34" s="89"/>
      <c r="M34" s="90"/>
      <c r="N34" s="46"/>
    </row>
    <row r="35" spans="1:14">
      <c r="A35" s="503" t="s">
        <v>449</v>
      </c>
      <c r="B35" s="503"/>
      <c r="C35" s="503"/>
      <c r="D35" s="503"/>
      <c r="E35" s="503"/>
      <c r="F35" s="503"/>
      <c r="G35" s="503"/>
      <c r="H35" s="503"/>
      <c r="I35" s="503"/>
      <c r="J35" s="503"/>
      <c r="K35" s="503"/>
      <c r="L35" s="503"/>
      <c r="M35" s="503"/>
      <c r="N35" s="503"/>
    </row>
    <row r="36" spans="1:14">
      <c r="A36" s="88" t="s">
        <v>450</v>
      </c>
      <c r="G36" s="71"/>
      <c r="H36" s="71"/>
      <c r="I36" s="71"/>
    </row>
    <row r="37" spans="1:14">
      <c r="A37" s="88" t="s">
        <v>451</v>
      </c>
      <c r="G37" s="71"/>
      <c r="H37" s="71"/>
      <c r="I37" s="71"/>
    </row>
    <row r="38" spans="1:14" ht="25.5" customHeight="1">
      <c r="A38" s="503" t="s">
        <v>21</v>
      </c>
      <c r="B38" s="503"/>
      <c r="C38" s="503"/>
      <c r="D38" s="503"/>
      <c r="E38" s="503"/>
      <c r="F38" s="503"/>
      <c r="G38" s="503"/>
      <c r="H38" s="503"/>
      <c r="I38" s="503"/>
      <c r="J38" s="503"/>
      <c r="K38" s="503"/>
      <c r="L38" s="503"/>
      <c r="M38" s="503"/>
      <c r="N38" s="503"/>
    </row>
    <row r="39" spans="1:14">
      <c r="A39" s="99" t="s">
        <v>20</v>
      </c>
    </row>
    <row r="40" spans="1:14" ht="33.75" customHeight="1">
      <c r="A40" s="503" t="s">
        <v>19</v>
      </c>
      <c r="B40" s="503"/>
      <c r="C40" s="503"/>
      <c r="D40" s="503"/>
      <c r="E40" s="503"/>
      <c r="F40" s="503"/>
      <c r="G40" s="503"/>
      <c r="H40" s="503"/>
      <c r="I40" s="503"/>
      <c r="J40" s="503"/>
      <c r="K40" s="503"/>
      <c r="L40" s="503"/>
      <c r="M40" s="503"/>
      <c r="N40" s="503"/>
    </row>
    <row r="41" spans="1:14">
      <c r="A41" s="99" t="s">
        <v>622</v>
      </c>
    </row>
    <row r="42" spans="1:14">
      <c r="A42" s="99" t="s">
        <v>629</v>
      </c>
    </row>
    <row r="44" spans="1:14">
      <c r="H44" s="91"/>
      <c r="I44" s="159"/>
      <c r="J44" s="148"/>
      <c r="L44" s="160"/>
    </row>
    <row r="45" spans="1:14">
      <c r="I45" s="148"/>
      <c r="J45" s="148"/>
    </row>
    <row r="46" spans="1:14">
      <c r="I46" s="159"/>
      <c r="J46" s="148"/>
    </row>
    <row r="47" spans="1:14">
      <c r="I47" s="148"/>
    </row>
    <row r="48" spans="1:14">
      <c r="J48" s="148"/>
    </row>
  </sheetData>
  <mergeCells count="12">
    <mergeCell ref="A1:N1"/>
    <mergeCell ref="A2:N2"/>
    <mergeCell ref="A29:N29"/>
    <mergeCell ref="B6:F6"/>
    <mergeCell ref="C17:F17"/>
    <mergeCell ref="C16:F16"/>
    <mergeCell ref="A40:N40"/>
    <mergeCell ref="A32:N32"/>
    <mergeCell ref="A38:N38"/>
    <mergeCell ref="G24:J24"/>
    <mergeCell ref="A30:N30"/>
    <mergeCell ref="A35:N35"/>
  </mergeCells>
  <phoneticPr fontId="9" type="noConversion"/>
  <printOptions horizontalCentered="1"/>
  <pageMargins left="0.5" right="0.5" top="0.5" bottom="0.5" header="0.5" footer="0.5"/>
  <pageSetup scale="78" orientation="landscape" r:id="rId1"/>
  <headerFooter alignWithMargins="0"/>
</worksheet>
</file>

<file path=xl/worksheets/sheet48.xml><?xml version="1.0" encoding="utf-8"?>
<worksheet xmlns="http://schemas.openxmlformats.org/spreadsheetml/2006/main" xmlns:r="http://schemas.openxmlformats.org/officeDocument/2006/relationships">
  <sheetPr>
    <pageSetUpPr fitToPage="1"/>
  </sheetPr>
  <dimension ref="A1:O46"/>
  <sheetViews>
    <sheetView zoomScaleNormal="100" workbookViewId="0">
      <selection activeCell="H5" sqref="H5"/>
    </sheetView>
  </sheetViews>
  <sheetFormatPr defaultRowHeight="12.75"/>
  <cols>
    <col min="1" max="1" width="2.28515625" style="71" customWidth="1"/>
    <col min="2" max="2" width="2.42578125" style="71" customWidth="1"/>
    <col min="3" max="3" width="2.140625" style="71" customWidth="1"/>
    <col min="4" max="4" width="1.42578125" style="71" customWidth="1"/>
    <col min="5" max="5" width="2.42578125" style="71" customWidth="1"/>
    <col min="6" max="6" width="40.7109375" style="71" customWidth="1"/>
    <col min="7" max="7" width="12" style="147" customWidth="1"/>
    <col min="8" max="8" width="13" style="147" customWidth="1"/>
    <col min="9" max="9" width="14.28515625" style="147" customWidth="1"/>
    <col min="10" max="10" width="10.5703125" style="147" customWidth="1"/>
    <col min="11" max="11" width="11" style="147" customWidth="1"/>
    <col min="12" max="12" width="14" style="147" customWidth="1"/>
    <col min="13" max="13" width="13" style="148" customWidth="1"/>
    <col min="14" max="14" width="3.85546875" style="149" bestFit="1" customWidth="1"/>
    <col min="15" max="15" width="15.28515625" style="71" customWidth="1"/>
    <col min="16" max="16384" width="9.140625" style="71"/>
  </cols>
  <sheetData>
    <row r="1" spans="1:15">
      <c r="A1" s="505" t="s">
        <v>87</v>
      </c>
      <c r="B1" s="505"/>
      <c r="C1" s="505"/>
      <c r="D1" s="505"/>
      <c r="E1" s="505"/>
      <c r="F1" s="505"/>
      <c r="G1" s="505"/>
      <c r="H1" s="505"/>
      <c r="I1" s="505"/>
      <c r="J1" s="505"/>
      <c r="K1" s="505"/>
      <c r="L1" s="505"/>
      <c r="M1" s="505"/>
      <c r="N1" s="505"/>
    </row>
    <row r="2" spans="1:15" ht="12" customHeight="1">
      <c r="A2" s="505" t="s">
        <v>250</v>
      </c>
      <c r="B2" s="505"/>
      <c r="C2" s="505"/>
      <c r="D2" s="505"/>
      <c r="E2" s="505"/>
      <c r="F2" s="505"/>
      <c r="G2" s="505"/>
      <c r="H2" s="505"/>
      <c r="I2" s="505"/>
      <c r="J2" s="505"/>
      <c r="K2" s="505"/>
      <c r="L2" s="505"/>
      <c r="M2" s="505"/>
      <c r="N2" s="505"/>
    </row>
    <row r="3" spans="1:15" ht="15" customHeight="1" thickBot="1"/>
    <row r="4" spans="1:15" s="104" customFormat="1" ht="51">
      <c r="A4" s="150" t="s">
        <v>343</v>
      </c>
      <c r="B4" s="151"/>
      <c r="C4" s="151"/>
      <c r="D4" s="151"/>
      <c r="E4" s="151"/>
      <c r="F4" s="151"/>
      <c r="G4" s="152" t="s">
        <v>46</v>
      </c>
      <c r="H4" s="152" t="s">
        <v>47</v>
      </c>
      <c r="I4" s="152" t="s">
        <v>48</v>
      </c>
      <c r="J4" s="152" t="s">
        <v>49</v>
      </c>
      <c r="K4" s="152" t="s">
        <v>50</v>
      </c>
      <c r="L4" s="152" t="s">
        <v>51</v>
      </c>
      <c r="M4" s="153" t="s">
        <v>24</v>
      </c>
      <c r="N4" s="154" t="s">
        <v>345</v>
      </c>
    </row>
    <row r="5" spans="1:15" ht="15" customHeight="1">
      <c r="A5" s="192" t="s">
        <v>52</v>
      </c>
      <c r="B5" s="193" t="s">
        <v>53</v>
      </c>
      <c r="C5" s="193"/>
      <c r="D5" s="193"/>
      <c r="E5" s="193"/>
      <c r="F5" s="194"/>
      <c r="G5" s="195">
        <v>40</v>
      </c>
      <c r="H5" s="195">
        <v>0</v>
      </c>
      <c r="I5" s="196">
        <f>G5*H5</f>
        <v>0</v>
      </c>
      <c r="J5" s="196">
        <f>I5</f>
        <v>0</v>
      </c>
      <c r="K5" s="196">
        <f>J5*0.05</f>
        <v>0</v>
      </c>
      <c r="L5" s="196">
        <f>J5*0.1</f>
        <v>0</v>
      </c>
      <c r="M5" s="197">
        <f>(J5*'Agency Base Data'!$C$6)+(K5*'Agency Base Data'!$C$4)+(L5*'Agency Base Data'!$C$5)</f>
        <v>0</v>
      </c>
      <c r="N5" s="198" t="s">
        <v>338</v>
      </c>
      <c r="O5" s="35"/>
    </row>
    <row r="6" spans="1:15" ht="27" customHeight="1">
      <c r="A6" s="199" t="s">
        <v>54</v>
      </c>
      <c r="B6" s="506" t="s">
        <v>55</v>
      </c>
      <c r="C6" s="506"/>
      <c r="D6" s="506"/>
      <c r="E6" s="506"/>
      <c r="F6" s="506"/>
      <c r="G6" s="200">
        <v>2</v>
      </c>
      <c r="H6" s="201">
        <f>SUM('Fac-ExistLrgSolid-Yr2'!$I$50,'Fac-ExistLrgLiquid-Yr2'!$I$50,'Fac-ExistLrgGas-Yr2'!$I$45,'Fac-NewLrgSolid-Yr2'!$I$44,'Fac-NewLrgLiquid-Yr2'!$I$44,'Fac-NewLrgGas-Yr2'!$I$42,'Fac - ExistSmlSolid-Yr2'!$I$16,'Fac - ExistSmlLiquid-Yr2'!$I$16,'Fac - ExistSmlGas-Yr2'!$I$16,'Fac-NewSmlSolid-Yr2'!$I$13,'Fac-NewSmlLiquid-Yr2'!$I$13,'Fac-NewSmlGas-Yr2'!$I$13)+H18</f>
        <v>154</v>
      </c>
      <c r="I6" s="201">
        <f>G6*H6</f>
        <v>308</v>
      </c>
      <c r="J6" s="201">
        <f>I6</f>
        <v>308</v>
      </c>
      <c r="K6" s="201">
        <f>J6*0.05</f>
        <v>15.4</v>
      </c>
      <c r="L6" s="201">
        <f>J6*0.1</f>
        <v>30.8</v>
      </c>
      <c r="M6" s="202">
        <f>(J6*'Agency Base Data'!$C$6)+(K6*'Agency Base Data'!$C$4)+(L6*'Agency Base Data'!$C$5)</f>
        <v>15961.946000000002</v>
      </c>
      <c r="N6" s="203" t="s">
        <v>123</v>
      </c>
      <c r="O6" s="156"/>
    </row>
    <row r="7" spans="1:15" ht="15" customHeight="1">
      <c r="A7" s="199" t="s">
        <v>56</v>
      </c>
      <c r="B7" s="204" t="s">
        <v>57</v>
      </c>
      <c r="C7" s="205"/>
      <c r="D7" s="206"/>
      <c r="E7" s="206"/>
      <c r="F7" s="207"/>
      <c r="G7" s="200"/>
      <c r="H7" s="200"/>
      <c r="I7" s="201"/>
      <c r="J7" s="201"/>
      <c r="K7" s="201"/>
      <c r="L7" s="201"/>
      <c r="M7" s="202"/>
      <c r="N7" s="203"/>
      <c r="O7" s="155"/>
    </row>
    <row r="8" spans="1:15" ht="15" customHeight="1">
      <c r="A8" s="199"/>
      <c r="B8" s="204" t="s">
        <v>58</v>
      </c>
      <c r="C8" s="420" t="s">
        <v>621</v>
      </c>
      <c r="D8" s="206"/>
      <c r="E8" s="208"/>
      <c r="F8" s="207"/>
      <c r="G8" s="200">
        <v>20</v>
      </c>
      <c r="H8" s="201">
        <f>SUM('Fac-ExistLrgSolid-Yr2'!I25,'Fac-ExistLrgLiquid-Yr2'!I25,'Fac-ExistLrgGas-Yr2'!I24,'Fac-NewLrgSolid-Yr2'!I22,'Fac-NewLrgLiquid-Yr2'!I22,'Fac-NewLrgGas-Yr2'!I21)</f>
        <v>110</v>
      </c>
      <c r="I8" s="201">
        <f t="shared" ref="I8:I13" si="0">G8*H8</f>
        <v>2200</v>
      </c>
      <c r="J8" s="201">
        <f t="shared" ref="J8:J14" si="1">I8</f>
        <v>2200</v>
      </c>
      <c r="K8" s="201">
        <f t="shared" ref="K8:K14" si="2">J8*0.05</f>
        <v>110</v>
      </c>
      <c r="L8" s="201">
        <f t="shared" ref="L8:L14" si="3">J8*0.1</f>
        <v>220</v>
      </c>
      <c r="M8" s="202">
        <f>(J8*'Agency Base Data'!$C$6)+(K8*'Agency Base Data'!$C$4)+(L8*'Agency Base Data'!$C$5)</f>
        <v>114013.9</v>
      </c>
      <c r="N8" s="421" t="s">
        <v>496</v>
      </c>
      <c r="O8" s="157"/>
    </row>
    <row r="9" spans="1:15" ht="15" customHeight="1">
      <c r="A9" s="199"/>
      <c r="B9" s="420" t="s">
        <v>60</v>
      </c>
      <c r="C9" s="420" t="s">
        <v>627</v>
      </c>
      <c r="D9" s="206"/>
      <c r="E9" s="208"/>
      <c r="F9" s="207"/>
      <c r="G9" s="200">
        <v>20</v>
      </c>
      <c r="H9" s="201">
        <f>SUM('Fac-NewLrgSolid-Yr2'!I22,'Fac-NewLrgLiquid-Yr2'!I22,'Fac-NewLrgGas-Yr2'!I21)+ROUNDUP('Base Data'!B123/2,0)</f>
        <v>443</v>
      </c>
      <c r="I9" s="201">
        <f t="shared" si="0"/>
        <v>8860</v>
      </c>
      <c r="J9" s="201">
        <f t="shared" si="1"/>
        <v>8860</v>
      </c>
      <c r="K9" s="201">
        <f t="shared" si="2"/>
        <v>443</v>
      </c>
      <c r="L9" s="201">
        <f t="shared" si="3"/>
        <v>886</v>
      </c>
      <c r="M9" s="202">
        <f>(J9*'Agency Base Data'!$C$6)+(K9*'Agency Base Data'!$C$4)+(L9*'Agency Base Data'!$C$5)</f>
        <v>459165.07</v>
      </c>
      <c r="N9" s="421" t="s">
        <v>508</v>
      </c>
      <c r="O9" s="157"/>
    </row>
    <row r="10" spans="1:15" ht="15" customHeight="1">
      <c r="A10" s="199"/>
      <c r="B10" s="420" t="s">
        <v>62</v>
      </c>
      <c r="C10" s="204" t="s">
        <v>59</v>
      </c>
      <c r="D10" s="206"/>
      <c r="E10" s="208"/>
      <c r="F10" s="207"/>
      <c r="G10" s="200">
        <v>40</v>
      </c>
      <c r="H10" s="201">
        <f>ROUND(0.2*SUM('Fac-ExistLrgSolid-Yr2'!$I$12:$I$15,'Fac-ExistLrgLiquid-Yr2'!$I$12:$I$15,'Fac-NewLrgSolid-Yr2'!$I$9:$I$12,'Fac-NewLrgLiquid-Yr2'!$I$9:$I$12,'Fac-ExistLrgGas-Yr2'!I12:I15,'Fac-NewLrgGas-Yr2'!I9:I12),0)</f>
        <v>605</v>
      </c>
      <c r="I10" s="201">
        <f t="shared" si="0"/>
        <v>24200</v>
      </c>
      <c r="J10" s="201">
        <f t="shared" si="1"/>
        <v>24200</v>
      </c>
      <c r="K10" s="201">
        <f t="shared" si="2"/>
        <v>1210</v>
      </c>
      <c r="L10" s="201">
        <f t="shared" si="3"/>
        <v>2420</v>
      </c>
      <c r="M10" s="202">
        <f>(J10*'Agency Base Data'!$C$6)+(K10*'Agency Base Data'!$C$4)+(L10*'Agency Base Data'!$C$5)</f>
        <v>1254152.8999999999</v>
      </c>
      <c r="N10" s="203" t="s">
        <v>339</v>
      </c>
      <c r="O10" s="157"/>
    </row>
    <row r="11" spans="1:15" ht="15" customHeight="1">
      <c r="A11" s="199"/>
      <c r="B11" s="420" t="s">
        <v>64</v>
      </c>
      <c r="C11" s="204" t="s">
        <v>61</v>
      </c>
      <c r="D11" s="206"/>
      <c r="E11" s="208"/>
      <c r="F11" s="207"/>
      <c r="G11" s="200">
        <v>40</v>
      </c>
      <c r="H11" s="201">
        <f>ROUND(0.1*SUM('Fac-ExistLrgSolid-Yr2'!$I$12:$I$15,'Fac-ExistLrgLiquid-Yr2'!$I$12:$I$15,'Fac-NewLrgSolid-Yr2'!$I$9:$I$12,'Fac-NewLrgLiquid-Yr2'!$I$9:$I$12,'Fac-ExistLrgGas-Yr2'!I12:I15,'Fac-NewLrgGas-Yr2'!I9:I12,'Fac-ExistLrgSolid-Yr2'!$I$20,'Fac-NewLrgSolid-Yr2'!I17),0)</f>
        <v>359</v>
      </c>
      <c r="I11" s="201">
        <f t="shared" si="0"/>
        <v>14360</v>
      </c>
      <c r="J11" s="201">
        <f t="shared" si="1"/>
        <v>14360</v>
      </c>
      <c r="K11" s="201">
        <f t="shared" si="2"/>
        <v>718</v>
      </c>
      <c r="L11" s="201">
        <f t="shared" si="3"/>
        <v>1436</v>
      </c>
      <c r="M11" s="202">
        <f>(J11*'Agency Base Data'!$C$6)+(K11*'Agency Base Data'!$C$4)+(L11*'Agency Base Data'!$C$5)</f>
        <v>744199.82</v>
      </c>
      <c r="N11" s="203" t="s">
        <v>247</v>
      </c>
      <c r="O11" s="158"/>
    </row>
    <row r="12" spans="1:15" ht="15" customHeight="1">
      <c r="A12" s="199"/>
      <c r="B12" s="420" t="s">
        <v>630</v>
      </c>
      <c r="C12" s="204" t="s">
        <v>63</v>
      </c>
      <c r="D12" s="206"/>
      <c r="E12" s="208"/>
      <c r="F12" s="207"/>
      <c r="G12" s="200">
        <v>2</v>
      </c>
      <c r="H12" s="201">
        <f>ROUND(SUM('Fac-ExistLrgSolid-Yr2'!$I$12:$I$15,'Fac-ExistLrgLiquid-Yr2'!$I$12:$I$15,'Fac-NewLrgSolid-Yr2'!$I$9:$I$12,'Fac-NewLrgLiquid-Yr2'!$I$9:$I$12,'Fac-ExistLrgGas-Yr2'!I12:I15,'Fac-NewLrgGas-Yr2'!I9:I12),0)</f>
        <v>3024</v>
      </c>
      <c r="I12" s="201">
        <f t="shared" si="0"/>
        <v>6048</v>
      </c>
      <c r="J12" s="201">
        <f t="shared" si="1"/>
        <v>6048</v>
      </c>
      <c r="K12" s="201">
        <f t="shared" si="2"/>
        <v>302.40000000000003</v>
      </c>
      <c r="L12" s="201">
        <f t="shared" si="3"/>
        <v>604.80000000000007</v>
      </c>
      <c r="M12" s="202">
        <f>(J12*'Agency Base Data'!$C$6)+(K12*'Agency Base Data'!$C$4)+(L12*'Agency Base Data'!$C$5)</f>
        <v>313434.57600000006</v>
      </c>
      <c r="N12" s="203" t="s">
        <v>340</v>
      </c>
      <c r="O12" s="156"/>
    </row>
    <row r="13" spans="1:15" ht="15" customHeight="1">
      <c r="A13" s="199"/>
      <c r="B13" s="420" t="s">
        <v>631</v>
      </c>
      <c r="C13" s="204" t="s">
        <v>65</v>
      </c>
      <c r="D13" s="206"/>
      <c r="E13" s="208"/>
      <c r="F13" s="207"/>
      <c r="G13" s="200">
        <v>2</v>
      </c>
      <c r="H13" s="201">
        <f>SUM('Fac-ExistLrgSolid-Yr2'!I61,'Fac-ExistLrgLiquid-Yr2'!I61,'Fac-NewLrgSolid-Yr2'!I54,'Fac-NewLrgLiquid-Yr2'!I54,'Fac-ExistLrgGas-Yr2'!I58,'Fac-NewLrgGas-Yr2'!I54)</f>
        <v>52</v>
      </c>
      <c r="I13" s="201">
        <f t="shared" si="0"/>
        <v>104</v>
      </c>
      <c r="J13" s="201">
        <f t="shared" si="1"/>
        <v>104</v>
      </c>
      <c r="K13" s="201">
        <f t="shared" si="2"/>
        <v>5.2</v>
      </c>
      <c r="L13" s="201">
        <f t="shared" si="3"/>
        <v>10.4</v>
      </c>
      <c r="M13" s="202">
        <f>(J13*'Agency Base Data'!$C$6)+(K13*'Agency Base Data'!$C$4)+(L13*'Agency Base Data'!$C$5)</f>
        <v>5389.7480000000005</v>
      </c>
      <c r="N13" s="203" t="s">
        <v>248</v>
      </c>
      <c r="O13" s="155"/>
    </row>
    <row r="14" spans="1:15" ht="15" customHeight="1">
      <c r="A14" s="199" t="s">
        <v>66</v>
      </c>
      <c r="B14" s="204" t="s">
        <v>67</v>
      </c>
      <c r="C14" s="204"/>
      <c r="D14" s="206"/>
      <c r="E14" s="208"/>
      <c r="F14" s="207"/>
      <c r="G14" s="200">
        <v>24</v>
      </c>
      <c r="H14" s="201">
        <f>ROUND(0.1*SUM('Fac-ExistLrgSolid-Yr2'!$I$12:$I$15,'Fac-ExistLrgLiquid-Yr2'!$I$12:$I$15,'Fac-NewLrgSolid-Yr2'!$I$9:$I$12,'Fac-NewLrgLiquid-Yr2'!$I$9:$I$12,'Fac-ExistLrgGas-Yr2'!I12:I15,'Fac-NewLrgGas-Yr2'!I9:I12),0)</f>
        <v>302</v>
      </c>
      <c r="I14" s="201">
        <v>0</v>
      </c>
      <c r="J14" s="201">
        <f t="shared" si="1"/>
        <v>0</v>
      </c>
      <c r="K14" s="201">
        <f t="shared" si="2"/>
        <v>0</v>
      </c>
      <c r="L14" s="201">
        <f t="shared" si="3"/>
        <v>0</v>
      </c>
      <c r="M14" s="202">
        <f>(J14*'Agency Base Data'!$C$6)+(K14*'Agency Base Data'!$C$4)+(L14*'Agency Base Data'!$C$5)</f>
        <v>0</v>
      </c>
      <c r="N14" s="203" t="s">
        <v>68</v>
      </c>
      <c r="O14" s="155"/>
    </row>
    <row r="15" spans="1:15" ht="15.75" customHeight="1">
      <c r="A15" s="199" t="s">
        <v>69</v>
      </c>
      <c r="B15" s="204" t="s">
        <v>70</v>
      </c>
      <c r="C15" s="205"/>
      <c r="D15" s="209"/>
      <c r="E15" s="208"/>
      <c r="F15" s="207"/>
      <c r="G15" s="200"/>
      <c r="H15" s="201"/>
      <c r="I15" s="201"/>
      <c r="J15" s="201"/>
      <c r="K15" s="201"/>
      <c r="L15" s="201"/>
      <c r="M15" s="202"/>
      <c r="N15" s="203"/>
      <c r="O15" s="155"/>
    </row>
    <row r="16" spans="1:15" ht="27" customHeight="1">
      <c r="A16" s="199"/>
      <c r="B16" s="204" t="s">
        <v>58</v>
      </c>
      <c r="C16" s="506" t="s">
        <v>71</v>
      </c>
      <c r="D16" s="506"/>
      <c r="E16" s="506"/>
      <c r="F16" s="506"/>
      <c r="G16" s="200">
        <v>2</v>
      </c>
      <c r="H16" s="201">
        <f>SUM('Fac-ExistLrgSolid-Yr2'!$I$50,'Fac-ExistLrgLiquid-Yr2'!$I$50,'Fac-ExistLrgGas-Yr2'!$I$45,'Fac-NewLrgSolid-Yr2'!$I$44,'Fac-NewLrgLiquid-Yr2'!$I$44,'Fac-NewLrgGas-Yr2'!$I$42,'Fac - ExistSmlSolid-Yr2'!$I$16,'Fac - ExistSmlLiquid-Yr2'!$I$16,'Fac - ExistSmlGas-Yr2'!$I$16,'Fac-NewSmlSolid-Yr2'!$I$13,'Fac-NewSmlLiquid-Yr2'!$I$13,'Fac-NewSmlGas-Yr2'!$I$13)</f>
        <v>77</v>
      </c>
      <c r="I16" s="201">
        <f t="shared" ref="I16:I23" si="4">G16*H16</f>
        <v>154</v>
      </c>
      <c r="J16" s="201">
        <f t="shared" ref="J16:J23" si="5">I16</f>
        <v>154</v>
      </c>
      <c r="K16" s="201">
        <f t="shared" ref="K16:K23" si="6">J16*0.05</f>
        <v>7.7</v>
      </c>
      <c r="L16" s="201">
        <f t="shared" ref="L16:L23" si="7">J16*0.1</f>
        <v>15.4</v>
      </c>
      <c r="M16" s="202">
        <f>(J16*'Agency Base Data'!$C$6)+(K16*'Agency Base Data'!$C$4)+(L16*'Agency Base Data'!$C$5)</f>
        <v>7980.9730000000009</v>
      </c>
      <c r="N16" s="203" t="s">
        <v>123</v>
      </c>
      <c r="O16" s="155"/>
    </row>
    <row r="17" spans="1:15" ht="27" customHeight="1">
      <c r="A17" s="199"/>
      <c r="B17" s="204" t="s">
        <v>60</v>
      </c>
      <c r="C17" s="506" t="s">
        <v>72</v>
      </c>
      <c r="D17" s="506"/>
      <c r="E17" s="506"/>
      <c r="F17" s="506"/>
      <c r="G17" s="200">
        <v>20</v>
      </c>
      <c r="H17" s="201">
        <f>ROUND(SUM('Fac-ExistLrgSolid-Yr2'!$I$12:$I$15,'Fac-ExistLrgLiquid-Yr2'!$I$12:$I$15,'Fac-NewLrgSolid-Yr2'!$I$9:$I$12,'Fac-NewLrgLiquid-Yr2'!$I$9:$I$12,'Fac-ExistLrgGas-Yr2'!I12:I15,'Fac-NewLrgGas-Yr2'!I9:I12),0)</f>
        <v>3024</v>
      </c>
      <c r="I17" s="201">
        <f t="shared" si="4"/>
        <v>60480</v>
      </c>
      <c r="J17" s="201">
        <f t="shared" si="5"/>
        <v>60480</v>
      </c>
      <c r="K17" s="201">
        <f t="shared" si="6"/>
        <v>3024</v>
      </c>
      <c r="L17" s="201">
        <f t="shared" si="7"/>
        <v>6048</v>
      </c>
      <c r="M17" s="202">
        <f>(J17*'Agency Base Data'!$C$6)+(K17*'Agency Base Data'!$C$4)+(L17*'Agency Base Data'!$C$5)</f>
        <v>3134345.7600000002</v>
      </c>
      <c r="N17" s="203" t="s">
        <v>340</v>
      </c>
      <c r="O17" s="155"/>
    </row>
    <row r="18" spans="1:15" ht="15" customHeight="1">
      <c r="A18" s="199"/>
      <c r="B18" s="204" t="s">
        <v>62</v>
      </c>
      <c r="C18" s="204" t="s">
        <v>73</v>
      </c>
      <c r="D18" s="208"/>
      <c r="E18" s="208"/>
      <c r="F18" s="207"/>
      <c r="G18" s="200">
        <v>2</v>
      </c>
      <c r="H18" s="201">
        <f>SUM('Fac-ExistLrgSolid-Yr2'!$I$51,'Fac-ExistLrgLiquid-Yr2'!$I$51,'Fac-ExistLrgGas-Yr2'!$I$46,'Fac-NewLrgSolid-Yr2'!$I$45,'Fac-NewLrgLiquid-Yr2'!$I$45,'Fac-NewLrgGas-Yr2'!$I$43,'Fac - ExistSmlSolid-Yr2'!$I$17,'Fac - ExistSmlLiquid-Yr2'!$I$17,'Fac - ExistSmlGas-Yr2'!$I$17,'Fac-NewSmlSolid-Yr2'!$I$14,'Fac-NewSmlLiquid-Yr2'!$I$14,'Fac-NewSmlGas-Yr2'!$I$14)</f>
        <v>77</v>
      </c>
      <c r="I18" s="201">
        <f t="shared" si="4"/>
        <v>154</v>
      </c>
      <c r="J18" s="201">
        <f t="shared" si="5"/>
        <v>154</v>
      </c>
      <c r="K18" s="201">
        <f t="shared" si="6"/>
        <v>7.7</v>
      </c>
      <c r="L18" s="201">
        <f t="shared" si="7"/>
        <v>15.4</v>
      </c>
      <c r="M18" s="202">
        <f>(J18*'Agency Base Data'!$C$6)+(K18*'Agency Base Data'!$C$4)+(L18*'Agency Base Data'!$C$5)</f>
        <v>7980.9730000000009</v>
      </c>
      <c r="N18" s="203" t="s">
        <v>123</v>
      </c>
      <c r="O18" s="155"/>
    </row>
    <row r="19" spans="1:15" ht="15" customHeight="1">
      <c r="A19" s="199" t="s">
        <v>74</v>
      </c>
      <c r="B19" s="204" t="s">
        <v>75</v>
      </c>
      <c r="C19" s="204"/>
      <c r="D19" s="206"/>
      <c r="E19" s="208"/>
      <c r="F19" s="207"/>
      <c r="G19" s="200"/>
      <c r="H19" s="201"/>
      <c r="I19" s="201">
        <f t="shared" si="4"/>
        <v>0</v>
      </c>
      <c r="J19" s="201">
        <f t="shared" si="5"/>
        <v>0</v>
      </c>
      <c r="K19" s="201">
        <f t="shared" si="6"/>
        <v>0</v>
      </c>
      <c r="L19" s="201">
        <f t="shared" si="7"/>
        <v>0</v>
      </c>
      <c r="M19" s="202">
        <f>(J19*'Agency Base Data'!$C$6)+(K19*'Agency Base Data'!$C$4)+(L19*'Agency Base Data'!$C$5)</f>
        <v>0</v>
      </c>
      <c r="N19" s="203"/>
      <c r="O19" s="155"/>
    </row>
    <row r="20" spans="1:15" ht="15" customHeight="1">
      <c r="A20" s="199"/>
      <c r="B20" s="204" t="s">
        <v>58</v>
      </c>
      <c r="C20" s="204" t="s">
        <v>76</v>
      </c>
      <c r="D20" s="204"/>
      <c r="E20" s="208"/>
      <c r="F20" s="207"/>
      <c r="G20" s="200">
        <v>4</v>
      </c>
      <c r="H20" s="201">
        <f>2*SUM('Fac-ExistLrgSolid-Yr2'!$I$53,'Fac-ExistLrgLiquid-Yr2'!$I$53,,'Fac-NewLrgSolid-Yr2'!$I$46,'Fac-NewLrgLiquid-Yr2'!$I$46,'Fac-ExistLrgGas-Yr2'!$I$49,'Fac-NewLrgGas-Yr2'!$I$45)</f>
        <v>14</v>
      </c>
      <c r="I20" s="201">
        <f t="shared" si="4"/>
        <v>56</v>
      </c>
      <c r="J20" s="201">
        <f t="shared" si="5"/>
        <v>56</v>
      </c>
      <c r="K20" s="201">
        <f t="shared" si="6"/>
        <v>2.8000000000000003</v>
      </c>
      <c r="L20" s="201">
        <f t="shared" si="7"/>
        <v>5.6000000000000005</v>
      </c>
      <c r="M20" s="202">
        <f>(J20*'Agency Base Data'!$C$6)+(K20*'Agency Base Data'!$C$4)+(L20*'Agency Base Data'!$C$5)</f>
        <v>2902.1720000000005</v>
      </c>
      <c r="N20" s="203" t="s">
        <v>77</v>
      </c>
    </row>
    <row r="21" spans="1:15" ht="15" customHeight="1">
      <c r="A21" s="199"/>
      <c r="B21" s="204" t="s">
        <v>60</v>
      </c>
      <c r="C21" s="204" t="s">
        <v>14</v>
      </c>
      <c r="D21" s="204"/>
      <c r="E21" s="208"/>
      <c r="F21" s="207"/>
      <c r="G21" s="200">
        <v>2</v>
      </c>
      <c r="H21" s="201">
        <f>SUM('Fac-ExistLrgGas-Yr2'!$I$49,'Fac-NewLrgGas-Yr2'!$I$45)</f>
        <v>0</v>
      </c>
      <c r="I21" s="201">
        <f t="shared" si="4"/>
        <v>0</v>
      </c>
      <c r="J21" s="201">
        <f t="shared" si="5"/>
        <v>0</v>
      </c>
      <c r="K21" s="201">
        <f t="shared" si="6"/>
        <v>0</v>
      </c>
      <c r="L21" s="201">
        <f t="shared" si="7"/>
        <v>0</v>
      </c>
      <c r="M21" s="202">
        <f>(J21*'Agency Base Data'!$C$6)+(K21*'Agency Base Data'!$C$4)+(L21*'Agency Base Data'!$C$5)</f>
        <v>0</v>
      </c>
      <c r="N21" s="203" t="s">
        <v>83</v>
      </c>
    </row>
    <row r="22" spans="1:15" ht="15" customHeight="1">
      <c r="A22" s="199"/>
      <c r="B22" s="204" t="s">
        <v>62</v>
      </c>
      <c r="C22" s="204" t="s">
        <v>15</v>
      </c>
      <c r="D22" s="204"/>
      <c r="E22" s="208"/>
      <c r="F22" s="207"/>
      <c r="G22" s="200">
        <v>1</v>
      </c>
      <c r="H22" s="201">
        <f>0.5*SUM('Fac - ExistSmlSolid-Yr2'!$I$18,'Fac - ExistSmlLiquid-Yr2'!$I$18,'Fac - ExistSmlGas-Yr2'!$I$18,'Fac-NewSmlGas-Yr2'!$I$15,'Fac-NewSmlLiquid-Yr2'!$I$15,'Fac-NewSmlSolid-Yr2'!$I$15)</f>
        <v>20.5</v>
      </c>
      <c r="I22" s="201">
        <f t="shared" si="4"/>
        <v>20.5</v>
      </c>
      <c r="J22" s="201">
        <f t="shared" si="5"/>
        <v>20.5</v>
      </c>
      <c r="K22" s="201">
        <f t="shared" si="6"/>
        <v>1.0250000000000001</v>
      </c>
      <c r="L22" s="201">
        <f t="shared" si="7"/>
        <v>2.0500000000000003</v>
      </c>
      <c r="M22" s="202">
        <f>(J22*'Agency Base Data'!$C$6)+(K22*'Agency Base Data'!$C$4)+(L22*'Agency Base Data'!$C$5)</f>
        <v>1062.4022500000001</v>
      </c>
      <c r="N22" s="203" t="s">
        <v>16</v>
      </c>
    </row>
    <row r="23" spans="1:15" ht="15" customHeight="1">
      <c r="A23" s="199"/>
      <c r="B23" s="204" t="s">
        <v>64</v>
      </c>
      <c r="C23" s="204" t="s">
        <v>79</v>
      </c>
      <c r="D23" s="204"/>
      <c r="E23" s="208"/>
      <c r="F23" s="210"/>
      <c r="G23" s="200">
        <v>2</v>
      </c>
      <c r="H23" s="201">
        <f>SUM('Fac-ExistLrgSolid-Yr2'!$I$52,'Fac-ExistLrgLiquid-Yr2'!$I$52,'Fac-ExistLrgGas-Yr2'!$I$47,'Fac - ExistSmlSolid-Yr2'!$I$19,'Fac - ExistSmlLiquid-Yr2'!$I$19,'Fac - ExistSmlGas-Yr2'!$I$19)</f>
        <v>0</v>
      </c>
      <c r="I23" s="201">
        <f t="shared" si="4"/>
        <v>0</v>
      </c>
      <c r="J23" s="201">
        <f t="shared" si="5"/>
        <v>0</v>
      </c>
      <c r="K23" s="201">
        <f t="shared" si="6"/>
        <v>0</v>
      </c>
      <c r="L23" s="201">
        <f t="shared" si="7"/>
        <v>0</v>
      </c>
      <c r="M23" s="202">
        <f>(J23*'Agency Base Data'!$C$6)+(K23*'Agency Base Data'!$C$4)+(L23*'Agency Base Data'!$C$5)</f>
        <v>0</v>
      </c>
      <c r="N23" s="203" t="s">
        <v>17</v>
      </c>
    </row>
    <row r="24" spans="1:15" ht="27.75" customHeight="1" thickBot="1">
      <c r="A24" s="211" t="s">
        <v>80</v>
      </c>
      <c r="B24" s="212" t="s">
        <v>81</v>
      </c>
      <c r="C24" s="213"/>
      <c r="D24" s="214"/>
      <c r="E24" s="214"/>
      <c r="F24" s="215"/>
      <c r="G24" s="504" t="s">
        <v>82</v>
      </c>
      <c r="H24" s="504"/>
      <c r="I24" s="504"/>
      <c r="J24" s="504"/>
      <c r="K24" s="216"/>
      <c r="L24" s="217"/>
      <c r="M24" s="218">
        <f>(('Agency Base Data'!$C$14*('Agency Base Data'!$C$11+'Agency Base Data'!$C$12))+'Agency Base Data'!$C$13)*SUM(H10:H11)</f>
        <v>1064256</v>
      </c>
      <c r="N24" s="219" t="s">
        <v>18</v>
      </c>
    </row>
    <row r="25" spans="1:15" ht="18.75" customHeight="1">
      <c r="A25" s="230" t="s">
        <v>84</v>
      </c>
      <c r="B25" s="220"/>
      <c r="C25" s="221"/>
      <c r="D25" s="220"/>
      <c r="E25" s="222"/>
      <c r="F25" s="223"/>
      <c r="G25" s="224"/>
      <c r="H25" s="224"/>
      <c r="I25" s="224"/>
      <c r="J25" s="225">
        <f>SUM(J5:J23)</f>
        <v>116944.5</v>
      </c>
      <c r="K25" s="225">
        <f>SUM(K5:K23)</f>
        <v>5847.2249999999995</v>
      </c>
      <c r="L25" s="225">
        <f>SUM(L5:L23)</f>
        <v>11694.449999999999</v>
      </c>
      <c r="M25" s="226">
        <f>SUM(M5:M24)</f>
        <v>7124846.2402500007</v>
      </c>
      <c r="N25" s="227"/>
    </row>
    <row r="26" spans="1:15" ht="18" customHeight="1" thickBot="1">
      <c r="A26" s="267" t="s">
        <v>85</v>
      </c>
      <c r="B26" s="228"/>
      <c r="C26" s="228"/>
      <c r="D26" s="228"/>
      <c r="E26" s="228"/>
      <c r="F26" s="228"/>
      <c r="G26" s="215"/>
      <c r="H26" s="215"/>
      <c r="I26" s="215"/>
      <c r="J26" s="268"/>
      <c r="K26" s="217"/>
      <c r="L26" s="269">
        <f>(SUM(J5:J23))+(SUM(K5:K23))+(SUM(L5:L23))</f>
        <v>134486.17500000002</v>
      </c>
      <c r="M26" s="229"/>
      <c r="N26" s="219"/>
    </row>
    <row r="27" spans="1:15" ht="6.75" customHeight="1">
      <c r="G27" s="71"/>
      <c r="H27" s="71"/>
      <c r="I27" s="71"/>
    </row>
    <row r="28" spans="1:15" s="88" customFormat="1" ht="11.25">
      <c r="A28" s="88" t="s">
        <v>86</v>
      </c>
      <c r="J28" s="89"/>
      <c r="K28" s="89"/>
      <c r="L28" s="89"/>
      <c r="M28" s="90"/>
      <c r="N28" s="46"/>
    </row>
    <row r="29" spans="1:15" s="88" customFormat="1" ht="35.25" customHeight="1">
      <c r="A29" s="503" t="s">
        <v>445</v>
      </c>
      <c r="B29" s="503"/>
      <c r="C29" s="503"/>
      <c r="D29" s="503"/>
      <c r="E29" s="503"/>
      <c r="F29" s="503"/>
      <c r="G29" s="503"/>
      <c r="H29" s="503"/>
      <c r="I29" s="503"/>
      <c r="J29" s="503"/>
      <c r="K29" s="503"/>
      <c r="L29" s="503"/>
      <c r="M29" s="503"/>
      <c r="N29" s="503"/>
    </row>
    <row r="30" spans="1:15" s="88" customFormat="1" ht="11.25">
      <c r="A30" s="503" t="s">
        <v>446</v>
      </c>
      <c r="B30" s="503"/>
      <c r="C30" s="503"/>
      <c r="D30" s="503"/>
      <c r="E30" s="503"/>
      <c r="F30" s="503"/>
      <c r="G30" s="503"/>
      <c r="H30" s="503"/>
      <c r="I30" s="503"/>
      <c r="J30" s="503"/>
      <c r="K30" s="503"/>
      <c r="L30" s="503"/>
      <c r="M30" s="503"/>
      <c r="N30" s="503"/>
    </row>
    <row r="31" spans="1:15" s="88" customFormat="1" ht="11.25">
      <c r="A31" s="88" t="s">
        <v>481</v>
      </c>
      <c r="J31" s="89"/>
      <c r="K31" s="89"/>
      <c r="L31" s="89"/>
      <c r="M31" s="90"/>
      <c r="N31" s="46"/>
    </row>
    <row r="32" spans="1:15" s="88" customFormat="1" ht="12.75" customHeight="1">
      <c r="A32" s="503" t="s">
        <v>447</v>
      </c>
      <c r="B32" s="503"/>
      <c r="C32" s="503"/>
      <c r="D32" s="503"/>
      <c r="E32" s="503"/>
      <c r="F32" s="503"/>
      <c r="G32" s="503"/>
      <c r="H32" s="503"/>
      <c r="I32" s="503"/>
      <c r="J32" s="503"/>
      <c r="K32" s="503"/>
      <c r="L32" s="503"/>
      <c r="M32" s="503"/>
      <c r="N32" s="503"/>
    </row>
    <row r="33" spans="1:14" s="88" customFormat="1" ht="11.25">
      <c r="A33" s="88" t="s">
        <v>317</v>
      </c>
      <c r="J33" s="89"/>
      <c r="K33" s="89"/>
      <c r="L33" s="89"/>
      <c r="M33" s="90"/>
      <c r="N33" s="46"/>
    </row>
    <row r="34" spans="1:14" s="88" customFormat="1" ht="11.25">
      <c r="A34" s="88" t="s">
        <v>448</v>
      </c>
      <c r="J34" s="89"/>
      <c r="K34" s="89"/>
      <c r="L34" s="89"/>
      <c r="M34" s="90"/>
      <c r="N34" s="46"/>
    </row>
    <row r="35" spans="1:14">
      <c r="A35" s="503" t="s">
        <v>449</v>
      </c>
      <c r="B35" s="503"/>
      <c r="C35" s="503"/>
      <c r="D35" s="503"/>
      <c r="E35" s="503"/>
      <c r="F35" s="503"/>
      <c r="G35" s="503"/>
      <c r="H35" s="503"/>
      <c r="I35" s="503"/>
      <c r="J35" s="503"/>
      <c r="K35" s="503"/>
      <c r="L35" s="503"/>
      <c r="M35" s="503"/>
      <c r="N35" s="503"/>
    </row>
    <row r="36" spans="1:14">
      <c r="A36" s="88" t="s">
        <v>450</v>
      </c>
      <c r="G36" s="71"/>
      <c r="H36" s="71"/>
      <c r="I36" s="71"/>
    </row>
    <row r="37" spans="1:14" ht="13.5" customHeight="1">
      <c r="A37" s="88" t="s">
        <v>451</v>
      </c>
      <c r="G37" s="71"/>
      <c r="H37" s="71"/>
      <c r="I37" s="71"/>
    </row>
    <row r="38" spans="1:14" ht="25.5" customHeight="1">
      <c r="A38" s="503" t="s">
        <v>21</v>
      </c>
      <c r="B38" s="503"/>
      <c r="C38" s="503"/>
      <c r="D38" s="503"/>
      <c r="E38" s="503"/>
      <c r="F38" s="503"/>
      <c r="G38" s="503"/>
      <c r="H38" s="503"/>
      <c r="I38" s="503"/>
      <c r="J38" s="503"/>
      <c r="K38" s="503"/>
      <c r="L38" s="503"/>
      <c r="M38" s="503"/>
      <c r="N38" s="503"/>
    </row>
    <row r="39" spans="1:14">
      <c r="A39" s="99" t="s">
        <v>20</v>
      </c>
    </row>
    <row r="40" spans="1:14" ht="35.25" customHeight="1">
      <c r="A40" s="503" t="s">
        <v>19</v>
      </c>
      <c r="B40" s="503"/>
      <c r="C40" s="503"/>
      <c r="D40" s="503"/>
      <c r="E40" s="503"/>
      <c r="F40" s="503"/>
      <c r="G40" s="503"/>
      <c r="H40" s="503"/>
      <c r="I40" s="503"/>
      <c r="J40" s="503"/>
      <c r="K40" s="503"/>
      <c r="L40" s="503"/>
      <c r="M40" s="503"/>
      <c r="N40" s="503"/>
    </row>
    <row r="41" spans="1:14">
      <c r="A41" s="99" t="s">
        <v>622</v>
      </c>
    </row>
    <row r="42" spans="1:14">
      <c r="A42" s="99" t="s">
        <v>629</v>
      </c>
      <c r="H42" s="91"/>
      <c r="I42" s="159"/>
      <c r="J42" s="148"/>
      <c r="L42" s="160"/>
    </row>
    <row r="43" spans="1:14">
      <c r="I43" s="148"/>
      <c r="J43" s="148"/>
    </row>
    <row r="44" spans="1:14">
      <c r="I44" s="159"/>
      <c r="J44" s="148"/>
    </row>
    <row r="45" spans="1:14">
      <c r="I45" s="148"/>
    </row>
    <row r="46" spans="1:14">
      <c r="J46" s="148"/>
    </row>
  </sheetData>
  <mergeCells count="12">
    <mergeCell ref="A38:N38"/>
    <mergeCell ref="A40:N40"/>
    <mergeCell ref="A35:N35"/>
    <mergeCell ref="A1:N1"/>
    <mergeCell ref="A2:N2"/>
    <mergeCell ref="A29:N29"/>
    <mergeCell ref="A32:N32"/>
    <mergeCell ref="G24:J24"/>
    <mergeCell ref="B6:F6"/>
    <mergeCell ref="C17:F17"/>
    <mergeCell ref="C16:F16"/>
    <mergeCell ref="A30:N30"/>
  </mergeCells>
  <phoneticPr fontId="9" type="noConversion"/>
  <printOptions horizontalCentered="1"/>
  <pageMargins left="0.5" right="0.5" top="0.5" bottom="0.5" header="0.5" footer="0.5"/>
  <pageSetup scale="79" orientation="landscape" r:id="rId1"/>
  <headerFooter alignWithMargins="0"/>
</worksheet>
</file>

<file path=xl/worksheets/sheet49.xml><?xml version="1.0" encoding="utf-8"?>
<worksheet xmlns="http://schemas.openxmlformats.org/spreadsheetml/2006/main" xmlns:r="http://schemas.openxmlformats.org/officeDocument/2006/relationships">
  <sheetPr>
    <pageSetUpPr fitToPage="1"/>
  </sheetPr>
  <dimension ref="A1:O46"/>
  <sheetViews>
    <sheetView zoomScaleNormal="100" workbookViewId="0">
      <selection activeCell="Q22" sqref="Q22"/>
    </sheetView>
  </sheetViews>
  <sheetFormatPr defaultRowHeight="12.75"/>
  <cols>
    <col min="1" max="1" width="2.28515625" style="71" customWidth="1"/>
    <col min="2" max="2" width="2.42578125" style="71" customWidth="1"/>
    <col min="3" max="3" width="2.140625" style="71" customWidth="1"/>
    <col min="4" max="4" width="1.42578125" style="71" customWidth="1"/>
    <col min="5" max="5" width="2.42578125" style="71" customWidth="1"/>
    <col min="6" max="6" width="40.7109375" style="71" customWidth="1"/>
    <col min="7" max="7" width="12" style="147" customWidth="1"/>
    <col min="8" max="8" width="13" style="147" customWidth="1"/>
    <col min="9" max="9" width="14.28515625" style="147" customWidth="1"/>
    <col min="10" max="10" width="10.5703125" style="147" customWidth="1"/>
    <col min="11" max="11" width="11" style="147" customWidth="1"/>
    <col min="12" max="12" width="14" style="147" customWidth="1"/>
    <col min="13" max="13" width="13" style="148" customWidth="1"/>
    <col min="14" max="14" width="3.85546875" style="149" bestFit="1" customWidth="1"/>
    <col min="15" max="15" width="15.28515625" style="71" customWidth="1"/>
    <col min="16" max="16384" width="9.140625" style="71"/>
  </cols>
  <sheetData>
    <row r="1" spans="1:15">
      <c r="A1" s="505" t="s">
        <v>88</v>
      </c>
      <c r="B1" s="505"/>
      <c r="C1" s="505"/>
      <c r="D1" s="505"/>
      <c r="E1" s="505"/>
      <c r="F1" s="505"/>
      <c r="G1" s="505"/>
      <c r="H1" s="505"/>
      <c r="I1" s="505"/>
      <c r="J1" s="505"/>
      <c r="K1" s="505"/>
      <c r="L1" s="505"/>
      <c r="M1" s="505"/>
      <c r="N1" s="505"/>
    </row>
    <row r="2" spans="1:15" ht="12" customHeight="1">
      <c r="A2" s="505" t="s">
        <v>250</v>
      </c>
      <c r="B2" s="505"/>
      <c r="C2" s="505"/>
      <c r="D2" s="505"/>
      <c r="E2" s="505"/>
      <c r="F2" s="505"/>
      <c r="G2" s="505"/>
      <c r="H2" s="505"/>
      <c r="I2" s="505"/>
      <c r="J2" s="505"/>
      <c r="K2" s="505"/>
      <c r="L2" s="505"/>
      <c r="M2" s="505"/>
      <c r="N2" s="505"/>
    </row>
    <row r="3" spans="1:15" ht="15" customHeight="1" thickBot="1"/>
    <row r="4" spans="1:15" s="104" customFormat="1" ht="51">
      <c r="A4" s="150" t="s">
        <v>343</v>
      </c>
      <c r="B4" s="151"/>
      <c r="C4" s="151"/>
      <c r="D4" s="151"/>
      <c r="E4" s="151"/>
      <c r="F4" s="151"/>
      <c r="G4" s="152" t="s">
        <v>46</v>
      </c>
      <c r="H4" s="152" t="s">
        <v>47</v>
      </c>
      <c r="I4" s="152" t="s">
        <v>48</v>
      </c>
      <c r="J4" s="152" t="s">
        <v>49</v>
      </c>
      <c r="K4" s="152" t="s">
        <v>50</v>
      </c>
      <c r="L4" s="152" t="s">
        <v>51</v>
      </c>
      <c r="M4" s="153" t="s">
        <v>24</v>
      </c>
      <c r="N4" s="154" t="s">
        <v>345</v>
      </c>
    </row>
    <row r="5" spans="1:15" ht="15" customHeight="1">
      <c r="A5" s="192" t="s">
        <v>52</v>
      </c>
      <c r="B5" s="193" t="s">
        <v>53</v>
      </c>
      <c r="C5" s="193"/>
      <c r="D5" s="193"/>
      <c r="E5" s="193"/>
      <c r="F5" s="194"/>
      <c r="G5" s="195">
        <v>40</v>
      </c>
      <c r="H5" s="195">
        <v>0</v>
      </c>
      <c r="I5" s="196">
        <f>G5*H5</f>
        <v>0</v>
      </c>
      <c r="J5" s="196">
        <f>I5</f>
        <v>0</v>
      </c>
      <c r="K5" s="196">
        <f>J5*0.05</f>
        <v>0</v>
      </c>
      <c r="L5" s="196">
        <f>J5*0.1</f>
        <v>0</v>
      </c>
      <c r="M5" s="197">
        <f>(J5*'Agency Base Data'!$C$6)+(K5*'Agency Base Data'!$C$4)+(L5*'Agency Base Data'!$C$5)</f>
        <v>0</v>
      </c>
      <c r="N5" s="198" t="s">
        <v>338</v>
      </c>
      <c r="O5" s="35"/>
    </row>
    <row r="6" spans="1:15" ht="27" customHeight="1">
      <c r="A6" s="199" t="s">
        <v>54</v>
      </c>
      <c r="B6" s="506" t="s">
        <v>55</v>
      </c>
      <c r="C6" s="506"/>
      <c r="D6" s="506"/>
      <c r="E6" s="506"/>
      <c r="F6" s="506"/>
      <c r="G6" s="200">
        <v>2</v>
      </c>
      <c r="H6" s="201">
        <f>SUM('Fac-ExistLrgSolid-Yr3'!$I$50,'Fac-ExistLrgLiquid-Yr3'!$I$50,'Fac-ExistLrgGas-Yr3'!$I$45,'Fac-NewLrgSolid-Yr3'!$I$44,'Fac-NewLrgLiquid-Yr3'!$I$44,'Fac-NewLrgGas-Yr3'!$I$42,'Fac - ExistSmlSolid-Yr3'!$I$16,'Fac - ExistSmlLiquid-Yr3'!$I$16,'Fac - ExistSmlGas-Yr3'!$I$16,'Fac-NewSmlSolid-Yr3'!$I$13,'Fac-NewSmlLiquid-Yr3'!$I$13,'Fac-NewSmlGas-Yr3'!$I$13)+H18</f>
        <v>1858</v>
      </c>
      <c r="I6" s="201">
        <f>G6*H6</f>
        <v>3716</v>
      </c>
      <c r="J6" s="201">
        <f>I6</f>
        <v>3716</v>
      </c>
      <c r="K6" s="201">
        <f>J6*0.05</f>
        <v>185.8</v>
      </c>
      <c r="L6" s="201">
        <f>J6*0.1</f>
        <v>371.6</v>
      </c>
      <c r="M6" s="202">
        <f>(J6*'Agency Base Data'!$C$6)+(K6*'Agency Base Data'!$C$4)+(L6*'Agency Base Data'!$C$5)</f>
        <v>192579.842</v>
      </c>
      <c r="N6" s="203" t="s">
        <v>123</v>
      </c>
      <c r="O6" s="156"/>
    </row>
    <row r="7" spans="1:15" ht="15" customHeight="1">
      <c r="A7" s="199" t="s">
        <v>56</v>
      </c>
      <c r="B7" s="204" t="s">
        <v>57</v>
      </c>
      <c r="C7" s="205"/>
      <c r="D7" s="206"/>
      <c r="E7" s="206"/>
      <c r="F7" s="207"/>
      <c r="G7" s="200"/>
      <c r="H7" s="200"/>
      <c r="I7" s="201"/>
      <c r="J7" s="201"/>
      <c r="K7" s="201"/>
      <c r="L7" s="201"/>
      <c r="M7" s="202"/>
      <c r="N7" s="203"/>
      <c r="O7" s="155"/>
    </row>
    <row r="8" spans="1:15" ht="15" customHeight="1">
      <c r="A8" s="199"/>
      <c r="B8" s="204" t="s">
        <v>58</v>
      </c>
      <c r="C8" s="420" t="s">
        <v>621</v>
      </c>
      <c r="D8" s="206"/>
      <c r="E8" s="208"/>
      <c r="F8" s="207"/>
      <c r="G8" s="200">
        <v>20</v>
      </c>
      <c r="H8" s="201">
        <f>SUM('Fac-ExistLrgSolid-Yr3'!I25,'Fac-ExistLrgLiquid-Yr3'!I25,'Fac-ExistLrgGas-Yr3'!I24,'Fac-NewLrgSolid-Yr3'!I22,'Fac-NewLrgLiquid-Yr3'!I22,'Fac-NewLrgGas-Yr3'!I21)</f>
        <v>107</v>
      </c>
      <c r="I8" s="201">
        <f t="shared" ref="I8:I13" si="0">G8*H8</f>
        <v>2140</v>
      </c>
      <c r="J8" s="201">
        <f t="shared" ref="J8:J14" si="1">I8</f>
        <v>2140</v>
      </c>
      <c r="K8" s="201">
        <f t="shared" ref="K8:K14" si="2">J8*0.05</f>
        <v>107</v>
      </c>
      <c r="L8" s="201">
        <f t="shared" ref="L8:L14" si="3">J8*0.1</f>
        <v>214</v>
      </c>
      <c r="M8" s="202">
        <f>(J8*'Agency Base Data'!$C$6)+(K8*'Agency Base Data'!$C$4)+(L8*'Agency Base Data'!$C$5)</f>
        <v>110904.43000000001</v>
      </c>
      <c r="N8" s="421" t="s">
        <v>496</v>
      </c>
      <c r="O8" s="157"/>
    </row>
    <row r="9" spans="1:15" ht="15" customHeight="1">
      <c r="A9" s="199"/>
      <c r="B9" s="420" t="s">
        <v>60</v>
      </c>
      <c r="C9" s="420" t="s">
        <v>627</v>
      </c>
      <c r="D9" s="206"/>
      <c r="E9" s="208"/>
      <c r="F9" s="207"/>
      <c r="G9" s="200">
        <v>20</v>
      </c>
      <c r="H9" s="201">
        <f>SUM('Fac-NewLrgSolid-Yr3'!I22,'Fac-NewLrgLiquid-Yr3'!I22,'Fac-NewLrgGas-Yr3'!I21)+ROUNDDOWN('Base Data'!B123/2,0)</f>
        <v>442</v>
      </c>
      <c r="I9" s="201">
        <f t="shared" si="0"/>
        <v>8840</v>
      </c>
      <c r="J9" s="201">
        <f t="shared" si="1"/>
        <v>8840</v>
      </c>
      <c r="K9" s="201">
        <f t="shared" si="2"/>
        <v>442</v>
      </c>
      <c r="L9" s="201">
        <f t="shared" si="3"/>
        <v>884</v>
      </c>
      <c r="M9" s="202">
        <f>(J9*'Agency Base Data'!$C$6)+(K9*'Agency Base Data'!$C$4)+(L9*'Agency Base Data'!$C$5)</f>
        <v>458128.58000000007</v>
      </c>
      <c r="N9" s="421" t="s">
        <v>508</v>
      </c>
      <c r="O9" s="157"/>
    </row>
    <row r="10" spans="1:15" ht="15" customHeight="1">
      <c r="A10" s="199"/>
      <c r="B10" s="420" t="s">
        <v>62</v>
      </c>
      <c r="C10" s="204" t="s">
        <v>59</v>
      </c>
      <c r="D10" s="206"/>
      <c r="E10" s="208"/>
      <c r="F10" s="207"/>
      <c r="G10" s="200">
        <v>40</v>
      </c>
      <c r="H10" s="201">
        <f>ROUND(0.2*SUM('Fac-ExistLrgSolid-Yr3'!$I$12:$I$15,'Fac-ExistLrgLiquid-Yr3'!$I$12:$I$15,'Fac-NewLrgSolid-Yr3'!$I$9:$I$12,'Fac-NewLrgLiquid-Yr3'!$I$9:$I$12,'Fac-ExistLrgGas-Yr3'!I12:I15,'Fac-NewLrgGas-Yr3'!I9:I12),0)</f>
        <v>604</v>
      </c>
      <c r="I10" s="201">
        <f t="shared" si="0"/>
        <v>24160</v>
      </c>
      <c r="J10" s="201">
        <f t="shared" si="1"/>
        <v>24160</v>
      </c>
      <c r="K10" s="201">
        <f t="shared" si="2"/>
        <v>1208</v>
      </c>
      <c r="L10" s="201">
        <f t="shared" si="3"/>
        <v>2416</v>
      </c>
      <c r="M10" s="202">
        <f>(J10*'Agency Base Data'!$C$6)+(K10*'Agency Base Data'!$C$4)+(L10*'Agency Base Data'!$C$5)</f>
        <v>1252079.92</v>
      </c>
      <c r="N10" s="203" t="s">
        <v>339</v>
      </c>
      <c r="O10" s="157"/>
    </row>
    <row r="11" spans="1:15" ht="15" customHeight="1">
      <c r="A11" s="199"/>
      <c r="B11" s="420" t="s">
        <v>64</v>
      </c>
      <c r="C11" s="204" t="s">
        <v>61</v>
      </c>
      <c r="D11" s="206"/>
      <c r="E11" s="208"/>
      <c r="F11" s="207"/>
      <c r="G11" s="200">
        <v>40</v>
      </c>
      <c r="H11" s="201">
        <f>ROUND(0.1*SUM('Fac-ExistLrgSolid-Yr3'!$I$12:$I$15,'Fac-ExistLrgLiquid-Yr3'!$I$12:$I$15,'Fac-NewLrgSolid-Yr3'!$I$9:$I$12,'Fac-NewLrgLiquid-Yr3'!$I$9:$I$12,'Fac-ExistLrgGas-Yr3'!I12:I15,'Fac-NewLrgGas-Yr3'!I9:I12,'Fac-ExistLrgSolid-Yr3'!$I$20,'Fac-NewLrgSolid-Yr2'!$I$17),0)</f>
        <v>359</v>
      </c>
      <c r="I11" s="201">
        <f t="shared" si="0"/>
        <v>14360</v>
      </c>
      <c r="J11" s="201">
        <f t="shared" si="1"/>
        <v>14360</v>
      </c>
      <c r="K11" s="201">
        <f t="shared" si="2"/>
        <v>718</v>
      </c>
      <c r="L11" s="201">
        <f t="shared" si="3"/>
        <v>1436</v>
      </c>
      <c r="M11" s="202">
        <f>(J11*'Agency Base Data'!$C$6)+(K11*'Agency Base Data'!$C$4)+(L11*'Agency Base Data'!$C$5)</f>
        <v>744199.82</v>
      </c>
      <c r="N11" s="203" t="s">
        <v>247</v>
      </c>
      <c r="O11" s="158"/>
    </row>
    <row r="12" spans="1:15" ht="15" customHeight="1">
      <c r="A12" s="199"/>
      <c r="B12" s="420" t="s">
        <v>630</v>
      </c>
      <c r="C12" s="204" t="s">
        <v>63</v>
      </c>
      <c r="D12" s="206"/>
      <c r="E12" s="208"/>
      <c r="F12" s="207"/>
      <c r="G12" s="200">
        <v>2</v>
      </c>
      <c r="H12" s="201">
        <f>ROUND(SUM('Fac-ExistLrgSolid-Yr3'!$I$12:$I$15,'Fac-ExistLrgLiquid-Yr3'!$I$12:$I$15,'Fac-NewLrgSolid-Yr3'!$I$9:$I$12,'Fac-NewLrgLiquid-Yr3'!$I$9:$I$12,'Fac-ExistLrgGas-Yr3'!I12:I15,'Fac-NewLrgGas-Yr3'!I9:I12),0)</f>
        <v>3022</v>
      </c>
      <c r="I12" s="201">
        <f t="shared" si="0"/>
        <v>6044</v>
      </c>
      <c r="J12" s="201">
        <f t="shared" si="1"/>
        <v>6044</v>
      </c>
      <c r="K12" s="201">
        <f t="shared" si="2"/>
        <v>302.2</v>
      </c>
      <c r="L12" s="201">
        <f t="shared" si="3"/>
        <v>604.4</v>
      </c>
      <c r="M12" s="202">
        <f>(J12*'Agency Base Data'!$C$6)+(K12*'Agency Base Data'!$C$4)+(L12*'Agency Base Data'!$C$5)</f>
        <v>313227.27799999999</v>
      </c>
      <c r="N12" s="203" t="s">
        <v>340</v>
      </c>
      <c r="O12" s="156"/>
    </row>
    <row r="13" spans="1:15" ht="15" customHeight="1">
      <c r="A13" s="199"/>
      <c r="B13" s="420" t="s">
        <v>631</v>
      </c>
      <c r="C13" s="204" t="s">
        <v>65</v>
      </c>
      <c r="D13" s="206"/>
      <c r="E13" s="208"/>
      <c r="F13" s="207"/>
      <c r="G13" s="200">
        <v>2</v>
      </c>
      <c r="H13" s="201">
        <f>SUM('Fac-ExistLrgSolid-Yr3'!I61,'Fac-ExistLrgLiquid-Yr3'!I61,'Fac-NewLrgSolid-Yr3'!I54,'Fac-NewLrgLiquid-Yr3'!I54,'Fac-ExistLrgGas-Yr3'!I58,'Fac-NewLrgGas-Yr3'!I54)</f>
        <v>1831</v>
      </c>
      <c r="I13" s="201">
        <f t="shared" si="0"/>
        <v>3662</v>
      </c>
      <c r="J13" s="201">
        <f t="shared" si="1"/>
        <v>3662</v>
      </c>
      <c r="K13" s="201">
        <f t="shared" si="2"/>
        <v>183.10000000000002</v>
      </c>
      <c r="L13" s="201">
        <f t="shared" si="3"/>
        <v>366.20000000000005</v>
      </c>
      <c r="M13" s="202">
        <f>(J13*'Agency Base Data'!$C$6)+(K13*'Agency Base Data'!$C$4)+(L13*'Agency Base Data'!$C$5)</f>
        <v>189781.31900000002</v>
      </c>
      <c r="N13" s="203" t="s">
        <v>248</v>
      </c>
      <c r="O13" s="155"/>
    </row>
    <row r="14" spans="1:15" ht="15" customHeight="1">
      <c r="A14" s="199" t="s">
        <v>66</v>
      </c>
      <c r="B14" s="204" t="s">
        <v>67</v>
      </c>
      <c r="C14" s="204"/>
      <c r="D14" s="206"/>
      <c r="E14" s="208"/>
      <c r="F14" s="207"/>
      <c r="G14" s="200">
        <v>24</v>
      </c>
      <c r="H14" s="201">
        <f>ROUND(0.1*SUM('Fac-ExistLrgSolid-Yr3'!$I$12:$I$15,'Fac-ExistLrgLiquid-Yr3'!$I$12:$I$15,'Fac-NewLrgSolid-Yr3'!$I$9:$I$12,'Fac-NewLrgLiquid-Yr3'!$I$9:$I$12,'Fac-ExistLrgGas-Yr3'!I12:I15,'Fac-NewLrgGas-Yr3'!I9:I12),0)</f>
        <v>302</v>
      </c>
      <c r="I14" s="201">
        <v>0</v>
      </c>
      <c r="J14" s="201">
        <f t="shared" si="1"/>
        <v>0</v>
      </c>
      <c r="K14" s="201">
        <f t="shared" si="2"/>
        <v>0</v>
      </c>
      <c r="L14" s="201">
        <f t="shared" si="3"/>
        <v>0</v>
      </c>
      <c r="M14" s="202">
        <f>(J14*'Agency Base Data'!$C$6)+(K14*'Agency Base Data'!$C$4)+(L14*'Agency Base Data'!$C$5)</f>
        <v>0</v>
      </c>
      <c r="N14" s="203" t="s">
        <v>68</v>
      </c>
      <c r="O14" s="155"/>
    </row>
    <row r="15" spans="1:15" ht="15.75" customHeight="1">
      <c r="A15" s="199" t="s">
        <v>69</v>
      </c>
      <c r="B15" s="204" t="s">
        <v>70</v>
      </c>
      <c r="C15" s="205"/>
      <c r="D15" s="209"/>
      <c r="E15" s="208"/>
      <c r="F15" s="207"/>
      <c r="G15" s="200"/>
      <c r="H15" s="201"/>
      <c r="I15" s="201"/>
      <c r="J15" s="201"/>
      <c r="K15" s="201"/>
      <c r="L15" s="201"/>
      <c r="M15" s="202"/>
      <c r="N15" s="203"/>
      <c r="O15" s="155"/>
    </row>
    <row r="16" spans="1:15" ht="27" customHeight="1">
      <c r="A16" s="199"/>
      <c r="B16" s="204" t="s">
        <v>58</v>
      </c>
      <c r="C16" s="506" t="s">
        <v>71</v>
      </c>
      <c r="D16" s="506"/>
      <c r="E16" s="506"/>
      <c r="F16" s="506"/>
      <c r="G16" s="200">
        <v>2</v>
      </c>
      <c r="H16" s="201">
        <f>SUM('Fac-ExistLrgSolid-Yr3'!$I$50,'Fac-ExistLrgLiquid-Yr3'!$I$50,'Fac-ExistLrgGas-Yr3'!$I$45,'Fac-NewLrgSolid-Yr3'!$I$44,'Fac-NewLrgLiquid-Yr3'!$I$44,'Fac-NewLrgGas-Yr3'!$I$42,'Fac - ExistSmlSolid-Yr3'!$I$16,'Fac - ExistSmlLiquid-Yr3'!$I$16,'Fac - ExistSmlGas-Yr3'!$I$16,'Fac-NewSmlSolid-Yr3'!$I$13,'Fac-NewSmlLiquid-Yr3'!$I$13,'Fac-NewSmlGas-Yr3'!$I$13)</f>
        <v>77</v>
      </c>
      <c r="I16" s="201">
        <f t="shared" ref="I16:I23" si="4">G16*H16</f>
        <v>154</v>
      </c>
      <c r="J16" s="201">
        <f t="shared" ref="J16:J23" si="5">I16</f>
        <v>154</v>
      </c>
      <c r="K16" s="201">
        <f t="shared" ref="K16:K23" si="6">J16*0.05</f>
        <v>7.7</v>
      </c>
      <c r="L16" s="201">
        <f t="shared" ref="L16:L23" si="7">J16*0.1</f>
        <v>15.4</v>
      </c>
      <c r="M16" s="202">
        <f>(J16*'Agency Base Data'!$C$6)+(K16*'Agency Base Data'!$C$4)+(L16*'Agency Base Data'!$C$5)</f>
        <v>7980.9730000000009</v>
      </c>
      <c r="N16" s="203" t="s">
        <v>123</v>
      </c>
      <c r="O16" s="155"/>
    </row>
    <row r="17" spans="1:15" ht="27" customHeight="1">
      <c r="A17" s="199"/>
      <c r="B17" s="204" t="s">
        <v>60</v>
      </c>
      <c r="C17" s="506" t="s">
        <v>72</v>
      </c>
      <c r="D17" s="506"/>
      <c r="E17" s="506"/>
      <c r="F17" s="506"/>
      <c r="G17" s="200">
        <v>20</v>
      </c>
      <c r="H17" s="201">
        <f>ROUND(SUM('Fac-ExistLrgSolid-Yr3'!$I$12:$I$15,'Fac-ExistLrgLiquid-Yr3'!$I$12:$I$15,'Fac-NewLrgSolid-Yr3'!$I$9:$I$12,'Fac-NewLrgLiquid-Yr3'!$I$9:$I$12,'Fac-ExistLrgGas-Yr3'!I12:I15,'Fac-NewLrgGas-Yr3'!I9:I12),0)</f>
        <v>3022</v>
      </c>
      <c r="I17" s="201">
        <f t="shared" si="4"/>
        <v>60440</v>
      </c>
      <c r="J17" s="201">
        <f t="shared" si="5"/>
        <v>60440</v>
      </c>
      <c r="K17" s="201">
        <f t="shared" si="6"/>
        <v>3022</v>
      </c>
      <c r="L17" s="201">
        <f t="shared" si="7"/>
        <v>6044</v>
      </c>
      <c r="M17" s="202">
        <f>(J17*'Agency Base Data'!$C$6)+(K17*'Agency Base Data'!$C$4)+(L17*'Agency Base Data'!$C$5)</f>
        <v>3132272.78</v>
      </c>
      <c r="N17" s="203" t="s">
        <v>340</v>
      </c>
      <c r="O17" s="155"/>
    </row>
    <row r="18" spans="1:15" ht="15" customHeight="1">
      <c r="A18" s="199"/>
      <c r="B18" s="204" t="s">
        <v>62</v>
      </c>
      <c r="C18" s="204" t="s">
        <v>73</v>
      </c>
      <c r="D18" s="208"/>
      <c r="E18" s="208"/>
      <c r="F18" s="207"/>
      <c r="G18" s="200">
        <v>2</v>
      </c>
      <c r="H18" s="201">
        <f>SUM('Fac-ExistLrgSolid-Yr3'!$I$51,'Fac-ExistLrgLiquid-Yr3'!$I$51,'Fac-ExistLrgGas-Yr3'!$I$46,'Fac-NewLrgSolid-Yr3'!$I$45,'Fac-NewLrgLiquid-Yr3'!$I$45,'Fac-NewLrgGas-Yr3'!$I$43,'Fac - ExistSmlSolid-Yr3'!$I$17,'Fac - ExistSmlLiquid-Yr3'!$I$17,'Fac - ExistSmlGas-Yr3'!$I$17,'Fac-NewSmlSolid-Yr3'!$I$14,'Fac-NewSmlLiquid-Yr3'!$I$14,'Fac-NewSmlGas-Yr3'!$I$14)</f>
        <v>1781</v>
      </c>
      <c r="I18" s="201">
        <f t="shared" si="4"/>
        <v>3562</v>
      </c>
      <c r="J18" s="201">
        <f t="shared" si="5"/>
        <v>3562</v>
      </c>
      <c r="K18" s="201">
        <f t="shared" si="6"/>
        <v>178.10000000000002</v>
      </c>
      <c r="L18" s="201">
        <f t="shared" si="7"/>
        <v>356.20000000000005</v>
      </c>
      <c r="M18" s="202">
        <f>(J18*'Agency Base Data'!$C$6)+(K18*'Agency Base Data'!$C$4)+(L18*'Agency Base Data'!$C$5)</f>
        <v>184598.86900000001</v>
      </c>
      <c r="N18" s="203" t="s">
        <v>123</v>
      </c>
      <c r="O18" s="155"/>
    </row>
    <row r="19" spans="1:15" ht="15" customHeight="1">
      <c r="A19" s="199" t="s">
        <v>74</v>
      </c>
      <c r="B19" s="204" t="s">
        <v>75</v>
      </c>
      <c r="C19" s="204"/>
      <c r="D19" s="206"/>
      <c r="E19" s="208"/>
      <c r="F19" s="207"/>
      <c r="G19" s="200"/>
      <c r="H19" s="201"/>
      <c r="I19" s="201">
        <f t="shared" si="4"/>
        <v>0</v>
      </c>
      <c r="J19" s="201">
        <f t="shared" si="5"/>
        <v>0</v>
      </c>
      <c r="K19" s="201">
        <f t="shared" si="6"/>
        <v>0</v>
      </c>
      <c r="L19" s="201">
        <f t="shared" si="7"/>
        <v>0</v>
      </c>
      <c r="M19" s="202">
        <f>(J19*'Agency Base Data'!$C$6)+(K19*'Agency Base Data'!$C$4)+(L19*'Agency Base Data'!$C$5)</f>
        <v>0</v>
      </c>
      <c r="N19" s="203"/>
      <c r="O19" s="155"/>
    </row>
    <row r="20" spans="1:15" ht="15" customHeight="1">
      <c r="A20" s="199"/>
      <c r="B20" s="204" t="s">
        <v>58</v>
      </c>
      <c r="C20" s="204" t="s">
        <v>76</v>
      </c>
      <c r="D20" s="204"/>
      <c r="E20" s="208"/>
      <c r="F20" s="207"/>
      <c r="G20" s="200">
        <v>4</v>
      </c>
      <c r="H20" s="201">
        <f>2*SUM('Fac-ExistLrgSolid-Yr3'!$I$53,'Fac-ExistLrgLiquid-Yr3'!$I$53,,'Fac-NewLrgSolid-Yr3'!$I$46,'Fac-NewLrgLiquid-Yr3'!$I$46,'Fac-ExistLrgGas-Yr3'!$I$49,'Fac-NewLrgGas-Yr3'!$I$45)</f>
        <v>442</v>
      </c>
      <c r="I20" s="201">
        <f t="shared" si="4"/>
        <v>1768</v>
      </c>
      <c r="J20" s="201">
        <f t="shared" si="5"/>
        <v>1768</v>
      </c>
      <c r="K20" s="201">
        <f t="shared" si="6"/>
        <v>88.4</v>
      </c>
      <c r="L20" s="201">
        <f t="shared" si="7"/>
        <v>176.8</v>
      </c>
      <c r="M20" s="202">
        <f>(J20*'Agency Base Data'!$C$6)+(K20*'Agency Base Data'!$C$4)+(L20*'Agency Base Data'!$C$5)</f>
        <v>91625.716</v>
      </c>
      <c r="N20" s="203" t="s">
        <v>77</v>
      </c>
    </row>
    <row r="21" spans="1:15" ht="15" customHeight="1">
      <c r="A21" s="199"/>
      <c r="B21" s="204" t="s">
        <v>60</v>
      </c>
      <c r="C21" s="204" t="s">
        <v>14</v>
      </c>
      <c r="D21" s="204"/>
      <c r="E21" s="208"/>
      <c r="F21" s="207"/>
      <c r="G21" s="200">
        <v>2</v>
      </c>
      <c r="H21" s="201">
        <f>SUM('Fac-ExistLrgGas-Yr3'!$I$48,'Fac-NewLrgGas-Yr3'!$I$45)</f>
        <v>540</v>
      </c>
      <c r="I21" s="201">
        <f t="shared" si="4"/>
        <v>1080</v>
      </c>
      <c r="J21" s="201">
        <f t="shared" si="5"/>
        <v>1080</v>
      </c>
      <c r="K21" s="201">
        <f t="shared" si="6"/>
        <v>54</v>
      </c>
      <c r="L21" s="201">
        <f t="shared" si="7"/>
        <v>108</v>
      </c>
      <c r="M21" s="202">
        <f>(J21*'Agency Base Data'!$C$6)+(K21*'Agency Base Data'!$C$4)+(L21*'Agency Base Data'!$C$5)</f>
        <v>55970.460000000006</v>
      </c>
      <c r="N21" s="203" t="s">
        <v>83</v>
      </c>
    </row>
    <row r="22" spans="1:15" ht="15" customHeight="1">
      <c r="A22" s="199"/>
      <c r="B22" s="204" t="s">
        <v>62</v>
      </c>
      <c r="C22" s="204" t="s">
        <v>15</v>
      </c>
      <c r="D22" s="204"/>
      <c r="E22" s="208"/>
      <c r="F22" s="207"/>
      <c r="G22" s="200">
        <v>1</v>
      </c>
      <c r="H22" s="201">
        <f>0.5*SUM('Fac - ExistSmlSolid-Yr3'!$I$18,'Fac - ExistSmlLiquid-Yr3'!$I$18,'Fac - ExistSmlGas-Yr3'!$I$18,'Fac-NewSmlGas-Yr3'!$I$15,'Fac-NewSmlLiquid-Yr3'!$I$15,'Fac-NewSmlSolid-Yr3'!$I$15)</f>
        <v>518</v>
      </c>
      <c r="I22" s="201">
        <f t="shared" si="4"/>
        <v>518</v>
      </c>
      <c r="J22" s="201">
        <f t="shared" si="5"/>
        <v>518</v>
      </c>
      <c r="K22" s="201">
        <f t="shared" si="6"/>
        <v>25.900000000000002</v>
      </c>
      <c r="L22" s="201">
        <f t="shared" si="7"/>
        <v>51.800000000000004</v>
      </c>
      <c r="M22" s="202">
        <f>(J22*'Agency Base Data'!$C$6)+(K22*'Agency Base Data'!$C$4)+(L22*'Agency Base Data'!$C$5)</f>
        <v>26845.091</v>
      </c>
      <c r="N22" s="203" t="s">
        <v>16</v>
      </c>
    </row>
    <row r="23" spans="1:15" ht="15" customHeight="1">
      <c r="A23" s="199"/>
      <c r="B23" s="204" t="s">
        <v>78</v>
      </c>
      <c r="C23" s="204" t="s">
        <v>79</v>
      </c>
      <c r="D23" s="204"/>
      <c r="E23" s="208"/>
      <c r="F23" s="210"/>
      <c r="G23" s="200">
        <v>2</v>
      </c>
      <c r="H23" s="201">
        <f>SUM('Fac-ExistLrgSolid-Yr3'!$I$52,'Fac-ExistLrgLiquid-Yr3'!$I$52,'Fac-ExistLrgGas-Yr3'!$I$47,'Fac - ExistSmlSolid-Yr3'!$I$19,'Fac - ExistSmlLiquid-Yr3'!$I$19,'Fac - ExistSmlGas-Yr3'!$I$19)</f>
        <v>1704</v>
      </c>
      <c r="I23" s="201">
        <f t="shared" si="4"/>
        <v>3408</v>
      </c>
      <c r="J23" s="201">
        <f t="shared" si="5"/>
        <v>3408</v>
      </c>
      <c r="K23" s="201">
        <f t="shared" si="6"/>
        <v>170.4</v>
      </c>
      <c r="L23" s="201">
        <f t="shared" si="7"/>
        <v>340.8</v>
      </c>
      <c r="M23" s="202">
        <f>(J23*'Agency Base Data'!$C$6)+(K23*'Agency Base Data'!$C$4)+(L23*'Agency Base Data'!$C$5)</f>
        <v>176617.89599999998</v>
      </c>
      <c r="N23" s="203" t="s">
        <v>17</v>
      </c>
    </row>
    <row r="24" spans="1:15" ht="27.75" customHeight="1" thickBot="1">
      <c r="A24" s="211" t="s">
        <v>80</v>
      </c>
      <c r="B24" s="212" t="s">
        <v>81</v>
      </c>
      <c r="C24" s="213"/>
      <c r="D24" s="214"/>
      <c r="E24" s="214"/>
      <c r="F24" s="215"/>
      <c r="G24" s="504" t="s">
        <v>82</v>
      </c>
      <c r="H24" s="504"/>
      <c r="I24" s="504"/>
      <c r="J24" s="504"/>
      <c r="K24" s="216"/>
      <c r="L24" s="217"/>
      <c r="M24" s="218">
        <f>(('Agency Base Data'!$C$14*('Agency Base Data'!$C$11+'Agency Base Data'!$C$12))+'Agency Base Data'!$C$13)*SUM(H10:H11)</f>
        <v>1063152</v>
      </c>
      <c r="N24" s="219" t="s">
        <v>18</v>
      </c>
    </row>
    <row r="25" spans="1:15" ht="18.75" customHeight="1">
      <c r="A25" s="230" t="s">
        <v>84</v>
      </c>
      <c r="B25" s="220"/>
      <c r="C25" s="221"/>
      <c r="D25" s="220"/>
      <c r="E25" s="222"/>
      <c r="F25" s="223"/>
      <c r="G25" s="224"/>
      <c r="H25" s="224"/>
      <c r="I25" s="224"/>
      <c r="J25" s="225">
        <f>SUM(J5:J23)</f>
        <v>133852</v>
      </c>
      <c r="K25" s="225">
        <f>SUM(K5:K23)</f>
        <v>6692.5999999999985</v>
      </c>
      <c r="L25" s="225">
        <f>SUM(L5:L23)</f>
        <v>13385.199999999997</v>
      </c>
      <c r="M25" s="226">
        <f>SUM(M5:M24)</f>
        <v>7999964.9739999995</v>
      </c>
      <c r="N25" s="227"/>
    </row>
    <row r="26" spans="1:15" ht="18" customHeight="1" thickBot="1">
      <c r="A26" s="267" t="s">
        <v>85</v>
      </c>
      <c r="B26" s="228"/>
      <c r="C26" s="228"/>
      <c r="D26" s="228"/>
      <c r="E26" s="228"/>
      <c r="F26" s="228"/>
      <c r="G26" s="215"/>
      <c r="H26" s="215"/>
      <c r="I26" s="215"/>
      <c r="J26" s="268"/>
      <c r="K26" s="217"/>
      <c r="L26" s="269">
        <f>(SUM(J5:J23))+(SUM(K5:K23))+(SUM(L5:L23))</f>
        <v>153929.79999999999</v>
      </c>
      <c r="M26" s="229"/>
      <c r="N26" s="219"/>
    </row>
    <row r="27" spans="1:15" ht="6.75" customHeight="1">
      <c r="G27" s="71"/>
      <c r="H27" s="71"/>
      <c r="I27" s="71"/>
    </row>
    <row r="28" spans="1:15" s="88" customFormat="1" ht="11.25">
      <c r="A28" s="88" t="s">
        <v>86</v>
      </c>
      <c r="J28" s="89"/>
      <c r="K28" s="89"/>
      <c r="L28" s="89"/>
      <c r="M28" s="90"/>
      <c r="N28" s="46"/>
    </row>
    <row r="29" spans="1:15" s="88" customFormat="1" ht="35.25" customHeight="1">
      <c r="A29" s="503" t="s">
        <v>445</v>
      </c>
      <c r="B29" s="503"/>
      <c r="C29" s="503"/>
      <c r="D29" s="503"/>
      <c r="E29" s="503"/>
      <c r="F29" s="503"/>
      <c r="G29" s="503"/>
      <c r="H29" s="503"/>
      <c r="I29" s="503"/>
      <c r="J29" s="503"/>
      <c r="K29" s="503"/>
      <c r="L29" s="503"/>
      <c r="M29" s="503"/>
      <c r="N29" s="503"/>
    </row>
    <row r="30" spans="1:15" s="88" customFormat="1" ht="11.25">
      <c r="A30" s="503" t="s">
        <v>446</v>
      </c>
      <c r="B30" s="503"/>
      <c r="C30" s="503"/>
      <c r="D30" s="503"/>
      <c r="E30" s="503"/>
      <c r="F30" s="503"/>
      <c r="G30" s="503"/>
      <c r="H30" s="503"/>
      <c r="I30" s="503"/>
      <c r="J30" s="503"/>
      <c r="K30" s="503"/>
      <c r="L30" s="503"/>
      <c r="M30" s="503"/>
      <c r="N30" s="503"/>
    </row>
    <row r="31" spans="1:15" s="88" customFormat="1" ht="11.25">
      <c r="A31" s="88" t="s">
        <v>481</v>
      </c>
      <c r="J31" s="89"/>
      <c r="K31" s="89"/>
      <c r="L31" s="89"/>
      <c r="M31" s="90"/>
      <c r="N31" s="46"/>
    </row>
    <row r="32" spans="1:15" s="88" customFormat="1" ht="12.75" customHeight="1">
      <c r="A32" s="503" t="s">
        <v>447</v>
      </c>
      <c r="B32" s="503"/>
      <c r="C32" s="503"/>
      <c r="D32" s="503"/>
      <c r="E32" s="503"/>
      <c r="F32" s="503"/>
      <c r="G32" s="503"/>
      <c r="H32" s="503"/>
      <c r="I32" s="503"/>
      <c r="J32" s="503"/>
      <c r="K32" s="503"/>
      <c r="L32" s="503"/>
      <c r="M32" s="503"/>
      <c r="N32" s="503"/>
    </row>
    <row r="33" spans="1:14" s="88" customFormat="1" ht="11.25">
      <c r="A33" s="88" t="s">
        <v>317</v>
      </c>
      <c r="J33" s="89"/>
      <c r="K33" s="89"/>
      <c r="L33" s="89"/>
      <c r="M33" s="90"/>
      <c r="N33" s="46"/>
    </row>
    <row r="34" spans="1:14" s="88" customFormat="1" ht="11.25">
      <c r="A34" s="88" t="s">
        <v>448</v>
      </c>
      <c r="J34" s="89"/>
      <c r="K34" s="89"/>
      <c r="L34" s="89"/>
      <c r="M34" s="90"/>
      <c r="N34" s="46"/>
    </row>
    <row r="35" spans="1:14">
      <c r="A35" s="503" t="s">
        <v>449</v>
      </c>
      <c r="B35" s="503"/>
      <c r="C35" s="503"/>
      <c r="D35" s="503"/>
      <c r="E35" s="503"/>
      <c r="F35" s="503"/>
      <c r="G35" s="503"/>
      <c r="H35" s="503"/>
      <c r="I35" s="503"/>
      <c r="J35" s="503"/>
      <c r="K35" s="503"/>
      <c r="L35" s="503"/>
      <c r="M35" s="503"/>
      <c r="N35" s="503"/>
    </row>
    <row r="36" spans="1:14">
      <c r="A36" s="88" t="s">
        <v>450</v>
      </c>
      <c r="G36" s="71"/>
      <c r="H36" s="71"/>
      <c r="I36" s="71"/>
    </row>
    <row r="37" spans="1:14" ht="14.25" customHeight="1">
      <c r="A37" s="88" t="s">
        <v>451</v>
      </c>
      <c r="G37" s="71"/>
      <c r="H37" s="71"/>
      <c r="I37" s="71"/>
    </row>
    <row r="38" spans="1:14" ht="25.5" customHeight="1">
      <c r="A38" s="503" t="s">
        <v>21</v>
      </c>
      <c r="B38" s="503"/>
      <c r="C38" s="503"/>
      <c r="D38" s="503"/>
      <c r="E38" s="503"/>
      <c r="F38" s="503"/>
      <c r="G38" s="503"/>
      <c r="H38" s="503"/>
      <c r="I38" s="503"/>
      <c r="J38" s="503"/>
      <c r="K38" s="503"/>
      <c r="L38" s="503"/>
      <c r="M38" s="503"/>
      <c r="N38" s="503"/>
    </row>
    <row r="39" spans="1:14">
      <c r="A39" s="99" t="s">
        <v>20</v>
      </c>
    </row>
    <row r="40" spans="1:14" ht="33.75" customHeight="1">
      <c r="A40" s="503" t="s">
        <v>19</v>
      </c>
      <c r="B40" s="503"/>
      <c r="C40" s="503"/>
      <c r="D40" s="503"/>
      <c r="E40" s="503"/>
      <c r="F40" s="503"/>
      <c r="G40" s="503"/>
      <c r="H40" s="503"/>
      <c r="I40" s="503"/>
      <c r="J40" s="503"/>
      <c r="K40" s="503"/>
      <c r="L40" s="503"/>
      <c r="M40" s="503"/>
      <c r="N40" s="503"/>
    </row>
    <row r="41" spans="1:14">
      <c r="A41" s="99" t="s">
        <v>622</v>
      </c>
    </row>
    <row r="42" spans="1:14">
      <c r="A42" s="99" t="s">
        <v>629</v>
      </c>
      <c r="H42" s="91"/>
      <c r="I42" s="159"/>
      <c r="J42" s="148"/>
      <c r="L42" s="160"/>
    </row>
    <row r="43" spans="1:14">
      <c r="I43" s="148"/>
      <c r="J43" s="148"/>
    </row>
    <row r="44" spans="1:14">
      <c r="I44" s="159"/>
      <c r="J44" s="148"/>
    </row>
    <row r="45" spans="1:14">
      <c r="I45" s="148"/>
    </row>
    <row r="46" spans="1:14">
      <c r="J46" s="148"/>
    </row>
  </sheetData>
  <mergeCells count="12">
    <mergeCell ref="A38:N38"/>
    <mergeCell ref="A40:N40"/>
    <mergeCell ref="A35:N35"/>
    <mergeCell ref="G24:J24"/>
    <mergeCell ref="A1:N1"/>
    <mergeCell ref="A2:N2"/>
    <mergeCell ref="A29:N29"/>
    <mergeCell ref="A32:N32"/>
    <mergeCell ref="B6:F6"/>
    <mergeCell ref="C17:F17"/>
    <mergeCell ref="C16:F16"/>
    <mergeCell ref="A30:N30"/>
  </mergeCells>
  <phoneticPr fontId="9" type="noConversion"/>
  <printOptions horizontalCentered="1"/>
  <pageMargins left="0.5" right="0.5" top="0.5" bottom="0.5" header="0.5" footer="0.5"/>
  <pageSetup scale="79" orientation="landscape" r:id="rId1"/>
  <headerFooter alignWithMargins="0"/>
</worksheet>
</file>

<file path=xl/worksheets/sheet5.xml><?xml version="1.0" encoding="utf-8"?>
<worksheet xmlns="http://schemas.openxmlformats.org/spreadsheetml/2006/main" xmlns:r="http://schemas.openxmlformats.org/officeDocument/2006/relationships">
  <dimension ref="A2:J35"/>
  <sheetViews>
    <sheetView topLeftCell="A10" workbookViewId="0">
      <selection activeCell="D70" sqref="D70"/>
    </sheetView>
  </sheetViews>
  <sheetFormatPr defaultRowHeight="12.75"/>
  <cols>
    <col min="1" max="1" width="15.5703125" customWidth="1"/>
    <col min="2" max="2" width="13" customWidth="1"/>
    <col min="3" max="3" width="16.5703125" customWidth="1"/>
    <col min="7" max="7" width="16.85546875" customWidth="1"/>
    <col min="8" max="8" width="12.28515625" customWidth="1"/>
  </cols>
  <sheetData>
    <row r="2" spans="1:10">
      <c r="A2" s="66" t="s">
        <v>107</v>
      </c>
    </row>
    <row r="3" spans="1:10">
      <c r="A3" s="66"/>
    </row>
    <row r="4" spans="1:10">
      <c r="A4" t="s">
        <v>143</v>
      </c>
      <c r="B4" s="67" t="s">
        <v>144</v>
      </c>
      <c r="C4" s="389" t="s">
        <v>141</v>
      </c>
      <c r="J4" s="316" t="s">
        <v>530</v>
      </c>
    </row>
    <row r="5" spans="1:10">
      <c r="A5" t="s">
        <v>103</v>
      </c>
      <c r="B5">
        <v>5000</v>
      </c>
      <c r="C5" t="s">
        <v>142</v>
      </c>
      <c r="J5" t="s">
        <v>519</v>
      </c>
    </row>
    <row r="6" spans="1:10">
      <c r="A6" t="s">
        <v>183</v>
      </c>
      <c r="B6">
        <v>6000</v>
      </c>
      <c r="C6" s="390" t="s">
        <v>184</v>
      </c>
    </row>
    <row r="7" spans="1:10">
      <c r="A7" t="s">
        <v>105</v>
      </c>
      <c r="B7">
        <v>0</v>
      </c>
      <c r="C7" t="s">
        <v>142</v>
      </c>
      <c r="D7" t="s">
        <v>146</v>
      </c>
    </row>
    <row r="8" spans="1:10">
      <c r="A8" t="s">
        <v>106</v>
      </c>
      <c r="C8" s="316" t="s">
        <v>529</v>
      </c>
    </row>
    <row r="9" spans="1:10">
      <c r="A9" t="s">
        <v>104</v>
      </c>
      <c r="B9">
        <v>0</v>
      </c>
      <c r="C9" t="s">
        <v>142</v>
      </c>
      <c r="D9" t="s">
        <v>146</v>
      </c>
    </row>
    <row r="11" spans="1:10">
      <c r="A11" s="66" t="s">
        <v>145</v>
      </c>
    </row>
    <row r="12" spans="1:10">
      <c r="A12" t="s">
        <v>143</v>
      </c>
      <c r="B12" s="67" t="s">
        <v>144</v>
      </c>
      <c r="C12" s="389" t="s">
        <v>141</v>
      </c>
    </row>
    <row r="13" spans="1:10">
      <c r="A13" t="s">
        <v>103</v>
      </c>
      <c r="B13">
        <v>5000</v>
      </c>
      <c r="C13" t="s">
        <v>142</v>
      </c>
    </row>
    <row r="14" spans="1:10">
      <c r="A14" t="s">
        <v>183</v>
      </c>
      <c r="B14">
        <v>7000</v>
      </c>
      <c r="C14" s="390" t="s">
        <v>184</v>
      </c>
    </row>
    <row r="15" spans="1:10">
      <c r="A15" t="s">
        <v>105</v>
      </c>
      <c r="B15">
        <v>8000</v>
      </c>
      <c r="C15" t="s">
        <v>142</v>
      </c>
    </row>
    <row r="16" spans="1:10">
      <c r="A16" t="s">
        <v>106</v>
      </c>
      <c r="C16" s="316" t="s">
        <v>529</v>
      </c>
    </row>
    <row r="17" spans="1:9">
      <c r="A17" t="s">
        <v>104</v>
      </c>
      <c r="B17">
        <v>8000</v>
      </c>
      <c r="C17" t="s">
        <v>142</v>
      </c>
    </row>
    <row r="18" spans="1:9">
      <c r="B18">
        <f>SUM(B13:B17)</f>
        <v>28000</v>
      </c>
    </row>
    <row r="19" spans="1:9">
      <c r="G19" s="351" t="s">
        <v>545</v>
      </c>
      <c r="H19" s="352"/>
      <c r="I19" s="353"/>
    </row>
    <row r="20" spans="1:9">
      <c r="A20" s="68" t="s">
        <v>174</v>
      </c>
      <c r="B20" s="68"/>
      <c r="C20" s="68"/>
      <c r="G20" s="354" t="s">
        <v>174</v>
      </c>
      <c r="H20" s="355"/>
      <c r="I20" s="356"/>
    </row>
    <row r="21" spans="1:9" s="70" customFormat="1" ht="22.5">
      <c r="A21" s="69" t="s">
        <v>147</v>
      </c>
      <c r="B21" s="69" t="s">
        <v>150</v>
      </c>
      <c r="C21" s="69" t="s">
        <v>151</v>
      </c>
      <c r="G21" s="357" t="s">
        <v>147</v>
      </c>
      <c r="H21" s="358" t="s">
        <v>150</v>
      </c>
      <c r="I21" s="359" t="s">
        <v>151</v>
      </c>
    </row>
    <row r="22" spans="1:9">
      <c r="A22" s="68" t="s">
        <v>148</v>
      </c>
      <c r="B22" s="391">
        <v>204</v>
      </c>
      <c r="C22" s="282">
        <f>ROUND(B22/B24,3)</f>
        <v>0.12</v>
      </c>
      <c r="G22" s="354" t="s">
        <v>148</v>
      </c>
      <c r="H22" s="360">
        <v>196</v>
      </c>
      <c r="I22" s="361">
        <v>0.126</v>
      </c>
    </row>
    <row r="23" spans="1:9">
      <c r="A23" s="68" t="s">
        <v>149</v>
      </c>
      <c r="B23" s="105">
        <v>1500</v>
      </c>
      <c r="C23" s="282">
        <f>ROUND(B23/B24,3)</f>
        <v>0.88</v>
      </c>
      <c r="G23" s="354" t="s">
        <v>149</v>
      </c>
      <c r="H23" s="360">
        <v>1358</v>
      </c>
      <c r="I23" s="361">
        <v>0.874</v>
      </c>
    </row>
    <row r="24" spans="1:9">
      <c r="A24" s="68" t="s">
        <v>404</v>
      </c>
      <c r="B24" s="105">
        <f>SUM(B22:B23)</f>
        <v>1704</v>
      </c>
      <c r="C24" s="105"/>
      <c r="G24" s="354" t="s">
        <v>404</v>
      </c>
      <c r="H24" s="360">
        <v>1554</v>
      </c>
      <c r="I24" s="362"/>
    </row>
    <row r="25" spans="1:9">
      <c r="G25" s="363"/>
      <c r="H25" s="364"/>
      <c r="I25" s="365"/>
    </row>
    <row r="26" spans="1:9">
      <c r="A26" s="392" t="s">
        <v>175</v>
      </c>
      <c r="B26" s="392"/>
      <c r="C26" s="392"/>
      <c r="G26" s="354" t="s">
        <v>175</v>
      </c>
      <c r="H26" s="355"/>
      <c r="I26" s="356"/>
    </row>
    <row r="27" spans="1:9" ht="22.5">
      <c r="A27" s="393" t="s">
        <v>147</v>
      </c>
      <c r="B27" s="393" t="s">
        <v>150</v>
      </c>
      <c r="C27" s="393" t="s">
        <v>151</v>
      </c>
      <c r="G27" s="357" t="s">
        <v>147</v>
      </c>
      <c r="H27" s="358" t="s">
        <v>150</v>
      </c>
      <c r="I27" s="359" t="s">
        <v>151</v>
      </c>
    </row>
    <row r="28" spans="1:9">
      <c r="A28" s="392" t="s">
        <v>148</v>
      </c>
      <c r="B28" s="392">
        <v>6</v>
      </c>
      <c r="C28" s="394">
        <f>ROUND(B28/B30,3)</f>
        <v>0.23100000000000001</v>
      </c>
      <c r="G28" s="354" t="s">
        <v>148</v>
      </c>
      <c r="H28" s="355">
        <v>12</v>
      </c>
      <c r="I28" s="366">
        <v>0.75</v>
      </c>
    </row>
    <row r="29" spans="1:9">
      <c r="A29" s="392" t="s">
        <v>149</v>
      </c>
      <c r="B29" s="392">
        <v>20</v>
      </c>
      <c r="C29" s="394">
        <f>ROUND(B29/B30,3)</f>
        <v>0.76900000000000002</v>
      </c>
      <c r="G29" s="354" t="s">
        <v>149</v>
      </c>
      <c r="H29" s="355">
        <v>4</v>
      </c>
      <c r="I29" s="366">
        <v>0.25</v>
      </c>
    </row>
    <row r="30" spans="1:9">
      <c r="A30" s="392" t="s">
        <v>404</v>
      </c>
      <c r="B30" s="392">
        <f>SUM(B28:B29)</f>
        <v>26</v>
      </c>
      <c r="C30" s="392"/>
      <c r="G30" s="367" t="s">
        <v>404</v>
      </c>
      <c r="H30" s="368">
        <v>16</v>
      </c>
      <c r="I30" s="369"/>
    </row>
    <row r="33" spans="1:10" ht="13.5" thickBot="1"/>
    <row r="34" spans="1:10">
      <c r="A34" s="317" t="s">
        <v>531</v>
      </c>
      <c r="B34" s="289"/>
      <c r="C34" s="289"/>
      <c r="D34" s="289"/>
      <c r="E34" s="289"/>
      <c r="F34" s="289"/>
      <c r="G34" s="289"/>
      <c r="H34" s="289"/>
      <c r="I34" s="289"/>
      <c r="J34" s="290"/>
    </row>
    <row r="35" spans="1:10" ht="13.5" thickBot="1">
      <c r="A35" s="318">
        <v>2875</v>
      </c>
      <c r="B35" s="293"/>
      <c r="C35" s="293"/>
      <c r="D35" s="293"/>
      <c r="E35" s="293"/>
      <c r="F35" s="293"/>
      <c r="G35" s="293"/>
      <c r="H35" s="293"/>
      <c r="I35" s="293"/>
      <c r="J35" s="294"/>
    </row>
  </sheetData>
  <phoneticPr fontId="9"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T32"/>
  <sheetViews>
    <sheetView workbookViewId="0">
      <selection activeCell="D70" sqref="D70"/>
    </sheetView>
  </sheetViews>
  <sheetFormatPr defaultRowHeight="12.75"/>
  <cols>
    <col min="1" max="1" width="24.28515625" customWidth="1"/>
    <col min="4" max="4" width="13.5703125" bestFit="1" customWidth="1"/>
    <col min="19" max="19" width="25.140625" bestFit="1" customWidth="1"/>
    <col min="21" max="21" width="9.7109375" bestFit="1" customWidth="1"/>
  </cols>
  <sheetData>
    <row r="1" spans="1:20">
      <c r="A1" s="66" t="s">
        <v>27</v>
      </c>
      <c r="L1" s="66" t="s">
        <v>127</v>
      </c>
      <c r="O1" t="s">
        <v>518</v>
      </c>
    </row>
    <row r="2" spans="1:20">
      <c r="L2" s="66" t="s">
        <v>154</v>
      </c>
      <c r="T2" s="387" t="s">
        <v>516</v>
      </c>
    </row>
    <row r="3" spans="1:20">
      <c r="A3" s="320" t="s">
        <v>153</v>
      </c>
      <c r="B3" s="320"/>
      <c r="C3" s="320"/>
      <c r="D3" s="320"/>
      <c r="E3" s="320"/>
      <c r="F3" s="320"/>
      <c r="G3" s="320"/>
      <c r="H3" s="320"/>
      <c r="I3" s="71"/>
      <c r="J3" s="71"/>
      <c r="K3" s="71"/>
      <c r="L3" t="s">
        <v>128</v>
      </c>
      <c r="T3" s="388" t="s">
        <v>128</v>
      </c>
    </row>
    <row r="4" spans="1:20" ht="15">
      <c r="A4" s="58"/>
      <c r="B4" s="321" t="s">
        <v>154</v>
      </c>
      <c r="C4" s="322" t="s">
        <v>155</v>
      </c>
      <c r="D4" s="323" t="s">
        <v>156</v>
      </c>
      <c r="E4" s="324" t="s">
        <v>302</v>
      </c>
      <c r="F4" s="325" t="s">
        <v>458</v>
      </c>
      <c r="G4" s="326" t="s">
        <v>516</v>
      </c>
      <c r="H4" s="327" t="s">
        <v>517</v>
      </c>
      <c r="I4" s="71"/>
      <c r="J4" s="71"/>
      <c r="K4" s="71"/>
      <c r="L4" s="71" t="s">
        <v>129</v>
      </c>
      <c r="S4" s="295"/>
      <c r="T4" s="386" t="s">
        <v>129</v>
      </c>
    </row>
    <row r="5" spans="1:20">
      <c r="A5" s="58" t="s">
        <v>157</v>
      </c>
      <c r="B5" s="328">
        <v>0</v>
      </c>
      <c r="C5" s="329">
        <v>0</v>
      </c>
      <c r="D5" s="330">
        <v>0</v>
      </c>
      <c r="E5" s="331">
        <v>0</v>
      </c>
      <c r="F5" s="332">
        <v>0</v>
      </c>
      <c r="G5" s="333">
        <v>0</v>
      </c>
      <c r="H5" s="334">
        <v>0</v>
      </c>
      <c r="I5" s="71" t="s">
        <v>459</v>
      </c>
      <c r="J5" s="71"/>
      <c r="K5" s="71"/>
      <c r="L5" s="71" t="s">
        <v>130</v>
      </c>
      <c r="S5" s="296"/>
      <c r="T5" s="386" t="s">
        <v>575</v>
      </c>
    </row>
    <row r="6" spans="1:20">
      <c r="A6" s="58" t="s">
        <v>145</v>
      </c>
      <c r="B6" s="417">
        <v>44</v>
      </c>
      <c r="C6" s="329">
        <v>451</v>
      </c>
      <c r="D6" s="330">
        <v>399</v>
      </c>
      <c r="E6" s="416">
        <v>35</v>
      </c>
      <c r="F6" s="332">
        <v>1088</v>
      </c>
      <c r="G6" s="333">
        <v>75</v>
      </c>
      <c r="H6" s="418">
        <v>289</v>
      </c>
      <c r="I6" s="71"/>
      <c r="J6" s="71"/>
      <c r="K6" s="71"/>
      <c r="L6" s="386" t="s">
        <v>573</v>
      </c>
    </row>
    <row r="7" spans="1:20">
      <c r="A7" s="58" t="s">
        <v>158</v>
      </c>
      <c r="B7" s="335">
        <v>0</v>
      </c>
      <c r="C7" s="329">
        <v>0</v>
      </c>
      <c r="D7" s="330">
        <v>0</v>
      </c>
      <c r="E7" s="331">
        <v>0</v>
      </c>
      <c r="F7" s="332">
        <v>0</v>
      </c>
      <c r="G7" s="333">
        <v>0</v>
      </c>
      <c r="H7" s="334">
        <v>0</v>
      </c>
      <c r="I7" s="71" t="s">
        <v>459</v>
      </c>
      <c r="J7" s="71"/>
      <c r="K7" s="71"/>
      <c r="S7" s="296"/>
      <c r="T7" s="386"/>
    </row>
    <row r="8" spans="1:20">
      <c r="A8" s="58" t="s">
        <v>107</v>
      </c>
      <c r="B8" s="335">
        <v>1</v>
      </c>
      <c r="C8" s="329">
        <v>53</v>
      </c>
      <c r="D8" s="330">
        <v>505</v>
      </c>
      <c r="E8" s="331">
        <v>0</v>
      </c>
      <c r="F8" s="332">
        <v>587</v>
      </c>
      <c r="G8" s="333">
        <v>54</v>
      </c>
      <c r="H8" s="418">
        <v>34</v>
      </c>
      <c r="I8" s="71"/>
      <c r="J8" s="71"/>
      <c r="K8" s="71"/>
      <c r="L8" s="104" t="s">
        <v>155</v>
      </c>
      <c r="S8" s="296"/>
    </row>
    <row r="9" spans="1:20">
      <c r="A9" s="58" t="s">
        <v>159</v>
      </c>
      <c r="B9" s="328">
        <v>0</v>
      </c>
      <c r="C9" s="329">
        <v>0</v>
      </c>
      <c r="D9" s="330">
        <v>0</v>
      </c>
      <c r="E9" s="331">
        <v>0</v>
      </c>
      <c r="F9" s="332">
        <v>0</v>
      </c>
      <c r="G9" s="333">
        <v>0</v>
      </c>
      <c r="H9" s="334">
        <v>0</v>
      </c>
      <c r="I9" s="71" t="s">
        <v>460</v>
      </c>
      <c r="J9" s="71"/>
      <c r="K9" s="71"/>
      <c r="L9" t="s">
        <v>128</v>
      </c>
      <c r="S9" s="296"/>
    </row>
    <row r="10" spans="1:20">
      <c r="A10" s="58" t="s">
        <v>253</v>
      </c>
      <c r="B10" s="328">
        <v>0</v>
      </c>
      <c r="C10" s="329">
        <v>0</v>
      </c>
      <c r="D10" s="330">
        <v>0</v>
      </c>
      <c r="E10" s="331">
        <v>0</v>
      </c>
      <c r="F10" s="332">
        <v>0</v>
      </c>
      <c r="G10" s="333">
        <v>0</v>
      </c>
      <c r="H10" s="334">
        <v>0</v>
      </c>
      <c r="I10" s="71" t="s">
        <v>460</v>
      </c>
      <c r="J10" s="71"/>
      <c r="K10" s="71"/>
      <c r="L10" s="71" t="s">
        <v>129</v>
      </c>
      <c r="S10" s="296"/>
    </row>
    <row r="11" spans="1:20">
      <c r="A11" s="58" t="s">
        <v>254</v>
      </c>
      <c r="B11" s="328">
        <v>0</v>
      </c>
      <c r="C11" s="329">
        <v>0</v>
      </c>
      <c r="D11" s="330">
        <v>0</v>
      </c>
      <c r="E11" s="331">
        <v>0</v>
      </c>
      <c r="F11" s="332">
        <v>0</v>
      </c>
      <c r="G11" s="333">
        <v>0</v>
      </c>
      <c r="H11" s="334">
        <v>0</v>
      </c>
      <c r="I11" s="71" t="s">
        <v>460</v>
      </c>
      <c r="J11" s="71"/>
      <c r="K11" s="71"/>
      <c r="L11" s="71" t="s">
        <v>131</v>
      </c>
      <c r="S11" s="296"/>
    </row>
    <row r="12" spans="1:20">
      <c r="A12" s="58" t="s">
        <v>255</v>
      </c>
      <c r="B12" s="328">
        <v>0</v>
      </c>
      <c r="C12" s="329">
        <v>0</v>
      </c>
      <c r="D12" s="330">
        <v>6</v>
      </c>
      <c r="E12" s="331">
        <v>0</v>
      </c>
      <c r="F12" s="332">
        <v>78</v>
      </c>
      <c r="G12" s="333">
        <v>0</v>
      </c>
      <c r="H12" s="334">
        <v>0</v>
      </c>
      <c r="I12" s="71"/>
      <c r="J12" s="71"/>
      <c r="K12" s="71"/>
      <c r="L12" s="71" t="s">
        <v>132</v>
      </c>
      <c r="S12" s="296"/>
    </row>
    <row r="13" spans="1:20">
      <c r="B13" s="319"/>
      <c r="C13" s="319"/>
      <c r="D13" s="319"/>
      <c r="E13" s="319"/>
      <c r="F13" s="149"/>
      <c r="G13" s="319"/>
      <c r="H13" s="319"/>
      <c r="I13" s="71"/>
      <c r="J13" s="71"/>
      <c r="K13" s="71"/>
      <c r="L13" s="386" t="s">
        <v>574</v>
      </c>
    </row>
    <row r="14" spans="1:20">
      <c r="B14" s="319"/>
      <c r="C14" s="319"/>
      <c r="D14" s="319"/>
      <c r="E14" s="319"/>
      <c r="F14" s="149"/>
      <c r="G14" s="319"/>
      <c r="H14" s="319"/>
      <c r="I14" s="71"/>
      <c r="J14" s="71"/>
      <c r="K14" s="71"/>
      <c r="L14" s="104" t="s">
        <v>156</v>
      </c>
    </row>
    <row r="15" spans="1:20">
      <c r="B15" s="319"/>
      <c r="C15" s="319"/>
      <c r="D15" s="319"/>
      <c r="E15" s="319"/>
      <c r="F15" s="149"/>
      <c r="G15" s="319"/>
      <c r="H15" s="319"/>
      <c r="I15" s="71"/>
      <c r="J15" s="71"/>
      <c r="K15" s="71"/>
      <c r="L15" t="s">
        <v>128</v>
      </c>
    </row>
    <row r="16" spans="1:20">
      <c r="A16" s="66" t="s">
        <v>28</v>
      </c>
      <c r="B16" s="319"/>
      <c r="C16" s="319"/>
      <c r="D16" s="319"/>
      <c r="E16" s="319"/>
      <c r="F16" s="149"/>
      <c r="G16" s="319"/>
      <c r="H16" s="319"/>
      <c r="I16" s="71"/>
      <c r="J16" s="71"/>
      <c r="K16" s="71"/>
      <c r="L16" s="71" t="s">
        <v>129</v>
      </c>
    </row>
    <row r="17" spans="1:12">
      <c r="B17" s="319"/>
      <c r="C17" s="319"/>
      <c r="D17" s="319"/>
      <c r="E17" s="319"/>
      <c r="F17" s="149"/>
      <c r="G17" s="319"/>
      <c r="H17" s="319"/>
      <c r="I17" s="71"/>
      <c r="J17" s="71"/>
      <c r="K17" s="71"/>
      <c r="L17" s="71" t="s">
        <v>133</v>
      </c>
    </row>
    <row r="18" spans="1:12">
      <c r="A18" s="320" t="s">
        <v>153</v>
      </c>
      <c r="B18" s="336"/>
      <c r="C18" s="336"/>
      <c r="D18" s="336"/>
      <c r="E18" s="336"/>
      <c r="F18" s="336"/>
      <c r="G18" s="336"/>
      <c r="H18" s="336"/>
      <c r="I18" s="71"/>
      <c r="J18" s="71"/>
      <c r="K18" s="71"/>
      <c r="L18" s="71" t="s">
        <v>134</v>
      </c>
    </row>
    <row r="19" spans="1:12">
      <c r="A19" s="58"/>
      <c r="B19" s="321" t="s">
        <v>154</v>
      </c>
      <c r="C19" s="322" t="s">
        <v>155</v>
      </c>
      <c r="D19" s="323" t="s">
        <v>156</v>
      </c>
      <c r="E19" s="324" t="s">
        <v>302</v>
      </c>
      <c r="F19" s="325" t="s">
        <v>458</v>
      </c>
      <c r="G19" s="326" t="s">
        <v>516</v>
      </c>
      <c r="H19" s="327" t="s">
        <v>517</v>
      </c>
      <c r="I19" s="71"/>
      <c r="J19" s="71"/>
      <c r="K19" s="71"/>
      <c r="L19" s="104" t="s">
        <v>302</v>
      </c>
    </row>
    <row r="20" spans="1:12">
      <c r="A20" s="58" t="s">
        <v>157</v>
      </c>
      <c r="B20" s="337">
        <v>0</v>
      </c>
      <c r="C20" s="338">
        <v>0</v>
      </c>
      <c r="D20" s="339">
        <v>0</v>
      </c>
      <c r="E20" s="340">
        <v>0</v>
      </c>
      <c r="F20" s="341">
        <v>0</v>
      </c>
      <c r="G20" s="333">
        <v>0</v>
      </c>
      <c r="H20" s="334">
        <v>0</v>
      </c>
      <c r="I20" s="71" t="s">
        <v>459</v>
      </c>
      <c r="J20" s="71"/>
      <c r="K20" s="71"/>
      <c r="L20" t="s">
        <v>128</v>
      </c>
    </row>
    <row r="21" spans="1:12">
      <c r="A21" s="58" t="s">
        <v>145</v>
      </c>
      <c r="B21" s="427">
        <v>78</v>
      </c>
      <c r="C21" s="428">
        <v>78</v>
      </c>
      <c r="D21" s="339">
        <v>0</v>
      </c>
      <c r="E21" s="340">
        <v>0</v>
      </c>
      <c r="F21" s="429">
        <v>78</v>
      </c>
      <c r="G21" s="333">
        <v>0</v>
      </c>
      <c r="H21" s="334">
        <v>0</v>
      </c>
      <c r="I21" s="386" t="s">
        <v>577</v>
      </c>
      <c r="J21" s="71"/>
      <c r="K21" s="71"/>
      <c r="L21" s="71" t="s">
        <v>129</v>
      </c>
    </row>
    <row r="22" spans="1:12">
      <c r="A22" s="58" t="s">
        <v>158</v>
      </c>
      <c r="B22" s="337">
        <v>0</v>
      </c>
      <c r="C22" s="338">
        <v>0</v>
      </c>
      <c r="D22" s="339">
        <v>0</v>
      </c>
      <c r="E22" s="340">
        <v>0</v>
      </c>
      <c r="F22" s="341">
        <v>0</v>
      </c>
      <c r="G22" s="333">
        <v>0</v>
      </c>
      <c r="H22" s="334">
        <v>0</v>
      </c>
      <c r="I22" s="302" t="s">
        <v>522</v>
      </c>
      <c r="J22" s="71"/>
      <c r="K22" s="71"/>
      <c r="L22" s="71" t="s">
        <v>135</v>
      </c>
    </row>
    <row r="23" spans="1:12">
      <c r="A23" s="58" t="s">
        <v>107</v>
      </c>
      <c r="B23" s="337">
        <v>0</v>
      </c>
      <c r="C23" s="338">
        <v>0</v>
      </c>
      <c r="D23" s="339">
        <v>0</v>
      </c>
      <c r="E23" s="340">
        <v>0</v>
      </c>
      <c r="F23" s="341">
        <v>0</v>
      </c>
      <c r="G23" s="333">
        <v>0</v>
      </c>
      <c r="H23" s="334">
        <v>0</v>
      </c>
      <c r="I23" s="302" t="s">
        <v>522</v>
      </c>
      <c r="J23" s="71"/>
      <c r="K23" s="71"/>
      <c r="L23" s="71" t="s">
        <v>136</v>
      </c>
    </row>
    <row r="24" spans="1:12">
      <c r="A24" s="58" t="s">
        <v>159</v>
      </c>
      <c r="B24" s="337">
        <v>0</v>
      </c>
      <c r="C24" s="338">
        <v>0</v>
      </c>
      <c r="D24" s="339">
        <v>0</v>
      </c>
      <c r="E24" s="340">
        <v>0</v>
      </c>
      <c r="F24" s="341">
        <v>0</v>
      </c>
      <c r="G24" s="333">
        <v>0</v>
      </c>
      <c r="H24" s="334">
        <v>0</v>
      </c>
      <c r="I24" s="71" t="s">
        <v>460</v>
      </c>
      <c r="J24" s="71"/>
      <c r="K24" s="71"/>
      <c r="L24" s="71"/>
    </row>
    <row r="25" spans="1:12">
      <c r="A25" s="58" t="s">
        <v>253</v>
      </c>
      <c r="B25" s="337">
        <v>0</v>
      </c>
      <c r="C25" s="338">
        <v>0</v>
      </c>
      <c r="D25" s="339">
        <v>0</v>
      </c>
      <c r="E25" s="340">
        <v>0</v>
      </c>
      <c r="F25" s="341">
        <v>0</v>
      </c>
      <c r="G25" s="333">
        <v>0</v>
      </c>
      <c r="H25" s="334">
        <v>0</v>
      </c>
      <c r="I25" s="71" t="s">
        <v>460</v>
      </c>
      <c r="J25" s="71"/>
      <c r="K25" s="71"/>
      <c r="L25" s="71"/>
    </row>
    <row r="26" spans="1:12">
      <c r="A26" s="58" t="s">
        <v>254</v>
      </c>
      <c r="B26" s="337">
        <v>0</v>
      </c>
      <c r="C26" s="338">
        <v>0</v>
      </c>
      <c r="D26" s="339">
        <v>0</v>
      </c>
      <c r="E26" s="340">
        <v>0</v>
      </c>
      <c r="F26" s="341">
        <v>0</v>
      </c>
      <c r="G26" s="333">
        <v>0</v>
      </c>
      <c r="H26" s="334">
        <v>0</v>
      </c>
      <c r="I26" s="71" t="s">
        <v>460</v>
      </c>
      <c r="J26" s="71"/>
      <c r="K26" s="71"/>
      <c r="L26" s="71"/>
    </row>
    <row r="27" spans="1:12">
      <c r="A27" s="58" t="s">
        <v>255</v>
      </c>
      <c r="B27" s="337">
        <v>0</v>
      </c>
      <c r="C27" s="338">
        <v>0</v>
      </c>
      <c r="D27" s="339">
        <v>0</v>
      </c>
      <c r="E27" s="340">
        <v>0</v>
      </c>
      <c r="F27" s="341">
        <v>0</v>
      </c>
      <c r="G27" s="333">
        <v>0</v>
      </c>
      <c r="H27" s="334">
        <v>0</v>
      </c>
      <c r="I27" s="71" t="s">
        <v>23</v>
      </c>
      <c r="J27" s="71"/>
      <c r="K27" s="71"/>
      <c r="L27" s="71"/>
    </row>
    <row r="28" spans="1:12">
      <c r="F28" s="71"/>
      <c r="G28" s="71"/>
      <c r="H28" s="71"/>
      <c r="I28" s="71"/>
      <c r="J28" s="71"/>
    </row>
    <row r="29" spans="1:12">
      <c r="F29" s="71"/>
      <c r="G29" s="71"/>
      <c r="H29" s="71"/>
      <c r="I29" s="71"/>
      <c r="J29" s="71"/>
    </row>
    <row r="30" spans="1:12">
      <c r="F30" s="274" t="s">
        <v>462</v>
      </c>
      <c r="G30" s="274"/>
      <c r="H30" s="71"/>
      <c r="I30" s="71"/>
      <c r="J30" s="71"/>
    </row>
    <row r="31" spans="1:12">
      <c r="F31" s="29" t="s">
        <v>463</v>
      </c>
      <c r="G31" s="29" t="s">
        <v>464</v>
      </c>
    </row>
    <row r="32" spans="1:12">
      <c r="F32" s="29">
        <v>8523</v>
      </c>
      <c r="G32" s="29">
        <v>1436</v>
      </c>
    </row>
  </sheetData>
  <phoneticPr fontId="9"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K21"/>
  <sheetViews>
    <sheetView zoomScale="85" zoomScaleNormal="85" workbookViewId="0">
      <selection activeCell="E7" sqref="E7"/>
    </sheetView>
  </sheetViews>
  <sheetFormatPr defaultRowHeight="11.25"/>
  <cols>
    <col min="1" max="1" width="38.28515625" style="68" customWidth="1"/>
    <col min="2" max="3" width="19.42578125" style="68" customWidth="1"/>
    <col min="4" max="4" width="21.5703125" style="68" customWidth="1"/>
    <col min="5" max="6" width="23.5703125" style="68" customWidth="1"/>
    <col min="7" max="7" width="9.140625" style="68"/>
    <col min="8" max="8" width="12.140625" style="68" bestFit="1" customWidth="1"/>
    <col min="9" max="9" width="9.85546875" style="68" bestFit="1" customWidth="1"/>
    <col min="10" max="10" width="11.7109375" style="68" bestFit="1" customWidth="1"/>
    <col min="11" max="16384" width="9.140625" style="68"/>
  </cols>
  <sheetData>
    <row r="1" spans="1:10" ht="13.5" thickBot="1">
      <c r="A1" s="479" t="s">
        <v>318</v>
      </c>
      <c r="B1" s="476" t="s">
        <v>25</v>
      </c>
      <c r="C1" s="477"/>
      <c r="D1" s="478"/>
      <c r="E1" s="476" t="s">
        <v>194</v>
      </c>
      <c r="F1" s="478"/>
    </row>
    <row r="2" spans="1:10" ht="23.25" thickBot="1">
      <c r="A2" s="480"/>
      <c r="B2" s="119" t="s">
        <v>258</v>
      </c>
      <c r="C2" s="120" t="s">
        <v>188</v>
      </c>
      <c r="D2" s="121" t="s">
        <v>257</v>
      </c>
      <c r="E2" s="122" t="s">
        <v>256</v>
      </c>
      <c r="F2" s="123" t="s">
        <v>258</v>
      </c>
      <c r="G2" s="106"/>
    </row>
    <row r="3" spans="1:10">
      <c r="A3" s="95" t="s">
        <v>348</v>
      </c>
      <c r="B3" s="276">
        <f>SUM('Fac-ExistLrgSolid-Yr1'!J55:L55)+SUM('Fac-ExistLrgLiquid-Yr1'!J55:L55)+SUM('Fac-ExistLrgGas-Yr1'!J52:L52)+SUM('Fac-NewLrgSolid-Yr1'!J48:L48)+SUM('Fac-NewLrgLiquid-Yr1'!J48:L48)+SUM('Fac-NewLrgGas-Yr1'!J48:L48)+SUM('Fac - ExistSmlSolid-Yr1'!J20:L20)+SUM('Fac - ExistSmlLiquid-Yr1'!J20:L20)+SUM('Fac - ExistSmlGas-Yr1'!J20:L20)+SUM('Fac-NewSmlSolid-Yr1'!J16:L16)+SUM('Fac-NewSmlLiquid-Yr1'!J16:L16)+SUM('Fac-NewSmlGas-Yr1'!J16:L16)</f>
        <v>98291.65</v>
      </c>
      <c r="C3" s="277">
        <f>'Fac-ExistLrgSolid-Yr1'!I7+'Fac-ExistLrgLiquid-Yr1'!I7+'Fac-ExistLrgGas-Yr1'!I7+'Fac-NewLrgSolid-Yr1'!I7+'Fac-NewLrgLiquid-Yr1'!I7+'Fac-NewLrgGas-Yr1'!I7+'Fac - ExistSmlSolid-Yr1'!I7+'Fac - ExistSmlLiquid-Yr1'!I7+'Fac - ExistSmlGas-Yr1'!I7+'Fac-NewSmlSolid-Yr1'!I7+'Fac-NewSmlLiquid-Yr1'!I7+'Fac-NewSmlGas-Yr1'!I7</f>
        <v>1783</v>
      </c>
      <c r="D3" s="278">
        <f>'Fac-ExistLrgSolid-Yr1'!P55+'Fac-ExistLrgLiquid-Yr1'!P55+'Fac-ExistLrgGas-Yr1'!P52+'Fac-NewLrgSolid-Yr1'!P48+'Fac-NewLrgLiquid-Yr1'!P48+'Fac-NewLrgGas-Yr1'!P48+'Fac - ExistSmlSolid-Yr1'!P20+'Fac - ExistSmlLiquid-Yr1'!P20+'Fac - ExistSmlGas-Yr1'!P20+'Fac-NewSmlSolid-Yr1'!P16+'Fac-NewSmlLiquid-Yr1'!P16+'Fac-NewSmlGas-Yr1'!P16</f>
        <v>1924.5</v>
      </c>
      <c r="E3" s="175">
        <f>'Fac-ExistLrgSolid-Yr1'!R55+'Fac-ExistLrgLiquid-Yr1'!R55+'Fac-ExistLrgGas-Yr1'!R52+'Fac-NewLrgSolid-Yr1'!R48+'Fac-NewLrgLiquid-Yr1'!R48+'Fac-NewLrgGas-Yr1'!R45+'Fac - ExistSmlSolid-Yr1'!R20+'Fac - ExistSmlLiquid-Yr1'!R20+'Fac - ExistSmlGas-Yr1'!R20+'Fac-NewSmlSolid-Yr1'!R16+'Fac-NewSmlLiquid-Yr1'!R16+'Fac-NewSmlGas-Yr1'!R16</f>
        <v>3378976</v>
      </c>
      <c r="F3" s="171">
        <f>SUM('Fac-ExistLrgSolid-Yr1'!J69:L69)+SUM('Fac-ExistLrgLiquid-Yr1'!J69:L69)+SUM('Fac-ExistLrgGas-Yr1'!J68:L68)+SUM('Fac-NewLrgSolid-Yr1'!J62:L62)+SUM('Fac-NewLrgLiquid-Yr1'!J62:L62)+SUM('Fac-NewLrgGas-Yr1'!J64:L64)+SUM('Fac - ExistSmlSolid-Yr1'!J31:L31)+SUM('Fac - ExistSmlLiquid-Yr1'!J31:L31)+SUM('Fac - ExistSmlGas-Yr1'!J31:L31)+SUM('Fac-NewSmlSolid-Yr1'!J26:L26)+SUM('Fac-NewSmlLiquid-Yr1'!J26:L26)+SUM('Fac-NewSmlGas-Yr1'!J26:L26)</f>
        <v>7277.2</v>
      </c>
    </row>
    <row r="4" spans="1:10">
      <c r="A4" s="95" t="s">
        <v>349</v>
      </c>
      <c r="B4" s="279">
        <f>SUM('Fac-ExistLrgSolid-Yr2'!J55:L55)+SUM('Fac-ExistLrgLiquid-Yr2'!J55:L55)+SUM('Fac-ExistLrgGas-Yr2'!J52:L52)+SUM('Fac-NewLrgSolid-Yr2'!J48:L48)+SUM('Fac-NewLrgLiquid-Yr2'!J48:L48)+SUM('Fac-NewLrgGas-Yr2'!J48:L48)+SUM('Fac - ExistSmlSolid-Yr2'!J20:L20)+SUM('Fac - ExistSmlLiquid-Yr2'!J20:L20)+SUM('Fac - ExistSmlGas-Yr2'!J20:L20)+SUM('Fac-NewSmlSolid-Yr2'!J16:L16)+SUM('Fac-NewSmlLiquid-Yr2'!J16:L16)+SUM('Fac-NewSmlGas-Yr2'!J16:L16)</f>
        <v>230136.27500000002</v>
      </c>
      <c r="C4" s="280">
        <f>SUM('Fac-ExistLrgSolid-Yr2'!I10:I11)+SUM('Fac-ExistLrgLiquid-Yr2'!I10:I11)+SUM('Fac-ExistLrgGas-Yr2'!I10:I11)+'Fac-NewLrgSolid-Yr2'!I46+'Fac-NewLrgLiquid-Yr2'!I46+'Fac-NewLrgGas-Yr2'!I44+'Fac-NewLrgGas-Yr2'!I45+SUM('Fac - ExistSmlSolid-Yr2'!I10:I11)+SUM('Fac - ExistSmlLiquid-Yr2'!I10:I11)+SUM('Fac - ExistSmlGas-Yr2'!I10:I11)+'Fac-NewSmlSolid-Yr2'!I15+'Fac-NewSmlLiquid-Yr2'!I15+'Fac-NewSmlGas-Yr2'!I15</f>
        <v>967</v>
      </c>
      <c r="D4" s="281">
        <f>'Fac-ExistLrgSolid-Yr2'!P55+'Fac-ExistLrgLiquid-Yr2'!P55+'Fac-ExistLrgGas-Yr2'!P52+'Fac-NewLrgSolid-Yr2'!P48+'Fac-NewLrgLiquid-Yr2'!P48+'Fac-NewLrgGas-Yr2'!P48+'Fac - ExistSmlSolid-Yr2'!P20+'Fac - ExistSmlLiquid-Yr2'!P20+'Fac - ExistSmlGas-Yr2'!P20+'Fac-NewSmlSolid-Yr2'!P16+'Fac-NewSmlLiquid-Yr2'!P16+'Fac-NewSmlGas-Yr2'!P16</f>
        <v>254.5</v>
      </c>
      <c r="E4" s="176">
        <f>'Fac-ExistLrgSolid-Yr2'!R55+'Fac-ExistLrgLiquid-Yr2'!R55+'Fac-ExistLrgGas-Yr2'!R52+'Fac-NewLrgSolid-Yr2'!R48+'Fac-NewLrgLiquid-Yr2'!R48+'Fac-NewLrgGas-Yr2'!R45+'Fac - ExistSmlSolid-Yr2'!R20+'Fac - ExistSmlLiquid-Yr2'!R20+'Fac - ExistSmlGas-Yr2'!R20+'Fac-NewSmlSolid-Yr2'!R16+'Fac-NewSmlLiquid-Yr2'!R16+'Fac-NewSmlGas-Yr2'!R16</f>
        <v>81405046</v>
      </c>
      <c r="F4" s="172">
        <f>SUM('Fac-ExistLrgSolid-Yr2'!J69:L69)+SUM('Fac-ExistLrgLiquid-Yr2'!J69:L69)+SUM('Fac-ExistLrgGas-Yr2'!J68:L68)+SUM('Fac-NewLrgSolid-Yr2'!J62:L62)+SUM('Fac-NewLrgLiquid-Yr2'!J62:L62)+SUM('Fac-NewLrgGas-Yr2'!J64:L64)+SUM('Fac - ExistSmlSolid-Yr2'!J31:L31)+SUM('Fac - ExistSmlLiquid-Yr2'!J31:L31)+SUM('Fac - ExistSmlGas-Yr2'!J31:L31)+SUM('Fac-NewSmlSolid-Yr2'!J26:L26)+SUM('Fac-NewSmlLiquid-Yr2'!J26:L26)+SUM('Fac-NewSmlGas-Yr2'!J26:L26)</f>
        <v>50012.925000000003</v>
      </c>
    </row>
    <row r="5" spans="1:10">
      <c r="A5" s="95" t="s">
        <v>350</v>
      </c>
      <c r="B5" s="279">
        <f>SUM('Fac-ExistLrgSolid-Yr3'!J55:L55)+SUM('Fac-ExistLrgLiquid-Yr3'!J55:L55)+SUM('Fac-ExistLrgGas-Yr3'!J52:L52)+SUM('Fac-NewLrgSolid-Yr3'!J48:L48)+SUM('Fac-NewLrgLiquid-Yr3'!J48:L48)+SUM('Fac-NewLrgGas-Yr3'!J48:L48)+SUM('Fac - ExistSmlSolid-Yr3'!J20:L20)+SUM('Fac - ExistSmlLiquid-Yr3'!J20:L20)+SUM('Fac - ExistSmlGas-Yr3'!J20:L20)+SUM('Fac-NewSmlSolid-Yr3'!J16:L16)+SUM('Fac-NewSmlLiquid-Yr3'!J16:L16)+SUM('Fac-NewSmlGas-Yr3'!J16:L16)</f>
        <v>405698.61</v>
      </c>
      <c r="C5" s="280">
        <f>'Base Data'!H46+'Base Data'!H82</f>
        <v>1935</v>
      </c>
      <c r="D5" s="281">
        <f>'Fac-ExistLrgSolid-Yr3'!P55+'Fac-ExistLrgLiquid-Yr3'!P55+'Fac-ExistLrgGas-Yr3'!P52+'Fac-NewLrgSolid-Yr3'!P48+'Fac-NewLrgLiquid-Yr3'!P48+'Fac-NewLrgGas-Yr3'!P48+'Fac - ExistSmlSolid-Yr3'!P20+'Fac - ExistSmlLiquid-Yr3'!P20+'Fac - ExistSmlGas-Yr3'!P20+'Fac-NewSmlSolid-Yr3'!P16+'Fac-NewSmlLiquid-Yr3'!P16+'Fac-NewSmlGas-Yr3'!P16</f>
        <v>5959</v>
      </c>
      <c r="E5" s="176">
        <f>'Fac-ExistLrgSolid-Yr3'!R55+'Fac-ExistLrgLiquid-Yr3'!R55+'Fac-ExistLrgGas-Yr3'!R52+'Fac-NewLrgSolid-Yr3'!R48+'Fac-NewLrgLiquid-Yr3'!R48+'Fac-NewLrgGas-Yr3'!R45+'Fac - ExistSmlSolid-Yr3'!R20+'Fac - ExistSmlLiquid-Yr3'!R20+'Fac - ExistSmlGas-Yr3'!R20+'Fac-NewSmlSolid-Yr3'!R16+'Fac-NewSmlLiquid-Yr3'!R16+'Fac-NewSmlGas-Yr3'!R16</f>
        <v>113849318.36</v>
      </c>
      <c r="F5" s="172">
        <f>SUM('Fac-ExistLrgSolid-Yr3'!J69:L69)+SUM('Fac-ExistLrgLiquid-Yr3'!J69:L69)+SUM('Fac-ExistLrgGas-Yr3'!J68:L68)+SUM('Fac-NewLrgSolid-Yr3'!J62:L62)+SUM('Fac-NewLrgLiquid-Yr3'!J62:L62)+SUM('Fac-NewLrgGas-Yr3'!J64:L64)+SUM('Fac - ExistSmlSolid-Yr3'!J31:L31)+SUM('Fac - ExistSmlLiquid-Yr3'!J31:L31)+SUM('Fac - ExistSmlGas-Yr3'!J31:L31)+SUM('Fac-NewSmlSolid-Yr3'!J26:L26)+SUM('Fac-NewSmlLiquid-Yr3'!J26:L26)+SUM('Fac-NewSmlGas-Yr3'!J26:L26)</f>
        <v>188576.71249999999</v>
      </c>
      <c r="H5" s="1"/>
      <c r="I5" s="1"/>
    </row>
    <row r="6" spans="1:10" ht="12" thickBot="1">
      <c r="A6" s="96" t="s">
        <v>259</v>
      </c>
      <c r="B6" s="103">
        <f>AVERAGE(B3:B5)</f>
        <v>244708.845</v>
      </c>
      <c r="C6" s="101">
        <f>AVERAGE(C3:C5)</f>
        <v>1561.6666666666667</v>
      </c>
      <c r="D6" s="102">
        <f>AVERAGE(D3:D5)</f>
        <v>2712.6666666666665</v>
      </c>
      <c r="E6" s="177">
        <f>AVERAGE(E3:E5)</f>
        <v>66211113.453333341</v>
      </c>
      <c r="F6" s="173">
        <f>AVERAGE(F3:F5)</f>
        <v>81955.612500000003</v>
      </c>
      <c r="H6" s="288"/>
      <c r="I6" s="288"/>
    </row>
    <row r="7" spans="1:10">
      <c r="A7" s="181" t="s">
        <v>260</v>
      </c>
      <c r="B7" s="161"/>
      <c r="C7" s="162"/>
      <c r="D7" s="163"/>
      <c r="E7" s="170">
        <f>E6/D6</f>
        <v>24408.127348242815</v>
      </c>
      <c r="F7" s="163"/>
      <c r="H7" s="288"/>
      <c r="I7" s="288"/>
    </row>
    <row r="8" spans="1:10" ht="12" thickBot="1">
      <c r="A8" s="182" t="s">
        <v>261</v>
      </c>
      <c r="B8" s="164"/>
      <c r="C8" s="165"/>
      <c r="D8" s="166"/>
      <c r="E8" s="174">
        <f>(B6+F6)/D6</f>
        <v>120.42189389284837</v>
      </c>
      <c r="F8" s="167"/>
      <c r="H8" s="288"/>
    </row>
    <row r="9" spans="1:10" ht="12" thickBot="1">
      <c r="D9" s="68">
        <f>B6/D6</f>
        <v>90.20969955763087</v>
      </c>
    </row>
    <row r="10" spans="1:10" ht="13.5" thickBot="1">
      <c r="A10" s="180" t="s">
        <v>195</v>
      </c>
      <c r="B10" s="178" t="s">
        <v>30</v>
      </c>
      <c r="C10" s="179" t="s">
        <v>31</v>
      </c>
      <c r="D10" s="241" t="s">
        <v>111</v>
      </c>
      <c r="E10" s="242" t="s">
        <v>117</v>
      </c>
    </row>
    <row r="11" spans="1:10">
      <c r="A11" s="95" t="s">
        <v>29</v>
      </c>
      <c r="B11" s="231">
        <f>SUM(B3:B5,F3:F5)</f>
        <v>979993.37250000006</v>
      </c>
      <c r="C11" s="286">
        <f>B11/3</f>
        <v>326664.45750000002</v>
      </c>
      <c r="D11" s="100">
        <f>C11*'Base Data'!$E$92</f>
        <v>19599.867450000002</v>
      </c>
      <c r="E11" s="287">
        <f>C11*'Base Data'!$E$91</f>
        <v>307064.59005</v>
      </c>
      <c r="H11" s="288"/>
    </row>
    <row r="12" spans="1:10">
      <c r="A12" s="95" t="s">
        <v>33</v>
      </c>
      <c r="B12" s="232">
        <f>SUM(E3:E5)</f>
        <v>198633340.36000001</v>
      </c>
      <c r="C12" s="169">
        <f>B12/3</f>
        <v>66211113.453333341</v>
      </c>
      <c r="D12" s="168">
        <f>C12*'Base Data'!$E$92</f>
        <v>3972666.8072000002</v>
      </c>
      <c r="E12" s="169">
        <f>C12*'Base Data'!$E$91</f>
        <v>62238446.646133333</v>
      </c>
      <c r="H12" s="288"/>
    </row>
    <row r="13" spans="1:10">
      <c r="A13" s="95" t="s">
        <v>32</v>
      </c>
      <c r="B13" s="232">
        <f>'Fac-ExistLrgSolid-Yr1'!N70+'Fac-ExistLrgSolid-Yr2'!N70+'Fac-ExistLrgSolid-Yr3'!N70+'Fac-ExistLrgLiquid-Yr1'!N70+'Fac-ExistLrgLiquid-Yr2'!N70+'Fac-ExistLrgLiquid-Yr3'!N70+'Fac-ExistLrgGas-Yr1'!N69+'Fac-ExistLrgGas-Yr2'!N69+'Fac-ExistLrgGas-Yr3'!N69+'Fac-NewLrgSolid-Yr1'!N63+'Fac-NewLrgSolid-Yr2'!N63+'Fac-NewLrgSolid-Yr3'!N63+'Fac-NewLrgLiquid-Yr1'!N63+'Fac-NewLrgLiquid-Yr2'!N63+'Fac-NewLrgLiquid-Yr3'!N63+'Fac-NewLrgGas-Yr1'!N65+'Fac-NewLrgGas-Yr2'!N65+'Fac-NewLrgGas-Yr3'!N65+'Fac - ExistSmlSolid-Yr1'!N32+'Fac - ExistSmlSolid-Yr2'!N32+'Fac - ExistSmlSolid-Yr3'!N32+'Fac - ExistSmlLiquid-Yr1'!N32+'Fac - ExistSmlLiquid-Yr2'!N32+'Fac - ExistSmlLiquid-Yr3'!N32+'Fac - ExistSmlGas-Yr1'!N32+'Fac - ExistSmlGas-Yr2'!N32+'Fac - ExistSmlGas-Yr3'!N32+'Fac-NewSmlSolid-Yr1'!N27+'Fac-NewSmlSolid-Yr2'!N27+'Fac-NewSmlSolid-Yr3'!N27+'Fac-NewSmlLiquid-Yr1'!N27+'Fac-NewSmlLiquid-Yr2'!N27+'Fac-NewSmlLiquid-Yr3'!N27+'Fac-NewSmlGas-Yr1'!N27+'Fac-NewSmlGas-Yr2'!N27+'Fac-NewSmlGas-Yr3'!N27</f>
        <v>92696720.936625034</v>
      </c>
      <c r="C13" s="169">
        <f>B13/3</f>
        <v>30898906.978875011</v>
      </c>
      <c r="D13" s="168">
        <f>C13*'Base Data'!$E$92</f>
        <v>1853934.4187325006</v>
      </c>
      <c r="E13" s="169">
        <f>C13*'Base Data'!$E$91</f>
        <v>29044972.56014251</v>
      </c>
      <c r="H13" s="288"/>
    </row>
    <row r="14" spans="1:10" ht="12" thickBot="1">
      <c r="A14" s="96" t="s">
        <v>34</v>
      </c>
      <c r="B14" s="233">
        <f>SUM(B12:B13)</f>
        <v>291330061.29662502</v>
      </c>
      <c r="C14" s="98">
        <f>SUM(C12:C13)</f>
        <v>97110020.432208359</v>
      </c>
      <c r="D14" s="97">
        <f>C14*'Base Data'!$E$92</f>
        <v>5826601.2259325013</v>
      </c>
      <c r="E14" s="98">
        <f>C14*'Base Data'!$E$91</f>
        <v>91283419.206275851</v>
      </c>
    </row>
    <row r="15" spans="1:10">
      <c r="B15" s="234"/>
      <c r="C15" s="235" t="s">
        <v>363</v>
      </c>
      <c r="D15" s="236">
        <f>C6*'Base Data'!$F$98*'Base Data'!$E$92</f>
        <v>14.055</v>
      </c>
      <c r="E15" s="237">
        <f>C6*'Base Data'!$E$91*'Base Data'!$F$97</f>
        <v>146.79666666666668</v>
      </c>
    </row>
    <row r="16" spans="1:10" ht="12" thickBot="1">
      <c r="B16" s="96"/>
      <c r="C16" s="238" t="s">
        <v>364</v>
      </c>
      <c r="D16" s="239">
        <f>ROUND(C6*'Base Data'!$E$92,0)</f>
        <v>94</v>
      </c>
      <c r="E16" s="240">
        <f>ROUND(C6*'Base Data'!$E$91,0)</f>
        <v>1468</v>
      </c>
      <c r="F16" s="288"/>
      <c r="J16" s="350"/>
    </row>
    <row r="17" spans="1:11">
      <c r="J17" s="270"/>
      <c r="K17" s="270"/>
    </row>
    <row r="18" spans="1:11" ht="12" thickBot="1"/>
    <row r="19" spans="1:11" ht="13.5" thickBot="1">
      <c r="A19" s="180" t="s">
        <v>314</v>
      </c>
      <c r="B19" s="178" t="s">
        <v>30</v>
      </c>
      <c r="C19" s="179" t="s">
        <v>31</v>
      </c>
    </row>
    <row r="20" spans="1:11">
      <c r="A20" s="95" t="s">
        <v>315</v>
      </c>
      <c r="B20" s="80">
        <f>SUM(AgencyYR1!L26,AgencyYR2!L26,AgencyYR3!L26)</f>
        <v>304059.42500000005</v>
      </c>
      <c r="C20" s="81">
        <f>B20/3</f>
        <v>101353.14166666668</v>
      </c>
    </row>
    <row r="21" spans="1:11" ht="12" thickBot="1">
      <c r="A21" s="96" t="s">
        <v>316</v>
      </c>
      <c r="B21" s="97">
        <f>SUM(AgencyYR1!M25,AgencyYR2!M25,AgencyYR3!M25)</f>
        <v>15867315.88775</v>
      </c>
      <c r="C21" s="98">
        <f>B21/3</f>
        <v>5289105.2959166663</v>
      </c>
    </row>
  </sheetData>
  <mergeCells count="3">
    <mergeCell ref="B1:D1"/>
    <mergeCell ref="E1:F1"/>
    <mergeCell ref="A1:A2"/>
  </mergeCells>
  <phoneticPr fontId="9" type="noConversion"/>
  <pageMargins left="0.75" right="0.75" top="1" bottom="1" header="0.5" footer="0.5"/>
  <pageSetup scale="8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G22"/>
  <sheetViews>
    <sheetView topLeftCell="A4" zoomScale="85" zoomScaleNormal="85" workbookViewId="0">
      <selection activeCell="D70" sqref="D70"/>
    </sheetView>
  </sheetViews>
  <sheetFormatPr defaultRowHeight="12.75"/>
  <cols>
    <col min="2" max="2" width="20.140625" bestFit="1" customWidth="1"/>
    <col min="3" max="3" width="89.140625" style="70" customWidth="1"/>
    <col min="4" max="4" width="10" customWidth="1"/>
    <col min="5" max="5" width="60" style="70" customWidth="1"/>
    <col min="7" max="7" width="16.85546875" customWidth="1"/>
  </cols>
  <sheetData>
    <row r="1" spans="1:7">
      <c r="A1" s="316" t="s">
        <v>565</v>
      </c>
      <c r="B1" s="316" t="s">
        <v>566</v>
      </c>
      <c r="C1" s="412" t="s">
        <v>567</v>
      </c>
      <c r="D1" t="s">
        <v>565</v>
      </c>
      <c r="E1" s="70" t="s">
        <v>567</v>
      </c>
    </row>
    <row r="2" spans="1:7">
      <c r="A2" s="413" t="s">
        <v>568</v>
      </c>
      <c r="B2" s="413" t="s">
        <v>596</v>
      </c>
      <c r="C2" s="414" t="s">
        <v>597</v>
      </c>
      <c r="D2" s="29"/>
      <c r="E2" s="415"/>
    </row>
    <row r="3" spans="1:7" ht="25.5">
      <c r="A3" s="413" t="s">
        <v>568</v>
      </c>
      <c r="B3" s="413" t="s">
        <v>596</v>
      </c>
      <c r="C3" s="414" t="s">
        <v>598</v>
      </c>
      <c r="D3" s="29" t="s">
        <v>605</v>
      </c>
      <c r="E3" s="422" t="s">
        <v>623</v>
      </c>
      <c r="F3" s="430" t="s">
        <v>568</v>
      </c>
      <c r="G3" s="431" t="s">
        <v>635</v>
      </c>
    </row>
    <row r="4" spans="1:7" ht="38.25">
      <c r="A4" s="413" t="s">
        <v>568</v>
      </c>
      <c r="B4" s="413" t="s">
        <v>596</v>
      </c>
      <c r="C4" s="414" t="s">
        <v>599</v>
      </c>
      <c r="D4" s="29" t="s">
        <v>605</v>
      </c>
      <c r="E4" s="426" t="s">
        <v>628</v>
      </c>
      <c r="F4" s="430" t="s">
        <v>568</v>
      </c>
      <c r="G4" s="431" t="s">
        <v>635</v>
      </c>
    </row>
    <row r="5" spans="1:7" ht="38.25">
      <c r="A5" s="413" t="s">
        <v>568</v>
      </c>
      <c r="B5" s="413" t="s">
        <v>596</v>
      </c>
      <c r="C5" s="414" t="s">
        <v>600</v>
      </c>
      <c r="D5" s="29" t="s">
        <v>605</v>
      </c>
      <c r="E5" s="414" t="s">
        <v>632</v>
      </c>
      <c r="F5" s="430" t="s">
        <v>568</v>
      </c>
      <c r="G5" s="432" t="s">
        <v>636</v>
      </c>
    </row>
    <row r="6" spans="1:7" ht="38.25">
      <c r="A6" s="413" t="s">
        <v>568</v>
      </c>
      <c r="B6" s="413" t="s">
        <v>572</v>
      </c>
      <c r="C6" s="414" t="s">
        <v>601</v>
      </c>
      <c r="D6" s="29" t="s">
        <v>605</v>
      </c>
      <c r="E6" s="414" t="s">
        <v>619</v>
      </c>
      <c r="F6" s="430" t="s">
        <v>568</v>
      </c>
      <c r="G6" s="432" t="s">
        <v>636</v>
      </c>
    </row>
    <row r="7" spans="1:7">
      <c r="A7" s="413" t="s">
        <v>568</v>
      </c>
      <c r="B7" s="29" t="s">
        <v>569</v>
      </c>
      <c r="C7" s="414" t="s">
        <v>570</v>
      </c>
      <c r="D7" s="29" t="s">
        <v>605</v>
      </c>
      <c r="E7" s="415" t="s">
        <v>609</v>
      </c>
      <c r="F7" s="430" t="s">
        <v>568</v>
      </c>
      <c r="G7" s="432" t="s">
        <v>636</v>
      </c>
    </row>
    <row r="8" spans="1:7">
      <c r="A8" s="413" t="s">
        <v>568</v>
      </c>
      <c r="B8" s="29" t="s">
        <v>569</v>
      </c>
      <c r="C8" s="414" t="s">
        <v>591</v>
      </c>
      <c r="D8" s="29" t="s">
        <v>605</v>
      </c>
      <c r="E8" s="415" t="s">
        <v>606</v>
      </c>
      <c r="F8" s="430" t="s">
        <v>568</v>
      </c>
      <c r="G8" s="432" t="s">
        <v>636</v>
      </c>
    </row>
    <row r="9" spans="1:7" ht="25.5">
      <c r="A9" s="413" t="s">
        <v>568</v>
      </c>
      <c r="B9" s="29" t="s">
        <v>569</v>
      </c>
      <c r="C9" s="414" t="s">
        <v>592</v>
      </c>
      <c r="D9" s="29" t="s">
        <v>605</v>
      </c>
      <c r="E9" s="414" t="s">
        <v>634</v>
      </c>
      <c r="F9" s="430" t="s">
        <v>568</v>
      </c>
      <c r="G9" s="432" t="s">
        <v>636</v>
      </c>
    </row>
    <row r="10" spans="1:7" ht="51">
      <c r="A10" s="413" t="s">
        <v>568</v>
      </c>
      <c r="B10" s="413" t="s">
        <v>585</v>
      </c>
      <c r="C10" s="414" t="s">
        <v>586</v>
      </c>
      <c r="D10" s="29" t="s">
        <v>605</v>
      </c>
      <c r="E10" s="419" t="s">
        <v>613</v>
      </c>
      <c r="F10" s="430" t="s">
        <v>568</v>
      </c>
      <c r="G10" s="432" t="s">
        <v>636</v>
      </c>
    </row>
    <row r="11" spans="1:7" ht="51">
      <c r="A11" s="413" t="s">
        <v>568</v>
      </c>
      <c r="B11" s="29" t="s">
        <v>584</v>
      </c>
      <c r="C11" s="414" t="s">
        <v>586</v>
      </c>
      <c r="D11" s="29" t="s">
        <v>605</v>
      </c>
      <c r="E11" s="419" t="s">
        <v>613</v>
      </c>
      <c r="F11" s="430" t="s">
        <v>568</v>
      </c>
      <c r="G11" s="432" t="s">
        <v>636</v>
      </c>
    </row>
    <row r="12" spans="1:7" ht="51">
      <c r="A12" s="413" t="s">
        <v>568</v>
      </c>
      <c r="B12" s="29" t="s">
        <v>584</v>
      </c>
      <c r="C12" s="414" t="s">
        <v>587</v>
      </c>
      <c r="D12" s="29" t="s">
        <v>605</v>
      </c>
      <c r="E12" s="419" t="s">
        <v>613</v>
      </c>
      <c r="F12" s="430" t="s">
        <v>568</v>
      </c>
      <c r="G12" s="432" t="s">
        <v>636</v>
      </c>
    </row>
    <row r="13" spans="1:7">
      <c r="A13" s="413" t="s">
        <v>568</v>
      </c>
      <c r="B13" s="29" t="s">
        <v>582</v>
      </c>
      <c r="C13" s="414" t="s">
        <v>580</v>
      </c>
      <c r="D13" s="29" t="s">
        <v>605</v>
      </c>
      <c r="E13" s="415" t="s">
        <v>606</v>
      </c>
      <c r="F13" s="430" t="s">
        <v>568</v>
      </c>
      <c r="G13" s="432" t="s">
        <v>636</v>
      </c>
    </row>
    <row r="14" spans="1:7">
      <c r="A14" s="413" t="s">
        <v>568</v>
      </c>
      <c r="B14" s="413" t="s">
        <v>583</v>
      </c>
      <c r="C14" s="414" t="s">
        <v>580</v>
      </c>
      <c r="D14" s="29" t="s">
        <v>605</v>
      </c>
      <c r="E14" s="415" t="s">
        <v>606</v>
      </c>
      <c r="F14" s="430" t="s">
        <v>568</v>
      </c>
      <c r="G14" s="432" t="s">
        <v>636</v>
      </c>
    </row>
    <row r="15" spans="1:7">
      <c r="A15" s="413" t="s">
        <v>568</v>
      </c>
      <c r="B15" s="29" t="s">
        <v>578</v>
      </c>
      <c r="C15" s="414" t="s">
        <v>580</v>
      </c>
      <c r="D15" s="29" t="s">
        <v>605</v>
      </c>
      <c r="E15" s="415" t="s">
        <v>606</v>
      </c>
      <c r="F15" s="430" t="s">
        <v>568</v>
      </c>
      <c r="G15" s="432" t="s">
        <v>636</v>
      </c>
    </row>
    <row r="16" spans="1:7">
      <c r="A16" s="413" t="s">
        <v>568</v>
      </c>
      <c r="B16" s="413" t="s">
        <v>579</v>
      </c>
      <c r="C16" s="414" t="s">
        <v>580</v>
      </c>
      <c r="D16" s="29" t="s">
        <v>605</v>
      </c>
      <c r="E16" s="415" t="s">
        <v>606</v>
      </c>
      <c r="F16" s="430" t="s">
        <v>568</v>
      </c>
      <c r="G16" s="432" t="s">
        <v>636</v>
      </c>
    </row>
    <row r="17" spans="1:7" ht="25.5">
      <c r="A17" s="413" t="s">
        <v>568</v>
      </c>
      <c r="B17" s="29" t="s">
        <v>571</v>
      </c>
      <c r="C17" s="414" t="s">
        <v>581</v>
      </c>
      <c r="D17" s="29" t="s">
        <v>605</v>
      </c>
      <c r="E17" s="415" t="s">
        <v>610</v>
      </c>
      <c r="F17" s="430" t="s">
        <v>568</v>
      </c>
      <c r="G17" s="432" t="s">
        <v>636</v>
      </c>
    </row>
    <row r="18" spans="1:7" ht="25.5">
      <c r="A18" s="413" t="s">
        <v>568</v>
      </c>
      <c r="B18" s="29" t="s">
        <v>571</v>
      </c>
      <c r="C18" s="414" t="s">
        <v>576</v>
      </c>
      <c r="D18" s="29" t="s">
        <v>605</v>
      </c>
      <c r="E18" s="414" t="s">
        <v>633</v>
      </c>
      <c r="F18" s="430" t="s">
        <v>568</v>
      </c>
      <c r="G18" s="432" t="s">
        <v>636</v>
      </c>
    </row>
    <row r="19" spans="1:7">
      <c r="A19" s="413" t="s">
        <v>568</v>
      </c>
      <c r="B19" s="29" t="s">
        <v>571</v>
      </c>
      <c r="C19" s="414" t="s">
        <v>588</v>
      </c>
      <c r="D19" s="29" t="s">
        <v>605</v>
      </c>
      <c r="E19" s="414" t="s">
        <v>611</v>
      </c>
      <c r="F19" s="430" t="s">
        <v>568</v>
      </c>
      <c r="G19" s="432" t="s">
        <v>636</v>
      </c>
    </row>
    <row r="20" spans="1:7" ht="25.5">
      <c r="A20" s="413" t="s">
        <v>568</v>
      </c>
      <c r="B20" s="29" t="s">
        <v>589</v>
      </c>
      <c r="C20" s="414" t="s">
        <v>590</v>
      </c>
      <c r="D20" s="29" t="s">
        <v>605</v>
      </c>
      <c r="E20" s="414" t="s">
        <v>611</v>
      </c>
      <c r="F20" s="430" t="s">
        <v>568</v>
      </c>
      <c r="G20" s="432" t="s">
        <v>636</v>
      </c>
    </row>
    <row r="21" spans="1:7" ht="25.5">
      <c r="A21" s="413" t="s">
        <v>568</v>
      </c>
      <c r="B21" s="413" t="s">
        <v>593</v>
      </c>
      <c r="C21" s="414" t="s">
        <v>594</v>
      </c>
      <c r="D21" s="29" t="s">
        <v>605</v>
      </c>
      <c r="E21" s="415" t="s">
        <v>609</v>
      </c>
      <c r="F21" s="430" t="s">
        <v>568</v>
      </c>
      <c r="G21" s="432" t="s">
        <v>636</v>
      </c>
    </row>
    <row r="22" spans="1:7">
      <c r="A22" s="413" t="s">
        <v>568</v>
      </c>
      <c r="B22" s="413" t="s">
        <v>593</v>
      </c>
      <c r="C22" s="414" t="s">
        <v>595</v>
      </c>
      <c r="D22" s="29"/>
      <c r="E22" s="414" t="s">
        <v>612</v>
      </c>
      <c r="G22" s="432" t="s">
        <v>636</v>
      </c>
    </row>
  </sheetData>
  <sortState ref="A2:C22">
    <sortCondition ref="B2:B22"/>
  </sortState>
  <pageMargins left="0.7" right="0.7" top="0.75" bottom="0.75" header="0.3" footer="0.3"/>
</worksheet>
</file>

<file path=xl/worksheets/sheet9.xml><?xml version="1.0" encoding="utf-8"?>
<worksheet xmlns="http://schemas.openxmlformats.org/spreadsheetml/2006/main" xmlns:r="http://schemas.openxmlformats.org/officeDocument/2006/relationships">
  <sheetPr enableFormatConditionsCalculation="0">
    <tabColor indexed="10"/>
  </sheetPr>
  <dimension ref="A2:S124"/>
  <sheetViews>
    <sheetView topLeftCell="A73" zoomScale="90" zoomScaleNormal="90" workbookViewId="0">
      <selection activeCell="D70" sqref="D70"/>
    </sheetView>
  </sheetViews>
  <sheetFormatPr defaultRowHeight="12.75"/>
  <cols>
    <col min="1" max="1" width="2.140625" customWidth="1"/>
    <col min="2" max="2" width="24.7109375" customWidth="1"/>
    <col min="3" max="3" width="14.5703125" customWidth="1"/>
    <col min="4" max="4" width="8.140625" customWidth="1"/>
    <col min="5" max="5" width="26.28515625" customWidth="1"/>
    <col min="6" max="6" width="24.140625" customWidth="1"/>
    <col min="7" max="7" width="13.85546875" customWidth="1"/>
    <col min="8" max="8" width="16.28515625" customWidth="1"/>
    <col min="9" max="9" width="9.7109375" customWidth="1"/>
    <col min="10" max="10" width="9.140625" customWidth="1"/>
    <col min="11" max="11" width="4.28515625" customWidth="1"/>
    <col min="12" max="12" width="19" customWidth="1"/>
    <col min="13" max="13" width="13.85546875" bestFit="1" customWidth="1"/>
    <col min="14" max="14" width="5.5703125" bestFit="1" customWidth="1"/>
    <col min="15" max="15" width="5.5703125" customWidth="1"/>
    <col min="16" max="16" width="19.7109375" customWidth="1"/>
    <col min="17" max="17" width="13.85546875" bestFit="1" customWidth="1"/>
    <col min="18" max="18" width="6" bestFit="1" customWidth="1"/>
  </cols>
  <sheetData>
    <row r="2" spans="1:19">
      <c r="B2" s="28" t="s">
        <v>396</v>
      </c>
    </row>
    <row r="4" spans="1:19">
      <c r="B4" s="27" t="s">
        <v>398</v>
      </c>
      <c r="C4" s="27" t="s">
        <v>397</v>
      </c>
    </row>
    <row r="5" spans="1:19">
      <c r="B5" s="25" t="s">
        <v>394</v>
      </c>
      <c r="C5" s="26">
        <v>98.2</v>
      </c>
    </row>
    <row r="6" spans="1:19">
      <c r="B6" s="25" t="s">
        <v>395</v>
      </c>
      <c r="C6" s="26">
        <v>48.53</v>
      </c>
      <c r="E6" s="50" t="s">
        <v>303</v>
      </c>
      <c r="F6" s="30">
        <v>0</v>
      </c>
    </row>
    <row r="7" spans="1:19">
      <c r="B7" s="25" t="s">
        <v>393</v>
      </c>
      <c r="C7" s="26">
        <v>114.49</v>
      </c>
      <c r="E7" s="50" t="s">
        <v>304</v>
      </c>
      <c r="F7" s="30">
        <v>0</v>
      </c>
    </row>
    <row r="8" spans="1:19">
      <c r="B8" s="29" t="s">
        <v>408</v>
      </c>
      <c r="C8" s="34">
        <v>80</v>
      </c>
    </row>
    <row r="9" spans="1:19" ht="25.5">
      <c r="B9" s="40" t="s">
        <v>409</v>
      </c>
      <c r="C9" s="41">
        <v>56.78</v>
      </c>
    </row>
    <row r="10" spans="1:19" ht="13.5" thickBot="1"/>
    <row r="11" spans="1:19">
      <c r="A11" s="301"/>
      <c r="B11" s="348" t="s">
        <v>405</v>
      </c>
      <c r="C11" s="289"/>
      <c r="D11" s="289"/>
      <c r="E11" s="289">
        <f>D18+D19+D23+D24</f>
        <v>727</v>
      </c>
      <c r="F11" s="289"/>
      <c r="G11" s="289"/>
      <c r="H11" s="289"/>
      <c r="I11" s="289"/>
      <c r="J11" s="289"/>
      <c r="K11" s="289"/>
      <c r="L11" s="289"/>
      <c r="M11" s="289"/>
      <c r="N11" s="289"/>
      <c r="O11" s="289"/>
      <c r="P11" s="289"/>
      <c r="Q11" s="289"/>
      <c r="R11" s="289"/>
      <c r="S11" s="290"/>
    </row>
    <row r="12" spans="1:19">
      <c r="A12" s="305"/>
      <c r="B12" s="291"/>
      <c r="C12" s="291"/>
      <c r="D12" s="291"/>
      <c r="E12" s="291"/>
      <c r="F12" s="291"/>
      <c r="G12" s="291"/>
      <c r="H12" s="291"/>
      <c r="I12" s="291"/>
      <c r="J12" s="291"/>
      <c r="K12" s="291"/>
      <c r="L12" s="291"/>
      <c r="M12" s="291"/>
      <c r="N12" s="291"/>
      <c r="O12" s="291"/>
      <c r="P12" s="291"/>
      <c r="Q12" s="291"/>
      <c r="R12" s="291"/>
      <c r="S12" s="292"/>
    </row>
    <row r="13" spans="1:19">
      <c r="A13" s="305"/>
      <c r="B13" s="35"/>
      <c r="C13" s="35"/>
      <c r="D13" s="35"/>
      <c r="E13" s="35"/>
      <c r="F13" s="35"/>
      <c r="G13" s="35"/>
      <c r="H13" s="35"/>
      <c r="I13" s="291"/>
      <c r="J13" s="291"/>
      <c r="K13" s="291"/>
      <c r="L13" s="291"/>
      <c r="M13" s="291"/>
      <c r="N13" s="291"/>
      <c r="O13" s="291"/>
      <c r="P13" s="291"/>
      <c r="Q13" s="291"/>
      <c r="R13" s="291"/>
      <c r="S13" s="292"/>
    </row>
    <row r="14" spans="1:19">
      <c r="A14" s="305"/>
      <c r="B14" s="35" t="s">
        <v>291</v>
      </c>
      <c r="C14" s="35"/>
      <c r="D14" s="35"/>
      <c r="E14" s="291"/>
      <c r="F14" s="35" t="s">
        <v>320</v>
      </c>
      <c r="G14" s="35"/>
      <c r="H14" s="35"/>
      <c r="I14" s="291"/>
      <c r="J14" s="291"/>
      <c r="K14" s="291"/>
      <c r="L14" s="291"/>
      <c r="M14" s="291"/>
      <c r="N14" s="291"/>
      <c r="O14" s="291"/>
      <c r="P14" s="291"/>
      <c r="Q14" s="291"/>
      <c r="R14" s="291"/>
      <c r="S14" s="292"/>
    </row>
    <row r="15" spans="1:19">
      <c r="A15" s="305"/>
      <c r="B15" s="27" t="s">
        <v>292</v>
      </c>
      <c r="C15" s="27" t="s">
        <v>399</v>
      </c>
      <c r="D15" s="27" t="s">
        <v>400</v>
      </c>
      <c r="E15" s="35"/>
      <c r="F15" s="27" t="s">
        <v>292</v>
      </c>
      <c r="G15" s="27" t="s">
        <v>399</v>
      </c>
      <c r="H15" s="27" t="s">
        <v>400</v>
      </c>
      <c r="I15" s="35"/>
      <c r="J15" s="291"/>
      <c r="K15" s="291"/>
      <c r="L15" s="35" t="s">
        <v>457</v>
      </c>
      <c r="M15" s="291"/>
      <c r="N15" s="291"/>
      <c r="O15" s="291"/>
      <c r="P15" s="35" t="s">
        <v>291</v>
      </c>
      <c r="Q15" s="35"/>
      <c r="R15" s="35"/>
      <c r="S15" s="292"/>
    </row>
    <row r="16" spans="1:19">
      <c r="A16" s="305"/>
      <c r="B16" s="481" t="s">
        <v>401</v>
      </c>
      <c r="C16" s="60" t="s">
        <v>418</v>
      </c>
      <c r="D16" s="58">
        <f>SUM(N17:N20)</f>
        <v>4</v>
      </c>
      <c r="E16" s="35"/>
      <c r="F16" s="481" t="s">
        <v>401</v>
      </c>
      <c r="G16" s="60" t="s">
        <v>418</v>
      </c>
      <c r="H16" s="64">
        <f>ROUNDUP(D16/($D$46/$H$46),0)</f>
        <v>1</v>
      </c>
      <c r="I16" s="35"/>
      <c r="J16" s="291"/>
      <c r="K16" s="291"/>
      <c r="L16" s="27" t="s">
        <v>292</v>
      </c>
      <c r="M16" s="27" t="s">
        <v>399</v>
      </c>
      <c r="N16" s="27" t="s">
        <v>400</v>
      </c>
      <c r="O16" s="291"/>
      <c r="P16" s="27" t="s">
        <v>292</v>
      </c>
      <c r="Q16" s="27" t="s">
        <v>399</v>
      </c>
      <c r="R16" s="27" t="s">
        <v>400</v>
      </c>
      <c r="S16" s="292"/>
    </row>
    <row r="17" spans="1:19">
      <c r="A17" s="305"/>
      <c r="B17" s="482"/>
      <c r="C17" s="59" t="s">
        <v>293</v>
      </c>
      <c r="D17" s="58">
        <f>R17-N17</f>
        <v>17</v>
      </c>
      <c r="E17" s="35"/>
      <c r="F17" s="482"/>
      <c r="G17" s="59" t="s">
        <v>293</v>
      </c>
      <c r="H17" s="64">
        <f t="shared" ref="H17:H39" si="0">ROUND(D17/($D$46/$H$46),0)</f>
        <v>2</v>
      </c>
      <c r="I17" s="35"/>
      <c r="J17" s="291"/>
      <c r="K17" s="291"/>
      <c r="L17" s="493" t="s">
        <v>401</v>
      </c>
      <c r="M17" s="59" t="s">
        <v>293</v>
      </c>
      <c r="N17" s="58">
        <v>0</v>
      </c>
      <c r="O17" s="291"/>
      <c r="P17" s="493" t="s">
        <v>401</v>
      </c>
      <c r="Q17" s="59" t="s">
        <v>293</v>
      </c>
      <c r="R17" s="58">
        <v>17</v>
      </c>
      <c r="S17" s="292"/>
    </row>
    <row r="18" spans="1:19">
      <c r="A18" s="305"/>
      <c r="B18" s="482"/>
      <c r="C18" s="59" t="s">
        <v>294</v>
      </c>
      <c r="D18" s="58">
        <f>R18-N18</f>
        <v>228</v>
      </c>
      <c r="E18" s="35"/>
      <c r="F18" s="482"/>
      <c r="G18" s="59" t="s">
        <v>294</v>
      </c>
      <c r="H18" s="64">
        <f>ROUND(D18/($D$46/$H$46),0)</f>
        <v>28</v>
      </c>
      <c r="I18" s="35"/>
      <c r="J18" s="291">
        <f>267+39</f>
        <v>306</v>
      </c>
      <c r="K18" s="291"/>
      <c r="L18" s="493"/>
      <c r="M18" s="59" t="s">
        <v>294</v>
      </c>
      <c r="N18" s="58">
        <v>1</v>
      </c>
      <c r="O18" s="291"/>
      <c r="P18" s="493"/>
      <c r="Q18" s="59" t="s">
        <v>294</v>
      </c>
      <c r="R18" s="58">
        <v>229</v>
      </c>
      <c r="S18" s="292"/>
    </row>
    <row r="19" spans="1:19">
      <c r="A19" s="305"/>
      <c r="B19" s="482"/>
      <c r="C19" s="60" t="s">
        <v>295</v>
      </c>
      <c r="D19" s="58">
        <f t="shared" ref="D19:D20" si="1">R19-N19</f>
        <v>106</v>
      </c>
      <c r="E19" s="35"/>
      <c r="F19" s="482"/>
      <c r="G19" s="60" t="s">
        <v>295</v>
      </c>
      <c r="H19" s="64">
        <f>ROUNDDOWN(D19/($D$46/$H$46),0)</f>
        <v>12</v>
      </c>
      <c r="I19" s="35"/>
      <c r="J19" s="291">
        <f>(I20+I25-H17-H22)/2</f>
        <v>65.5</v>
      </c>
      <c r="K19" s="291"/>
      <c r="L19" s="493"/>
      <c r="M19" s="273" t="s">
        <v>295</v>
      </c>
      <c r="N19" s="272">
        <v>3</v>
      </c>
      <c r="O19" s="291"/>
      <c r="P19" s="493"/>
      <c r="Q19" s="273" t="s">
        <v>295</v>
      </c>
      <c r="R19" s="272">
        <v>109</v>
      </c>
      <c r="S19" s="292"/>
    </row>
    <row r="20" spans="1:19">
      <c r="A20" s="305"/>
      <c r="B20" s="483"/>
      <c r="C20" s="59" t="s">
        <v>296</v>
      </c>
      <c r="D20" s="58">
        <f t="shared" si="1"/>
        <v>153</v>
      </c>
      <c r="E20" s="56">
        <f>SUM(D17:D20)</f>
        <v>504</v>
      </c>
      <c r="F20" s="483"/>
      <c r="G20" s="59" t="s">
        <v>296</v>
      </c>
      <c r="H20" s="64">
        <f t="shared" si="0"/>
        <v>18</v>
      </c>
      <c r="I20" s="245">
        <f>SUM(H17:H20)</f>
        <v>60</v>
      </c>
      <c r="J20" s="291"/>
      <c r="K20" s="291"/>
      <c r="L20" s="493"/>
      <c r="M20" s="59" t="s">
        <v>296</v>
      </c>
      <c r="N20" s="58">
        <v>0</v>
      </c>
      <c r="O20" s="291"/>
      <c r="P20" s="493"/>
      <c r="Q20" s="59" t="s">
        <v>296</v>
      </c>
      <c r="R20" s="58">
        <v>153</v>
      </c>
      <c r="S20" s="292"/>
    </row>
    <row r="21" spans="1:19">
      <c r="A21" s="305"/>
      <c r="B21" s="484" t="s">
        <v>402</v>
      </c>
      <c r="C21" s="60" t="s">
        <v>418</v>
      </c>
      <c r="D21" s="58">
        <f>SUM(N23:N25)</f>
        <v>15</v>
      </c>
      <c r="E21" s="56"/>
      <c r="F21" s="481" t="s">
        <v>402</v>
      </c>
      <c r="G21" s="60" t="s">
        <v>418</v>
      </c>
      <c r="H21" s="64">
        <f t="shared" si="0"/>
        <v>2</v>
      </c>
      <c r="I21" s="245"/>
      <c r="J21" s="291"/>
      <c r="K21" s="291"/>
      <c r="L21" s="291"/>
      <c r="M21" s="291"/>
      <c r="N21" s="291"/>
      <c r="O21" s="291"/>
      <c r="P21" s="291"/>
      <c r="Q21" s="291"/>
      <c r="R21" s="291"/>
      <c r="S21" s="292"/>
    </row>
    <row r="22" spans="1:19">
      <c r="A22" s="305"/>
      <c r="B22" s="485"/>
      <c r="C22" s="59" t="s">
        <v>293</v>
      </c>
      <c r="D22" s="58">
        <v>0</v>
      </c>
      <c r="E22" s="56"/>
      <c r="F22" s="482"/>
      <c r="G22" s="59" t="s">
        <v>293</v>
      </c>
      <c r="H22" s="64">
        <f t="shared" si="0"/>
        <v>0</v>
      </c>
      <c r="I22" s="35"/>
      <c r="J22" s="291"/>
      <c r="K22" s="291"/>
      <c r="L22" s="291"/>
      <c r="M22" s="291"/>
      <c r="N22" s="291"/>
      <c r="O22" s="291"/>
      <c r="P22" s="291"/>
      <c r="Q22" s="291"/>
      <c r="R22" s="291"/>
      <c r="S22" s="292"/>
    </row>
    <row r="23" spans="1:19">
      <c r="A23" s="305"/>
      <c r="B23" s="485"/>
      <c r="C23" s="59" t="s">
        <v>294</v>
      </c>
      <c r="D23" s="58">
        <f>R23-N23</f>
        <v>138</v>
      </c>
      <c r="E23" s="35"/>
      <c r="F23" s="482"/>
      <c r="G23" s="59" t="s">
        <v>294</v>
      </c>
      <c r="H23" s="64">
        <f t="shared" si="0"/>
        <v>17</v>
      </c>
      <c r="I23" s="35"/>
      <c r="J23" s="291"/>
      <c r="K23" s="291"/>
      <c r="L23" s="493" t="s">
        <v>402</v>
      </c>
      <c r="M23" s="59" t="s">
        <v>294</v>
      </c>
      <c r="N23" s="58">
        <v>7</v>
      </c>
      <c r="O23" s="291"/>
      <c r="P23" s="493" t="s">
        <v>402</v>
      </c>
      <c r="Q23" s="59" t="s">
        <v>294</v>
      </c>
      <c r="R23" s="58">
        <v>145</v>
      </c>
      <c r="S23" s="292"/>
    </row>
    <row r="24" spans="1:19">
      <c r="A24" s="305"/>
      <c r="B24" s="485"/>
      <c r="C24" s="59" t="s">
        <v>295</v>
      </c>
      <c r="D24" s="58">
        <f t="shared" ref="D24:D25" si="2">R24-N24</f>
        <v>255</v>
      </c>
      <c r="E24" s="35"/>
      <c r="F24" s="482"/>
      <c r="G24" s="59" t="s">
        <v>295</v>
      </c>
      <c r="H24" s="64">
        <f t="shared" si="0"/>
        <v>31</v>
      </c>
      <c r="I24" s="35"/>
      <c r="J24" s="291">
        <f>E20+E25</f>
        <v>1105</v>
      </c>
      <c r="K24" s="291"/>
      <c r="L24" s="493"/>
      <c r="M24" s="59" t="s">
        <v>295</v>
      </c>
      <c r="N24" s="58">
        <v>7</v>
      </c>
      <c r="O24" s="291"/>
      <c r="P24" s="493"/>
      <c r="Q24" s="59" t="s">
        <v>295</v>
      </c>
      <c r="R24" s="58">
        <v>262</v>
      </c>
      <c r="S24" s="292"/>
    </row>
    <row r="25" spans="1:19">
      <c r="A25" s="305"/>
      <c r="B25" s="486"/>
      <c r="C25" s="59" t="s">
        <v>296</v>
      </c>
      <c r="D25" s="58">
        <f t="shared" si="2"/>
        <v>208</v>
      </c>
      <c r="E25" s="56">
        <f>SUM(D22:D25)</f>
        <v>601</v>
      </c>
      <c r="F25" s="483"/>
      <c r="G25" s="59" t="s">
        <v>296</v>
      </c>
      <c r="H25" s="64">
        <f t="shared" si="0"/>
        <v>25</v>
      </c>
      <c r="I25" s="245">
        <f>SUM(H22:H25)</f>
        <v>73</v>
      </c>
      <c r="J25" s="291">
        <f>J24-D17-D22</f>
        <v>1088</v>
      </c>
      <c r="K25" s="291"/>
      <c r="L25" s="493"/>
      <c r="M25" s="59" t="s">
        <v>296</v>
      </c>
      <c r="N25" s="58">
        <v>1</v>
      </c>
      <c r="O25" s="291"/>
      <c r="P25" s="493"/>
      <c r="Q25" s="59" t="s">
        <v>296</v>
      </c>
      <c r="R25" s="58">
        <v>209</v>
      </c>
      <c r="S25" s="292"/>
    </row>
    <row r="26" spans="1:19">
      <c r="A26" s="305"/>
      <c r="B26" s="481" t="s">
        <v>298</v>
      </c>
      <c r="C26" s="60" t="s">
        <v>418</v>
      </c>
      <c r="D26" s="58">
        <f>SUM(N27:N30)</f>
        <v>330</v>
      </c>
      <c r="E26" s="56"/>
      <c r="F26" s="481" t="s">
        <v>298</v>
      </c>
      <c r="G26" s="60" t="s">
        <v>418</v>
      </c>
      <c r="H26" s="64">
        <f t="shared" si="0"/>
        <v>40</v>
      </c>
      <c r="I26" s="245"/>
      <c r="J26" s="291">
        <f>J25+D16+D21</f>
        <v>1107</v>
      </c>
      <c r="K26" s="291"/>
      <c r="L26" s="291"/>
      <c r="M26" s="291"/>
      <c r="N26" s="291"/>
      <c r="O26" s="291"/>
      <c r="P26" s="291"/>
      <c r="Q26" s="291"/>
      <c r="R26" s="291"/>
      <c r="S26" s="292"/>
    </row>
    <row r="27" spans="1:19">
      <c r="A27" s="305"/>
      <c r="B27" s="482"/>
      <c r="C27" s="59" t="s">
        <v>293</v>
      </c>
      <c r="D27" s="58">
        <f>R27-N27</f>
        <v>7110</v>
      </c>
      <c r="E27" s="35"/>
      <c r="F27" s="482"/>
      <c r="G27" s="59" t="s">
        <v>293</v>
      </c>
      <c r="H27" s="64">
        <f>ROUNDUP(D27/($D$46/$H$46),0)</f>
        <v>859</v>
      </c>
      <c r="I27" s="35"/>
      <c r="J27" s="291"/>
      <c r="K27" s="291"/>
      <c r="L27" s="493" t="s">
        <v>298</v>
      </c>
      <c r="M27" s="59" t="s">
        <v>293</v>
      </c>
      <c r="N27" s="58">
        <v>7</v>
      </c>
      <c r="O27" s="291"/>
      <c r="P27" s="493" t="s">
        <v>298</v>
      </c>
      <c r="Q27" s="59" t="s">
        <v>293</v>
      </c>
      <c r="R27" s="58">
        <v>7117</v>
      </c>
      <c r="S27" s="292"/>
    </row>
    <row r="28" spans="1:19">
      <c r="A28" s="305"/>
      <c r="B28" s="482"/>
      <c r="C28" s="59" t="s">
        <v>294</v>
      </c>
      <c r="D28" s="58">
        <f t="shared" ref="D28:D30" si="3">R28-N28</f>
        <v>3110</v>
      </c>
      <c r="E28" s="35"/>
      <c r="F28" s="482"/>
      <c r="G28" s="59" t="s">
        <v>294</v>
      </c>
      <c r="H28" s="64">
        <f>ROUNDUP(D28/($D$46/$H$46),0)</f>
        <v>376</v>
      </c>
      <c r="I28" s="35"/>
      <c r="J28" s="291"/>
      <c r="K28" s="291"/>
      <c r="L28" s="493"/>
      <c r="M28" s="59" t="s">
        <v>294</v>
      </c>
      <c r="N28" s="58">
        <v>211</v>
      </c>
      <c r="O28" s="291"/>
      <c r="P28" s="493"/>
      <c r="Q28" s="59" t="s">
        <v>294</v>
      </c>
      <c r="R28" s="58">
        <v>3321</v>
      </c>
      <c r="S28" s="292"/>
    </row>
    <row r="29" spans="1:19">
      <c r="A29" s="305"/>
      <c r="B29" s="482"/>
      <c r="C29" s="59" t="s">
        <v>295</v>
      </c>
      <c r="D29" s="58">
        <f t="shared" si="3"/>
        <v>910</v>
      </c>
      <c r="E29" s="35"/>
      <c r="F29" s="482"/>
      <c r="G29" s="59" t="s">
        <v>295</v>
      </c>
      <c r="H29" s="64">
        <f>ROUNDUP(D29/($D$46/$H$46),0)</f>
        <v>110</v>
      </c>
      <c r="I29" s="35"/>
      <c r="J29" s="291"/>
      <c r="K29" s="291"/>
      <c r="L29" s="493"/>
      <c r="M29" s="59" t="s">
        <v>295</v>
      </c>
      <c r="N29" s="58">
        <v>88</v>
      </c>
      <c r="O29" s="291"/>
      <c r="P29" s="493"/>
      <c r="Q29" s="59" t="s">
        <v>295</v>
      </c>
      <c r="R29" s="58">
        <v>998</v>
      </c>
      <c r="S29" s="292"/>
    </row>
    <row r="30" spans="1:19">
      <c r="A30" s="305"/>
      <c r="B30" s="483"/>
      <c r="C30" s="59" t="s">
        <v>296</v>
      </c>
      <c r="D30" s="58">
        <f t="shared" si="3"/>
        <v>451</v>
      </c>
      <c r="E30" s="35"/>
      <c r="F30" s="483"/>
      <c r="G30" s="59" t="s">
        <v>296</v>
      </c>
      <c r="H30" s="64">
        <f t="shared" si="0"/>
        <v>54</v>
      </c>
      <c r="I30" s="35"/>
      <c r="J30" s="291"/>
      <c r="K30" s="291"/>
      <c r="L30" s="493"/>
      <c r="M30" s="59" t="s">
        <v>296</v>
      </c>
      <c r="N30" s="58">
        <v>24</v>
      </c>
      <c r="O30" s="291"/>
      <c r="P30" s="493"/>
      <c r="Q30" s="59" t="s">
        <v>296</v>
      </c>
      <c r="R30" s="58">
        <v>475</v>
      </c>
      <c r="S30" s="292"/>
    </row>
    <row r="31" spans="1:19">
      <c r="A31" s="305"/>
      <c r="B31" s="481" t="s">
        <v>300</v>
      </c>
      <c r="C31" s="60" t="s">
        <v>418</v>
      </c>
      <c r="D31" s="297"/>
      <c r="E31" s="35"/>
      <c r="F31" s="481" t="s">
        <v>300</v>
      </c>
      <c r="G31" s="60" t="s">
        <v>418</v>
      </c>
      <c r="H31" s="298"/>
      <c r="I31" s="35"/>
      <c r="J31" s="291"/>
      <c r="K31" s="291"/>
      <c r="L31" s="291"/>
      <c r="M31" s="291"/>
      <c r="N31" s="291"/>
      <c r="O31" s="291"/>
      <c r="P31" s="291"/>
      <c r="Q31" s="291"/>
      <c r="R31" s="291"/>
      <c r="S31" s="292"/>
    </row>
    <row r="32" spans="1:19" ht="15" customHeight="1">
      <c r="A32" s="305"/>
      <c r="B32" s="482"/>
      <c r="C32" s="59" t="s">
        <v>293</v>
      </c>
      <c r="D32" s="297"/>
      <c r="E32" s="35"/>
      <c r="F32" s="482"/>
      <c r="G32" s="59" t="s">
        <v>293</v>
      </c>
      <c r="H32" s="298"/>
      <c r="I32" s="35"/>
      <c r="J32" s="291"/>
      <c r="K32" s="291"/>
      <c r="L32" s="493" t="s">
        <v>300</v>
      </c>
      <c r="M32" s="59" t="s">
        <v>293</v>
      </c>
      <c r="N32" s="297"/>
      <c r="O32" s="291"/>
      <c r="P32" s="493" t="s">
        <v>300</v>
      </c>
      <c r="Q32" s="59" t="s">
        <v>293</v>
      </c>
      <c r="R32" s="297"/>
      <c r="S32" s="292"/>
    </row>
    <row r="33" spans="1:19">
      <c r="A33" s="305"/>
      <c r="B33" s="482"/>
      <c r="C33" s="59" t="s">
        <v>294</v>
      </c>
      <c r="D33" s="297"/>
      <c r="E33" s="35"/>
      <c r="F33" s="482"/>
      <c r="G33" s="59" t="s">
        <v>294</v>
      </c>
      <c r="H33" s="298"/>
      <c r="I33" s="35"/>
      <c r="J33" s="291"/>
      <c r="K33" s="291"/>
      <c r="L33" s="493"/>
      <c r="M33" s="59" t="s">
        <v>294</v>
      </c>
      <c r="N33" s="297"/>
      <c r="O33" s="291"/>
      <c r="P33" s="493"/>
      <c r="Q33" s="59" t="s">
        <v>294</v>
      </c>
      <c r="R33" s="297"/>
      <c r="S33" s="292"/>
    </row>
    <row r="34" spans="1:19">
      <c r="A34" s="305"/>
      <c r="B34" s="482"/>
      <c r="C34" s="59" t="s">
        <v>295</v>
      </c>
      <c r="D34" s="297"/>
      <c r="E34" s="35" t="s">
        <v>420</v>
      </c>
      <c r="F34" s="482"/>
      <c r="G34" s="59" t="s">
        <v>295</v>
      </c>
      <c r="H34" s="298"/>
      <c r="I34" s="35"/>
      <c r="J34" s="291"/>
      <c r="K34" s="291"/>
      <c r="L34" s="493"/>
      <c r="M34" s="59" t="s">
        <v>295</v>
      </c>
      <c r="N34" s="297"/>
      <c r="O34" s="291"/>
      <c r="P34" s="493"/>
      <c r="Q34" s="59" t="s">
        <v>295</v>
      </c>
      <c r="R34" s="297"/>
      <c r="S34" s="292"/>
    </row>
    <row r="35" spans="1:19">
      <c r="A35" s="305"/>
      <c r="B35" s="483"/>
      <c r="C35" s="59" t="s">
        <v>296</v>
      </c>
      <c r="D35" s="297"/>
      <c r="E35" s="35">
        <f>SUM(D28:D30,D33:D35)</f>
        <v>4471</v>
      </c>
      <c r="F35" s="483"/>
      <c r="G35" s="59" t="s">
        <v>296</v>
      </c>
      <c r="H35" s="298"/>
      <c r="I35" s="35"/>
      <c r="J35" s="291"/>
      <c r="K35" s="291"/>
      <c r="L35" s="493"/>
      <c r="M35" s="59" t="s">
        <v>296</v>
      </c>
      <c r="N35" s="297"/>
      <c r="O35" s="291"/>
      <c r="P35" s="493"/>
      <c r="Q35" s="59" t="s">
        <v>296</v>
      </c>
      <c r="R35" s="297"/>
      <c r="S35" s="292"/>
    </row>
    <row r="36" spans="1:19">
      <c r="A36" s="305"/>
      <c r="B36" s="481" t="s">
        <v>301</v>
      </c>
      <c r="C36" s="60" t="s">
        <v>418</v>
      </c>
      <c r="D36" s="58">
        <f>SUM(N37:N40)</f>
        <v>4</v>
      </c>
      <c r="E36" s="35"/>
      <c r="F36" s="481" t="s">
        <v>301</v>
      </c>
      <c r="G36" s="60" t="s">
        <v>418</v>
      </c>
      <c r="H36" s="64">
        <f t="shared" si="0"/>
        <v>0</v>
      </c>
      <c r="I36" s="35"/>
      <c r="J36" s="291"/>
      <c r="K36" s="291"/>
      <c r="L36" s="291"/>
      <c r="M36" s="291"/>
      <c r="N36" s="291"/>
      <c r="O36" s="291"/>
      <c r="P36" s="291"/>
      <c r="Q36" s="291"/>
      <c r="R36" s="291"/>
      <c r="S36" s="292"/>
    </row>
    <row r="37" spans="1:19">
      <c r="A37" s="305"/>
      <c r="B37" s="482"/>
      <c r="C37" s="59" t="s">
        <v>293</v>
      </c>
      <c r="D37" s="58">
        <f>R37-N37</f>
        <v>47</v>
      </c>
      <c r="E37" s="35"/>
      <c r="F37" s="482"/>
      <c r="G37" s="59" t="s">
        <v>293</v>
      </c>
      <c r="H37" s="64">
        <f t="shared" si="0"/>
        <v>6</v>
      </c>
      <c r="I37" s="35"/>
      <c r="J37" s="291"/>
      <c r="K37" s="291"/>
      <c r="L37" s="493" t="s">
        <v>301</v>
      </c>
      <c r="M37" s="59" t="s">
        <v>293</v>
      </c>
      <c r="N37" s="58">
        <v>0</v>
      </c>
      <c r="O37" s="291"/>
      <c r="P37" s="493" t="s">
        <v>301</v>
      </c>
      <c r="Q37" s="59" t="s">
        <v>293</v>
      </c>
      <c r="R37" s="58">
        <v>47</v>
      </c>
      <c r="S37" s="292"/>
    </row>
    <row r="38" spans="1:19">
      <c r="A38" s="305"/>
      <c r="B38" s="482"/>
      <c r="C38" s="59" t="s">
        <v>294</v>
      </c>
      <c r="D38" s="58">
        <f t="shared" ref="D38:D39" si="4">R38-N38</f>
        <v>26</v>
      </c>
      <c r="E38" s="35"/>
      <c r="F38" s="482"/>
      <c r="G38" s="59" t="s">
        <v>294</v>
      </c>
      <c r="H38" s="64">
        <f t="shared" si="0"/>
        <v>3</v>
      </c>
      <c r="I38" s="35"/>
      <c r="J38" s="291"/>
      <c r="K38" s="291"/>
      <c r="L38" s="493"/>
      <c r="M38" s="59" t="s">
        <v>294</v>
      </c>
      <c r="N38" s="58">
        <v>0</v>
      </c>
      <c r="O38" s="291"/>
      <c r="P38" s="493"/>
      <c r="Q38" s="59" t="s">
        <v>294</v>
      </c>
      <c r="R38" s="58">
        <v>26</v>
      </c>
      <c r="S38" s="292"/>
    </row>
    <row r="39" spans="1:19">
      <c r="A39" s="305"/>
      <c r="B39" s="482"/>
      <c r="C39" s="59" t="s">
        <v>295</v>
      </c>
      <c r="D39" s="58">
        <f t="shared" si="4"/>
        <v>24</v>
      </c>
      <c r="E39" s="35" t="s">
        <v>421</v>
      </c>
      <c r="F39" s="482"/>
      <c r="G39" s="59" t="s">
        <v>295</v>
      </c>
      <c r="H39" s="64">
        <f t="shared" si="0"/>
        <v>3</v>
      </c>
      <c r="I39" s="35" t="s">
        <v>419</v>
      </c>
      <c r="J39" s="291"/>
      <c r="K39" s="291"/>
      <c r="L39" s="493"/>
      <c r="M39" s="59" t="s">
        <v>295</v>
      </c>
      <c r="N39" s="58">
        <v>4</v>
      </c>
      <c r="O39" s="291"/>
      <c r="P39" s="493"/>
      <c r="Q39" s="59" t="s">
        <v>295</v>
      </c>
      <c r="R39" s="58">
        <v>28</v>
      </c>
      <c r="S39" s="292"/>
    </row>
    <row r="40" spans="1:19">
      <c r="A40" s="305"/>
      <c r="B40" s="483"/>
      <c r="C40" s="59" t="s">
        <v>296</v>
      </c>
      <c r="D40" s="58">
        <f>R40-N40</f>
        <v>28</v>
      </c>
      <c r="E40" s="35">
        <f>D38+D39+D40</f>
        <v>78</v>
      </c>
      <c r="F40" s="483"/>
      <c r="G40" s="59" t="s">
        <v>296</v>
      </c>
      <c r="H40" s="64">
        <f t="shared" ref="H40:H45" si="5">ROUNDDOWN(D40/($D$46/$H$46),0)</f>
        <v>3</v>
      </c>
      <c r="I40" s="53">
        <f>SUM(H28:H30,H33:H35,H38:H40)</f>
        <v>549</v>
      </c>
      <c r="J40" s="291"/>
      <c r="K40" s="291"/>
      <c r="L40" s="493"/>
      <c r="M40" s="59" t="s">
        <v>296</v>
      </c>
      <c r="N40" s="58">
        <v>0</v>
      </c>
      <c r="O40" s="291"/>
      <c r="P40" s="493"/>
      <c r="Q40" s="59" t="s">
        <v>296</v>
      </c>
      <c r="R40" s="58">
        <v>28</v>
      </c>
      <c r="S40" s="292"/>
    </row>
    <row r="41" spans="1:19">
      <c r="A41" s="305"/>
      <c r="B41" s="481" t="s">
        <v>403</v>
      </c>
      <c r="C41" s="60" t="s">
        <v>418</v>
      </c>
      <c r="D41" s="58">
        <f>SUM(N42:N45)</f>
        <v>126</v>
      </c>
      <c r="E41" s="35">
        <f>E40/2</f>
        <v>39</v>
      </c>
      <c r="F41" s="481" t="s">
        <v>403</v>
      </c>
      <c r="G41" s="60" t="s">
        <v>418</v>
      </c>
      <c r="H41" s="64">
        <f t="shared" si="5"/>
        <v>15</v>
      </c>
      <c r="I41" s="53"/>
      <c r="J41" s="291"/>
      <c r="K41" s="291"/>
      <c r="L41" s="291"/>
      <c r="M41" s="291"/>
      <c r="N41" s="291"/>
      <c r="O41" s="291"/>
      <c r="P41" s="291"/>
      <c r="Q41" s="291"/>
      <c r="R41" s="291"/>
      <c r="S41" s="292"/>
    </row>
    <row r="42" spans="1:19">
      <c r="A42" s="305"/>
      <c r="B42" s="482"/>
      <c r="C42" s="59" t="s">
        <v>293</v>
      </c>
      <c r="D42" s="58">
        <f>R42-N42</f>
        <v>234</v>
      </c>
      <c r="E42" s="291"/>
      <c r="F42" s="482"/>
      <c r="G42" s="59" t="s">
        <v>293</v>
      </c>
      <c r="H42" s="64">
        <f t="shared" si="5"/>
        <v>28</v>
      </c>
      <c r="I42" s="35"/>
      <c r="J42" s="291"/>
      <c r="K42" s="291"/>
      <c r="L42" s="493" t="s">
        <v>403</v>
      </c>
      <c r="M42" s="59" t="s">
        <v>293</v>
      </c>
      <c r="N42" s="58">
        <v>13</v>
      </c>
      <c r="O42" s="291"/>
      <c r="P42" s="493" t="s">
        <v>403</v>
      </c>
      <c r="Q42" s="59" t="s">
        <v>293</v>
      </c>
      <c r="R42" s="58">
        <v>247</v>
      </c>
      <c r="S42" s="292"/>
    </row>
    <row r="43" spans="1:19">
      <c r="A43" s="305"/>
      <c r="B43" s="482"/>
      <c r="C43" s="59" t="s">
        <v>294</v>
      </c>
      <c r="D43" s="58">
        <f t="shared" ref="D43:D45" si="6">R43-N43</f>
        <v>349</v>
      </c>
      <c r="E43" s="35"/>
      <c r="F43" s="482"/>
      <c r="G43" s="59" t="s">
        <v>294</v>
      </c>
      <c r="H43" s="384">
        <f>ROUNDUP(D43/($D$46/$H$46),0)</f>
        <v>43</v>
      </c>
      <c r="I43" s="35"/>
      <c r="J43" s="291"/>
      <c r="K43" s="291"/>
      <c r="L43" s="493"/>
      <c r="M43" s="59" t="s">
        <v>294</v>
      </c>
      <c r="N43" s="58">
        <v>56</v>
      </c>
      <c r="O43" s="291"/>
      <c r="P43" s="493"/>
      <c r="Q43" s="59" t="s">
        <v>294</v>
      </c>
      <c r="R43" s="58">
        <v>405</v>
      </c>
      <c r="S43" s="292"/>
    </row>
    <row r="44" spans="1:19">
      <c r="A44" s="305"/>
      <c r="B44" s="482"/>
      <c r="C44" s="59" t="s">
        <v>295</v>
      </c>
      <c r="D44" s="58">
        <f t="shared" si="6"/>
        <v>159</v>
      </c>
      <c r="E44" s="35"/>
      <c r="F44" s="482"/>
      <c r="G44" s="59" t="s">
        <v>295</v>
      </c>
      <c r="H44" s="64">
        <f t="shared" si="5"/>
        <v>19</v>
      </c>
      <c r="I44" s="35"/>
      <c r="J44" s="291"/>
      <c r="K44" s="291"/>
      <c r="L44" s="493"/>
      <c r="M44" s="59" t="s">
        <v>295</v>
      </c>
      <c r="N44" s="58">
        <v>41</v>
      </c>
      <c r="O44" s="291"/>
      <c r="P44" s="493"/>
      <c r="Q44" s="59" t="s">
        <v>295</v>
      </c>
      <c r="R44" s="58">
        <v>200</v>
      </c>
      <c r="S44" s="292"/>
    </row>
    <row r="45" spans="1:19">
      <c r="A45" s="305"/>
      <c r="B45" s="483"/>
      <c r="C45" s="59" t="s">
        <v>296</v>
      </c>
      <c r="D45" s="58">
        <f t="shared" si="6"/>
        <v>79</v>
      </c>
      <c r="E45" s="35">
        <f>(D45+D44+D43)/2</f>
        <v>293.5</v>
      </c>
      <c r="F45" s="483"/>
      <c r="G45" s="59" t="s">
        <v>296</v>
      </c>
      <c r="H45" s="64">
        <f t="shared" si="5"/>
        <v>9</v>
      </c>
      <c r="I45" s="35">
        <f>(H45+H44+H43)/2</f>
        <v>35.5</v>
      </c>
      <c r="J45" s="291"/>
      <c r="K45" s="291"/>
      <c r="L45" s="493"/>
      <c r="M45" s="59" t="s">
        <v>296</v>
      </c>
      <c r="N45" s="58">
        <v>16</v>
      </c>
      <c r="O45" s="291"/>
      <c r="P45" s="493"/>
      <c r="Q45" s="59" t="s">
        <v>296</v>
      </c>
      <c r="R45" s="58">
        <v>95</v>
      </c>
      <c r="S45" s="292"/>
    </row>
    <row r="46" spans="1:19">
      <c r="A46" s="305"/>
      <c r="B46" s="59" t="s">
        <v>404</v>
      </c>
      <c r="C46" s="59"/>
      <c r="D46" s="58">
        <f>SUM(D16:D45)</f>
        <v>14111</v>
      </c>
      <c r="E46" s="35"/>
      <c r="F46" s="59" t="s">
        <v>404</v>
      </c>
      <c r="G46" s="59"/>
      <c r="H46" s="244">
        <v>1704</v>
      </c>
      <c r="I46" s="385">
        <f>SUM(H16:H45)</f>
        <v>1704</v>
      </c>
      <c r="J46" s="291"/>
      <c r="K46" s="291"/>
      <c r="L46" s="59" t="s">
        <v>404</v>
      </c>
      <c r="M46" s="59"/>
      <c r="N46" s="58">
        <f>SUM(N17:N45)</f>
        <v>479</v>
      </c>
      <c r="O46" s="291"/>
      <c r="P46" s="59" t="s">
        <v>404</v>
      </c>
      <c r="Q46" s="59"/>
      <c r="R46" s="58">
        <f>SUM(R17:R45)</f>
        <v>14111</v>
      </c>
      <c r="S46" s="292"/>
    </row>
    <row r="47" spans="1:19">
      <c r="A47" s="305"/>
      <c r="B47" s="54"/>
      <c r="C47" s="54"/>
      <c r="D47" s="35"/>
      <c r="E47" s="35"/>
      <c r="F47" s="54"/>
      <c r="G47" s="54"/>
      <c r="H47" s="53"/>
      <c r="I47" s="35"/>
      <c r="J47" s="291"/>
      <c r="K47" s="291"/>
      <c r="L47" s="291"/>
      <c r="M47" s="291"/>
      <c r="N47" s="291"/>
      <c r="O47" s="291"/>
      <c r="P47" s="291"/>
      <c r="Q47" s="291"/>
      <c r="R47" s="291"/>
      <c r="S47" s="292"/>
    </row>
    <row r="48" spans="1:19">
      <c r="A48" s="305"/>
      <c r="B48" s="247" t="s">
        <v>426</v>
      </c>
      <c r="C48" s="248"/>
      <c r="D48" s="249"/>
      <c r="E48" s="35"/>
      <c r="F48" s="250" t="s">
        <v>428</v>
      </c>
      <c r="G48" s="251"/>
      <c r="H48" s="252"/>
      <c r="I48" s="35"/>
      <c r="J48" s="291"/>
      <c r="K48" s="291"/>
      <c r="L48" s="291"/>
      <c r="M48" s="59" t="s">
        <v>293</v>
      </c>
      <c r="N48" s="291">
        <f>N42+N37+N32+N27+N17</f>
        <v>20</v>
      </c>
      <c r="O48" s="291" t="s">
        <v>520</v>
      </c>
      <c r="P48" s="291"/>
      <c r="Q48" s="59" t="s">
        <v>293</v>
      </c>
      <c r="R48" s="291">
        <f>R42+R37+R32+R27+R17</f>
        <v>7428</v>
      </c>
      <c r="S48" s="292" t="s">
        <v>520</v>
      </c>
    </row>
    <row r="49" spans="1:19">
      <c r="A49" s="305"/>
      <c r="B49" s="25" t="s">
        <v>427</v>
      </c>
      <c r="C49" s="299">
        <v>385</v>
      </c>
      <c r="D49" s="283"/>
      <c r="E49" s="35"/>
      <c r="F49" s="300">
        <v>1088</v>
      </c>
      <c r="G49" s="261" t="s">
        <v>434</v>
      </c>
      <c r="H49" s="253"/>
      <c r="I49" s="35"/>
      <c r="J49" s="291"/>
      <c r="K49" s="291"/>
      <c r="L49" s="291"/>
      <c r="M49" s="59" t="s">
        <v>294</v>
      </c>
      <c r="N49" s="291">
        <f>N43+N38+N33+N28+N18+N23</f>
        <v>275</v>
      </c>
      <c r="O49" s="291" t="s">
        <v>520</v>
      </c>
      <c r="P49" s="291"/>
      <c r="Q49" s="59" t="s">
        <v>294</v>
      </c>
      <c r="R49" s="291">
        <f>R43+R38+R33+R28+R18+R23</f>
        <v>4126</v>
      </c>
      <c r="S49" s="292" t="s">
        <v>520</v>
      </c>
    </row>
    <row r="50" spans="1:19">
      <c r="A50" s="305"/>
      <c r="B50" s="291"/>
      <c r="C50" s="54"/>
      <c r="D50" s="35"/>
      <c r="E50" s="35"/>
      <c r="F50" s="54"/>
      <c r="G50" s="54"/>
      <c r="H50" s="53"/>
      <c r="I50" s="35"/>
      <c r="J50" s="291"/>
      <c r="K50" s="291"/>
      <c r="L50" s="291"/>
      <c r="M50" s="273" t="s">
        <v>295</v>
      </c>
      <c r="N50" s="291">
        <f t="shared" ref="N50" si="7">N44+N39+N34+N29+N19+N24</f>
        <v>143</v>
      </c>
      <c r="O50" s="291" t="s">
        <v>520</v>
      </c>
      <c r="P50" s="291"/>
      <c r="Q50" s="273" t="s">
        <v>295</v>
      </c>
      <c r="R50" s="291">
        <f t="shared" ref="R50" si="8">R44+R39+R34+R29+R19+R24</f>
        <v>1597</v>
      </c>
      <c r="S50" s="292" t="s">
        <v>520</v>
      </c>
    </row>
    <row r="51" spans="1:19">
      <c r="A51" s="305"/>
      <c r="B51" s="254" t="s">
        <v>429</v>
      </c>
      <c r="C51" s="251"/>
      <c r="D51" s="255"/>
      <c r="E51" s="256"/>
      <c r="F51" s="54"/>
      <c r="G51" s="54"/>
      <c r="H51" s="53"/>
      <c r="I51" s="35"/>
      <c r="J51" s="291"/>
      <c r="K51" s="291"/>
      <c r="L51" s="291"/>
      <c r="M51" s="59" t="s">
        <v>296</v>
      </c>
      <c r="N51" s="291">
        <f>N45+N40+N35+N30+N20+N25</f>
        <v>41</v>
      </c>
      <c r="O51" s="291" t="s">
        <v>520</v>
      </c>
      <c r="P51" s="291"/>
      <c r="Q51" s="59" t="s">
        <v>296</v>
      </c>
      <c r="R51" s="291">
        <f>R45+R40+R35+R30+R20+R25</f>
        <v>960</v>
      </c>
      <c r="S51" s="292" t="s">
        <v>520</v>
      </c>
    </row>
    <row r="52" spans="1:19" ht="13.5" thickBot="1">
      <c r="A52" s="343"/>
      <c r="B52" s="344">
        <f>ROUND(0.178*SUM(D28:D30,D33:D35),0)</f>
        <v>796</v>
      </c>
      <c r="C52" s="345"/>
      <c r="D52" s="312"/>
      <c r="E52" s="346"/>
      <c r="F52" s="345"/>
      <c r="G52" s="345"/>
      <c r="H52" s="347"/>
      <c r="I52" s="312"/>
      <c r="J52" s="293"/>
      <c r="K52" s="293"/>
      <c r="L52" s="293"/>
      <c r="M52" s="293"/>
      <c r="N52" s="293"/>
      <c r="O52" s="293"/>
      <c r="P52" s="293"/>
      <c r="Q52" s="293"/>
      <c r="R52" s="293"/>
      <c r="S52" s="294"/>
    </row>
    <row r="53" spans="1:19">
      <c r="C53" s="54"/>
      <c r="D53" s="35"/>
      <c r="E53" s="35"/>
      <c r="F53" s="54"/>
      <c r="G53" s="54"/>
      <c r="H53" s="53"/>
      <c r="I53" s="35"/>
    </row>
    <row r="54" spans="1:19">
      <c r="B54" s="55" t="s">
        <v>297</v>
      </c>
      <c r="C54" s="54"/>
      <c r="D54" s="35"/>
      <c r="E54" s="35"/>
      <c r="F54" s="54"/>
      <c r="G54" s="54"/>
      <c r="H54" s="53"/>
      <c r="I54" s="35"/>
    </row>
    <row r="55" spans="1:19">
      <c r="B55" s="55" t="s">
        <v>299</v>
      </c>
      <c r="C55" s="54"/>
      <c r="D55" s="35"/>
      <c r="E55" s="35"/>
      <c r="F55" s="54"/>
      <c r="G55" s="54"/>
      <c r="H55" s="53"/>
      <c r="I55" s="35"/>
    </row>
    <row r="56" spans="1:19">
      <c r="B56" s="55" t="s">
        <v>186</v>
      </c>
      <c r="C56" s="54"/>
      <c r="D56" s="35"/>
      <c r="E56" s="35"/>
      <c r="F56" s="54"/>
      <c r="G56" s="54"/>
      <c r="H56" s="53"/>
      <c r="I56" s="35"/>
    </row>
    <row r="57" spans="1:19" ht="13.5" thickBot="1">
      <c r="J57" s="266">
        <f>H46+H82</f>
        <v>1935</v>
      </c>
    </row>
    <row r="58" spans="1:19">
      <c r="B58" s="349" t="s">
        <v>406</v>
      </c>
      <c r="C58" s="289"/>
      <c r="D58" s="289"/>
      <c r="E58" s="289"/>
      <c r="F58" s="289"/>
      <c r="G58" s="289"/>
      <c r="H58" s="289"/>
      <c r="I58" s="289"/>
      <c r="J58" s="289"/>
      <c r="K58" s="289"/>
      <c r="L58" s="289"/>
      <c r="M58" s="290"/>
    </row>
    <row r="59" spans="1:19">
      <c r="B59" s="305"/>
      <c r="C59" s="291"/>
      <c r="D59" s="291"/>
      <c r="E59" s="291"/>
      <c r="F59" s="291"/>
      <c r="G59" s="291"/>
      <c r="H59" s="291"/>
      <c r="I59" s="291"/>
      <c r="J59" s="291"/>
      <c r="K59" s="291"/>
      <c r="L59" s="291"/>
      <c r="M59" s="292"/>
    </row>
    <row r="60" spans="1:19">
      <c r="B60" s="304" t="s">
        <v>305</v>
      </c>
      <c r="C60" s="36"/>
      <c r="D60" s="36"/>
      <c r="E60" s="35"/>
      <c r="F60" s="57" t="s">
        <v>321</v>
      </c>
      <c r="G60" s="36"/>
      <c r="H60" s="36"/>
      <c r="I60" s="291"/>
      <c r="J60" s="291"/>
      <c r="K60" s="291"/>
      <c r="L60" s="291"/>
      <c r="M60" s="292"/>
    </row>
    <row r="61" spans="1:19">
      <c r="B61" s="306" t="s">
        <v>306</v>
      </c>
      <c r="C61" s="27" t="s">
        <v>307</v>
      </c>
      <c r="D61" s="27" t="s">
        <v>400</v>
      </c>
      <c r="E61" s="35"/>
      <c r="F61" s="63" t="s">
        <v>306</v>
      </c>
      <c r="G61" s="27" t="s">
        <v>307</v>
      </c>
      <c r="H61" s="27" t="s">
        <v>400</v>
      </c>
      <c r="I61" s="291"/>
      <c r="J61" s="291"/>
      <c r="K61" s="291"/>
      <c r="L61" s="291"/>
      <c r="M61" s="292"/>
    </row>
    <row r="62" spans="1:19">
      <c r="B62" s="489" t="s">
        <v>401</v>
      </c>
      <c r="C62" s="58" t="s">
        <v>293</v>
      </c>
      <c r="D62" s="58">
        <v>4</v>
      </c>
      <c r="E62" s="35"/>
      <c r="F62" s="490" t="s">
        <v>401</v>
      </c>
      <c r="G62" s="58" t="s">
        <v>293</v>
      </c>
      <c r="H62" s="64">
        <f>ROUND(D62/($D$82/$H$82),0)</f>
        <v>1</v>
      </c>
      <c r="I62" s="291"/>
      <c r="J62" s="291"/>
      <c r="K62" s="291"/>
      <c r="L62" s="291"/>
      <c r="M62" s="292"/>
    </row>
    <row r="63" spans="1:19">
      <c r="B63" s="489"/>
      <c r="C63" s="58" t="s">
        <v>294</v>
      </c>
      <c r="D63" s="58">
        <v>47</v>
      </c>
      <c r="E63" s="35"/>
      <c r="F63" s="490"/>
      <c r="G63" s="58" t="s">
        <v>294</v>
      </c>
      <c r="H63" s="64">
        <f t="shared" ref="H63:H81" si="9">ROUND(D63/($D$82/$H$82),0)</f>
        <v>6</v>
      </c>
      <c r="I63" s="291"/>
      <c r="J63" s="291"/>
      <c r="K63" s="291"/>
      <c r="L63" s="291"/>
      <c r="M63" s="292"/>
    </row>
    <row r="64" spans="1:19">
      <c r="B64" s="489"/>
      <c r="C64" s="58" t="s">
        <v>308</v>
      </c>
      <c r="D64" s="58">
        <v>18</v>
      </c>
      <c r="E64" s="35">
        <f>E65/3</f>
        <v>26</v>
      </c>
      <c r="F64" s="490"/>
      <c r="G64" s="58" t="s">
        <v>308</v>
      </c>
      <c r="H64" s="64">
        <f t="shared" si="9"/>
        <v>2</v>
      </c>
      <c r="I64" s="291"/>
      <c r="J64" s="291"/>
      <c r="K64" s="291"/>
      <c r="L64" s="291"/>
      <c r="M64" s="292"/>
    </row>
    <row r="65" spans="2:13">
      <c r="B65" s="489"/>
      <c r="C65" s="58" t="s">
        <v>296</v>
      </c>
      <c r="D65" s="58">
        <v>13</v>
      </c>
      <c r="E65" s="56">
        <f>SUM(D63:D65)</f>
        <v>78</v>
      </c>
      <c r="F65" s="490"/>
      <c r="G65" s="58" t="s">
        <v>296</v>
      </c>
      <c r="H65" s="64">
        <f t="shared" si="9"/>
        <v>2</v>
      </c>
      <c r="I65" s="56">
        <f>SUM(H63:H65)</f>
        <v>10</v>
      </c>
      <c r="J65" s="291"/>
      <c r="K65" s="291"/>
      <c r="L65" s="291"/>
      <c r="M65" s="292"/>
    </row>
    <row r="66" spans="2:13">
      <c r="B66" s="489" t="s">
        <v>402</v>
      </c>
      <c r="C66" s="58" t="s">
        <v>293</v>
      </c>
      <c r="D66" s="58">
        <v>0</v>
      </c>
      <c r="E66" s="35"/>
      <c r="F66" s="490" t="s">
        <v>402</v>
      </c>
      <c r="G66" s="58" t="s">
        <v>293</v>
      </c>
      <c r="H66" s="64">
        <f t="shared" si="9"/>
        <v>0</v>
      </c>
      <c r="I66" s="291"/>
      <c r="J66" s="291"/>
      <c r="K66" s="291"/>
      <c r="L66" s="291"/>
      <c r="M66" s="292"/>
    </row>
    <row r="67" spans="2:13">
      <c r="B67" s="489"/>
      <c r="C67" s="62" t="s">
        <v>294</v>
      </c>
      <c r="D67" s="58">
        <v>0</v>
      </c>
      <c r="E67" s="35"/>
      <c r="F67" s="490"/>
      <c r="G67" s="62" t="s">
        <v>294</v>
      </c>
      <c r="H67" s="64">
        <f t="shared" si="9"/>
        <v>0</v>
      </c>
      <c r="I67" s="291"/>
      <c r="J67" s="291"/>
      <c r="K67" s="291"/>
      <c r="L67" s="291"/>
      <c r="M67" s="292"/>
    </row>
    <row r="68" spans="2:13">
      <c r="B68" s="489"/>
      <c r="C68" s="58" t="s">
        <v>308</v>
      </c>
      <c r="D68" s="58">
        <v>0</v>
      </c>
      <c r="E68" s="35"/>
      <c r="F68" s="490"/>
      <c r="G68" s="58" t="s">
        <v>308</v>
      </c>
      <c r="H68" s="64">
        <f t="shared" si="9"/>
        <v>0</v>
      </c>
      <c r="I68" s="291"/>
      <c r="J68" s="291"/>
      <c r="K68" s="291"/>
      <c r="L68" s="291"/>
      <c r="M68" s="292"/>
    </row>
    <row r="69" spans="2:13">
      <c r="B69" s="489"/>
      <c r="C69" s="58" t="s">
        <v>296</v>
      </c>
      <c r="D69" s="58">
        <v>0</v>
      </c>
      <c r="E69" s="35"/>
      <c r="F69" s="490"/>
      <c r="G69" s="58" t="s">
        <v>296</v>
      </c>
      <c r="H69" s="64">
        <f t="shared" si="9"/>
        <v>0</v>
      </c>
      <c r="I69" s="291"/>
      <c r="J69" s="291"/>
      <c r="K69" s="291"/>
      <c r="L69" s="291"/>
      <c r="M69" s="292"/>
    </row>
    <row r="70" spans="2:13">
      <c r="B70" s="488" t="s">
        <v>309</v>
      </c>
      <c r="C70" s="61" t="s">
        <v>293</v>
      </c>
      <c r="D70" s="58">
        <v>978</v>
      </c>
      <c r="E70" s="35"/>
      <c r="F70" s="491" t="s">
        <v>309</v>
      </c>
      <c r="G70" s="61" t="s">
        <v>293</v>
      </c>
      <c r="H70" s="64">
        <f>ROUNDDOWN(D70/($D$82/$H$82),0)</f>
        <v>122</v>
      </c>
      <c r="I70" s="291"/>
      <c r="J70" s="291"/>
      <c r="K70" s="291"/>
      <c r="L70" s="291"/>
      <c r="M70" s="292"/>
    </row>
    <row r="71" spans="2:13">
      <c r="B71" s="488"/>
      <c r="C71" s="58" t="s">
        <v>294</v>
      </c>
      <c r="D71" s="58">
        <v>553</v>
      </c>
      <c r="E71" s="35"/>
      <c r="F71" s="491"/>
      <c r="G71" s="58" t="s">
        <v>294</v>
      </c>
      <c r="H71" s="64">
        <f>ROUNDDOWN(D71/($D$82/$H$82),0)</f>
        <v>69</v>
      </c>
      <c r="I71" s="291"/>
      <c r="J71" s="291"/>
      <c r="K71" s="291"/>
      <c r="L71" s="291"/>
      <c r="M71" s="292"/>
    </row>
    <row r="72" spans="2:13">
      <c r="B72" s="488"/>
      <c r="C72" s="58" t="s">
        <v>308</v>
      </c>
      <c r="D72" s="58">
        <v>165</v>
      </c>
      <c r="E72" s="35">
        <f>(D73+D71+D72)</f>
        <v>784</v>
      </c>
      <c r="F72" s="491"/>
      <c r="G72" s="58" t="s">
        <v>308</v>
      </c>
      <c r="H72" s="64">
        <f t="shared" si="9"/>
        <v>21</v>
      </c>
      <c r="I72" s="291"/>
      <c r="J72" s="291"/>
      <c r="K72" s="291"/>
      <c r="L72" s="291"/>
      <c r="M72" s="292"/>
    </row>
    <row r="73" spans="2:13">
      <c r="B73" s="488"/>
      <c r="C73" s="58" t="s">
        <v>296</v>
      </c>
      <c r="D73" s="58">
        <v>66</v>
      </c>
      <c r="E73" s="35">
        <f>(D71+D72+D73)/3</f>
        <v>261.33333333333331</v>
      </c>
      <c r="F73" s="491"/>
      <c r="G73" s="58" t="s">
        <v>296</v>
      </c>
      <c r="H73" s="64">
        <f t="shared" si="9"/>
        <v>8</v>
      </c>
      <c r="I73" s="245">
        <f>SUM(H71:H73)</f>
        <v>98</v>
      </c>
      <c r="J73" s="291">
        <f>I73/3</f>
        <v>32.666666666666664</v>
      </c>
      <c r="K73" s="291"/>
      <c r="L73" s="291"/>
      <c r="M73" s="292"/>
    </row>
    <row r="74" spans="2:13">
      <c r="B74" s="488" t="s">
        <v>301</v>
      </c>
      <c r="C74" s="58" t="s">
        <v>293</v>
      </c>
      <c r="D74" s="58">
        <v>0</v>
      </c>
      <c r="E74" s="35"/>
      <c r="F74" s="491" t="s">
        <v>301</v>
      </c>
      <c r="G74" s="58" t="s">
        <v>293</v>
      </c>
      <c r="H74" s="64">
        <f t="shared" si="9"/>
        <v>0</v>
      </c>
      <c r="I74" s="291"/>
      <c r="J74" s="291"/>
      <c r="K74" s="291"/>
      <c r="L74" s="291"/>
      <c r="M74" s="292"/>
    </row>
    <row r="75" spans="2:13">
      <c r="B75" s="488"/>
      <c r="C75" s="58" t="s">
        <v>294</v>
      </c>
      <c r="D75" s="58">
        <v>0</v>
      </c>
      <c r="E75" s="35"/>
      <c r="F75" s="491"/>
      <c r="G75" s="58" t="s">
        <v>294</v>
      </c>
      <c r="H75" s="64">
        <f t="shared" si="9"/>
        <v>0</v>
      </c>
      <c r="I75" s="291"/>
      <c r="J75" s="291"/>
      <c r="K75" s="291"/>
      <c r="L75" s="291"/>
      <c r="M75" s="292"/>
    </row>
    <row r="76" spans="2:13">
      <c r="B76" s="488"/>
      <c r="C76" s="58" t="s">
        <v>308</v>
      </c>
      <c r="D76" s="58">
        <v>0</v>
      </c>
      <c r="E76" s="35"/>
      <c r="F76" s="491"/>
      <c r="G76" s="58" t="s">
        <v>308</v>
      </c>
      <c r="H76" s="64">
        <f t="shared" si="9"/>
        <v>0</v>
      </c>
      <c r="I76" s="291"/>
      <c r="J76" s="291"/>
      <c r="K76" s="291"/>
      <c r="L76" s="291"/>
      <c r="M76" s="292"/>
    </row>
    <row r="77" spans="2:13">
      <c r="B77" s="488"/>
      <c r="C77" s="58" t="s">
        <v>296</v>
      </c>
      <c r="D77" s="58">
        <v>0</v>
      </c>
      <c r="E77" s="35"/>
      <c r="F77" s="491"/>
      <c r="G77" s="58" t="s">
        <v>296</v>
      </c>
      <c r="H77" s="64">
        <f t="shared" si="9"/>
        <v>0</v>
      </c>
      <c r="I77" s="291"/>
      <c r="J77" s="291"/>
      <c r="K77" s="291"/>
      <c r="L77" s="291"/>
      <c r="M77" s="292"/>
    </row>
    <row r="78" spans="2:13">
      <c r="B78" s="487" t="s">
        <v>403</v>
      </c>
      <c r="C78" s="29" t="s">
        <v>293</v>
      </c>
      <c r="D78" s="58">
        <v>0</v>
      </c>
      <c r="E78" s="291"/>
      <c r="F78" s="492" t="s">
        <v>403</v>
      </c>
      <c r="G78" s="29" t="s">
        <v>293</v>
      </c>
      <c r="H78" s="64">
        <f t="shared" si="9"/>
        <v>0</v>
      </c>
      <c r="I78" s="291"/>
      <c r="J78" s="291"/>
      <c r="K78" s="291"/>
      <c r="L78" s="291"/>
      <c r="M78" s="292"/>
    </row>
    <row r="79" spans="2:13">
      <c r="B79" s="487"/>
      <c r="C79" s="29" t="s">
        <v>294</v>
      </c>
      <c r="D79" s="58">
        <v>0</v>
      </c>
      <c r="E79" s="291"/>
      <c r="F79" s="492"/>
      <c r="G79" s="29" t="s">
        <v>294</v>
      </c>
      <c r="H79" s="64">
        <f t="shared" si="9"/>
        <v>0</v>
      </c>
      <c r="I79" s="291"/>
      <c r="J79" s="291"/>
      <c r="K79" s="291"/>
      <c r="L79" s="291"/>
      <c r="M79" s="292"/>
    </row>
    <row r="80" spans="2:13" ht="13.5" thickBot="1">
      <c r="B80" s="487"/>
      <c r="C80" s="29" t="s">
        <v>308</v>
      </c>
      <c r="D80" s="58">
        <v>0</v>
      </c>
      <c r="E80" s="291"/>
      <c r="F80" s="492"/>
      <c r="G80" s="29" t="s">
        <v>308</v>
      </c>
      <c r="H80" s="64">
        <f t="shared" si="9"/>
        <v>0</v>
      </c>
      <c r="I80" s="291"/>
      <c r="J80" s="291"/>
      <c r="K80" s="291"/>
      <c r="L80" s="291"/>
      <c r="M80" s="292"/>
    </row>
    <row r="81" spans="2:13">
      <c r="B81" s="487"/>
      <c r="C81" s="29" t="s">
        <v>296</v>
      </c>
      <c r="D81" s="58">
        <v>0</v>
      </c>
      <c r="E81" s="291"/>
      <c r="F81" s="492"/>
      <c r="G81" s="29" t="s">
        <v>296</v>
      </c>
      <c r="H81" s="64">
        <f t="shared" si="9"/>
        <v>0</v>
      </c>
      <c r="I81" s="291"/>
      <c r="J81" s="291"/>
      <c r="K81" s="291"/>
      <c r="L81" s="370" t="s">
        <v>521</v>
      </c>
      <c r="M81" s="371"/>
    </row>
    <row r="82" spans="2:13" ht="13.5" thickBot="1">
      <c r="B82" s="303" t="s">
        <v>404</v>
      </c>
      <c r="C82" s="29"/>
      <c r="D82" s="58">
        <f>SUM(D62:D81)</f>
        <v>1844</v>
      </c>
      <c r="E82" s="291" t="s">
        <v>520</v>
      </c>
      <c r="F82" s="29" t="s">
        <v>404</v>
      </c>
      <c r="G82" s="29"/>
      <c r="H82" s="243">
        <f>ROUND(D82/8,0)</f>
        <v>231</v>
      </c>
      <c r="I82" s="307">
        <f>SUM(H62:H81)</f>
        <v>231</v>
      </c>
      <c r="J82" s="291"/>
      <c r="K82" s="291"/>
      <c r="L82" s="372">
        <f>D46/H46</f>
        <v>8.2811032863849761</v>
      </c>
      <c r="M82" s="373"/>
    </row>
    <row r="83" spans="2:13">
      <c r="B83" s="305"/>
      <c r="C83" s="291"/>
      <c r="D83" s="291"/>
      <c r="E83" s="291"/>
      <c r="F83" s="291"/>
      <c r="G83" s="291"/>
      <c r="H83" s="35"/>
      <c r="I83" s="291"/>
      <c r="J83" s="291"/>
      <c r="K83" s="291"/>
      <c r="L83" s="291"/>
      <c r="M83" s="292"/>
    </row>
    <row r="84" spans="2:13">
      <c r="B84" s="308" t="s">
        <v>426</v>
      </c>
      <c r="C84" s="248"/>
      <c r="D84" s="249"/>
      <c r="E84" s="35"/>
      <c r="F84" s="250" t="s">
        <v>428</v>
      </c>
      <c r="G84" s="251"/>
      <c r="H84" s="252"/>
      <c r="I84" s="291"/>
      <c r="J84" s="291"/>
      <c r="K84" s="291"/>
      <c r="L84" s="291"/>
      <c r="M84" s="292"/>
    </row>
    <row r="85" spans="2:13" ht="13.5" thickBot="1">
      <c r="B85" s="309" t="s">
        <v>427</v>
      </c>
      <c r="C85" s="310"/>
      <c r="D85" s="311"/>
      <c r="E85" s="312"/>
      <c r="F85" s="313"/>
      <c r="G85" s="314" t="s">
        <v>434</v>
      </c>
      <c r="H85" s="315"/>
      <c r="I85" s="293"/>
      <c r="J85" s="293"/>
      <c r="K85" s="293"/>
      <c r="L85" s="293"/>
      <c r="M85" s="294"/>
    </row>
    <row r="88" spans="2:13" ht="13.5" thickBot="1"/>
    <row r="89" spans="2:13" ht="15">
      <c r="B89" s="403" t="s">
        <v>108</v>
      </c>
      <c r="C89" s="404" t="s">
        <v>112</v>
      </c>
      <c r="D89" s="397" t="s">
        <v>637</v>
      </c>
      <c r="E89" s="289" t="s">
        <v>116</v>
      </c>
      <c r="F89" s="289"/>
      <c r="G89" s="290"/>
    </row>
    <row r="90" spans="2:13" ht="15">
      <c r="B90" s="405" t="s">
        <v>109</v>
      </c>
      <c r="C90" s="398" t="s">
        <v>113</v>
      </c>
      <c r="D90" s="399">
        <v>22</v>
      </c>
      <c r="E90" s="35"/>
      <c r="F90" s="291"/>
      <c r="G90" s="292"/>
      <c r="I90" s="316" t="s">
        <v>649</v>
      </c>
    </row>
    <row r="91" spans="2:13" ht="15">
      <c r="B91" s="405" t="s">
        <v>109</v>
      </c>
      <c r="C91" s="398" t="s">
        <v>114</v>
      </c>
      <c r="D91" s="399">
        <v>6</v>
      </c>
      <c r="E91" s="400">
        <f>ROUND(1-E92,2)</f>
        <v>0.94</v>
      </c>
      <c r="F91" s="400" t="s">
        <v>603</v>
      </c>
      <c r="G91" s="292"/>
      <c r="I91" s="458">
        <f>ROUND(SUM(D96:D98)/SUM(D90:D98,H82),2)</f>
        <v>0.06</v>
      </c>
    </row>
    <row r="92" spans="2:13" ht="15">
      <c r="B92" s="405" t="s">
        <v>109</v>
      </c>
      <c r="C92" s="398" t="s">
        <v>115</v>
      </c>
      <c r="D92" s="399">
        <v>3</v>
      </c>
      <c r="E92" s="401">
        <f>ROUND(SUM(D96:D98)/SUM(D90:D98),2)</f>
        <v>0.06</v>
      </c>
      <c r="F92" s="400" t="s">
        <v>604</v>
      </c>
      <c r="G92" s="292"/>
    </row>
    <row r="93" spans="2:13" ht="15">
      <c r="B93" s="405" t="s">
        <v>110</v>
      </c>
      <c r="C93" s="398" t="s">
        <v>113</v>
      </c>
      <c r="D93" s="399">
        <v>1277</v>
      </c>
      <c r="E93" s="291"/>
      <c r="F93" s="291"/>
      <c r="G93" s="292"/>
    </row>
    <row r="94" spans="2:13" ht="15">
      <c r="B94" s="405" t="s">
        <v>110</v>
      </c>
      <c r="C94" s="398" t="s">
        <v>114</v>
      </c>
      <c r="D94" s="399">
        <v>131</v>
      </c>
      <c r="E94" s="291"/>
      <c r="G94" s="292"/>
    </row>
    <row r="95" spans="2:13" ht="15">
      <c r="B95" s="405" t="s">
        <v>110</v>
      </c>
      <c r="C95" s="398" t="s">
        <v>115</v>
      </c>
      <c r="D95" s="399">
        <v>80</v>
      </c>
      <c r="E95" s="291"/>
      <c r="F95" s="374"/>
      <c r="G95" s="292"/>
    </row>
    <row r="96" spans="2:13" ht="15">
      <c r="B96" s="405" t="s">
        <v>111</v>
      </c>
      <c r="C96" s="398" t="s">
        <v>113</v>
      </c>
      <c r="D96" s="399">
        <v>82</v>
      </c>
      <c r="E96" s="400"/>
      <c r="F96" s="402" t="s">
        <v>118</v>
      </c>
      <c r="G96" s="292"/>
    </row>
    <row r="97" spans="2:7" ht="15">
      <c r="B97" s="405" t="s">
        <v>111</v>
      </c>
      <c r="C97" s="398" t="s">
        <v>114</v>
      </c>
      <c r="D97" s="399">
        <v>14</v>
      </c>
      <c r="E97" s="400" t="s">
        <v>117</v>
      </c>
      <c r="F97" s="402">
        <f>ROUND(SUM(D105,D108)/SUM(D104:D108),2)</f>
        <v>0.1</v>
      </c>
      <c r="G97" s="292"/>
    </row>
    <row r="98" spans="2:7" ht="15">
      <c r="B98" s="405" t="s">
        <v>111</v>
      </c>
      <c r="C98" s="398" t="s">
        <v>115</v>
      </c>
      <c r="D98" s="399">
        <v>6</v>
      </c>
      <c r="E98" s="400" t="s">
        <v>111</v>
      </c>
      <c r="F98" s="402">
        <f>ROUND(D111/SUM(D110:D111),2)</f>
        <v>0.15</v>
      </c>
      <c r="G98" s="292"/>
    </row>
    <row r="99" spans="2:7" ht="30">
      <c r="B99" s="406" t="s">
        <v>602</v>
      </c>
      <c r="C99" s="29"/>
      <c r="D99" s="29"/>
      <c r="E99" s="291"/>
      <c r="F99" s="291"/>
      <c r="G99" s="292"/>
    </row>
    <row r="100" spans="2:7" ht="15">
      <c r="B100" s="405" t="s">
        <v>115</v>
      </c>
      <c r="C100" s="398" t="s">
        <v>113</v>
      </c>
      <c r="D100" s="399">
        <v>1</v>
      </c>
      <c r="E100" s="291"/>
      <c r="F100" s="291"/>
      <c r="G100" s="292"/>
    </row>
    <row r="101" spans="2:7" ht="15">
      <c r="B101" s="405" t="s">
        <v>115</v>
      </c>
      <c r="C101" s="398" t="s">
        <v>115</v>
      </c>
      <c r="D101" s="399">
        <v>82</v>
      </c>
      <c r="E101" s="291"/>
      <c r="F101" s="291"/>
      <c r="G101" s="292"/>
    </row>
    <row r="102" spans="2:7">
      <c r="B102" s="407"/>
      <c r="C102" s="395"/>
      <c r="D102" s="396"/>
      <c r="E102" s="291"/>
      <c r="F102" s="291"/>
      <c r="G102" s="292"/>
    </row>
    <row r="103" spans="2:7" ht="15">
      <c r="B103" s="408" t="s">
        <v>108</v>
      </c>
      <c r="C103" s="397" t="s">
        <v>112</v>
      </c>
      <c r="D103" s="397" t="s">
        <v>637</v>
      </c>
      <c r="E103" s="291"/>
      <c r="F103" s="291"/>
      <c r="G103" s="292"/>
    </row>
    <row r="104" spans="2:7" ht="15">
      <c r="B104" s="405" t="s">
        <v>109</v>
      </c>
      <c r="C104" s="398" t="s">
        <v>113</v>
      </c>
      <c r="D104" s="399">
        <v>22</v>
      </c>
      <c r="E104" s="291"/>
      <c r="F104" s="291"/>
      <c r="G104" s="292"/>
    </row>
    <row r="105" spans="2:7" ht="15">
      <c r="B105" s="405" t="s">
        <v>109</v>
      </c>
      <c r="C105" s="398" t="s">
        <v>114</v>
      </c>
      <c r="D105" s="399">
        <v>6</v>
      </c>
      <c r="E105" s="291">
        <f>D105+D108+D111</f>
        <v>151</v>
      </c>
      <c r="F105" s="433">
        <f>151/1704</f>
        <v>8.8615023474178406E-2</v>
      </c>
      <c r="G105" s="292"/>
    </row>
    <row r="106" spans="2:7">
      <c r="B106" s="303"/>
      <c r="C106" s="29"/>
      <c r="D106" s="29"/>
      <c r="E106" s="291"/>
      <c r="F106" s="291"/>
      <c r="G106" s="292"/>
    </row>
    <row r="107" spans="2:7" ht="15">
      <c r="B107" s="405" t="s">
        <v>110</v>
      </c>
      <c r="C107" s="398" t="s">
        <v>113</v>
      </c>
      <c r="D107" s="399">
        <v>1277</v>
      </c>
      <c r="E107" s="291"/>
      <c r="F107" s="291"/>
      <c r="G107" s="292"/>
    </row>
    <row r="108" spans="2:7" ht="15">
      <c r="B108" s="405" t="s">
        <v>110</v>
      </c>
      <c r="C108" s="398" t="s">
        <v>114</v>
      </c>
      <c r="D108" s="399">
        <v>131</v>
      </c>
      <c r="E108" s="291"/>
      <c r="F108" s="84"/>
      <c r="G108" s="292"/>
    </row>
    <row r="109" spans="2:7">
      <c r="B109" s="303"/>
      <c r="C109" s="29"/>
      <c r="D109" s="29"/>
      <c r="E109" s="291"/>
      <c r="F109" s="291"/>
      <c r="G109" s="292"/>
    </row>
    <row r="110" spans="2:7" ht="15">
      <c r="B110" s="405" t="s">
        <v>111</v>
      </c>
      <c r="C110" s="398" t="s">
        <v>113</v>
      </c>
      <c r="D110" s="399">
        <v>82</v>
      </c>
      <c r="E110" s="291"/>
      <c r="F110" s="291"/>
      <c r="G110" s="292"/>
    </row>
    <row r="111" spans="2:7" ht="15">
      <c r="B111" s="405" t="s">
        <v>111</v>
      </c>
      <c r="C111" s="398" t="s">
        <v>114</v>
      </c>
      <c r="D111" s="399">
        <v>14</v>
      </c>
      <c r="E111" s="291"/>
      <c r="F111" s="291"/>
      <c r="G111" s="292"/>
    </row>
    <row r="112" spans="2:7">
      <c r="B112" s="303"/>
      <c r="C112" s="29"/>
      <c r="D112" s="29"/>
      <c r="E112" s="291"/>
      <c r="F112" s="291"/>
      <c r="G112" s="292"/>
    </row>
    <row r="113" spans="2:7" ht="30">
      <c r="B113" s="406" t="s">
        <v>602</v>
      </c>
      <c r="C113" s="29"/>
      <c r="D113" s="29"/>
      <c r="E113" s="291"/>
      <c r="F113" s="291"/>
      <c r="G113" s="292"/>
    </row>
    <row r="114" spans="2:7" ht="15">
      <c r="B114" s="405" t="s">
        <v>115</v>
      </c>
      <c r="C114" s="398" t="s">
        <v>113</v>
      </c>
      <c r="D114" s="399">
        <v>1</v>
      </c>
      <c r="E114" s="291"/>
      <c r="F114" s="291"/>
      <c r="G114" s="292"/>
    </row>
    <row r="115" spans="2:7" ht="15">
      <c r="B115" s="405" t="s">
        <v>115</v>
      </c>
      <c r="C115" s="398" t="s">
        <v>115</v>
      </c>
      <c r="D115" s="399">
        <v>82</v>
      </c>
      <c r="E115" s="291"/>
      <c r="F115" s="291"/>
      <c r="G115" s="292"/>
    </row>
    <row r="116" spans="2:7" ht="15">
      <c r="B116" s="405" t="s">
        <v>109</v>
      </c>
      <c r="C116" s="398" t="s">
        <v>115</v>
      </c>
      <c r="D116" s="399">
        <v>3</v>
      </c>
      <c r="E116" s="291"/>
      <c r="F116" s="291"/>
      <c r="G116" s="292"/>
    </row>
    <row r="117" spans="2:7" ht="15">
      <c r="B117" s="405" t="s">
        <v>110</v>
      </c>
      <c r="C117" s="398" t="s">
        <v>115</v>
      </c>
      <c r="D117" s="399">
        <v>80</v>
      </c>
      <c r="E117" s="291"/>
      <c r="F117" s="291"/>
      <c r="G117" s="292"/>
    </row>
    <row r="118" spans="2:7" ht="15.75" thickBot="1">
      <c r="B118" s="409" t="s">
        <v>111</v>
      </c>
      <c r="C118" s="410" t="s">
        <v>115</v>
      </c>
      <c r="D118" s="411">
        <v>6</v>
      </c>
      <c r="E118" s="293"/>
      <c r="F118" s="293"/>
      <c r="G118" s="294"/>
    </row>
    <row r="120" spans="2:7" ht="13.5" thickBot="1"/>
    <row r="121" spans="2:7" ht="15">
      <c r="B121" s="425" t="s">
        <v>624</v>
      </c>
      <c r="C121" s="289"/>
      <c r="D121" s="289"/>
      <c r="E121" s="289"/>
      <c r="F121" s="290"/>
    </row>
    <row r="122" spans="2:7" ht="15">
      <c r="B122" s="423" t="s">
        <v>625</v>
      </c>
      <c r="C122" s="291"/>
      <c r="D122" s="291"/>
      <c r="E122" s="291"/>
      <c r="F122" s="292"/>
    </row>
    <row r="123" spans="2:7">
      <c r="B123" s="305">
        <v>879</v>
      </c>
      <c r="C123" s="291"/>
      <c r="D123" s="291"/>
      <c r="E123" s="291"/>
      <c r="F123" s="292"/>
    </row>
    <row r="124" spans="2:7" ht="13.5" thickBot="1">
      <c r="B124" s="424" t="s">
        <v>626</v>
      </c>
      <c r="C124" s="293"/>
      <c r="D124" s="293"/>
      <c r="E124" s="293"/>
      <c r="F124" s="294"/>
    </row>
  </sheetData>
  <mergeCells count="34">
    <mergeCell ref="L42:L45"/>
    <mergeCell ref="P17:P20"/>
    <mergeCell ref="P23:P25"/>
    <mergeCell ref="P27:P30"/>
    <mergeCell ref="P32:P35"/>
    <mergeCell ref="P37:P40"/>
    <mergeCell ref="P42:P45"/>
    <mergeCell ref="L17:L20"/>
    <mergeCell ref="L23:L25"/>
    <mergeCell ref="L27:L30"/>
    <mergeCell ref="L32:L35"/>
    <mergeCell ref="L37:L40"/>
    <mergeCell ref="F31:F35"/>
    <mergeCell ref="B31:B35"/>
    <mergeCell ref="B36:B40"/>
    <mergeCell ref="B41:B45"/>
    <mergeCell ref="F41:F45"/>
    <mergeCell ref="F36:F40"/>
    <mergeCell ref="B16:B20"/>
    <mergeCell ref="F16:F20"/>
    <mergeCell ref="B21:B25"/>
    <mergeCell ref="F21:F25"/>
    <mergeCell ref="B78:B81"/>
    <mergeCell ref="B74:B77"/>
    <mergeCell ref="B70:B73"/>
    <mergeCell ref="B66:B69"/>
    <mergeCell ref="F66:F69"/>
    <mergeCell ref="F70:F73"/>
    <mergeCell ref="F74:F77"/>
    <mergeCell ref="F78:F81"/>
    <mergeCell ref="B62:B65"/>
    <mergeCell ref="F62:F65"/>
    <mergeCell ref="B26:B30"/>
    <mergeCell ref="F26:F30"/>
  </mergeCells>
  <phoneticPr fontId="9" type="noConversion"/>
  <pageMargins left="0.75" right="0.75" top="1" bottom="1" header="0.5" footer="0.5"/>
  <pageSetup orientation="portrait" horizontalDpi="300" verticalDpi="300" r:id="rId1"/>
  <headerFooter alignWithMargins="0"/>
  <ignoredErrors>
    <ignoredError sqref="D26 D4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42</vt:i4>
      </vt:variant>
    </vt:vector>
  </HeadingPairs>
  <TitlesOfParts>
    <vt:vector size="91" baseType="lpstr">
      <vt:lpstr>Summary 2</vt:lpstr>
      <vt:lpstr>Capital vs. O&amp;M</vt:lpstr>
      <vt:lpstr>Responses</vt:lpstr>
      <vt:lpstr>Avg-Yr1-3</vt:lpstr>
      <vt:lpstr>Testing Costs</vt:lpstr>
      <vt:lpstr>Monitors</vt:lpstr>
      <vt:lpstr>BURDEN SUMMARY</vt:lpstr>
      <vt:lpstr>QA</vt:lpstr>
      <vt:lpstr>Base Data</vt:lpstr>
      <vt:lpstr>Fac-ExistLrgSolid-Yr1</vt:lpstr>
      <vt:lpstr>Fac-ExistLrgSolid-Yr2</vt:lpstr>
      <vt:lpstr>Fac-ExistLrgSolid-Yr3</vt:lpstr>
      <vt:lpstr>Fac-ExistLrgLiquid-Yr1</vt:lpstr>
      <vt:lpstr>Fac-ExistLrgLiquid-Yr2</vt:lpstr>
      <vt:lpstr>Fac-ExistLrgLiquid-Yr3</vt:lpstr>
      <vt:lpstr>Fac-ExistLrgGas-Yr1</vt:lpstr>
      <vt:lpstr>Fac-ExistLrgGas-Yr2</vt:lpstr>
      <vt:lpstr>Fac-ExistLrgGas-Yr3</vt:lpstr>
      <vt:lpstr>Fac-NewLrgSolid-Yr1</vt:lpstr>
      <vt:lpstr>Fac-NewLrgSolid-Yr2</vt:lpstr>
      <vt:lpstr>Fac-NewLrgSolid-Yr3</vt:lpstr>
      <vt:lpstr>Fac-NewLrgLiquid-Yr1</vt:lpstr>
      <vt:lpstr>Fac-NewLrgLiquid-Yr2</vt:lpstr>
      <vt:lpstr>Fac-NewLrgLiquid-Yr3</vt:lpstr>
      <vt:lpstr>Fac-NewLrgGas-Yr1</vt:lpstr>
      <vt:lpstr>Fac-NewLrgGas-Yr2</vt:lpstr>
      <vt:lpstr>Fac-NewLrgGas-Yr3</vt:lpstr>
      <vt:lpstr>Fac - ExistSmlSolid-Yr1</vt:lpstr>
      <vt:lpstr>Fac - ExistSmlSolid-Yr2</vt:lpstr>
      <vt:lpstr>Fac - ExistSmlSolid-Yr3</vt:lpstr>
      <vt:lpstr>Fac - ExistSmlLiquid-Yr1</vt:lpstr>
      <vt:lpstr>Fac - ExistSmlLiquid-Yr2</vt:lpstr>
      <vt:lpstr>Fac - ExistSmlLiquid-Yr3</vt:lpstr>
      <vt:lpstr>Fac - ExistSmlGas-Yr1</vt:lpstr>
      <vt:lpstr>Fac - ExistSmlGas-Yr2</vt:lpstr>
      <vt:lpstr>Fac - ExistSmlGas-Yr3</vt:lpstr>
      <vt:lpstr>Fac-NewSmlSolid-Yr1</vt:lpstr>
      <vt:lpstr>Fac-NewSmlSolid-Yr2</vt:lpstr>
      <vt:lpstr>Fac-NewSmlSolid-Yr3</vt:lpstr>
      <vt:lpstr>Fac-NewSmlLiquid-Yr1</vt:lpstr>
      <vt:lpstr>Fac-NewSmlLiquid-Yr2</vt:lpstr>
      <vt:lpstr>Fac-NewSmlLiquid-Yr3</vt:lpstr>
      <vt:lpstr>Fac-NewSmlGas-Yr1</vt:lpstr>
      <vt:lpstr>Fac-NewSmlGas-Yr2</vt:lpstr>
      <vt:lpstr>Fac-NewSmlGas-Yr3</vt:lpstr>
      <vt:lpstr>Agency Base Data</vt:lpstr>
      <vt:lpstr>AgencyYR1</vt:lpstr>
      <vt:lpstr>AgencyYR2</vt:lpstr>
      <vt:lpstr>AgencyYR3</vt:lpstr>
      <vt:lpstr>AgencyYR1!Print_Area</vt:lpstr>
      <vt:lpstr>AgencyYR2!Print_Area</vt:lpstr>
      <vt:lpstr>AgencyYR3!Print_Area</vt:lpstr>
      <vt:lpstr>'Fac-ExistLrgLiquid-Yr1'!Print_Area</vt:lpstr>
      <vt:lpstr>'Fac-NewLrgGas-Yr1'!Print_Area</vt:lpstr>
      <vt:lpstr>'Fac-NewLrgSolid-Yr1'!Print_Area</vt:lpstr>
      <vt:lpstr>'Fac - ExistSmlGas-Yr1'!Print_Titles</vt:lpstr>
      <vt:lpstr>'Fac - ExistSmlGas-Yr2'!Print_Titles</vt:lpstr>
      <vt:lpstr>'Fac - ExistSmlGas-Yr3'!Print_Titles</vt:lpstr>
      <vt:lpstr>'Fac - ExistSmlLiquid-Yr1'!Print_Titles</vt:lpstr>
      <vt:lpstr>'Fac - ExistSmlLiquid-Yr2'!Print_Titles</vt:lpstr>
      <vt:lpstr>'Fac - ExistSmlLiquid-Yr3'!Print_Titles</vt:lpstr>
      <vt:lpstr>'Fac - ExistSmlSolid-Yr1'!Print_Titles</vt:lpstr>
      <vt:lpstr>'Fac - ExistSmlSolid-Yr2'!Print_Titles</vt:lpstr>
      <vt:lpstr>'Fac - ExistSmlSolid-Yr3'!Print_Titles</vt:lpstr>
      <vt:lpstr>'Fac-ExistLrgGas-Yr1'!Print_Titles</vt:lpstr>
      <vt:lpstr>'Fac-ExistLrgGas-Yr2'!Print_Titles</vt:lpstr>
      <vt:lpstr>'Fac-ExistLrgGas-Yr3'!Print_Titles</vt:lpstr>
      <vt:lpstr>'Fac-ExistLrgLiquid-Yr1'!Print_Titles</vt:lpstr>
      <vt:lpstr>'Fac-ExistLrgLiquid-Yr2'!Print_Titles</vt:lpstr>
      <vt:lpstr>'Fac-ExistLrgLiquid-Yr3'!Print_Titles</vt:lpstr>
      <vt:lpstr>'Fac-ExistLrgSolid-Yr1'!Print_Titles</vt:lpstr>
      <vt:lpstr>'Fac-ExistLrgSolid-Yr2'!Print_Titles</vt:lpstr>
      <vt:lpstr>'Fac-ExistLrgSolid-Yr3'!Print_Titles</vt:lpstr>
      <vt:lpstr>'Fac-NewLrgGas-Yr1'!Print_Titles</vt:lpstr>
      <vt:lpstr>'Fac-NewLrgGas-Yr2'!Print_Titles</vt:lpstr>
      <vt:lpstr>'Fac-NewLrgGas-Yr3'!Print_Titles</vt:lpstr>
      <vt:lpstr>'Fac-NewLrgLiquid-Yr1'!Print_Titles</vt:lpstr>
      <vt:lpstr>'Fac-NewLrgLiquid-Yr2'!Print_Titles</vt:lpstr>
      <vt:lpstr>'Fac-NewLrgLiquid-Yr3'!Print_Titles</vt:lpstr>
      <vt:lpstr>'Fac-NewLrgSolid-Yr1'!Print_Titles</vt:lpstr>
      <vt:lpstr>'Fac-NewLrgSolid-Yr2'!Print_Titles</vt:lpstr>
      <vt:lpstr>'Fac-NewLrgSolid-Yr3'!Print_Titles</vt:lpstr>
      <vt:lpstr>'Fac-NewSmlGas-Yr1'!Print_Titles</vt:lpstr>
      <vt:lpstr>'Fac-NewSmlGas-Yr2'!Print_Titles</vt:lpstr>
      <vt:lpstr>'Fac-NewSmlGas-Yr3'!Print_Titles</vt:lpstr>
      <vt:lpstr>'Fac-NewSmlLiquid-Yr1'!Print_Titles</vt:lpstr>
      <vt:lpstr>'Fac-NewSmlLiquid-Yr2'!Print_Titles</vt:lpstr>
      <vt:lpstr>'Fac-NewSmlLiquid-Yr3'!Print_Titles</vt:lpstr>
      <vt:lpstr>'Fac-NewSmlSolid-Yr1'!Print_Titles</vt:lpstr>
      <vt:lpstr>'Fac-NewSmlSolid-Yr2'!Print_Titles</vt:lpstr>
      <vt:lpstr>'Fac-NewSmlSolid-Yr3'!Print_Titles</vt:lpstr>
    </vt:vector>
  </TitlesOfParts>
  <Company>Eastern Research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ASingleton</cp:lastModifiedBy>
  <cp:lastPrinted>2011-11-09T17:24:25Z</cp:lastPrinted>
  <dcterms:created xsi:type="dcterms:W3CDTF">2000-08-03T19:32:28Z</dcterms:created>
  <dcterms:modified xsi:type="dcterms:W3CDTF">2011-11-17T21:59:06Z</dcterms:modified>
</cp:coreProperties>
</file>