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65" yWindow="45" windowWidth="17025" windowHeight="10425"/>
  </bookViews>
  <sheets>
    <sheet name="Exhibit 2" sheetId="3" r:id="rId1"/>
    <sheet name="Exhibit 3" sheetId="6" r:id="rId2"/>
  </sheets>
  <definedNames>
    <definedName name="\average" localSheetId="0">'Exhibit 2'!#REF!</definedName>
    <definedName name="\average" localSheetId="1">'Exhibit 3'!#REF!</definedName>
    <definedName name="\average">#REF!</definedName>
    <definedName name="\j" localSheetId="0">'Exhibit 2'!$T$1</definedName>
    <definedName name="\j" localSheetId="1">'Exhibit 3'!$T$1</definedName>
    <definedName name="\j">#REF!</definedName>
    <definedName name="\m" localSheetId="0">'Exhibit 2'!$T$1</definedName>
    <definedName name="\m" localSheetId="1">'Exhibit 3'!$T$1</definedName>
    <definedName name="\m">#REF!</definedName>
    <definedName name="criteria1" localSheetId="0">'Exhibit 2'!#REF!</definedName>
    <definedName name="criteria1" localSheetId="1">'Exhibit 3'!#REF!</definedName>
    <definedName name="criteria1">#REF!</definedName>
    <definedName name="criteria2" localSheetId="0">'Exhibit 2'!#REF!</definedName>
    <definedName name="criteria2" localSheetId="1">'Exhibit 3'!#REF!</definedName>
    <definedName name="criteria2">#REF!</definedName>
    <definedName name="database1" localSheetId="0">'Exhibit 2'!#REF!</definedName>
    <definedName name="database1" localSheetId="1">'Exhibit 3'!#REF!</definedName>
    <definedName name="database1">#REF!</definedName>
    <definedName name="_xlnm.Print_Area" localSheetId="0">'Exhibit 2'!$A$10:$Y$364</definedName>
    <definedName name="_xlnm.Print_Area" localSheetId="1">'Exhibit 3'!$A$10:$Y$364</definedName>
    <definedName name="_xlnm.Print_Area">#REF!</definedName>
    <definedName name="Print_Area_MI" localSheetId="0">'Exhibit 2'!#REF!</definedName>
    <definedName name="Print_Area_MI" localSheetId="1">'Exhibit 3'!#REF!</definedName>
    <definedName name="PRINT_AREA_MI">#REF!</definedName>
    <definedName name="_xlnm.Print_Titles" localSheetId="0">'Exhibit 2'!$11:$17</definedName>
    <definedName name="_xlnm.Print_Titles" localSheetId="1">'Exhibit 3'!$11:$17</definedName>
    <definedName name="range1" localSheetId="0">'Exhibit 2'!#REF!</definedName>
    <definedName name="range1" localSheetId="1">'Exhibit 3'!#REF!</definedName>
    <definedName name="range1">#REF!</definedName>
    <definedName name="Type1" localSheetId="0">'Exhibit 2'!$R$1:$R$2</definedName>
    <definedName name="Type1" localSheetId="1">'Exhibit 3'!$R$1:$R$2</definedName>
    <definedName name="Type1">#REF!</definedName>
    <definedName name="Type2" localSheetId="0">'Exhibit 2'!$R$3:$R$4</definedName>
    <definedName name="Type2" localSheetId="1">'Exhibit 3'!$R$3:$R$4</definedName>
    <definedName name="Type2">#REF!</definedName>
  </definedNames>
  <calcPr calcId="125725"/>
</workbook>
</file>

<file path=xl/calcChain.xml><?xml version="1.0" encoding="utf-8"?>
<calcChain xmlns="http://schemas.openxmlformats.org/spreadsheetml/2006/main">
  <c r="R366" i="6"/>
  <c r="R366" i="3"/>
  <c r="O7" i="6"/>
  <c r="O6"/>
  <c r="O5"/>
  <c r="O4"/>
  <c r="O3"/>
  <c r="O2"/>
  <c r="O1"/>
  <c r="O7" i="3"/>
  <c r="O6"/>
  <c r="O5"/>
  <c r="O4"/>
  <c r="O3"/>
  <c r="O2"/>
  <c r="O1"/>
  <c r="O191"/>
  <c r="O191" i="6"/>
  <c r="O107"/>
  <c r="O106"/>
  <c r="O94"/>
  <c r="O93"/>
  <c r="O76"/>
  <c r="O9"/>
  <c r="C9"/>
  <c r="D9"/>
  <c r="G9" s="1"/>
  <c r="G15" s="1"/>
  <c r="E9"/>
  <c r="F9"/>
  <c r="U102"/>
  <c r="U98"/>
  <c r="U89"/>
  <c r="U86"/>
  <c r="U87"/>
  <c r="U81"/>
  <c r="U72"/>
  <c r="U67"/>
  <c r="U63"/>
  <c r="U59"/>
  <c r="U58"/>
  <c r="U28"/>
  <c r="U76"/>
  <c r="O77"/>
  <c r="P77"/>
  <c r="U77"/>
  <c r="U78" s="1"/>
  <c r="U93"/>
  <c r="U95" s="1"/>
  <c r="P94"/>
  <c r="U94"/>
  <c r="U106"/>
  <c r="P107"/>
  <c r="U107"/>
  <c r="U108" s="1"/>
  <c r="U116"/>
  <c r="U121"/>
  <c r="U123"/>
  <c r="U124"/>
  <c r="U125"/>
  <c r="U126"/>
  <c r="U132"/>
  <c r="U164"/>
  <c r="U162"/>
  <c r="U168"/>
  <c r="U182"/>
  <c r="U184"/>
  <c r="U194"/>
  <c r="U205"/>
  <c r="U206"/>
  <c r="U215"/>
  <c r="U216" s="1"/>
  <c r="U219"/>
  <c r="U221"/>
  <c r="U230"/>
  <c r="U244"/>
  <c r="U248"/>
  <c r="U249" s="1"/>
  <c r="U252"/>
  <c r="U253" s="1"/>
  <c r="U261"/>
  <c r="U262" s="1"/>
  <c r="U255"/>
  <c r="U258" s="1"/>
  <c r="U256"/>
  <c r="U257"/>
  <c r="U191"/>
  <c r="U192" s="1"/>
  <c r="U270"/>
  <c r="U269"/>
  <c r="U271"/>
  <c r="U273"/>
  <c r="U274"/>
  <c r="U276"/>
  <c r="U277"/>
  <c r="U283"/>
  <c r="U288"/>
  <c r="U293"/>
  <c r="U309"/>
  <c r="U314"/>
  <c r="U315"/>
  <c r="U316" s="1"/>
  <c r="U325"/>
  <c r="U327"/>
  <c r="U328"/>
  <c r="U331"/>
  <c r="U337"/>
  <c r="U338" s="1"/>
  <c r="U341"/>
  <c r="U342" s="1"/>
  <c r="U345"/>
  <c r="U355"/>
  <c r="U358"/>
  <c r="U359" s="1"/>
  <c r="T102"/>
  <c r="T98"/>
  <c r="T89"/>
  <c r="T86"/>
  <c r="T87"/>
  <c r="T81"/>
  <c r="T72"/>
  <c r="T67"/>
  <c r="T63"/>
  <c r="T59"/>
  <c r="T58"/>
  <c r="T28"/>
  <c r="T76"/>
  <c r="T77"/>
  <c r="T78"/>
  <c r="T93"/>
  <c r="T94"/>
  <c r="T95" s="1"/>
  <c r="T106"/>
  <c r="T107"/>
  <c r="T108"/>
  <c r="T116"/>
  <c r="T121"/>
  <c r="T123"/>
  <c r="T124"/>
  <c r="T125"/>
  <c r="T126"/>
  <c r="T132"/>
  <c r="T164"/>
  <c r="T162"/>
  <c r="T168"/>
  <c r="T182"/>
  <c r="T184"/>
  <c r="T194"/>
  <c r="T205"/>
  <c r="T206"/>
  <c r="T215"/>
  <c r="T216" s="1"/>
  <c r="T219"/>
  <c r="T221"/>
  <c r="T230"/>
  <c r="T244"/>
  <c r="T248"/>
  <c r="T249" s="1"/>
  <c r="T252"/>
  <c r="T253" s="1"/>
  <c r="T261"/>
  <c r="T262" s="1"/>
  <c r="T255"/>
  <c r="T256"/>
  <c r="T257"/>
  <c r="T191"/>
  <c r="T192"/>
  <c r="T270"/>
  <c r="T269"/>
  <c r="T273"/>
  <c r="T274"/>
  <c r="T276"/>
  <c r="T277"/>
  <c r="T283"/>
  <c r="T288"/>
  <c r="T293"/>
  <c r="T309"/>
  <c r="T314"/>
  <c r="T315"/>
  <c r="T325"/>
  <c r="T327"/>
  <c r="T331"/>
  <c r="T337"/>
  <c r="T338" s="1"/>
  <c r="T345"/>
  <c r="T355"/>
  <c r="T358"/>
  <c r="T359" s="1"/>
  <c r="V102"/>
  <c r="V98"/>
  <c r="V89"/>
  <c r="V86"/>
  <c r="V87"/>
  <c r="V81"/>
  <c r="V72"/>
  <c r="V67"/>
  <c r="V63"/>
  <c r="V59"/>
  <c r="V58"/>
  <c r="V28"/>
  <c r="V76"/>
  <c r="Q77"/>
  <c r="V93"/>
  <c r="V95" s="1"/>
  <c r="Q94"/>
  <c r="V94"/>
  <c r="V106"/>
  <c r="Q107"/>
  <c r="V116"/>
  <c r="V121"/>
  <c r="V123"/>
  <c r="V124"/>
  <c r="V125"/>
  <c r="V126"/>
  <c r="V132"/>
  <c r="V164"/>
  <c r="V162"/>
  <c r="V168"/>
  <c r="V182"/>
  <c r="V184"/>
  <c r="V194"/>
  <c r="V205"/>
  <c r="V206"/>
  <c r="V215"/>
  <c r="V216"/>
  <c r="V219"/>
  <c r="V221"/>
  <c r="V230"/>
  <c r="V244"/>
  <c r="V248"/>
  <c r="V249"/>
  <c r="V252"/>
  <c r="V253"/>
  <c r="V261"/>
  <c r="V262"/>
  <c r="V255"/>
  <c r="V256"/>
  <c r="V257"/>
  <c r="V258" s="1"/>
  <c r="V191"/>
  <c r="V192"/>
  <c r="V270"/>
  <c r="V269"/>
  <c r="V273"/>
  <c r="V274"/>
  <c r="V276"/>
  <c r="V277"/>
  <c r="V283"/>
  <c r="V288"/>
  <c r="V293"/>
  <c r="V309"/>
  <c r="V314"/>
  <c r="V315"/>
  <c r="V325"/>
  <c r="V327"/>
  <c r="V331"/>
  <c r="V337"/>
  <c r="V338" s="1"/>
  <c r="V341"/>
  <c r="V342" s="1"/>
  <c r="V345"/>
  <c r="V355"/>
  <c r="V358"/>
  <c r="V359" s="1"/>
  <c r="C15"/>
  <c r="D15"/>
  <c r="E15"/>
  <c r="F15"/>
  <c r="X103"/>
  <c r="O102"/>
  <c r="X99"/>
  <c r="O89"/>
  <c r="X90"/>
  <c r="X82"/>
  <c r="O72"/>
  <c r="X73"/>
  <c r="X68"/>
  <c r="O63"/>
  <c r="X64"/>
  <c r="X60"/>
  <c r="O59"/>
  <c r="P59" s="1"/>
  <c r="X29"/>
  <c r="P76"/>
  <c r="X76"/>
  <c r="X77"/>
  <c r="P93"/>
  <c r="X93" s="1"/>
  <c r="X94"/>
  <c r="P106"/>
  <c r="X106"/>
  <c r="X107"/>
  <c r="X108"/>
  <c r="X117"/>
  <c r="O121"/>
  <c r="P121" s="1"/>
  <c r="O124"/>
  <c r="P124" s="1"/>
  <c r="X124" s="1"/>
  <c r="O125"/>
  <c r="P125"/>
  <c r="X125" s="1"/>
  <c r="O126"/>
  <c r="P126" s="1"/>
  <c r="X126" s="1"/>
  <c r="X127"/>
  <c r="X133"/>
  <c r="X165"/>
  <c r="X169"/>
  <c r="O168"/>
  <c r="X186"/>
  <c r="X188"/>
  <c r="O206"/>
  <c r="P206" s="1"/>
  <c r="X210"/>
  <c r="O221"/>
  <c r="P221"/>
  <c r="X225"/>
  <c r="X245"/>
  <c r="O255"/>
  <c r="P255"/>
  <c r="X255" s="1"/>
  <c r="O256"/>
  <c r="P256" s="1"/>
  <c r="O257"/>
  <c r="P257" s="1"/>
  <c r="X257" s="1"/>
  <c r="P191"/>
  <c r="X191"/>
  <c r="X192" s="1"/>
  <c r="O269"/>
  <c r="O270" s="1"/>
  <c r="O273"/>
  <c r="P273" s="1"/>
  <c r="O276"/>
  <c r="P276" s="1"/>
  <c r="X276" s="1"/>
  <c r="X278"/>
  <c r="O283"/>
  <c r="P283" s="1"/>
  <c r="X284"/>
  <c r="X289"/>
  <c r="O293"/>
  <c r="P293" s="1"/>
  <c r="X294"/>
  <c r="O309"/>
  <c r="P309"/>
  <c r="X310"/>
  <c r="O314"/>
  <c r="O325"/>
  <c r="P325"/>
  <c r="O327"/>
  <c r="O331"/>
  <c r="P331" s="1"/>
  <c r="X332"/>
  <c r="O337"/>
  <c r="P337"/>
  <c r="O341"/>
  <c r="P341"/>
  <c r="O345"/>
  <c r="P345"/>
  <c r="X346"/>
  <c r="O355"/>
  <c r="P355" s="1"/>
  <c r="O358"/>
  <c r="W103"/>
  <c r="W102"/>
  <c r="W104" s="1"/>
  <c r="W99"/>
  <c r="W90"/>
  <c r="W82"/>
  <c r="W73"/>
  <c r="W68"/>
  <c r="W64"/>
  <c r="W60"/>
  <c r="W59"/>
  <c r="W29"/>
  <c r="W76"/>
  <c r="W77"/>
  <c r="W78" s="1"/>
  <c r="W93"/>
  <c r="W94"/>
  <c r="W95"/>
  <c r="W106"/>
  <c r="W107"/>
  <c r="W108" s="1"/>
  <c r="W117"/>
  <c r="W121"/>
  <c r="W125"/>
  <c r="W126"/>
  <c r="W127"/>
  <c r="W133"/>
  <c r="W165"/>
  <c r="W169"/>
  <c r="W186"/>
  <c r="W188"/>
  <c r="W206"/>
  <c r="W210"/>
  <c r="W221"/>
  <c r="W225"/>
  <c r="W245"/>
  <c r="W255"/>
  <c r="W256"/>
  <c r="W257"/>
  <c r="W191"/>
  <c r="W192" s="1"/>
  <c r="W269"/>
  <c r="W273"/>
  <c r="W276"/>
  <c r="W278"/>
  <c r="W283"/>
  <c r="W284"/>
  <c r="W285"/>
  <c r="W289"/>
  <c r="W293"/>
  <c r="W294"/>
  <c r="W309"/>
  <c r="W310"/>
  <c r="W314"/>
  <c r="W327"/>
  <c r="W332"/>
  <c r="W337"/>
  <c r="W338"/>
  <c r="W341"/>
  <c r="W342"/>
  <c r="W346"/>
  <c r="W355"/>
  <c r="W358"/>
  <c r="W359"/>
  <c r="Y103"/>
  <c r="Y99"/>
  <c r="Q89"/>
  <c r="Y90"/>
  <c r="Y82"/>
  <c r="Y73"/>
  <c r="Y68"/>
  <c r="Y64"/>
  <c r="Y60"/>
  <c r="Y29"/>
  <c r="Q76"/>
  <c r="Y76"/>
  <c r="Y77"/>
  <c r="Y78"/>
  <c r="Q93"/>
  <c r="Y93"/>
  <c r="Y94"/>
  <c r="Y95"/>
  <c r="Q106"/>
  <c r="Y106"/>
  <c r="Y107"/>
  <c r="Y108"/>
  <c r="Y117"/>
  <c r="Q121"/>
  <c r="Y121" s="1"/>
  <c r="Q125"/>
  <c r="Y125" s="1"/>
  <c r="Q126"/>
  <c r="Y126" s="1"/>
  <c r="Y127"/>
  <c r="Y133"/>
  <c r="Y165"/>
  <c r="Y169"/>
  <c r="Y186"/>
  <c r="Y188"/>
  <c r="Q206"/>
  <c r="Y206" s="1"/>
  <c r="Y210"/>
  <c r="Q221"/>
  <c r="Y221"/>
  <c r="Y225"/>
  <c r="Y245"/>
  <c r="Q255"/>
  <c r="Q256"/>
  <c r="Y256" s="1"/>
  <c r="Q257"/>
  <c r="Y257" s="1"/>
  <c r="Q191"/>
  <c r="Y191" s="1"/>
  <c r="Y192" s="1"/>
  <c r="Q269"/>
  <c r="Y269"/>
  <c r="Q273"/>
  <c r="Y278"/>
  <c r="Y284"/>
  <c r="Y289"/>
  <c r="Q293"/>
  <c r="Y293"/>
  <c r="Y294"/>
  <c r="Q309"/>
  <c r="Y310"/>
  <c r="Q314"/>
  <c r="Y314" s="1"/>
  <c r="Q331"/>
  <c r="Y331" s="1"/>
  <c r="Y332"/>
  <c r="Q337"/>
  <c r="Y337"/>
  <c r="Y338" s="1"/>
  <c r="Q341"/>
  <c r="Y341" s="1"/>
  <c r="Y342" s="1"/>
  <c r="Q345"/>
  <c r="Y346"/>
  <c r="Q355"/>
  <c r="Y355"/>
  <c r="H19"/>
  <c r="H20" s="1"/>
  <c r="H21" s="1"/>
  <c r="L19"/>
  <c r="P19"/>
  <c r="X19" s="1"/>
  <c r="Q19"/>
  <c r="Y19"/>
  <c r="T19"/>
  <c r="U19"/>
  <c r="V19"/>
  <c r="W19"/>
  <c r="C20"/>
  <c r="D20"/>
  <c r="E20"/>
  <c r="F20"/>
  <c r="G20"/>
  <c r="I20"/>
  <c r="J20"/>
  <c r="K20"/>
  <c r="M20"/>
  <c r="N20"/>
  <c r="T20"/>
  <c r="T21" s="1"/>
  <c r="W20"/>
  <c r="W21"/>
  <c r="N21"/>
  <c r="H28"/>
  <c r="H30" s="1"/>
  <c r="L28"/>
  <c r="H29"/>
  <c r="L29"/>
  <c r="C30"/>
  <c r="D30"/>
  <c r="E30"/>
  <c r="F30"/>
  <c r="G30"/>
  <c r="I30"/>
  <c r="J30"/>
  <c r="K30"/>
  <c r="M30"/>
  <c r="N30"/>
  <c r="S30"/>
  <c r="H34"/>
  <c r="L34"/>
  <c r="O34"/>
  <c r="R34" s="1"/>
  <c r="R36" s="1"/>
  <c r="H35"/>
  <c r="L35"/>
  <c r="H39"/>
  <c r="L39"/>
  <c r="P39"/>
  <c r="R39"/>
  <c r="H41"/>
  <c r="L41"/>
  <c r="O41"/>
  <c r="P41" s="1"/>
  <c r="H42"/>
  <c r="L42"/>
  <c r="N42"/>
  <c r="R42" s="1"/>
  <c r="O42"/>
  <c r="P42"/>
  <c r="H43"/>
  <c r="L43"/>
  <c r="O43"/>
  <c r="R44"/>
  <c r="H48"/>
  <c r="L48"/>
  <c r="O48"/>
  <c r="R48" s="1"/>
  <c r="R52" s="1"/>
  <c r="H51"/>
  <c r="L51"/>
  <c r="R51"/>
  <c r="N51"/>
  <c r="P51"/>
  <c r="M52"/>
  <c r="H54"/>
  <c r="L54"/>
  <c r="O54"/>
  <c r="R54"/>
  <c r="R56" s="1"/>
  <c r="L55"/>
  <c r="O55"/>
  <c r="P55"/>
  <c r="M56"/>
  <c r="N56"/>
  <c r="H58"/>
  <c r="L58"/>
  <c r="H59"/>
  <c r="L59"/>
  <c r="H60"/>
  <c r="L60"/>
  <c r="C61"/>
  <c r="D61"/>
  <c r="E61"/>
  <c r="F61"/>
  <c r="G61"/>
  <c r="H61"/>
  <c r="M61"/>
  <c r="N61"/>
  <c r="S61"/>
  <c r="H63"/>
  <c r="H65" s="1"/>
  <c r="L63"/>
  <c r="R63" s="1"/>
  <c r="H64"/>
  <c r="L64"/>
  <c r="C65"/>
  <c r="D65"/>
  <c r="E65"/>
  <c r="F65"/>
  <c r="G65"/>
  <c r="M65"/>
  <c r="N65"/>
  <c r="S65"/>
  <c r="H67"/>
  <c r="H69" s="1"/>
  <c r="L67"/>
  <c r="H68"/>
  <c r="L68"/>
  <c r="C69"/>
  <c r="D69"/>
  <c r="E69"/>
  <c r="F69"/>
  <c r="G69"/>
  <c r="M69"/>
  <c r="N69"/>
  <c r="S69"/>
  <c r="H72"/>
  <c r="L72"/>
  <c r="H73"/>
  <c r="H74" s="1"/>
  <c r="L73"/>
  <c r="C74"/>
  <c r="D74"/>
  <c r="E74"/>
  <c r="F74"/>
  <c r="G74"/>
  <c r="L74"/>
  <c r="M74"/>
  <c r="N74"/>
  <c r="S74"/>
  <c r="H76"/>
  <c r="L76"/>
  <c r="H77"/>
  <c r="L77"/>
  <c r="R77" s="1"/>
  <c r="C78"/>
  <c r="D78"/>
  <c r="E78"/>
  <c r="F78"/>
  <c r="G78"/>
  <c r="H78"/>
  <c r="M78"/>
  <c r="N78"/>
  <c r="P78"/>
  <c r="S78"/>
  <c r="H81"/>
  <c r="H83" s="1"/>
  <c r="L81"/>
  <c r="H82"/>
  <c r="L82"/>
  <c r="C83"/>
  <c r="D83"/>
  <c r="E83"/>
  <c r="F83"/>
  <c r="G83"/>
  <c r="L83"/>
  <c r="M83"/>
  <c r="N83"/>
  <c r="H86"/>
  <c r="L86"/>
  <c r="L87" s="1"/>
  <c r="C87"/>
  <c r="D87"/>
  <c r="E87"/>
  <c r="F87"/>
  <c r="G87"/>
  <c r="H87"/>
  <c r="M87"/>
  <c r="N87"/>
  <c r="H89"/>
  <c r="H91" s="1"/>
  <c r="L89"/>
  <c r="H90"/>
  <c r="L90"/>
  <c r="C91"/>
  <c r="D91"/>
  <c r="E91"/>
  <c r="F91"/>
  <c r="G91"/>
  <c r="M91"/>
  <c r="N91"/>
  <c r="S91"/>
  <c r="H93"/>
  <c r="H95"/>
  <c r="L93"/>
  <c r="R93"/>
  <c r="H94"/>
  <c r="L94"/>
  <c r="R94" s="1"/>
  <c r="C95"/>
  <c r="D95"/>
  <c r="E95"/>
  <c r="F95"/>
  <c r="G95"/>
  <c r="M95"/>
  <c r="N95"/>
  <c r="P95"/>
  <c r="Q95"/>
  <c r="S95"/>
  <c r="H98"/>
  <c r="H100" s="1"/>
  <c r="L98"/>
  <c r="H99"/>
  <c r="L99"/>
  <c r="C100"/>
  <c r="D100"/>
  <c r="E100"/>
  <c r="F100"/>
  <c r="G100"/>
  <c r="M100"/>
  <c r="N100"/>
  <c r="S100"/>
  <c r="H102"/>
  <c r="L102"/>
  <c r="R102" s="1"/>
  <c r="H103"/>
  <c r="H104" s="1"/>
  <c r="L103"/>
  <c r="C104"/>
  <c r="D104"/>
  <c r="E104"/>
  <c r="F104"/>
  <c r="G104"/>
  <c r="M104"/>
  <c r="N104"/>
  <c r="S104"/>
  <c r="H106"/>
  <c r="L106"/>
  <c r="H107"/>
  <c r="L107"/>
  <c r="R107" s="1"/>
  <c r="C108"/>
  <c r="D108"/>
  <c r="E108"/>
  <c r="F108"/>
  <c r="G108"/>
  <c r="H108"/>
  <c r="M108"/>
  <c r="N108"/>
  <c r="N110" s="1"/>
  <c r="P108"/>
  <c r="S108"/>
  <c r="S110" s="1"/>
  <c r="M110"/>
  <c r="H116"/>
  <c r="L116"/>
  <c r="H117"/>
  <c r="H118" s="1"/>
  <c r="L117"/>
  <c r="C118"/>
  <c r="D118"/>
  <c r="E118"/>
  <c r="F118"/>
  <c r="G118"/>
  <c r="I118"/>
  <c r="J118"/>
  <c r="K118"/>
  <c r="M118"/>
  <c r="N118"/>
  <c r="H121"/>
  <c r="L121"/>
  <c r="R121"/>
  <c r="H123"/>
  <c r="L123"/>
  <c r="H124"/>
  <c r="L124"/>
  <c r="R124" s="1"/>
  <c r="H125"/>
  <c r="L125"/>
  <c r="R125"/>
  <c r="H126"/>
  <c r="L126"/>
  <c r="R126" s="1"/>
  <c r="H127"/>
  <c r="H128" s="1"/>
  <c r="L127"/>
  <c r="C128"/>
  <c r="D128"/>
  <c r="E128"/>
  <c r="F128"/>
  <c r="G128"/>
  <c r="I128"/>
  <c r="J128"/>
  <c r="K128"/>
  <c r="L128"/>
  <c r="M128"/>
  <c r="N128"/>
  <c r="H132"/>
  <c r="H134" s="1"/>
  <c r="L132"/>
  <c r="H133"/>
  <c r="L133"/>
  <c r="C134"/>
  <c r="D134"/>
  <c r="E134"/>
  <c r="F134"/>
  <c r="G134"/>
  <c r="I134"/>
  <c r="J134"/>
  <c r="K134"/>
  <c r="M134"/>
  <c r="N134"/>
  <c r="H138"/>
  <c r="L138"/>
  <c r="R138" s="1"/>
  <c r="R140" s="1"/>
  <c r="O138"/>
  <c r="P138"/>
  <c r="P140" s="1"/>
  <c r="H139"/>
  <c r="L139"/>
  <c r="O139"/>
  <c r="P139" s="1"/>
  <c r="O140"/>
  <c r="H143"/>
  <c r="L143"/>
  <c r="P143"/>
  <c r="R143"/>
  <c r="R148" s="1"/>
  <c r="H145"/>
  <c r="L145"/>
  <c r="R145"/>
  <c r="O145"/>
  <c r="P145"/>
  <c r="P148" s="1"/>
  <c r="H146"/>
  <c r="L146"/>
  <c r="N146"/>
  <c r="R146"/>
  <c r="O146"/>
  <c r="P146"/>
  <c r="H147"/>
  <c r="L147"/>
  <c r="O147"/>
  <c r="N147" s="1"/>
  <c r="R147" s="1"/>
  <c r="P147"/>
  <c r="H152"/>
  <c r="L152"/>
  <c r="O152"/>
  <c r="P152" s="1"/>
  <c r="P156" s="1"/>
  <c r="H155"/>
  <c r="L155"/>
  <c r="R155"/>
  <c r="N155"/>
  <c r="P155"/>
  <c r="M156"/>
  <c r="H158"/>
  <c r="L158"/>
  <c r="R158" s="1"/>
  <c r="R160" s="1"/>
  <c r="O158"/>
  <c r="P158"/>
  <c r="P160" s="1"/>
  <c r="L159"/>
  <c r="R159" s="1"/>
  <c r="O159"/>
  <c r="P159" s="1"/>
  <c r="M160"/>
  <c r="N160"/>
  <c r="O160"/>
  <c r="H162"/>
  <c r="L162"/>
  <c r="H164"/>
  <c r="L164"/>
  <c r="H165"/>
  <c r="H166" s="1"/>
  <c r="L165"/>
  <c r="C166"/>
  <c r="D166"/>
  <c r="E166"/>
  <c r="F166"/>
  <c r="G166"/>
  <c r="M166"/>
  <c r="N166"/>
  <c r="H168"/>
  <c r="H170"/>
  <c r="L168"/>
  <c r="R168"/>
  <c r="H169"/>
  <c r="L169"/>
  <c r="C170"/>
  <c r="D170"/>
  <c r="E170"/>
  <c r="F170"/>
  <c r="G170"/>
  <c r="M170"/>
  <c r="M172" s="1"/>
  <c r="N170"/>
  <c r="H177"/>
  <c r="L177"/>
  <c r="P177"/>
  <c r="X177" s="1"/>
  <c r="X178" s="1"/>
  <c r="Q177"/>
  <c r="Y177"/>
  <c r="T177"/>
  <c r="T178"/>
  <c r="U177"/>
  <c r="V177"/>
  <c r="V178" s="1"/>
  <c r="W177"/>
  <c r="W178" s="1"/>
  <c r="C178"/>
  <c r="D178"/>
  <c r="E178"/>
  <c r="F178"/>
  <c r="G178"/>
  <c r="H178"/>
  <c r="I178"/>
  <c r="J178"/>
  <c r="K178"/>
  <c r="M178"/>
  <c r="N178"/>
  <c r="O178"/>
  <c r="Q178"/>
  <c r="S178"/>
  <c r="U178"/>
  <c r="Y178"/>
  <c r="H182"/>
  <c r="L182"/>
  <c r="H184"/>
  <c r="L184"/>
  <c r="H186"/>
  <c r="L186"/>
  <c r="H188"/>
  <c r="L188"/>
  <c r="C189"/>
  <c r="D189"/>
  <c r="E189"/>
  <c r="F189"/>
  <c r="G189"/>
  <c r="H189"/>
  <c r="I189"/>
  <c r="J189"/>
  <c r="K189"/>
  <c r="L189"/>
  <c r="M189"/>
  <c r="N189"/>
  <c r="H191"/>
  <c r="L191"/>
  <c r="R191" s="1"/>
  <c r="R192" s="1"/>
  <c r="C192"/>
  <c r="D192"/>
  <c r="E192"/>
  <c r="F192"/>
  <c r="G192"/>
  <c r="H192"/>
  <c r="I192"/>
  <c r="J192"/>
  <c r="K192"/>
  <c r="L192"/>
  <c r="M192"/>
  <c r="N192"/>
  <c r="P192"/>
  <c r="Q192"/>
  <c r="H194"/>
  <c r="L194"/>
  <c r="H196"/>
  <c r="L196"/>
  <c r="R196" s="1"/>
  <c r="P196"/>
  <c r="Q196"/>
  <c r="Y196"/>
  <c r="T196"/>
  <c r="U196"/>
  <c r="V196"/>
  <c r="W196"/>
  <c r="X196"/>
  <c r="H198"/>
  <c r="L198"/>
  <c r="P198"/>
  <c r="X198"/>
  <c r="Q198"/>
  <c r="R198"/>
  <c r="T198"/>
  <c r="U198"/>
  <c r="V198"/>
  <c r="W198"/>
  <c r="Y198"/>
  <c r="H200"/>
  <c r="H203" s="1"/>
  <c r="L200"/>
  <c r="R200"/>
  <c r="P200"/>
  <c r="Q200"/>
  <c r="V200" s="1"/>
  <c r="T200"/>
  <c r="T203" s="1"/>
  <c r="U200"/>
  <c r="W200"/>
  <c r="X200"/>
  <c r="Y200"/>
  <c r="H202"/>
  <c r="L202"/>
  <c r="R202" s="1"/>
  <c r="P202"/>
  <c r="U202" s="1"/>
  <c r="Q202"/>
  <c r="T202"/>
  <c r="V202"/>
  <c r="W202"/>
  <c r="X202"/>
  <c r="Y202"/>
  <c r="C203"/>
  <c r="D203"/>
  <c r="E203"/>
  <c r="F203"/>
  <c r="G203"/>
  <c r="I203"/>
  <c r="J203"/>
  <c r="K203"/>
  <c r="M203"/>
  <c r="N203"/>
  <c r="S203"/>
  <c r="H205"/>
  <c r="L205"/>
  <c r="H206"/>
  <c r="L206"/>
  <c r="R206"/>
  <c r="H208"/>
  <c r="L208"/>
  <c r="R208" s="1"/>
  <c r="P208"/>
  <c r="X208" s="1"/>
  <c r="Q208"/>
  <c r="Y208"/>
  <c r="T208"/>
  <c r="U208"/>
  <c r="V208"/>
  <c r="W208"/>
  <c r="H210"/>
  <c r="L210"/>
  <c r="H212"/>
  <c r="L212"/>
  <c r="R212"/>
  <c r="P212"/>
  <c r="Q212"/>
  <c r="V212" s="1"/>
  <c r="T212"/>
  <c r="U212"/>
  <c r="W212"/>
  <c r="X212"/>
  <c r="Y212"/>
  <c r="C213"/>
  <c r="D213"/>
  <c r="E213"/>
  <c r="F213"/>
  <c r="G213"/>
  <c r="I213"/>
  <c r="J213"/>
  <c r="K213"/>
  <c r="M213"/>
  <c r="N213"/>
  <c r="H215"/>
  <c r="L215"/>
  <c r="C216"/>
  <c r="D216"/>
  <c r="E216"/>
  <c r="F216"/>
  <c r="G216"/>
  <c r="H216"/>
  <c r="I216"/>
  <c r="J216"/>
  <c r="K216"/>
  <c r="M216"/>
  <c r="N216"/>
  <c r="H219"/>
  <c r="L219"/>
  <c r="H221"/>
  <c r="L221"/>
  <c r="R221"/>
  <c r="H223"/>
  <c r="L223"/>
  <c r="R223" s="1"/>
  <c r="P223"/>
  <c r="X223" s="1"/>
  <c r="Q223"/>
  <c r="Y223"/>
  <c r="T223"/>
  <c r="U223"/>
  <c r="V223"/>
  <c r="W223"/>
  <c r="H225"/>
  <c r="L225"/>
  <c r="H227"/>
  <c r="L227"/>
  <c r="R227"/>
  <c r="P227"/>
  <c r="Q227"/>
  <c r="V227" s="1"/>
  <c r="T227"/>
  <c r="U227"/>
  <c r="W227"/>
  <c r="X227"/>
  <c r="Y227"/>
  <c r="C228"/>
  <c r="D228"/>
  <c r="E228"/>
  <c r="F228"/>
  <c r="G228"/>
  <c r="I228"/>
  <c r="J228"/>
  <c r="K228"/>
  <c r="M228"/>
  <c r="N228"/>
  <c r="H230"/>
  <c r="L230"/>
  <c r="H232"/>
  <c r="L232"/>
  <c r="P232"/>
  <c r="X232"/>
  <c r="Q232"/>
  <c r="R232"/>
  <c r="T232"/>
  <c r="U232"/>
  <c r="V232"/>
  <c r="W232"/>
  <c r="Y232"/>
  <c r="H234"/>
  <c r="L234"/>
  <c r="R234"/>
  <c r="P234"/>
  <c r="Q234"/>
  <c r="Y234" s="1"/>
  <c r="T234"/>
  <c r="T239" s="1"/>
  <c r="U234"/>
  <c r="V234"/>
  <c r="W234"/>
  <c r="X234"/>
  <c r="H236"/>
  <c r="L236"/>
  <c r="P236"/>
  <c r="X236" s="1"/>
  <c r="Q236"/>
  <c r="R236"/>
  <c r="T236"/>
  <c r="U236"/>
  <c r="V236"/>
  <c r="W236"/>
  <c r="Y236"/>
  <c r="H238"/>
  <c r="L238"/>
  <c r="R238" s="1"/>
  <c r="P238"/>
  <c r="U238" s="1"/>
  <c r="Q238"/>
  <c r="T238"/>
  <c r="V238"/>
  <c r="W238"/>
  <c r="X238"/>
  <c r="Y238"/>
  <c r="C239"/>
  <c r="D239"/>
  <c r="E239"/>
  <c r="F239"/>
  <c r="G239"/>
  <c r="I239"/>
  <c r="J239"/>
  <c r="K239"/>
  <c r="M239"/>
  <c r="N239"/>
  <c r="H244"/>
  <c r="H246" s="1"/>
  <c r="L244"/>
  <c r="H245"/>
  <c r="L245"/>
  <c r="C246"/>
  <c r="D246"/>
  <c r="E246"/>
  <c r="F246"/>
  <c r="G246"/>
  <c r="I246"/>
  <c r="J246"/>
  <c r="K246"/>
  <c r="L246"/>
  <c r="M246"/>
  <c r="N246"/>
  <c r="H248"/>
  <c r="H249" s="1"/>
  <c r="L248"/>
  <c r="C249"/>
  <c r="D249"/>
  <c r="E249"/>
  <c r="F249"/>
  <c r="G249"/>
  <c r="I249"/>
  <c r="J249"/>
  <c r="K249"/>
  <c r="L249"/>
  <c r="M249"/>
  <c r="N249"/>
  <c r="H252"/>
  <c r="H253" s="1"/>
  <c r="L252"/>
  <c r="C253"/>
  <c r="D253"/>
  <c r="E253"/>
  <c r="F253"/>
  <c r="G253"/>
  <c r="I253"/>
  <c r="J253"/>
  <c r="K253"/>
  <c r="L253"/>
  <c r="M253"/>
  <c r="N253"/>
  <c r="H255"/>
  <c r="H258" s="1"/>
  <c r="L255"/>
  <c r="H256"/>
  <c r="L256"/>
  <c r="R256" s="1"/>
  <c r="H257"/>
  <c r="L257"/>
  <c r="R257"/>
  <c r="C258"/>
  <c r="D258"/>
  <c r="E258"/>
  <c r="F258"/>
  <c r="G258"/>
  <c r="I258"/>
  <c r="J258"/>
  <c r="K258"/>
  <c r="M258"/>
  <c r="N258"/>
  <c r="N264" s="1"/>
  <c r="H261"/>
  <c r="H262" s="1"/>
  <c r="L261"/>
  <c r="C262"/>
  <c r="D262"/>
  <c r="E262"/>
  <c r="F262"/>
  <c r="G262"/>
  <c r="I262"/>
  <c r="J262"/>
  <c r="K262"/>
  <c r="M262"/>
  <c r="N262"/>
  <c r="H269"/>
  <c r="L269"/>
  <c r="R269" s="1"/>
  <c r="H270"/>
  <c r="H271" s="1"/>
  <c r="L270"/>
  <c r="C271"/>
  <c r="D271"/>
  <c r="E271"/>
  <c r="F271"/>
  <c r="G271"/>
  <c r="I271"/>
  <c r="J271"/>
  <c r="K271"/>
  <c r="M271"/>
  <c r="N271"/>
  <c r="H273"/>
  <c r="L273"/>
  <c r="H274"/>
  <c r="L274"/>
  <c r="H276"/>
  <c r="L276"/>
  <c r="H277"/>
  <c r="L277"/>
  <c r="H278"/>
  <c r="L278"/>
  <c r="C279"/>
  <c r="D279"/>
  <c r="E279"/>
  <c r="F279"/>
  <c r="G279"/>
  <c r="I279"/>
  <c r="J279"/>
  <c r="K279"/>
  <c r="M279"/>
  <c r="N279"/>
  <c r="H283"/>
  <c r="L283"/>
  <c r="R283" s="1"/>
  <c r="H284"/>
  <c r="L284"/>
  <c r="C285"/>
  <c r="D285"/>
  <c r="E285"/>
  <c r="F285"/>
  <c r="G285"/>
  <c r="H285"/>
  <c r="I285"/>
  <c r="J285"/>
  <c r="K285"/>
  <c r="M285"/>
  <c r="N285"/>
  <c r="H288"/>
  <c r="L288"/>
  <c r="H289"/>
  <c r="H290" s="1"/>
  <c r="L289"/>
  <c r="C290"/>
  <c r="D290"/>
  <c r="E290"/>
  <c r="F290"/>
  <c r="G290"/>
  <c r="I290"/>
  <c r="J290"/>
  <c r="K290"/>
  <c r="M290"/>
  <c r="N290"/>
  <c r="H293"/>
  <c r="L293"/>
  <c r="R293" s="1"/>
  <c r="H294"/>
  <c r="L294"/>
  <c r="C295"/>
  <c r="D295"/>
  <c r="E295"/>
  <c r="F295"/>
  <c r="G295"/>
  <c r="H295"/>
  <c r="I295"/>
  <c r="J295"/>
  <c r="K295"/>
  <c r="M295"/>
  <c r="N295"/>
  <c r="H299"/>
  <c r="L299"/>
  <c r="O299"/>
  <c r="P299"/>
  <c r="P301" s="1"/>
  <c r="H300"/>
  <c r="L300"/>
  <c r="O300"/>
  <c r="M301"/>
  <c r="H304"/>
  <c r="L304"/>
  <c r="R304" s="1"/>
  <c r="R306" s="1"/>
  <c r="O304"/>
  <c r="P304"/>
  <c r="H305"/>
  <c r="L305"/>
  <c r="O305"/>
  <c r="N305" s="1"/>
  <c r="R305" s="1"/>
  <c r="P305"/>
  <c r="M306"/>
  <c r="O306"/>
  <c r="P306"/>
  <c r="H309"/>
  <c r="H311" s="1"/>
  <c r="L309"/>
  <c r="R309" s="1"/>
  <c r="H310"/>
  <c r="L310"/>
  <c r="C311"/>
  <c r="D311"/>
  <c r="E311"/>
  <c r="F311"/>
  <c r="G311"/>
  <c r="I311"/>
  <c r="J311"/>
  <c r="K311"/>
  <c r="M311"/>
  <c r="N311"/>
  <c r="H314"/>
  <c r="L314"/>
  <c r="R314"/>
  <c r="H315"/>
  <c r="L315"/>
  <c r="C316"/>
  <c r="D316"/>
  <c r="E316"/>
  <c r="F316"/>
  <c r="G316"/>
  <c r="H316"/>
  <c r="I316"/>
  <c r="J316"/>
  <c r="K316"/>
  <c r="M316"/>
  <c r="N316"/>
  <c r="H320"/>
  <c r="L320"/>
  <c r="O320"/>
  <c r="O321" s="1"/>
  <c r="H321"/>
  <c r="L321"/>
  <c r="C322"/>
  <c r="M322"/>
  <c r="H325"/>
  <c r="H328" s="1"/>
  <c r="L325"/>
  <c r="R325" s="1"/>
  <c r="H327"/>
  <c r="L327"/>
  <c r="C328"/>
  <c r="D328"/>
  <c r="E328"/>
  <c r="F328"/>
  <c r="G328"/>
  <c r="I328"/>
  <c r="J328"/>
  <c r="K328"/>
  <c r="M328"/>
  <c r="M361" s="1"/>
  <c r="N328"/>
  <c r="H331"/>
  <c r="L331"/>
  <c r="R331" s="1"/>
  <c r="H332"/>
  <c r="H333" s="1"/>
  <c r="L332"/>
  <c r="C333"/>
  <c r="D333"/>
  <c r="E333"/>
  <c r="F333"/>
  <c r="G333"/>
  <c r="I333"/>
  <c r="J333"/>
  <c r="K333"/>
  <c r="M333"/>
  <c r="N333"/>
  <c r="H337"/>
  <c r="L337"/>
  <c r="C338"/>
  <c r="D338"/>
  <c r="E338"/>
  <c r="F338"/>
  <c r="G338"/>
  <c r="H338"/>
  <c r="I338"/>
  <c r="J338"/>
  <c r="K338"/>
  <c r="L338"/>
  <c r="M338"/>
  <c r="N338"/>
  <c r="H341"/>
  <c r="H342"/>
  <c r="L341"/>
  <c r="R341"/>
  <c r="R342" s="1"/>
  <c r="T341"/>
  <c r="C342"/>
  <c r="D342"/>
  <c r="E342"/>
  <c r="F342"/>
  <c r="G342"/>
  <c r="I342"/>
  <c r="J342"/>
  <c r="K342"/>
  <c r="M342"/>
  <c r="N342"/>
  <c r="Q342"/>
  <c r="T342"/>
  <c r="H345"/>
  <c r="L345"/>
  <c r="H346"/>
  <c r="H347" s="1"/>
  <c r="L346"/>
  <c r="C347"/>
  <c r="D347"/>
  <c r="E347"/>
  <c r="F347"/>
  <c r="G347"/>
  <c r="I347"/>
  <c r="J347"/>
  <c r="K347"/>
  <c r="M347"/>
  <c r="N347"/>
  <c r="H350"/>
  <c r="L350"/>
  <c r="R350"/>
  <c r="P350"/>
  <c r="Q350"/>
  <c r="Y350" s="1"/>
  <c r="T350"/>
  <c r="T352" s="1"/>
  <c r="U350"/>
  <c r="V350"/>
  <c r="W350"/>
  <c r="X350"/>
  <c r="H351"/>
  <c r="L351"/>
  <c r="P351"/>
  <c r="P352"/>
  <c r="Q351"/>
  <c r="R351"/>
  <c r="T351"/>
  <c r="U351"/>
  <c r="U352" s="1"/>
  <c r="V351"/>
  <c r="W351"/>
  <c r="W352"/>
  <c r="X351"/>
  <c r="X352" s="1"/>
  <c r="Y351"/>
  <c r="C352"/>
  <c r="D352"/>
  <c r="E352"/>
  <c r="F352"/>
  <c r="G352"/>
  <c r="H352"/>
  <c r="I352"/>
  <c r="J352"/>
  <c r="K352"/>
  <c r="M352"/>
  <c r="N352"/>
  <c r="Q352"/>
  <c r="V352"/>
  <c r="T354"/>
  <c r="T356" s="1"/>
  <c r="U354"/>
  <c r="U356" s="1"/>
  <c r="V354"/>
  <c r="V356" s="1"/>
  <c r="W354"/>
  <c r="W356" s="1"/>
  <c r="X354"/>
  <c r="Y354"/>
  <c r="Y356" s="1"/>
  <c r="H355"/>
  <c r="H356" s="1"/>
  <c r="L355"/>
  <c r="R355"/>
  <c r="R356" s="1"/>
  <c r="C356"/>
  <c r="D356"/>
  <c r="E356"/>
  <c r="F356"/>
  <c r="G356"/>
  <c r="I356"/>
  <c r="J356"/>
  <c r="K356"/>
  <c r="L356"/>
  <c r="M356"/>
  <c r="N356"/>
  <c r="Q356"/>
  <c r="H358"/>
  <c r="L358"/>
  <c r="R358" s="1"/>
  <c r="R359" s="1"/>
  <c r="C359"/>
  <c r="D359"/>
  <c r="E359"/>
  <c r="F359"/>
  <c r="G359"/>
  <c r="H359"/>
  <c r="I359"/>
  <c r="J359"/>
  <c r="K359"/>
  <c r="L359"/>
  <c r="M359"/>
  <c r="N359"/>
  <c r="Y127" i="3"/>
  <c r="Q191"/>
  <c r="Y191" s="1"/>
  <c r="Y192" s="1"/>
  <c r="V191"/>
  <c r="V192"/>
  <c r="X127"/>
  <c r="P191"/>
  <c r="X191" s="1"/>
  <c r="X192" s="1"/>
  <c r="U191"/>
  <c r="U192"/>
  <c r="W127"/>
  <c r="W191"/>
  <c r="W192" s="1"/>
  <c r="T191"/>
  <c r="T192" s="1"/>
  <c r="Q192"/>
  <c r="P192"/>
  <c r="O358"/>
  <c r="Q358" s="1"/>
  <c r="P358"/>
  <c r="X358" s="1"/>
  <c r="X359" s="1"/>
  <c r="W358"/>
  <c r="V358"/>
  <c r="U358"/>
  <c r="T358"/>
  <c r="O355"/>
  <c r="V355"/>
  <c r="U355"/>
  <c r="T355"/>
  <c r="Y354"/>
  <c r="X354"/>
  <c r="W354"/>
  <c r="V354"/>
  <c r="U354"/>
  <c r="T354"/>
  <c r="Y351"/>
  <c r="X351"/>
  <c r="W351"/>
  <c r="Q351"/>
  <c r="V351" s="1"/>
  <c r="V352" s="1"/>
  <c r="P351"/>
  <c r="U351" s="1"/>
  <c r="U352" s="1"/>
  <c r="T351"/>
  <c r="Q350"/>
  <c r="Y350"/>
  <c r="P350"/>
  <c r="X350"/>
  <c r="W350"/>
  <c r="V350"/>
  <c r="U350"/>
  <c r="T350"/>
  <c r="O9"/>
  <c r="O127"/>
  <c r="V345"/>
  <c r="U345"/>
  <c r="T345"/>
  <c r="Y346"/>
  <c r="X346"/>
  <c r="W346"/>
  <c r="T342"/>
  <c r="V341"/>
  <c r="V342" s="1"/>
  <c r="U341"/>
  <c r="U342" s="1"/>
  <c r="T341"/>
  <c r="V337"/>
  <c r="U337"/>
  <c r="T337"/>
  <c r="Y332"/>
  <c r="X332"/>
  <c r="W332"/>
  <c r="V331"/>
  <c r="U331"/>
  <c r="T331"/>
  <c r="O327"/>
  <c r="Q327" s="1"/>
  <c r="Y327" s="1"/>
  <c r="V327"/>
  <c r="U327"/>
  <c r="T327"/>
  <c r="O325"/>
  <c r="Q325"/>
  <c r="V325"/>
  <c r="U325"/>
  <c r="T325"/>
  <c r="O314"/>
  <c r="O315"/>
  <c r="V315"/>
  <c r="U315"/>
  <c r="T315"/>
  <c r="Q314"/>
  <c r="Y314"/>
  <c r="W314"/>
  <c r="V314"/>
  <c r="U314"/>
  <c r="T314"/>
  <c r="Y310"/>
  <c r="X310"/>
  <c r="W310"/>
  <c r="O310"/>
  <c r="Q310" s="1"/>
  <c r="V310" s="1"/>
  <c r="T310"/>
  <c r="O309"/>
  <c r="Q309"/>
  <c r="P309"/>
  <c r="X309"/>
  <c r="X311"/>
  <c r="W309"/>
  <c r="V309"/>
  <c r="U309"/>
  <c r="T309"/>
  <c r="Y294"/>
  <c r="X294"/>
  <c r="W294"/>
  <c r="O294"/>
  <c r="Q294"/>
  <c r="V294"/>
  <c r="O293"/>
  <c r="Q293"/>
  <c r="W293"/>
  <c r="V293"/>
  <c r="U293"/>
  <c r="T293"/>
  <c r="Y289"/>
  <c r="X289"/>
  <c r="W289"/>
  <c r="O289"/>
  <c r="Q289"/>
  <c r="V289"/>
  <c r="O288"/>
  <c r="Q288"/>
  <c r="V288"/>
  <c r="U288"/>
  <c r="T288"/>
  <c r="Y284"/>
  <c r="X284"/>
  <c r="W284"/>
  <c r="O284"/>
  <c r="Q284"/>
  <c r="V284" s="1"/>
  <c r="O283"/>
  <c r="Q283" s="1"/>
  <c r="V283"/>
  <c r="U283"/>
  <c r="T283"/>
  <c r="Y278"/>
  <c r="X278"/>
  <c r="W278"/>
  <c r="O278"/>
  <c r="Q278"/>
  <c r="V278" s="1"/>
  <c r="O277"/>
  <c r="Q277"/>
  <c r="Y277"/>
  <c r="V277"/>
  <c r="U277"/>
  <c r="T277"/>
  <c r="O276"/>
  <c r="Q276"/>
  <c r="Y276" s="1"/>
  <c r="V276"/>
  <c r="U276"/>
  <c r="T276"/>
  <c r="O274"/>
  <c r="Q274"/>
  <c r="V274"/>
  <c r="U274"/>
  <c r="T274"/>
  <c r="O273"/>
  <c r="Q273" s="1"/>
  <c r="Y273" s="1"/>
  <c r="V273"/>
  <c r="U273"/>
  <c r="T273"/>
  <c r="O269"/>
  <c r="O270" s="1"/>
  <c r="V270"/>
  <c r="U270"/>
  <c r="T270"/>
  <c r="Q269"/>
  <c r="Y269"/>
  <c r="P269"/>
  <c r="X269"/>
  <c r="W269"/>
  <c r="V269"/>
  <c r="U269"/>
  <c r="T269"/>
  <c r="O261"/>
  <c r="Q261"/>
  <c r="V261"/>
  <c r="V262"/>
  <c r="U261"/>
  <c r="U262"/>
  <c r="T261"/>
  <c r="T262"/>
  <c r="O255"/>
  <c r="O257"/>
  <c r="Q257" s="1"/>
  <c r="Y257" s="1"/>
  <c r="V257"/>
  <c r="U257"/>
  <c r="T257"/>
  <c r="O256"/>
  <c r="Q256" s="1"/>
  <c r="W256"/>
  <c r="V256"/>
  <c r="U256"/>
  <c r="T256"/>
  <c r="Q255"/>
  <c r="Y255" s="1"/>
  <c r="P255"/>
  <c r="X255" s="1"/>
  <c r="W255"/>
  <c r="V255"/>
  <c r="U255"/>
  <c r="T255"/>
  <c r="O252"/>
  <c r="Q252" s="1"/>
  <c r="V252"/>
  <c r="U252"/>
  <c r="T252"/>
  <c r="O244"/>
  <c r="O248" s="1"/>
  <c r="Q248" s="1"/>
  <c r="V248"/>
  <c r="U248"/>
  <c r="T248"/>
  <c r="Y245"/>
  <c r="X245"/>
  <c r="W245"/>
  <c r="O245"/>
  <c r="Q245"/>
  <c r="V245" s="1"/>
  <c r="Q244"/>
  <c r="Y244" s="1"/>
  <c r="Y246" s="1"/>
  <c r="P244"/>
  <c r="X244" s="1"/>
  <c r="X246" s="1"/>
  <c r="W244"/>
  <c r="V244"/>
  <c r="U244"/>
  <c r="T244"/>
  <c r="Y238"/>
  <c r="X238"/>
  <c r="W238"/>
  <c r="Q238"/>
  <c r="V238" s="1"/>
  <c r="V239" s="1"/>
  <c r="P238"/>
  <c r="U238" s="1"/>
  <c r="U239" s="1"/>
  <c r="T238"/>
  <c r="Q236"/>
  <c r="Y236"/>
  <c r="P236"/>
  <c r="X236"/>
  <c r="W236"/>
  <c r="V236"/>
  <c r="U236"/>
  <c r="T236"/>
  <c r="Q234"/>
  <c r="Y234"/>
  <c r="P234"/>
  <c r="X234"/>
  <c r="W234"/>
  <c r="V234"/>
  <c r="U234"/>
  <c r="T234"/>
  <c r="Q232"/>
  <c r="Y232"/>
  <c r="P232"/>
  <c r="X232"/>
  <c r="W232"/>
  <c r="V232"/>
  <c r="U232"/>
  <c r="T232"/>
  <c r="O230"/>
  <c r="Q230"/>
  <c r="Y230" s="1"/>
  <c r="Y239" s="1"/>
  <c r="V230"/>
  <c r="U230"/>
  <c r="T230"/>
  <c r="Y227"/>
  <c r="X227"/>
  <c r="W227"/>
  <c r="Q227"/>
  <c r="V227" s="1"/>
  <c r="P227"/>
  <c r="U227" s="1"/>
  <c r="T227"/>
  <c r="Y225"/>
  <c r="X225"/>
  <c r="W225"/>
  <c r="O225"/>
  <c r="Q225" s="1"/>
  <c r="V225" s="1"/>
  <c r="Q223"/>
  <c r="Y223"/>
  <c r="P223"/>
  <c r="X223"/>
  <c r="W223"/>
  <c r="V223"/>
  <c r="U223"/>
  <c r="T223"/>
  <c r="O221"/>
  <c r="Q221"/>
  <c r="Y221" s="1"/>
  <c r="V221"/>
  <c r="U221"/>
  <c r="T221"/>
  <c r="O219"/>
  <c r="Q219"/>
  <c r="W219"/>
  <c r="V219"/>
  <c r="U219"/>
  <c r="T219"/>
  <c r="O215"/>
  <c r="Q215"/>
  <c r="V215"/>
  <c r="U215"/>
  <c r="T215"/>
  <c r="Y212"/>
  <c r="X212"/>
  <c r="W212"/>
  <c r="Q212"/>
  <c r="V212"/>
  <c r="P212"/>
  <c r="U212"/>
  <c r="T212"/>
  <c r="Y210"/>
  <c r="X210"/>
  <c r="W210"/>
  <c r="O210"/>
  <c r="Q210"/>
  <c r="V210" s="1"/>
  <c r="Q208"/>
  <c r="Y208" s="1"/>
  <c r="P208"/>
  <c r="X208" s="1"/>
  <c r="W208"/>
  <c r="V208"/>
  <c r="U208"/>
  <c r="T208"/>
  <c r="O206"/>
  <c r="Q206"/>
  <c r="Y206"/>
  <c r="V206"/>
  <c r="U206"/>
  <c r="T206"/>
  <c r="O205"/>
  <c r="Q205"/>
  <c r="W205"/>
  <c r="V205"/>
  <c r="U205"/>
  <c r="T205"/>
  <c r="Y202"/>
  <c r="X202"/>
  <c r="W202"/>
  <c r="Q202"/>
  <c r="V202"/>
  <c r="P202"/>
  <c r="U202" s="1"/>
  <c r="U203" s="1"/>
  <c r="T202"/>
  <c r="Y200"/>
  <c r="X200"/>
  <c r="W200"/>
  <c r="Q200"/>
  <c r="V200"/>
  <c r="P200"/>
  <c r="U200"/>
  <c r="T200"/>
  <c r="Q198"/>
  <c r="Y198"/>
  <c r="P198"/>
  <c r="X198"/>
  <c r="W198"/>
  <c r="V198"/>
  <c r="U198"/>
  <c r="T198"/>
  <c r="Q196"/>
  <c r="Y196"/>
  <c r="P196"/>
  <c r="X196"/>
  <c r="W196"/>
  <c r="V196"/>
  <c r="U196"/>
  <c r="T196"/>
  <c r="O194"/>
  <c r="Q194"/>
  <c r="Y194" s="1"/>
  <c r="Y203" s="1"/>
  <c r="V194"/>
  <c r="U194"/>
  <c r="T194"/>
  <c r="Y188"/>
  <c r="X188"/>
  <c r="W188"/>
  <c r="O182"/>
  <c r="O188"/>
  <c r="Y186"/>
  <c r="X186"/>
  <c r="W186"/>
  <c r="O186"/>
  <c r="Q186"/>
  <c r="V186" s="1"/>
  <c r="P186"/>
  <c r="U186" s="1"/>
  <c r="T186"/>
  <c r="O184"/>
  <c r="Q184"/>
  <c r="Y184" s="1"/>
  <c r="P184"/>
  <c r="X184" s="1"/>
  <c r="W184"/>
  <c r="V184"/>
  <c r="U184"/>
  <c r="T184"/>
  <c r="Q182"/>
  <c r="Y182" s="1"/>
  <c r="P182"/>
  <c r="X182" s="1"/>
  <c r="W182"/>
  <c r="V182"/>
  <c r="U182"/>
  <c r="T182"/>
  <c r="Q177"/>
  <c r="Y177"/>
  <c r="P177"/>
  <c r="X177" s="1"/>
  <c r="X178" s="1"/>
  <c r="W177"/>
  <c r="V177"/>
  <c r="U177"/>
  <c r="T177"/>
  <c r="Y169"/>
  <c r="X169"/>
  <c r="W169"/>
  <c r="O169"/>
  <c r="Q169"/>
  <c r="O168"/>
  <c r="Q168"/>
  <c r="Y168" s="1"/>
  <c r="Y170" s="1"/>
  <c r="V168"/>
  <c r="U168"/>
  <c r="T168"/>
  <c r="Y165"/>
  <c r="X165"/>
  <c r="W165"/>
  <c r="O164"/>
  <c r="O165"/>
  <c r="W164"/>
  <c r="V164"/>
  <c r="U164"/>
  <c r="T164"/>
  <c r="O162"/>
  <c r="Q162"/>
  <c r="Y162" s="1"/>
  <c r="P162"/>
  <c r="X162" s="1"/>
  <c r="W162"/>
  <c r="V162"/>
  <c r="U162"/>
  <c r="T162"/>
  <c r="Y133"/>
  <c r="X133"/>
  <c r="W133"/>
  <c r="O133"/>
  <c r="Q133"/>
  <c r="P133"/>
  <c r="U133"/>
  <c r="T133"/>
  <c r="O132"/>
  <c r="Q132"/>
  <c r="Y132"/>
  <c r="Y134"/>
  <c r="V132"/>
  <c r="U132"/>
  <c r="T132"/>
  <c r="O126"/>
  <c r="Q126"/>
  <c r="Y126"/>
  <c r="W126"/>
  <c r="V126"/>
  <c r="U126"/>
  <c r="T126"/>
  <c r="O125"/>
  <c r="Q125"/>
  <c r="Y125"/>
  <c r="P125"/>
  <c r="X125"/>
  <c r="W125"/>
  <c r="V125"/>
  <c r="U125"/>
  <c r="T125"/>
  <c r="O124"/>
  <c r="Q124"/>
  <c r="Y124" s="1"/>
  <c r="V124"/>
  <c r="U124"/>
  <c r="T124"/>
  <c r="O123"/>
  <c r="Q123"/>
  <c r="W123"/>
  <c r="V123"/>
  <c r="U123"/>
  <c r="T123"/>
  <c r="O121"/>
  <c r="Q121"/>
  <c r="Y121" s="1"/>
  <c r="V121"/>
  <c r="U121"/>
  <c r="T121"/>
  <c r="Y117"/>
  <c r="X117"/>
  <c r="W117"/>
  <c r="O117"/>
  <c r="Q117" s="1"/>
  <c r="V117" s="1"/>
  <c r="T117"/>
  <c r="O116"/>
  <c r="Q116"/>
  <c r="V116"/>
  <c r="U116"/>
  <c r="T116"/>
  <c r="Y107"/>
  <c r="X107"/>
  <c r="W107"/>
  <c r="O107"/>
  <c r="Q107"/>
  <c r="P107"/>
  <c r="U107"/>
  <c r="T107"/>
  <c r="O106"/>
  <c r="Q106"/>
  <c r="Y106" s="1"/>
  <c r="Y108" s="1"/>
  <c r="P106"/>
  <c r="X106" s="1"/>
  <c r="X108" s="1"/>
  <c r="W106"/>
  <c r="V106"/>
  <c r="U106"/>
  <c r="T106"/>
  <c r="Y103"/>
  <c r="X103"/>
  <c r="W103"/>
  <c r="O103"/>
  <c r="Q103"/>
  <c r="V103" s="1"/>
  <c r="P103"/>
  <c r="U103" s="1"/>
  <c r="T103"/>
  <c r="O102"/>
  <c r="Q102"/>
  <c r="V102"/>
  <c r="U102"/>
  <c r="T102"/>
  <c r="Y99"/>
  <c r="X99"/>
  <c r="W99"/>
  <c r="O98"/>
  <c r="O99"/>
  <c r="Q98"/>
  <c r="Y98"/>
  <c r="Y100" s="1"/>
  <c r="W98"/>
  <c r="V98"/>
  <c r="U98"/>
  <c r="T98"/>
  <c r="Y94"/>
  <c r="X94"/>
  <c r="W94"/>
  <c r="O94"/>
  <c r="Q94"/>
  <c r="V94" s="1"/>
  <c r="P94"/>
  <c r="U94"/>
  <c r="T94"/>
  <c r="O93"/>
  <c r="Q93"/>
  <c r="Y93" s="1"/>
  <c r="Y95" s="1"/>
  <c r="P93"/>
  <c r="X93"/>
  <c r="X95" s="1"/>
  <c r="W93"/>
  <c r="V93"/>
  <c r="V95" s="1"/>
  <c r="U93"/>
  <c r="U95" s="1"/>
  <c r="T93"/>
  <c r="Y90"/>
  <c r="X90"/>
  <c r="W90"/>
  <c r="O90"/>
  <c r="Q90"/>
  <c r="V90" s="1"/>
  <c r="O89"/>
  <c r="Q89" s="1"/>
  <c r="V89"/>
  <c r="U89"/>
  <c r="T89"/>
  <c r="O86"/>
  <c r="Q86"/>
  <c r="V86"/>
  <c r="U86"/>
  <c r="T86"/>
  <c r="Y82"/>
  <c r="X82"/>
  <c r="W82"/>
  <c r="O82"/>
  <c r="Q82"/>
  <c r="V82" s="1"/>
  <c r="P82"/>
  <c r="U82" s="1"/>
  <c r="T82"/>
  <c r="O81"/>
  <c r="Q81"/>
  <c r="W81"/>
  <c r="V81"/>
  <c r="U81"/>
  <c r="T81"/>
  <c r="Y77"/>
  <c r="X77"/>
  <c r="W77"/>
  <c r="O76"/>
  <c r="O77" s="1"/>
  <c r="Q76"/>
  <c r="Y76" s="1"/>
  <c r="Y78" s="1"/>
  <c r="P76"/>
  <c r="X76"/>
  <c r="X78" s="1"/>
  <c r="W76"/>
  <c r="V76"/>
  <c r="U76"/>
  <c r="T76"/>
  <c r="Y73"/>
  <c r="X73"/>
  <c r="W73"/>
  <c r="O73"/>
  <c r="Q73"/>
  <c r="V73" s="1"/>
  <c r="P73"/>
  <c r="U73" s="1"/>
  <c r="T73"/>
  <c r="O72"/>
  <c r="Q72"/>
  <c r="V72"/>
  <c r="U72"/>
  <c r="T72"/>
  <c r="Y68"/>
  <c r="X68"/>
  <c r="W68"/>
  <c r="O68"/>
  <c r="Q68" s="1"/>
  <c r="T68"/>
  <c r="O67"/>
  <c r="Q67"/>
  <c r="Y67" s="1"/>
  <c r="Y69" s="1"/>
  <c r="P67"/>
  <c r="X67"/>
  <c r="X69" s="1"/>
  <c r="W67"/>
  <c r="V67"/>
  <c r="U67"/>
  <c r="T67"/>
  <c r="Y64"/>
  <c r="X64"/>
  <c r="W64"/>
  <c r="O64"/>
  <c r="Q64"/>
  <c r="V64" s="1"/>
  <c r="P64"/>
  <c r="U64" s="1"/>
  <c r="T64"/>
  <c r="O63"/>
  <c r="Q63"/>
  <c r="V63"/>
  <c r="U63"/>
  <c r="U65" s="1"/>
  <c r="T63"/>
  <c r="Y60"/>
  <c r="X60"/>
  <c r="W60"/>
  <c r="O60"/>
  <c r="Q60" s="1"/>
  <c r="O59"/>
  <c r="Q59" s="1"/>
  <c r="Y59" s="1"/>
  <c r="V59"/>
  <c r="U59"/>
  <c r="T59"/>
  <c r="O58"/>
  <c r="Q58" s="1"/>
  <c r="Y58" s="1"/>
  <c r="P58"/>
  <c r="X58"/>
  <c r="W58"/>
  <c r="V58"/>
  <c r="U58"/>
  <c r="T58"/>
  <c r="Y29"/>
  <c r="X29"/>
  <c r="W29"/>
  <c r="O29"/>
  <c r="Q29"/>
  <c r="V29" s="1"/>
  <c r="P29"/>
  <c r="U29" s="1"/>
  <c r="T29"/>
  <c r="O28"/>
  <c r="Q28"/>
  <c r="P28"/>
  <c r="X28"/>
  <c r="X30" s="1"/>
  <c r="W28"/>
  <c r="V28"/>
  <c r="U28"/>
  <c r="T28"/>
  <c r="Q352"/>
  <c r="Q178"/>
  <c r="Q203"/>
  <c r="Q239"/>
  <c r="Q246"/>
  <c r="P352"/>
  <c r="P359"/>
  <c r="O253"/>
  <c r="U87"/>
  <c r="U108"/>
  <c r="P108"/>
  <c r="P95"/>
  <c r="P30"/>
  <c r="P178"/>
  <c r="V356"/>
  <c r="U356"/>
  <c r="T356"/>
  <c r="Y352"/>
  <c r="X352"/>
  <c r="W352"/>
  <c r="T352"/>
  <c r="V338"/>
  <c r="U338"/>
  <c r="T338"/>
  <c r="V328"/>
  <c r="U328"/>
  <c r="T328"/>
  <c r="V316"/>
  <c r="U316"/>
  <c r="T316"/>
  <c r="W311"/>
  <c r="T311"/>
  <c r="W295"/>
  <c r="V271"/>
  <c r="U271"/>
  <c r="T271"/>
  <c r="Y178"/>
  <c r="W178"/>
  <c r="W189"/>
  <c r="W246"/>
  <c r="V178"/>
  <c r="V203"/>
  <c r="V216"/>
  <c r="V249"/>
  <c r="V253"/>
  <c r="V258"/>
  <c r="U178"/>
  <c r="U216"/>
  <c r="U249"/>
  <c r="U253"/>
  <c r="U258"/>
  <c r="T178"/>
  <c r="T203"/>
  <c r="T216"/>
  <c r="T239"/>
  <c r="T249"/>
  <c r="T253"/>
  <c r="T258"/>
  <c r="S203"/>
  <c r="S178"/>
  <c r="W166"/>
  <c r="T118"/>
  <c r="T134"/>
  <c r="W359"/>
  <c r="V359"/>
  <c r="U359"/>
  <c r="T359"/>
  <c r="W30"/>
  <c r="W69"/>
  <c r="W78"/>
  <c r="W83"/>
  <c r="W95"/>
  <c r="W100"/>
  <c r="W108"/>
  <c r="V87"/>
  <c r="T65"/>
  <c r="T30"/>
  <c r="T69"/>
  <c r="T74"/>
  <c r="T83"/>
  <c r="T87"/>
  <c r="T95"/>
  <c r="T104"/>
  <c r="T108"/>
  <c r="Q19"/>
  <c r="Y19" s="1"/>
  <c r="V19"/>
  <c r="D9"/>
  <c r="G9"/>
  <c r="G15" s="1"/>
  <c r="Q95"/>
  <c r="M20"/>
  <c r="M21"/>
  <c r="Q21" s="1"/>
  <c r="N20"/>
  <c r="N21" s="1"/>
  <c r="Q20"/>
  <c r="S108"/>
  <c r="S30"/>
  <c r="S61"/>
  <c r="S65"/>
  <c r="S69"/>
  <c r="S74"/>
  <c r="S78"/>
  <c r="S91"/>
  <c r="S95"/>
  <c r="S100"/>
  <c r="S104"/>
  <c r="S110"/>
  <c r="P19"/>
  <c r="X19"/>
  <c r="W19"/>
  <c r="U19"/>
  <c r="T19"/>
  <c r="C9"/>
  <c r="C15" s="1"/>
  <c r="E9"/>
  <c r="E15" s="1"/>
  <c r="F9"/>
  <c r="F15" s="1"/>
  <c r="D15"/>
  <c r="H19"/>
  <c r="C20"/>
  <c r="D20"/>
  <c r="E20"/>
  <c r="F20"/>
  <c r="G20"/>
  <c r="H20"/>
  <c r="I20"/>
  <c r="J20"/>
  <c r="K20"/>
  <c r="P20"/>
  <c r="H21"/>
  <c r="P21"/>
  <c r="H28"/>
  <c r="H30" s="1"/>
  <c r="H29"/>
  <c r="L29"/>
  <c r="R29"/>
  <c r="C30"/>
  <c r="D30"/>
  <c r="E30"/>
  <c r="F30"/>
  <c r="G30"/>
  <c r="I30"/>
  <c r="J30"/>
  <c r="K30"/>
  <c r="M30"/>
  <c r="N30"/>
  <c r="H34"/>
  <c r="L34"/>
  <c r="R34" s="1"/>
  <c r="R36" s="1"/>
  <c r="O34"/>
  <c r="P34"/>
  <c r="P36" s="1"/>
  <c r="H35"/>
  <c r="L35"/>
  <c r="O35"/>
  <c r="N35" s="1"/>
  <c r="P35"/>
  <c r="O36"/>
  <c r="H39"/>
  <c r="L39"/>
  <c r="P39"/>
  <c r="R39"/>
  <c r="R44"/>
  <c r="H41"/>
  <c r="L41"/>
  <c r="R41" s="1"/>
  <c r="O41"/>
  <c r="P41" s="1"/>
  <c r="P44" s="1"/>
  <c r="H42"/>
  <c r="L42"/>
  <c r="N42"/>
  <c r="O42"/>
  <c r="P42"/>
  <c r="H43"/>
  <c r="L43"/>
  <c r="R43" s="1"/>
  <c r="O43"/>
  <c r="N43"/>
  <c r="P43"/>
  <c r="H48"/>
  <c r="L48"/>
  <c r="O48"/>
  <c r="P48" s="1"/>
  <c r="P52" s="1"/>
  <c r="H51"/>
  <c r="L51"/>
  <c r="R51"/>
  <c r="N51"/>
  <c r="P51"/>
  <c r="M52"/>
  <c r="H54"/>
  <c r="L54"/>
  <c r="R54" s="1"/>
  <c r="R56" s="1"/>
  <c r="O54"/>
  <c r="P54"/>
  <c r="P56" s="1"/>
  <c r="L55"/>
  <c r="R55" s="1"/>
  <c r="O55"/>
  <c r="P55" s="1"/>
  <c r="M56"/>
  <c r="N56"/>
  <c r="O56"/>
  <c r="H58"/>
  <c r="L58"/>
  <c r="R58" s="1"/>
  <c r="H59"/>
  <c r="L59"/>
  <c r="R59" s="1"/>
  <c r="H60"/>
  <c r="H61" s="1"/>
  <c r="L60"/>
  <c r="R60"/>
  <c r="C61"/>
  <c r="D61"/>
  <c r="E61"/>
  <c r="F61"/>
  <c r="G61"/>
  <c r="M61"/>
  <c r="N61"/>
  <c r="H63"/>
  <c r="H65" s="1"/>
  <c r="L63"/>
  <c r="R63" s="1"/>
  <c r="H64"/>
  <c r="L64"/>
  <c r="R64"/>
  <c r="C65"/>
  <c r="D65"/>
  <c r="E65"/>
  <c r="F65"/>
  <c r="G65"/>
  <c r="L65"/>
  <c r="M65"/>
  <c r="N65"/>
  <c r="H67"/>
  <c r="H69"/>
  <c r="L67"/>
  <c r="R67"/>
  <c r="H68"/>
  <c r="L68"/>
  <c r="R68" s="1"/>
  <c r="C69"/>
  <c r="D69"/>
  <c r="E69"/>
  <c r="F69"/>
  <c r="G69"/>
  <c r="M69"/>
  <c r="N69"/>
  <c r="H72"/>
  <c r="H74"/>
  <c r="L72"/>
  <c r="R72"/>
  <c r="H73"/>
  <c r="L73"/>
  <c r="R73" s="1"/>
  <c r="C74"/>
  <c r="D74"/>
  <c r="E74"/>
  <c r="F74"/>
  <c r="G74"/>
  <c r="M74"/>
  <c r="N74"/>
  <c r="H76"/>
  <c r="H78" s="1"/>
  <c r="L76"/>
  <c r="R76" s="1"/>
  <c r="H77"/>
  <c r="L77"/>
  <c r="C78"/>
  <c r="D78"/>
  <c r="E78"/>
  <c r="F78"/>
  <c r="G78"/>
  <c r="M78"/>
  <c r="N78"/>
  <c r="H81"/>
  <c r="H83" s="1"/>
  <c r="L81"/>
  <c r="R81" s="1"/>
  <c r="H82"/>
  <c r="L82"/>
  <c r="R82"/>
  <c r="C83"/>
  <c r="D83"/>
  <c r="E83"/>
  <c r="F83"/>
  <c r="G83"/>
  <c r="L83"/>
  <c r="M83"/>
  <c r="N83"/>
  <c r="H86"/>
  <c r="L86"/>
  <c r="R86" s="1"/>
  <c r="R87" s="1"/>
  <c r="C87"/>
  <c r="D87"/>
  <c r="E87"/>
  <c r="F87"/>
  <c r="G87"/>
  <c r="H87"/>
  <c r="M87"/>
  <c r="N87"/>
  <c r="H89"/>
  <c r="L89"/>
  <c r="R89" s="1"/>
  <c r="H90"/>
  <c r="L90"/>
  <c r="R90"/>
  <c r="C91"/>
  <c r="D91"/>
  <c r="E91"/>
  <c r="F91"/>
  <c r="G91"/>
  <c r="H91"/>
  <c r="M91"/>
  <c r="N91"/>
  <c r="H93"/>
  <c r="L93"/>
  <c r="R93" s="1"/>
  <c r="H94"/>
  <c r="L94"/>
  <c r="R94"/>
  <c r="C95"/>
  <c r="D95"/>
  <c r="E95"/>
  <c r="F95"/>
  <c r="G95"/>
  <c r="H95"/>
  <c r="M95"/>
  <c r="N95"/>
  <c r="H98"/>
  <c r="L98"/>
  <c r="R98" s="1"/>
  <c r="H99"/>
  <c r="H100" s="1"/>
  <c r="L99"/>
  <c r="C100"/>
  <c r="D100"/>
  <c r="E100"/>
  <c r="F100"/>
  <c r="G100"/>
  <c r="M100"/>
  <c r="N100"/>
  <c r="H102"/>
  <c r="H104" s="1"/>
  <c r="L102"/>
  <c r="R102"/>
  <c r="H103"/>
  <c r="L103"/>
  <c r="R103" s="1"/>
  <c r="C104"/>
  <c r="D104"/>
  <c r="E104"/>
  <c r="F104"/>
  <c r="G104"/>
  <c r="M104"/>
  <c r="N104"/>
  <c r="H106"/>
  <c r="H108" s="1"/>
  <c r="H110" s="1"/>
  <c r="L106"/>
  <c r="R106"/>
  <c r="H107"/>
  <c r="L107"/>
  <c r="R107" s="1"/>
  <c r="C108"/>
  <c r="D108"/>
  <c r="E108"/>
  <c r="F108"/>
  <c r="G108"/>
  <c r="M108"/>
  <c r="M110"/>
  <c r="N108"/>
  <c r="N110"/>
  <c r="H116"/>
  <c r="H118"/>
  <c r="L116"/>
  <c r="R116"/>
  <c r="H117"/>
  <c r="L117"/>
  <c r="R117" s="1"/>
  <c r="C118"/>
  <c r="D118"/>
  <c r="E118"/>
  <c r="F118"/>
  <c r="G118"/>
  <c r="I118"/>
  <c r="J118"/>
  <c r="K118"/>
  <c r="M118"/>
  <c r="N118"/>
  <c r="H121"/>
  <c r="L121"/>
  <c r="R121"/>
  <c r="H123"/>
  <c r="L123"/>
  <c r="R123"/>
  <c r="H124"/>
  <c r="L124"/>
  <c r="R124" s="1"/>
  <c r="H125"/>
  <c r="H128" s="1"/>
  <c r="L125"/>
  <c r="R125"/>
  <c r="H126"/>
  <c r="L126"/>
  <c r="R126" s="1"/>
  <c r="H127"/>
  <c r="L127"/>
  <c r="C128"/>
  <c r="D128"/>
  <c r="E128"/>
  <c r="F128"/>
  <c r="G128"/>
  <c r="I128"/>
  <c r="J128"/>
  <c r="K128"/>
  <c r="M128"/>
  <c r="N128"/>
  <c r="H132"/>
  <c r="H134" s="1"/>
  <c r="L132"/>
  <c r="R132" s="1"/>
  <c r="H133"/>
  <c r="L133"/>
  <c r="R133"/>
  <c r="C134"/>
  <c r="D134"/>
  <c r="E134"/>
  <c r="F134"/>
  <c r="G134"/>
  <c r="I134"/>
  <c r="J134"/>
  <c r="K134"/>
  <c r="M134"/>
  <c r="N134"/>
  <c r="H138"/>
  <c r="L138"/>
  <c r="R138" s="1"/>
  <c r="R140" s="1"/>
  <c r="O138"/>
  <c r="P138"/>
  <c r="P140" s="1"/>
  <c r="H139"/>
  <c r="L139"/>
  <c r="O139"/>
  <c r="N139" s="1"/>
  <c r="P139"/>
  <c r="O140"/>
  <c r="H143"/>
  <c r="L143"/>
  <c r="P143"/>
  <c r="R143"/>
  <c r="R148"/>
  <c r="H145"/>
  <c r="L145"/>
  <c r="R145" s="1"/>
  <c r="O145"/>
  <c r="P145" s="1"/>
  <c r="P148" s="1"/>
  <c r="H146"/>
  <c r="L146"/>
  <c r="N146"/>
  <c r="O146"/>
  <c r="P146"/>
  <c r="H147"/>
  <c r="L147"/>
  <c r="O147"/>
  <c r="N147"/>
  <c r="P147"/>
  <c r="H152"/>
  <c r="L152"/>
  <c r="O152"/>
  <c r="P152"/>
  <c r="P156" s="1"/>
  <c r="R152"/>
  <c r="R156" s="1"/>
  <c r="H155"/>
  <c r="L155"/>
  <c r="R155" s="1"/>
  <c r="N155"/>
  <c r="P155"/>
  <c r="M156"/>
  <c r="H158"/>
  <c r="L158"/>
  <c r="O158"/>
  <c r="R158" s="1"/>
  <c r="R160" s="1"/>
  <c r="L159"/>
  <c r="M160"/>
  <c r="N160"/>
  <c r="H162"/>
  <c r="L162"/>
  <c r="R162"/>
  <c r="H164"/>
  <c r="H166"/>
  <c r="L164"/>
  <c r="R164"/>
  <c r="H165"/>
  <c r="L165"/>
  <c r="R165" s="1"/>
  <c r="C166"/>
  <c r="D166"/>
  <c r="E166"/>
  <c r="F166"/>
  <c r="G166"/>
  <c r="M166"/>
  <c r="N166"/>
  <c r="N172" s="1"/>
  <c r="H168"/>
  <c r="L168"/>
  <c r="R168" s="1"/>
  <c r="H169"/>
  <c r="H170" s="1"/>
  <c r="L169"/>
  <c r="R169"/>
  <c r="C170"/>
  <c r="D170"/>
  <c r="E170"/>
  <c r="F170"/>
  <c r="G170"/>
  <c r="M170"/>
  <c r="N170"/>
  <c r="M172"/>
  <c r="H177"/>
  <c r="L177"/>
  <c r="R177" s="1"/>
  <c r="R178" s="1"/>
  <c r="C178"/>
  <c r="D178"/>
  <c r="E178"/>
  <c r="F178"/>
  <c r="G178"/>
  <c r="H178"/>
  <c r="I178"/>
  <c r="J178"/>
  <c r="K178"/>
  <c r="M178"/>
  <c r="N178"/>
  <c r="O178"/>
  <c r="H182"/>
  <c r="L182"/>
  <c r="R182" s="1"/>
  <c r="H184"/>
  <c r="H189" s="1"/>
  <c r="L184"/>
  <c r="R184"/>
  <c r="H186"/>
  <c r="L186"/>
  <c r="R186" s="1"/>
  <c r="H188"/>
  <c r="L188"/>
  <c r="C189"/>
  <c r="D189"/>
  <c r="E189"/>
  <c r="F189"/>
  <c r="G189"/>
  <c r="I189"/>
  <c r="J189"/>
  <c r="K189"/>
  <c r="M189"/>
  <c r="N189"/>
  <c r="H191"/>
  <c r="H192"/>
  <c r="L191"/>
  <c r="R191"/>
  <c r="R192" s="1"/>
  <c r="C192"/>
  <c r="D192"/>
  <c r="E192"/>
  <c r="F192"/>
  <c r="G192"/>
  <c r="I192"/>
  <c r="J192"/>
  <c r="K192"/>
  <c r="M192"/>
  <c r="N192"/>
  <c r="H194"/>
  <c r="L194"/>
  <c r="R194"/>
  <c r="H196"/>
  <c r="L196"/>
  <c r="R196" s="1"/>
  <c r="H198"/>
  <c r="H203" s="1"/>
  <c r="L198"/>
  <c r="R198"/>
  <c r="H200"/>
  <c r="L200"/>
  <c r="R200" s="1"/>
  <c r="H202"/>
  <c r="L202"/>
  <c r="R202"/>
  <c r="C203"/>
  <c r="D203"/>
  <c r="E203"/>
  <c r="F203"/>
  <c r="G203"/>
  <c r="I203"/>
  <c r="J203"/>
  <c r="K203"/>
  <c r="M203"/>
  <c r="N203"/>
  <c r="H205"/>
  <c r="L205"/>
  <c r="R205"/>
  <c r="H206"/>
  <c r="L206"/>
  <c r="R206" s="1"/>
  <c r="H208"/>
  <c r="H213" s="1"/>
  <c r="L208"/>
  <c r="R208"/>
  <c r="H210"/>
  <c r="L210"/>
  <c r="R210" s="1"/>
  <c r="H212"/>
  <c r="L212"/>
  <c r="R212"/>
  <c r="C213"/>
  <c r="D213"/>
  <c r="E213"/>
  <c r="F213"/>
  <c r="G213"/>
  <c r="I213"/>
  <c r="J213"/>
  <c r="K213"/>
  <c r="M213"/>
  <c r="N213"/>
  <c r="H215"/>
  <c r="L215"/>
  <c r="R215"/>
  <c r="R216" s="1"/>
  <c r="C216"/>
  <c r="D216"/>
  <c r="E216"/>
  <c r="F216"/>
  <c r="G216"/>
  <c r="H216"/>
  <c r="I216"/>
  <c r="J216"/>
  <c r="K216"/>
  <c r="M216"/>
  <c r="N216"/>
  <c r="H219"/>
  <c r="L219"/>
  <c r="R219" s="1"/>
  <c r="H221"/>
  <c r="H228" s="1"/>
  <c r="L221"/>
  <c r="R221"/>
  <c r="H223"/>
  <c r="L223"/>
  <c r="R223" s="1"/>
  <c r="H225"/>
  <c r="L225"/>
  <c r="R225"/>
  <c r="H227"/>
  <c r="L227"/>
  <c r="R227" s="1"/>
  <c r="C228"/>
  <c r="D228"/>
  <c r="E228"/>
  <c r="F228"/>
  <c r="G228"/>
  <c r="I228"/>
  <c r="J228"/>
  <c r="K228"/>
  <c r="M228"/>
  <c r="N228"/>
  <c r="H230"/>
  <c r="L230"/>
  <c r="R230" s="1"/>
  <c r="H232"/>
  <c r="H239" s="1"/>
  <c r="L232"/>
  <c r="R232"/>
  <c r="H234"/>
  <c r="L234"/>
  <c r="R234" s="1"/>
  <c r="H236"/>
  <c r="L236"/>
  <c r="R236"/>
  <c r="H238"/>
  <c r="L238"/>
  <c r="R238" s="1"/>
  <c r="C239"/>
  <c r="D239"/>
  <c r="E239"/>
  <c r="F239"/>
  <c r="G239"/>
  <c r="I239"/>
  <c r="J239"/>
  <c r="K239"/>
  <c r="M239"/>
  <c r="N239"/>
  <c r="H244"/>
  <c r="H246" s="1"/>
  <c r="L244"/>
  <c r="R244" s="1"/>
  <c r="R246" s="1"/>
  <c r="H245"/>
  <c r="L245"/>
  <c r="R245"/>
  <c r="C246"/>
  <c r="D246"/>
  <c r="E246"/>
  <c r="F246"/>
  <c r="G246"/>
  <c r="I246"/>
  <c r="J246"/>
  <c r="K246"/>
  <c r="M246"/>
  <c r="N246"/>
  <c r="H248"/>
  <c r="H249" s="1"/>
  <c r="L248"/>
  <c r="R248"/>
  <c r="R249" s="1"/>
  <c r="C249"/>
  <c r="D249"/>
  <c r="E249"/>
  <c r="F249"/>
  <c r="G249"/>
  <c r="I249"/>
  <c r="J249"/>
  <c r="K249"/>
  <c r="M249"/>
  <c r="N249"/>
  <c r="H252"/>
  <c r="L252"/>
  <c r="R252" s="1"/>
  <c r="R253" s="1"/>
  <c r="C253"/>
  <c r="D253"/>
  <c r="E253"/>
  <c r="F253"/>
  <c r="G253"/>
  <c r="H253"/>
  <c r="I253"/>
  <c r="J253"/>
  <c r="K253"/>
  <c r="M253"/>
  <c r="M264" s="1"/>
  <c r="N253"/>
  <c r="H255"/>
  <c r="L255"/>
  <c r="R255"/>
  <c r="H256"/>
  <c r="H258"/>
  <c r="L256"/>
  <c r="R256"/>
  <c r="H257"/>
  <c r="L257"/>
  <c r="R257" s="1"/>
  <c r="R258" s="1"/>
  <c r="C258"/>
  <c r="D258"/>
  <c r="E258"/>
  <c r="F258"/>
  <c r="G258"/>
  <c r="I258"/>
  <c r="J258"/>
  <c r="K258"/>
  <c r="M258"/>
  <c r="N258"/>
  <c r="H261"/>
  <c r="H262" s="1"/>
  <c r="L261"/>
  <c r="R261"/>
  <c r="R262" s="1"/>
  <c r="C262"/>
  <c r="D262"/>
  <c r="E262"/>
  <c r="F262"/>
  <c r="G262"/>
  <c r="I262"/>
  <c r="J262"/>
  <c r="K262"/>
  <c r="M262"/>
  <c r="N262"/>
  <c r="N264" s="1"/>
  <c r="H269"/>
  <c r="L269"/>
  <c r="R269"/>
  <c r="H270"/>
  <c r="L270"/>
  <c r="C271"/>
  <c r="D271"/>
  <c r="E271"/>
  <c r="F271"/>
  <c r="G271"/>
  <c r="H271"/>
  <c r="I271"/>
  <c r="J271"/>
  <c r="K271"/>
  <c r="M271"/>
  <c r="N271"/>
  <c r="H273"/>
  <c r="L273"/>
  <c r="R273"/>
  <c r="H274"/>
  <c r="L274"/>
  <c r="R274" s="1"/>
  <c r="R279" s="1"/>
  <c r="H276"/>
  <c r="L276"/>
  <c r="R276"/>
  <c r="H277"/>
  <c r="L277"/>
  <c r="R277" s="1"/>
  <c r="H278"/>
  <c r="L278"/>
  <c r="R278"/>
  <c r="C279"/>
  <c r="D279"/>
  <c r="E279"/>
  <c r="F279"/>
  <c r="G279"/>
  <c r="H279"/>
  <c r="I279"/>
  <c r="J279"/>
  <c r="K279"/>
  <c r="L279"/>
  <c r="M279"/>
  <c r="N279"/>
  <c r="H283"/>
  <c r="H285"/>
  <c r="L283"/>
  <c r="R283"/>
  <c r="H284"/>
  <c r="L284"/>
  <c r="R284" s="1"/>
  <c r="R285" s="1"/>
  <c r="C285"/>
  <c r="D285"/>
  <c r="E285"/>
  <c r="F285"/>
  <c r="G285"/>
  <c r="I285"/>
  <c r="J285"/>
  <c r="K285"/>
  <c r="M285"/>
  <c r="N285"/>
  <c r="H288"/>
  <c r="H290" s="1"/>
  <c r="L288"/>
  <c r="R288"/>
  <c r="H289"/>
  <c r="L289"/>
  <c r="R289" s="1"/>
  <c r="R290" s="1"/>
  <c r="C290"/>
  <c r="D290"/>
  <c r="E290"/>
  <c r="F290"/>
  <c r="G290"/>
  <c r="I290"/>
  <c r="J290"/>
  <c r="K290"/>
  <c r="M290"/>
  <c r="N290"/>
  <c r="H293"/>
  <c r="H295"/>
  <c r="L293"/>
  <c r="R293"/>
  <c r="H294"/>
  <c r="L294"/>
  <c r="R294" s="1"/>
  <c r="R295" s="1"/>
  <c r="C295"/>
  <c r="D295"/>
  <c r="E295"/>
  <c r="F295"/>
  <c r="G295"/>
  <c r="I295"/>
  <c r="J295"/>
  <c r="K295"/>
  <c r="M295"/>
  <c r="N295"/>
  <c r="H299"/>
  <c r="L299"/>
  <c r="O299"/>
  <c r="R299" s="1"/>
  <c r="R301" s="1"/>
  <c r="H300"/>
  <c r="L300"/>
  <c r="O300"/>
  <c r="N300" s="1"/>
  <c r="R300" s="1"/>
  <c r="M301"/>
  <c r="H304"/>
  <c r="L304"/>
  <c r="O304"/>
  <c r="P304"/>
  <c r="P306" s="1"/>
  <c r="R304"/>
  <c r="R306" s="1"/>
  <c r="H305"/>
  <c r="L305"/>
  <c r="M306"/>
  <c r="O306"/>
  <c r="H309"/>
  <c r="H311" s="1"/>
  <c r="L309"/>
  <c r="R309"/>
  <c r="H310"/>
  <c r="L310"/>
  <c r="R310" s="1"/>
  <c r="R311" s="1"/>
  <c r="C311"/>
  <c r="D311"/>
  <c r="E311"/>
  <c r="F311"/>
  <c r="G311"/>
  <c r="I311"/>
  <c r="J311"/>
  <c r="K311"/>
  <c r="M311"/>
  <c r="N311"/>
  <c r="H314"/>
  <c r="H316"/>
  <c r="L314"/>
  <c r="R314"/>
  <c r="H315"/>
  <c r="L315"/>
  <c r="C316"/>
  <c r="D316"/>
  <c r="E316"/>
  <c r="F316"/>
  <c r="G316"/>
  <c r="I316"/>
  <c r="J316"/>
  <c r="K316"/>
  <c r="M316"/>
  <c r="N316"/>
  <c r="H320"/>
  <c r="L320"/>
  <c r="O320"/>
  <c r="R320" s="1"/>
  <c r="R322" s="1"/>
  <c r="H321"/>
  <c r="L321"/>
  <c r="C322"/>
  <c r="M322"/>
  <c r="H325"/>
  <c r="H328" s="1"/>
  <c r="L325"/>
  <c r="R325"/>
  <c r="H327"/>
  <c r="L327"/>
  <c r="R327" s="1"/>
  <c r="R328" s="1"/>
  <c r="C328"/>
  <c r="D328"/>
  <c r="E328"/>
  <c r="F328"/>
  <c r="G328"/>
  <c r="I328"/>
  <c r="J328"/>
  <c r="K328"/>
  <c r="M328"/>
  <c r="N328"/>
  <c r="H331"/>
  <c r="L331"/>
  <c r="H332"/>
  <c r="H333" s="1"/>
  <c r="L332"/>
  <c r="C333"/>
  <c r="D333"/>
  <c r="E333"/>
  <c r="F333"/>
  <c r="G333"/>
  <c r="I333"/>
  <c r="J333"/>
  <c r="K333"/>
  <c r="M333"/>
  <c r="M361" s="1"/>
  <c r="N333"/>
  <c r="H337"/>
  <c r="H338" s="1"/>
  <c r="L337"/>
  <c r="C338"/>
  <c r="D338"/>
  <c r="E338"/>
  <c r="F338"/>
  <c r="G338"/>
  <c r="I338"/>
  <c r="J338"/>
  <c r="K338"/>
  <c r="M338"/>
  <c r="N338"/>
  <c r="H341"/>
  <c r="L341"/>
  <c r="C342"/>
  <c r="D342"/>
  <c r="E342"/>
  <c r="F342"/>
  <c r="G342"/>
  <c r="H342"/>
  <c r="I342"/>
  <c r="J342"/>
  <c r="K342"/>
  <c r="M342"/>
  <c r="N342"/>
  <c r="H345"/>
  <c r="H347" s="1"/>
  <c r="L345"/>
  <c r="H346"/>
  <c r="L346"/>
  <c r="C347"/>
  <c r="D347"/>
  <c r="E347"/>
  <c r="F347"/>
  <c r="G347"/>
  <c r="I347"/>
  <c r="J347"/>
  <c r="K347"/>
  <c r="L347"/>
  <c r="M347"/>
  <c r="N347"/>
  <c r="H350"/>
  <c r="H352" s="1"/>
  <c r="L350"/>
  <c r="R350" s="1"/>
  <c r="R352" s="1"/>
  <c r="H351"/>
  <c r="L351"/>
  <c r="R351"/>
  <c r="C352"/>
  <c r="D352"/>
  <c r="E352"/>
  <c r="F352"/>
  <c r="G352"/>
  <c r="I352"/>
  <c r="J352"/>
  <c r="K352"/>
  <c r="M352"/>
  <c r="N352"/>
  <c r="H355"/>
  <c r="H356" s="1"/>
  <c r="L355"/>
  <c r="R355"/>
  <c r="R356" s="1"/>
  <c r="C356"/>
  <c r="D356"/>
  <c r="E356"/>
  <c r="F356"/>
  <c r="G356"/>
  <c r="I356"/>
  <c r="J356"/>
  <c r="K356"/>
  <c r="M356"/>
  <c r="N356"/>
  <c r="H358"/>
  <c r="L358"/>
  <c r="R358" s="1"/>
  <c r="R359" s="1"/>
  <c r="C359"/>
  <c r="D359"/>
  <c r="E359"/>
  <c r="F359"/>
  <c r="G359"/>
  <c r="H359"/>
  <c r="I359"/>
  <c r="J359"/>
  <c r="K359"/>
  <c r="M359"/>
  <c r="N359"/>
  <c r="N361"/>
  <c r="X20"/>
  <c r="X21"/>
  <c r="Y20"/>
  <c r="Y21"/>
  <c r="V20"/>
  <c r="V21"/>
  <c r="U20"/>
  <c r="U21"/>
  <c r="W20"/>
  <c r="W21"/>
  <c r="T20"/>
  <c r="T21"/>
  <c r="L19"/>
  <c r="R19"/>
  <c r="R20" s="1"/>
  <c r="R21" s="1"/>
  <c r="R118"/>
  <c r="L216"/>
  <c r="L178"/>
  <c r="L170"/>
  <c r="R170"/>
  <c r="R147"/>
  <c r="R139"/>
  <c r="L311"/>
  <c r="L290"/>
  <c r="L203"/>
  <c r="L189"/>
  <c r="L87"/>
  <c r="R35"/>
  <c r="R104"/>
  <c r="R95"/>
  <c r="L328"/>
  <c r="L271"/>
  <c r="L228"/>
  <c r="L213"/>
  <c r="L192"/>
  <c r="L166"/>
  <c r="R146"/>
  <c r="R134"/>
  <c r="R108"/>
  <c r="R91"/>
  <c r="L78"/>
  <c r="L69"/>
  <c r="L61"/>
  <c r="R42"/>
  <c r="V107"/>
  <c r="V108" s="1"/>
  <c r="Q108"/>
  <c r="R203"/>
  <c r="H172"/>
  <c r="R83"/>
  <c r="R74"/>
  <c r="R65"/>
  <c r="Q165"/>
  <c r="P165"/>
  <c r="U165"/>
  <c r="U166" s="1"/>
  <c r="T165"/>
  <c r="T166" s="1"/>
  <c r="V169"/>
  <c r="V170" s="1"/>
  <c r="Q170"/>
  <c r="R213"/>
  <c r="R166"/>
  <c r="R69"/>
  <c r="R61"/>
  <c r="Y261"/>
  <c r="Y262"/>
  <c r="Q262"/>
  <c r="L359"/>
  <c r="L356"/>
  <c r="L352"/>
  <c r="L342"/>
  <c r="L338"/>
  <c r="L333"/>
  <c r="L316"/>
  <c r="O305"/>
  <c r="L295"/>
  <c r="L285"/>
  <c r="L262"/>
  <c r="L258"/>
  <c r="L253"/>
  <c r="L249"/>
  <c r="L246"/>
  <c r="L134"/>
  <c r="L128"/>
  <c r="L118"/>
  <c r="L108"/>
  <c r="L104"/>
  <c r="L100"/>
  <c r="L95"/>
  <c r="L91"/>
  <c r="L28"/>
  <c r="L20"/>
  <c r="L21" s="1"/>
  <c r="P116"/>
  <c r="P117"/>
  <c r="U117"/>
  <c r="U118" s="1"/>
  <c r="W121"/>
  <c r="P121"/>
  <c r="P124"/>
  <c r="X124" s="1"/>
  <c r="P126"/>
  <c r="X126" s="1"/>
  <c r="P164"/>
  <c r="X164" s="1"/>
  <c r="X166" s="1"/>
  <c r="Q164"/>
  <c r="Y164"/>
  <c r="W168"/>
  <c r="W170"/>
  <c r="P168"/>
  <c r="X168"/>
  <c r="X170" s="1"/>
  <c r="T169"/>
  <c r="T170" s="1"/>
  <c r="P169"/>
  <c r="Q355"/>
  <c r="Q356"/>
  <c r="P355"/>
  <c r="W355"/>
  <c r="W356" s="1"/>
  <c r="N321" i="6"/>
  <c r="R321" s="1"/>
  <c r="P321"/>
  <c r="P320"/>
  <c r="P322"/>
  <c r="O322"/>
  <c r="N300"/>
  <c r="R300" s="1"/>
  <c r="P300"/>
  <c r="R273"/>
  <c r="L279"/>
  <c r="L271"/>
  <c r="R255"/>
  <c r="L258"/>
  <c r="L239"/>
  <c r="L216"/>
  <c r="L134"/>
  <c r="R106"/>
  <c r="L108"/>
  <c r="L69"/>
  <c r="Q20"/>
  <c r="M21"/>
  <c r="Q21" s="1"/>
  <c r="Y345"/>
  <c r="Y347" s="1"/>
  <c r="Y309"/>
  <c r="Y311" s="1"/>
  <c r="Y89"/>
  <c r="Y91" s="1"/>
  <c r="P327"/>
  <c r="Q327"/>
  <c r="P314"/>
  <c r="O315"/>
  <c r="P89"/>
  <c r="W89"/>
  <c r="W91"/>
  <c r="V77"/>
  <c r="V78"/>
  <c r="Q78"/>
  <c r="V239"/>
  <c r="H228"/>
  <c r="H213"/>
  <c r="V203"/>
  <c r="M264"/>
  <c r="N172"/>
  <c r="P44"/>
  <c r="L347"/>
  <c r="R327"/>
  <c r="L328"/>
  <c r="L311"/>
  <c r="L290"/>
  <c r="L262"/>
  <c r="L228"/>
  <c r="L213"/>
  <c r="R177"/>
  <c r="R178" s="1"/>
  <c r="L178"/>
  <c r="L118"/>
  <c r="L100"/>
  <c r="R89"/>
  <c r="L91"/>
  <c r="R76"/>
  <c r="L78"/>
  <c r="R59"/>
  <c r="L61"/>
  <c r="P54"/>
  <c r="P56"/>
  <c r="O56"/>
  <c r="N43"/>
  <c r="R43" s="1"/>
  <c r="P43"/>
  <c r="P34"/>
  <c r="P36" s="1"/>
  <c r="O36"/>
  <c r="L30"/>
  <c r="R19"/>
  <c r="R20" s="1"/>
  <c r="R21" s="1"/>
  <c r="L20"/>
  <c r="L21"/>
  <c r="Y273"/>
  <c r="Y255"/>
  <c r="Y258" s="1"/>
  <c r="Q258"/>
  <c r="P358"/>
  <c r="Q358"/>
  <c r="P168"/>
  <c r="X168"/>
  <c r="X170" s="1"/>
  <c r="W168"/>
  <c r="W170" s="1"/>
  <c r="Q168"/>
  <c r="Y168" s="1"/>
  <c r="Y170" s="1"/>
  <c r="P63"/>
  <c r="W63"/>
  <c r="W65" s="1"/>
  <c r="Q63"/>
  <c r="P72"/>
  <c r="W72"/>
  <c r="W74" s="1"/>
  <c r="Q72"/>
  <c r="P102"/>
  <c r="X102"/>
  <c r="X104" s="1"/>
  <c r="Q102"/>
  <c r="Y102" s="1"/>
  <c r="Y104" s="1"/>
  <c r="V107"/>
  <c r="V108"/>
  <c r="Q108"/>
  <c r="W194" i="3"/>
  <c r="W203" s="1"/>
  <c r="P194"/>
  <c r="W206"/>
  <c r="W213"/>
  <c r="P206"/>
  <c r="T210"/>
  <c r="T213" s="1"/>
  <c r="P210"/>
  <c r="U210" s="1"/>
  <c r="U213" s="1"/>
  <c r="W215"/>
  <c r="W216"/>
  <c r="P215"/>
  <c r="W221"/>
  <c r="W228" s="1"/>
  <c r="P221"/>
  <c r="T225"/>
  <c r="T228"/>
  <c r="P225"/>
  <c r="U225"/>
  <c r="U228" s="1"/>
  <c r="W230"/>
  <c r="W239" s="1"/>
  <c r="P230"/>
  <c r="T245"/>
  <c r="T246"/>
  <c r="P245"/>
  <c r="U245"/>
  <c r="U246" s="1"/>
  <c r="W248"/>
  <c r="W249" s="1"/>
  <c r="P248"/>
  <c r="W252"/>
  <c r="W253"/>
  <c r="P252"/>
  <c r="W257"/>
  <c r="W258" s="1"/>
  <c r="P257"/>
  <c r="W261"/>
  <c r="W262"/>
  <c r="P261"/>
  <c r="W273"/>
  <c r="P273"/>
  <c r="W276"/>
  <c r="P276"/>
  <c r="X276"/>
  <c r="W327"/>
  <c r="P327"/>
  <c r="X327" s="1"/>
  <c r="X328" s="1"/>
  <c r="O331"/>
  <c r="O332"/>
  <c r="R332"/>
  <c r="O337"/>
  <c r="O341"/>
  <c r="W341" s="1"/>
  <c r="W342" s="1"/>
  <c r="O346"/>
  <c r="O345"/>
  <c r="R345" s="1"/>
  <c r="R347" s="1"/>
  <c r="Y352" i="6"/>
  <c r="R320"/>
  <c r="R322"/>
  <c r="O301"/>
  <c r="R299"/>
  <c r="R301" s="1"/>
  <c r="N361"/>
  <c r="L285"/>
  <c r="H279"/>
  <c r="H361" s="1"/>
  <c r="U239"/>
  <c r="H239"/>
  <c r="H264" s="1"/>
  <c r="L203"/>
  <c r="R55"/>
  <c r="R41"/>
  <c r="W258"/>
  <c r="T258"/>
  <c r="O82"/>
  <c r="Q82"/>
  <c r="O68"/>
  <c r="O29"/>
  <c r="T29" s="1"/>
  <c r="T30" s="1"/>
  <c r="O133"/>
  <c r="R133"/>
  <c r="O164"/>
  <c r="O165"/>
  <c r="O244"/>
  <c r="O284"/>
  <c r="Q284" s="1"/>
  <c r="O294"/>
  <c r="O332"/>
  <c r="Q332"/>
  <c r="O86"/>
  <c r="O81"/>
  <c r="P81" s="1"/>
  <c r="O67"/>
  <c r="R67" s="1"/>
  <c r="R69" s="1"/>
  <c r="O58"/>
  <c r="R58" s="1"/>
  <c r="O28"/>
  <c r="O116"/>
  <c r="Q116"/>
  <c r="O123"/>
  <c r="O132"/>
  <c r="W132" s="1"/>
  <c r="W134" s="1"/>
  <c r="O162"/>
  <c r="R162"/>
  <c r="O194"/>
  <c r="Q194"/>
  <c r="O205"/>
  <c r="O215"/>
  <c r="P215" s="1"/>
  <c r="O219"/>
  <c r="O230"/>
  <c r="P230"/>
  <c r="O252"/>
  <c r="O261"/>
  <c r="P261" s="1"/>
  <c r="O274"/>
  <c r="O277"/>
  <c r="P277"/>
  <c r="X277" s="1"/>
  <c r="X279" s="1"/>
  <c r="O288"/>
  <c r="O127"/>
  <c r="P127"/>
  <c r="U127" s="1"/>
  <c r="U128" s="1"/>
  <c r="O103"/>
  <c r="R103"/>
  <c r="O98"/>
  <c r="O99"/>
  <c r="O90"/>
  <c r="O73"/>
  <c r="Q73" s="1"/>
  <c r="O64"/>
  <c r="O60"/>
  <c r="T60"/>
  <c r="T61" s="1"/>
  <c r="O117"/>
  <c r="O169"/>
  <c r="P169"/>
  <c r="O182"/>
  <c r="O210"/>
  <c r="P210" s="1"/>
  <c r="O225"/>
  <c r="O278"/>
  <c r="P278"/>
  <c r="U278" s="1"/>
  <c r="U279" s="1"/>
  <c r="O289"/>
  <c r="O310"/>
  <c r="P310" s="1"/>
  <c r="O346"/>
  <c r="X95"/>
  <c r="X78"/>
  <c r="U203"/>
  <c r="L172" i="3"/>
  <c r="L361"/>
  <c r="T278" i="6"/>
  <c r="T279" s="1"/>
  <c r="T210"/>
  <c r="T213" s="1"/>
  <c r="R210"/>
  <c r="Q169"/>
  <c r="P60"/>
  <c r="Q60"/>
  <c r="P73"/>
  <c r="U73" s="1"/>
  <c r="U74" s="1"/>
  <c r="W98"/>
  <c r="W100"/>
  <c r="Q98"/>
  <c r="T127"/>
  <c r="T128" s="1"/>
  <c r="R127"/>
  <c r="W277"/>
  <c r="R277"/>
  <c r="W230"/>
  <c r="W239" s="1"/>
  <c r="Q230"/>
  <c r="W215"/>
  <c r="W216"/>
  <c r="W194"/>
  <c r="W203"/>
  <c r="R194"/>
  <c r="P132"/>
  <c r="Q132"/>
  <c r="W116"/>
  <c r="W118" s="1"/>
  <c r="W172" s="1"/>
  <c r="R116"/>
  <c r="P58"/>
  <c r="X58"/>
  <c r="W58"/>
  <c r="W61"/>
  <c r="Q81"/>
  <c r="Y81"/>
  <c r="Y83" s="1"/>
  <c r="W81"/>
  <c r="W83" s="1"/>
  <c r="W110" s="1"/>
  <c r="T332"/>
  <c r="T333" s="1"/>
  <c r="P332"/>
  <c r="U332" s="1"/>
  <c r="U333" s="1"/>
  <c r="T284"/>
  <c r="T285"/>
  <c r="P284"/>
  <c r="U284"/>
  <c r="U285" s="1"/>
  <c r="P164"/>
  <c r="X164" s="1"/>
  <c r="W164"/>
  <c r="R164"/>
  <c r="P29"/>
  <c r="U29" s="1"/>
  <c r="U30" s="1"/>
  <c r="T82"/>
  <c r="T83"/>
  <c r="P82"/>
  <c r="U82"/>
  <c r="U83" s="1"/>
  <c r="Q346" i="3"/>
  <c r="V346" s="1"/>
  <c r="V347" s="1"/>
  <c r="P346"/>
  <c r="U346"/>
  <c r="U347" s="1"/>
  <c r="T346"/>
  <c r="T347" s="1"/>
  <c r="R346"/>
  <c r="Q337"/>
  <c r="Q338"/>
  <c r="P337"/>
  <c r="W337"/>
  <c r="W338" s="1"/>
  <c r="Q331"/>
  <c r="Y331" s="1"/>
  <c r="Y333" s="1"/>
  <c r="P331"/>
  <c r="W331"/>
  <c r="W333" s="1"/>
  <c r="R331"/>
  <c r="Y63" i="6"/>
  <c r="Y65"/>
  <c r="X63"/>
  <c r="X65"/>
  <c r="Q359"/>
  <c r="Y358"/>
  <c r="Y359" s="1"/>
  <c r="X314"/>
  <c r="X327"/>
  <c r="V20"/>
  <c r="V21" s="1"/>
  <c r="Y20"/>
  <c r="Y21" s="1"/>
  <c r="X355" i="3"/>
  <c r="X356" s="1"/>
  <c r="P356"/>
  <c r="U169"/>
  <c r="U170"/>
  <c r="P170"/>
  <c r="X121"/>
  <c r="X116"/>
  <c r="X118"/>
  <c r="R28"/>
  <c r="R30"/>
  <c r="L30"/>
  <c r="N305"/>
  <c r="R305" s="1"/>
  <c r="P305"/>
  <c r="V165"/>
  <c r="V166"/>
  <c r="Q166"/>
  <c r="P346" i="6"/>
  <c r="U346" s="1"/>
  <c r="U347" s="1"/>
  <c r="Q346"/>
  <c r="T346"/>
  <c r="T347" s="1"/>
  <c r="P289"/>
  <c r="U289" s="1"/>
  <c r="U290" s="1"/>
  <c r="Q289"/>
  <c r="V289"/>
  <c r="V290" s="1"/>
  <c r="T289"/>
  <c r="T290" s="1"/>
  <c r="P225"/>
  <c r="U225" s="1"/>
  <c r="U228" s="1"/>
  <c r="T225"/>
  <c r="T228"/>
  <c r="Q225"/>
  <c r="V225"/>
  <c r="V228" s="1"/>
  <c r="R225"/>
  <c r="O186"/>
  <c r="P186"/>
  <c r="U186" s="1"/>
  <c r="P182"/>
  <c r="O184"/>
  <c r="W184"/>
  <c r="O188"/>
  <c r="Q182"/>
  <c r="W182"/>
  <c r="W189" s="1"/>
  <c r="P117"/>
  <c r="U117"/>
  <c r="U118" s="1"/>
  <c r="Q117"/>
  <c r="V117" s="1"/>
  <c r="V118" s="1"/>
  <c r="T117"/>
  <c r="T118"/>
  <c r="P64"/>
  <c r="U64"/>
  <c r="U65" s="1"/>
  <c r="Q64"/>
  <c r="V64" s="1"/>
  <c r="V65" s="1"/>
  <c r="T64"/>
  <c r="T65"/>
  <c r="P90"/>
  <c r="U90"/>
  <c r="U91" s="1"/>
  <c r="Q90"/>
  <c r="T90"/>
  <c r="T91"/>
  <c r="R90"/>
  <c r="P103"/>
  <c r="P104" s="1"/>
  <c r="T103"/>
  <c r="T104" s="1"/>
  <c r="Q103"/>
  <c r="Q104" s="1"/>
  <c r="P288"/>
  <c r="W288"/>
  <c r="W290"/>
  <c r="R288"/>
  <c r="Q288"/>
  <c r="Q290" s="1"/>
  <c r="W274"/>
  <c r="R274"/>
  <c r="P274"/>
  <c r="Q274"/>
  <c r="P252"/>
  <c r="O253"/>
  <c r="W252"/>
  <c r="W253" s="1"/>
  <c r="Q252"/>
  <c r="Q253" s="1"/>
  <c r="R252"/>
  <c r="R253" s="1"/>
  <c r="P219"/>
  <c r="X219" s="1"/>
  <c r="X228" s="1"/>
  <c r="W219"/>
  <c r="W228" s="1"/>
  <c r="Q219"/>
  <c r="Y219" s="1"/>
  <c r="Y228" s="1"/>
  <c r="W205"/>
  <c r="W213" s="1"/>
  <c r="Q205"/>
  <c r="P205"/>
  <c r="P162"/>
  <c r="X162" s="1"/>
  <c r="Q162"/>
  <c r="Y162" s="1"/>
  <c r="W162"/>
  <c r="W123"/>
  <c r="P123"/>
  <c r="Q123"/>
  <c r="R123"/>
  <c r="P28"/>
  <c r="Q28"/>
  <c r="Y28" s="1"/>
  <c r="Y30" s="1"/>
  <c r="W28"/>
  <c r="W30"/>
  <c r="R28"/>
  <c r="Q67"/>
  <c r="P67"/>
  <c r="W67"/>
  <c r="W69"/>
  <c r="W86"/>
  <c r="W87"/>
  <c r="P86"/>
  <c r="Q86"/>
  <c r="Q87" s="1"/>
  <c r="R86"/>
  <c r="R87" s="1"/>
  <c r="T294"/>
  <c r="T295" s="1"/>
  <c r="Q294"/>
  <c r="P294"/>
  <c r="U294"/>
  <c r="U295" s="1"/>
  <c r="R294"/>
  <c r="P244"/>
  <c r="O248"/>
  <c r="O245"/>
  <c r="Q245"/>
  <c r="W244"/>
  <c r="W246" s="1"/>
  <c r="Q244"/>
  <c r="Q246" s="1"/>
  <c r="Q133"/>
  <c r="V133"/>
  <c r="V134" s="1"/>
  <c r="P133"/>
  <c r="U133" s="1"/>
  <c r="U134" s="1"/>
  <c r="T133"/>
  <c r="T134"/>
  <c r="T68"/>
  <c r="T69"/>
  <c r="Q68"/>
  <c r="V68"/>
  <c r="V69" s="1"/>
  <c r="P68"/>
  <c r="P69" s="1"/>
  <c r="R68"/>
  <c r="Q345" i="3"/>
  <c r="Y345" s="1"/>
  <c r="Y347" s="1"/>
  <c r="W345"/>
  <c r="W347"/>
  <c r="Q341"/>
  <c r="Y341"/>
  <c r="Y342" s="1"/>
  <c r="Q332"/>
  <c r="V332" s="1"/>
  <c r="V333" s="1"/>
  <c r="V361" s="1"/>
  <c r="X273"/>
  <c r="P262"/>
  <c r="X261"/>
  <c r="X262"/>
  <c r="X257"/>
  <c r="X252"/>
  <c r="X253"/>
  <c r="P253"/>
  <c r="X248"/>
  <c r="X249" s="1"/>
  <c r="P249"/>
  <c r="P246"/>
  <c r="X230"/>
  <c r="X239" s="1"/>
  <c r="P239"/>
  <c r="X221"/>
  <c r="X215"/>
  <c r="X216" s="1"/>
  <c r="P216"/>
  <c r="X206"/>
  <c r="X194"/>
  <c r="X203" s="1"/>
  <c r="P203"/>
  <c r="Y72" i="6"/>
  <c r="Y74"/>
  <c r="X72"/>
  <c r="X74"/>
  <c r="P359"/>
  <c r="X358"/>
  <c r="X359" s="1"/>
  <c r="X89"/>
  <c r="X91" s="1"/>
  <c r="P91"/>
  <c r="W315"/>
  <c r="W316"/>
  <c r="Q315"/>
  <c r="Y315"/>
  <c r="P315"/>
  <c r="X315"/>
  <c r="R315"/>
  <c r="Y327"/>
  <c r="Y355" i="3"/>
  <c r="Y356"/>
  <c r="P166"/>
  <c r="R73" i="6"/>
  <c r="L264"/>
  <c r="R82"/>
  <c r="R215"/>
  <c r="R216"/>
  <c r="R230"/>
  <c r="R244"/>
  <c r="R29"/>
  <c r="R91"/>
  <c r="R98"/>
  <c r="R117"/>
  <c r="R118" s="1"/>
  <c r="R172" s="1"/>
  <c r="R205"/>
  <c r="R219"/>
  <c r="R261"/>
  <c r="R262" s="1"/>
  <c r="R289"/>
  <c r="R310"/>
  <c r="R346"/>
  <c r="R64"/>
  <c r="R169"/>
  <c r="R182"/>
  <c r="R278"/>
  <c r="R337" i="3"/>
  <c r="R338"/>
  <c r="R341"/>
  <c r="R342"/>
  <c r="Q342"/>
  <c r="P245" i="6"/>
  <c r="U245" s="1"/>
  <c r="U246" s="1"/>
  <c r="T245"/>
  <c r="T246"/>
  <c r="X244"/>
  <c r="X246"/>
  <c r="Y86"/>
  <c r="Y87"/>
  <c r="X67"/>
  <c r="X69"/>
  <c r="X123"/>
  <c r="Y205"/>
  <c r="Y213" s="1"/>
  <c r="Q228"/>
  <c r="Y252"/>
  <c r="Y253"/>
  <c r="Y274"/>
  <c r="Y288"/>
  <c r="Y290" s="1"/>
  <c r="V103"/>
  <c r="V104" s="1"/>
  <c r="U103"/>
  <c r="U104" s="1"/>
  <c r="Y182"/>
  <c r="Y189" s="1"/>
  <c r="Q184"/>
  <c r="Y184"/>
  <c r="R184"/>
  <c r="T186"/>
  <c r="R186"/>
  <c r="Q333" i="3"/>
  <c r="X337"/>
  <c r="X338"/>
  <c r="P338"/>
  <c r="Y132" i="6"/>
  <c r="Y134" s="1"/>
  <c r="Q134"/>
  <c r="X132"/>
  <c r="X134"/>
  <c r="Y230"/>
  <c r="Y239"/>
  <c r="Q239"/>
  <c r="Y98"/>
  <c r="Y100"/>
  <c r="V60"/>
  <c r="V61"/>
  <c r="U60"/>
  <c r="U61"/>
  <c r="Q170"/>
  <c r="V169"/>
  <c r="V170" s="1"/>
  <c r="R30"/>
  <c r="P316"/>
  <c r="W166"/>
  <c r="P248"/>
  <c r="P249"/>
  <c r="Q248"/>
  <c r="W248"/>
  <c r="W249" s="1"/>
  <c r="R248"/>
  <c r="R249" s="1"/>
  <c r="Q295"/>
  <c r="V294"/>
  <c r="V295"/>
  <c r="X86"/>
  <c r="X87"/>
  <c r="P87"/>
  <c r="Q69"/>
  <c r="Y67"/>
  <c r="Y69"/>
  <c r="X28"/>
  <c r="X30"/>
  <c r="P30"/>
  <c r="Y123"/>
  <c r="X205"/>
  <c r="X252"/>
  <c r="X253" s="1"/>
  <c r="P253"/>
  <c r="X274"/>
  <c r="X288"/>
  <c r="X290" s="1"/>
  <c r="P290"/>
  <c r="V90"/>
  <c r="V91"/>
  <c r="Q91"/>
  <c r="P188"/>
  <c r="U188" s="1"/>
  <c r="T188"/>
  <c r="T189" s="1"/>
  <c r="T264" s="1"/>
  <c r="Q188"/>
  <c r="V188"/>
  <c r="R188"/>
  <c r="X182"/>
  <c r="V346"/>
  <c r="V347"/>
  <c r="Q347"/>
  <c r="X331" i="3"/>
  <c r="X333" s="1"/>
  <c r="Y337"/>
  <c r="Y338" s="1"/>
  <c r="R189" i="6"/>
  <c r="R290"/>
  <c r="P65"/>
  <c r="Q65"/>
  <c r="Y248"/>
  <c r="Y249" s="1"/>
  <c r="Q249"/>
  <c r="X248"/>
  <c r="X249"/>
  <c r="L166"/>
  <c r="R170"/>
  <c r="L170"/>
  <c r="L172"/>
  <c r="R295"/>
  <c r="R78"/>
  <c r="L295"/>
  <c r="R95"/>
  <c r="R311"/>
  <c r="R352"/>
  <c r="R108"/>
  <c r="L95"/>
  <c r="R228"/>
  <c r="R203"/>
  <c r="R258"/>
  <c r="L352"/>
  <c r="L342"/>
  <c r="L333"/>
  <c r="L316"/>
  <c r="R65"/>
  <c r="R213"/>
  <c r="R239"/>
  <c r="R316"/>
  <c r="R128"/>
  <c r="R104"/>
  <c r="R328"/>
  <c r="L104"/>
  <c r="L65"/>
  <c r="R72"/>
  <c r="P170"/>
  <c r="U169"/>
  <c r="U170"/>
  <c r="P99"/>
  <c r="Q99"/>
  <c r="R99"/>
  <c r="R100" s="1"/>
  <c r="T99"/>
  <c r="T100" s="1"/>
  <c r="X230"/>
  <c r="X239" s="1"/>
  <c r="P239"/>
  <c r="Y194"/>
  <c r="Y203" s="1"/>
  <c r="Q203"/>
  <c r="Y116"/>
  <c r="Y118"/>
  <c r="Q118"/>
  <c r="Q333"/>
  <c r="V332"/>
  <c r="V333" s="1"/>
  <c r="T165"/>
  <c r="T166" s="1"/>
  <c r="P165"/>
  <c r="Q165"/>
  <c r="R165"/>
  <c r="V82"/>
  <c r="V83"/>
  <c r="Q83"/>
  <c r="P134"/>
  <c r="Q186"/>
  <c r="P184"/>
  <c r="X184" s="1"/>
  <c r="X189" s="1"/>
  <c r="R245"/>
  <c r="R246"/>
  <c r="Q316"/>
  <c r="R74"/>
  <c r="X316"/>
  <c r="P74"/>
  <c r="W279"/>
  <c r="Q29"/>
  <c r="Q164"/>
  <c r="Y164" s="1"/>
  <c r="Y166" s="1"/>
  <c r="R284"/>
  <c r="R285" s="1"/>
  <c r="R332"/>
  <c r="R333" s="1"/>
  <c r="R81"/>
  <c r="R83" s="1"/>
  <c r="Q58"/>
  <c r="Y58" s="1"/>
  <c r="P116"/>
  <c r="R132"/>
  <c r="P194"/>
  <c r="Q215"/>
  <c r="W261"/>
  <c r="W262" s="1"/>
  <c r="Q277"/>
  <c r="Y277" s="1"/>
  <c r="Y279" s="1"/>
  <c r="Q127"/>
  <c r="V127" s="1"/>
  <c r="V128" s="1"/>
  <c r="P98"/>
  <c r="X98"/>
  <c r="X100" s="1"/>
  <c r="R60"/>
  <c r="R61" s="1"/>
  <c r="T169"/>
  <c r="T170" s="1"/>
  <c r="Q210"/>
  <c r="V210" s="1"/>
  <c r="V213" s="1"/>
  <c r="Q278"/>
  <c r="V278"/>
  <c r="V279" s="1"/>
  <c r="R345"/>
  <c r="R347" s="1"/>
  <c r="Q338"/>
  <c r="R337"/>
  <c r="R338"/>
  <c r="R276"/>
  <c r="R279"/>
  <c r="Q325"/>
  <c r="Q283"/>
  <c r="Q276"/>
  <c r="Y276"/>
  <c r="Q124"/>
  <c r="Q59"/>
  <c r="W345"/>
  <c r="W331"/>
  <c r="W333" s="1"/>
  <c r="W325"/>
  <c r="W328" s="1"/>
  <c r="W311"/>
  <c r="W295"/>
  <c r="W124"/>
  <c r="W128"/>
  <c r="V316"/>
  <c r="W347"/>
  <c r="T310"/>
  <c r="T311" s="1"/>
  <c r="X345"/>
  <c r="X347" s="1"/>
  <c r="P347"/>
  <c r="Q310"/>
  <c r="T328"/>
  <c r="X206"/>
  <c r="V328"/>
  <c r="T271"/>
  <c r="U99"/>
  <c r="U100"/>
  <c r="X337"/>
  <c r="X338"/>
  <c r="P338"/>
  <c r="X283"/>
  <c r="X285" s="1"/>
  <c r="P285"/>
  <c r="X221"/>
  <c r="P228"/>
  <c r="P128"/>
  <c r="X121"/>
  <c r="X128"/>
  <c r="P356"/>
  <c r="X355"/>
  <c r="X356" s="1"/>
  <c r="X341"/>
  <c r="X342" s="1"/>
  <c r="P342"/>
  <c r="X293"/>
  <c r="X295"/>
  <c r="P295"/>
  <c r="P269"/>
  <c r="X269"/>
  <c r="V271"/>
  <c r="T316"/>
  <c r="V245"/>
  <c r="V246"/>
  <c r="R166"/>
  <c r="R134"/>
  <c r="Y333"/>
  <c r="Y316"/>
  <c r="Y295"/>
  <c r="X213"/>
  <c r="X309"/>
  <c r="X311"/>
  <c r="X59"/>
  <c r="X61" s="1"/>
  <c r="P61"/>
  <c r="X331"/>
  <c r="X333"/>
  <c r="P333"/>
  <c r="X325"/>
  <c r="X328" s="1"/>
  <c r="P328"/>
  <c r="X273"/>
  <c r="P279"/>
  <c r="R270"/>
  <c r="R271" s="1"/>
  <c r="R361" s="1"/>
  <c r="W270"/>
  <c r="W271" s="1"/>
  <c r="W361" s="1"/>
  <c r="Q270"/>
  <c r="P270"/>
  <c r="P246"/>
  <c r="Y28" i="3"/>
  <c r="Y30"/>
  <c r="Q30"/>
  <c r="W89"/>
  <c r="W91" s="1"/>
  <c r="T90"/>
  <c r="T91" s="1"/>
  <c r="P123"/>
  <c r="X123" s="1"/>
  <c r="X128" s="1"/>
  <c r="P277"/>
  <c r="X277" s="1"/>
  <c r="P278"/>
  <c r="U278" s="1"/>
  <c r="U279" s="1"/>
  <c r="P283"/>
  <c r="P284"/>
  <c r="U284"/>
  <c r="W288"/>
  <c r="W290"/>
  <c r="P314"/>
  <c r="X314"/>
  <c r="P90"/>
  <c r="U90"/>
  <c r="W132"/>
  <c r="W134"/>
  <c r="P293"/>
  <c r="X293"/>
  <c r="X295" s="1"/>
  <c r="T294"/>
  <c r="T295" s="1"/>
  <c r="P310"/>
  <c r="P59"/>
  <c r="X59"/>
  <c r="V74"/>
  <c r="U83"/>
  <c r="Q99"/>
  <c r="R99"/>
  <c r="R100" s="1"/>
  <c r="V65"/>
  <c r="W86"/>
  <c r="W87"/>
  <c r="P89"/>
  <c r="P98"/>
  <c r="X98" s="1"/>
  <c r="X100" s="1"/>
  <c r="W102"/>
  <c r="W104"/>
  <c r="W124"/>
  <c r="P132"/>
  <c r="W274"/>
  <c r="P288"/>
  <c r="P289"/>
  <c r="U289"/>
  <c r="P294"/>
  <c r="W128"/>
  <c r="P68"/>
  <c r="W72"/>
  <c r="W74" s="1"/>
  <c r="P205"/>
  <c r="P219"/>
  <c r="X219"/>
  <c r="Y205"/>
  <c r="Q213"/>
  <c r="Y219"/>
  <c r="Q228"/>
  <c r="Y283"/>
  <c r="Y285"/>
  <c r="Q285"/>
  <c r="Y293"/>
  <c r="Y295" s="1"/>
  <c r="Q295"/>
  <c r="Y309"/>
  <c r="Y311"/>
  <c r="Q311"/>
  <c r="Y288"/>
  <c r="Y290" s="1"/>
  <c r="Q290"/>
  <c r="P81"/>
  <c r="U91"/>
  <c r="T99"/>
  <c r="T100"/>
  <c r="P102"/>
  <c r="W277"/>
  <c r="T278"/>
  <c r="T279"/>
  <c r="W283"/>
  <c r="W285"/>
  <c r="T284"/>
  <c r="T285"/>
  <c r="T289"/>
  <c r="T290"/>
  <c r="Y61"/>
  <c r="P63"/>
  <c r="P72"/>
  <c r="W116"/>
  <c r="W118"/>
  <c r="V60"/>
  <c r="Q61"/>
  <c r="Y63"/>
  <c r="Y65"/>
  <c r="Q65"/>
  <c r="Y72"/>
  <c r="Y74" s="1"/>
  <c r="Q74"/>
  <c r="Q87"/>
  <c r="Y86"/>
  <c r="Y87" s="1"/>
  <c r="Y89"/>
  <c r="Y91" s="1"/>
  <c r="Q91"/>
  <c r="Y116"/>
  <c r="Y118"/>
  <c r="Q118"/>
  <c r="V133"/>
  <c r="V134" s="1"/>
  <c r="Q134"/>
  <c r="R188"/>
  <c r="R189" s="1"/>
  <c r="P188"/>
  <c r="Q188"/>
  <c r="T188"/>
  <c r="T189" s="1"/>
  <c r="T264" s="1"/>
  <c r="R315"/>
  <c r="R316"/>
  <c r="Q315"/>
  <c r="W315"/>
  <c r="W316" s="1"/>
  <c r="P315"/>
  <c r="R127"/>
  <c r="R128"/>
  <c r="R172" s="1"/>
  <c r="Q127"/>
  <c r="V127" s="1"/>
  <c r="V128" s="1"/>
  <c r="V172" s="1"/>
  <c r="P127"/>
  <c r="U127"/>
  <c r="U128" s="1"/>
  <c r="T127"/>
  <c r="T128" s="1"/>
  <c r="T172" s="1"/>
  <c r="P128"/>
  <c r="Y213"/>
  <c r="Y81"/>
  <c r="Y83"/>
  <c r="Q83"/>
  <c r="Y102"/>
  <c r="Y104" s="1"/>
  <c r="Y110" s="1"/>
  <c r="Q104"/>
  <c r="Y123"/>
  <c r="Y128"/>
  <c r="Y172" s="1"/>
  <c r="Y215"/>
  <c r="Y216" s="1"/>
  <c r="Q216"/>
  <c r="R333"/>
  <c r="Q347"/>
  <c r="P228"/>
  <c r="T332"/>
  <c r="T333" s="1"/>
  <c r="P332"/>
  <c r="P341"/>
  <c r="P345"/>
  <c r="P118"/>
  <c r="Y166"/>
  <c r="W172"/>
  <c r="U30"/>
  <c r="W59"/>
  <c r="W61" s="1"/>
  <c r="T60"/>
  <c r="T61" s="1"/>
  <c r="P60"/>
  <c r="W63"/>
  <c r="W65" s="1"/>
  <c r="U104"/>
  <c r="V104"/>
  <c r="Y189"/>
  <c r="V213"/>
  <c r="Y228"/>
  <c r="V228"/>
  <c r="V246"/>
  <c r="V279"/>
  <c r="V285"/>
  <c r="V290"/>
  <c r="V295"/>
  <c r="V311"/>
  <c r="V30"/>
  <c r="V61"/>
  <c r="P86"/>
  <c r="P99"/>
  <c r="U134"/>
  <c r="X189"/>
  <c r="X228"/>
  <c r="P274"/>
  <c r="U285"/>
  <c r="U290"/>
  <c r="V99"/>
  <c r="V100" s="1"/>
  <c r="Q100"/>
  <c r="Y248"/>
  <c r="Y249"/>
  <c r="Q249"/>
  <c r="Y274"/>
  <c r="Y279"/>
  <c r="Q279"/>
  <c r="V68"/>
  <c r="V69"/>
  <c r="Q69"/>
  <c r="R270"/>
  <c r="R271" s="1"/>
  <c r="R361" s="1"/>
  <c r="P270"/>
  <c r="Q270"/>
  <c r="W270"/>
  <c r="W271"/>
  <c r="Y325"/>
  <c r="Y328"/>
  <c r="Q328"/>
  <c r="X61"/>
  <c r="V83"/>
  <c r="V91"/>
  <c r="V118"/>
  <c r="W325"/>
  <c r="W328"/>
  <c r="P325"/>
  <c r="L110" i="6"/>
  <c r="L361"/>
  <c r="Y59"/>
  <c r="Y61" s="1"/>
  <c r="Q61"/>
  <c r="Y325"/>
  <c r="Y328" s="1"/>
  <c r="Q328"/>
  <c r="P203"/>
  <c r="X194"/>
  <c r="X203" s="1"/>
  <c r="P118"/>
  <c r="P172" s="1"/>
  <c r="X116"/>
  <c r="X118" s="1"/>
  <c r="V29"/>
  <c r="V30" s="1"/>
  <c r="Q30"/>
  <c r="U165"/>
  <c r="U166"/>
  <c r="P166"/>
  <c r="V99"/>
  <c r="V100" s="1"/>
  <c r="Q100"/>
  <c r="Y124"/>
  <c r="Y128"/>
  <c r="Y172" s="1"/>
  <c r="Q128"/>
  <c r="Y283"/>
  <c r="Y285" s="1"/>
  <c r="Y215"/>
  <c r="Y216"/>
  <c r="Q216"/>
  <c r="V186"/>
  <c r="V189"/>
  <c r="V264" s="1"/>
  <c r="Q189"/>
  <c r="Q166"/>
  <c r="Q172"/>
  <c r="V165"/>
  <c r="V166"/>
  <c r="Q279"/>
  <c r="P189"/>
  <c r="P100"/>
  <c r="Q213"/>
  <c r="V310"/>
  <c r="V311" s="1"/>
  <c r="Q311"/>
  <c r="Q271"/>
  <c r="Y270"/>
  <c r="Y271" s="1"/>
  <c r="Y361" s="1"/>
  <c r="X270"/>
  <c r="X271"/>
  <c r="X361" s="1"/>
  <c r="P271"/>
  <c r="W279" i="3"/>
  <c r="W361" s="1"/>
  <c r="X283"/>
  <c r="X285"/>
  <c r="P285"/>
  <c r="U310"/>
  <c r="U311" s="1"/>
  <c r="P311"/>
  <c r="X205"/>
  <c r="X213"/>
  <c r="P213"/>
  <c r="U68"/>
  <c r="U69"/>
  <c r="P69"/>
  <c r="U294"/>
  <c r="U295" s="1"/>
  <c r="P295"/>
  <c r="X288"/>
  <c r="X290"/>
  <c r="P290"/>
  <c r="X132"/>
  <c r="X134" s="1"/>
  <c r="P134"/>
  <c r="P172" s="1"/>
  <c r="X89"/>
  <c r="X91"/>
  <c r="P91"/>
  <c r="X63"/>
  <c r="X65" s="1"/>
  <c r="P65"/>
  <c r="X81"/>
  <c r="X83"/>
  <c r="P83"/>
  <c r="X72"/>
  <c r="X74"/>
  <c r="P74"/>
  <c r="X102"/>
  <c r="X104" s="1"/>
  <c r="X110" s="1"/>
  <c r="P104"/>
  <c r="U99"/>
  <c r="U100" s="1"/>
  <c r="P100"/>
  <c r="U60"/>
  <c r="U61"/>
  <c r="P61"/>
  <c r="P342"/>
  <c r="X341"/>
  <c r="X342"/>
  <c r="V188"/>
  <c r="V189"/>
  <c r="V264" s="1"/>
  <c r="Q189"/>
  <c r="X274"/>
  <c r="X279" s="1"/>
  <c r="P279"/>
  <c r="X86"/>
  <c r="X87"/>
  <c r="P87"/>
  <c r="P347"/>
  <c r="X345"/>
  <c r="X347"/>
  <c r="P333"/>
  <c r="U332"/>
  <c r="U333" s="1"/>
  <c r="P316"/>
  <c r="X315"/>
  <c r="X316" s="1"/>
  <c r="Y315"/>
  <c r="Y316" s="1"/>
  <c r="Q316"/>
  <c r="P189"/>
  <c r="U188"/>
  <c r="U189"/>
  <c r="U264" s="1"/>
  <c r="Y270"/>
  <c r="Y271" s="1"/>
  <c r="Q271"/>
  <c r="X325"/>
  <c r="P328"/>
  <c r="X270"/>
  <c r="X271" s="1"/>
  <c r="X361" s="1"/>
  <c r="P271"/>
  <c r="P361"/>
  <c r="U310" i="6" l="1"/>
  <c r="U311" s="1"/>
  <c r="P311"/>
  <c r="X215"/>
  <c r="X216" s="1"/>
  <c r="P216"/>
  <c r="V284"/>
  <c r="V285" s="1"/>
  <c r="Q285"/>
  <c r="Q361" s="1"/>
  <c r="T361" i="3"/>
  <c r="U361"/>
  <c r="X172"/>
  <c r="W110"/>
  <c r="V361" i="6"/>
  <c r="U172"/>
  <c r="W264"/>
  <c r="U189"/>
  <c r="W364"/>
  <c r="AF15" s="1"/>
  <c r="U361"/>
  <c r="W264" i="3"/>
  <c r="Y110" i="6"/>
  <c r="R264"/>
  <c r="U172" i="3"/>
  <c r="H361"/>
  <c r="U210" i="6"/>
  <c r="U213" s="1"/>
  <c r="P213"/>
  <c r="V73"/>
  <c r="V74" s="1"/>
  <c r="Q74"/>
  <c r="X261"/>
  <c r="X262" s="1"/>
  <c r="P262"/>
  <c r="X81"/>
  <c r="X83" s="1"/>
  <c r="P83"/>
  <c r="P361"/>
  <c r="R110"/>
  <c r="R364" s="1"/>
  <c r="V110"/>
  <c r="V364" s="1"/>
  <c r="AE14" s="1"/>
  <c r="Q110"/>
  <c r="P110"/>
  <c r="V172"/>
  <c r="X166"/>
  <c r="X172" s="1"/>
  <c r="T172"/>
  <c r="T361"/>
  <c r="X110"/>
  <c r="R239" i="3"/>
  <c r="R228"/>
  <c r="R264" s="1"/>
  <c r="H264"/>
  <c r="Q77"/>
  <c r="R77"/>
  <c r="R78" s="1"/>
  <c r="R110" s="1"/>
  <c r="R364" s="1"/>
  <c r="P77"/>
  <c r="T77"/>
  <c r="T78" s="1"/>
  <c r="T110" s="1"/>
  <c r="T364" s="1"/>
  <c r="AF14" s="1"/>
  <c r="Q253"/>
  <c r="Q264" s="1"/>
  <c r="Y252"/>
  <c r="Y253" s="1"/>
  <c r="Y358"/>
  <c r="Y359" s="1"/>
  <c r="Y361" s="1"/>
  <c r="Q359"/>
  <c r="Q361" s="1"/>
  <c r="Q128"/>
  <c r="Q172" s="1"/>
  <c r="U68" i="6"/>
  <c r="U69" s="1"/>
  <c r="U110" s="1"/>
  <c r="Y244"/>
  <c r="Y246" s="1"/>
  <c r="Q261"/>
  <c r="T73"/>
  <c r="T74" s="1"/>
  <c r="T110" s="1"/>
  <c r="T364" s="1"/>
  <c r="AF14" s="1"/>
  <c r="O322" i="3"/>
  <c r="O321"/>
  <c r="P320"/>
  <c r="P322" s="1"/>
  <c r="O301"/>
  <c r="P300"/>
  <c r="P299"/>
  <c r="P301" s="1"/>
  <c r="L239"/>
  <c r="L264" s="1"/>
  <c r="U74"/>
  <c r="Y256"/>
  <c r="Y258" s="1"/>
  <c r="Q258"/>
  <c r="X256" i="6"/>
  <c r="X258" s="1"/>
  <c r="X264" s="1"/>
  <c r="P258"/>
  <c r="H172"/>
  <c r="H110"/>
  <c r="O160" i="3"/>
  <c r="O159"/>
  <c r="P158"/>
  <c r="P160" s="1"/>
  <c r="L74"/>
  <c r="L110" s="1"/>
  <c r="R48"/>
  <c r="R52" s="1"/>
  <c r="N139" i="6"/>
  <c r="R139" s="1"/>
  <c r="P48"/>
  <c r="P52" s="1"/>
  <c r="O35"/>
  <c r="P20"/>
  <c r="P256" i="3"/>
  <c r="P178" i="6"/>
  <c r="P264" s="1"/>
  <c r="R152"/>
  <c r="R156" s="1"/>
  <c r="AD14" l="1"/>
  <c r="Y264" i="3"/>
  <c r="Y364" s="1"/>
  <c r="AE15" s="1"/>
  <c r="X256"/>
  <c r="X258" s="1"/>
  <c r="X264" s="1"/>
  <c r="X364" s="1"/>
  <c r="AC15" s="1"/>
  <c r="AB15" s="1"/>
  <c r="P258"/>
  <c r="P264" s="1"/>
  <c r="N35" i="6"/>
  <c r="R35" s="1"/>
  <c r="P35"/>
  <c r="R159" i="3"/>
  <c r="P159"/>
  <c r="Q262" i="6"/>
  <c r="Q264" s="1"/>
  <c r="Q364" s="1"/>
  <c r="Y261"/>
  <c r="Y262" s="1"/>
  <c r="Y264" s="1"/>
  <c r="Y364" s="1"/>
  <c r="AE15" s="1"/>
  <c r="W364" i="3"/>
  <c r="AF15" s="1"/>
  <c r="AF17" s="1"/>
  <c r="X20" i="6"/>
  <c r="X21" s="1"/>
  <c r="X364" s="1"/>
  <c r="AC15" s="1"/>
  <c r="AB15" s="1"/>
  <c r="P21"/>
  <c r="P364" s="1"/>
  <c r="U20"/>
  <c r="U21" s="1"/>
  <c r="N321" i="3"/>
  <c r="R321" s="1"/>
  <c r="P321"/>
  <c r="U77"/>
  <c r="U78" s="1"/>
  <c r="U110" s="1"/>
  <c r="U364" s="1"/>
  <c r="AC14" s="1"/>
  <c r="P78"/>
  <c r="P110" s="1"/>
  <c r="P364" s="1"/>
  <c r="V77"/>
  <c r="V78" s="1"/>
  <c r="V110" s="1"/>
  <c r="V364" s="1"/>
  <c r="AE14" s="1"/>
  <c r="Q78"/>
  <c r="Q110" s="1"/>
  <c r="Q364" s="1"/>
  <c r="AF17" i="6"/>
  <c r="U264"/>
  <c r="AD15" l="1"/>
  <c r="AE17"/>
  <c r="AD17" s="1"/>
  <c r="U364"/>
  <c r="AC14" s="1"/>
  <c r="AD15" i="3"/>
  <c r="AE17"/>
  <c r="AD17" s="1"/>
  <c r="AD14"/>
  <c r="AB14"/>
  <c r="AC17"/>
  <c r="AB17" s="1"/>
  <c r="AB14" i="6" l="1"/>
  <c r="AC17"/>
  <c r="AB17" l="1"/>
</calcChain>
</file>

<file path=xl/sharedStrings.xml><?xml version="1.0" encoding="utf-8"?>
<sst xmlns="http://schemas.openxmlformats.org/spreadsheetml/2006/main" count="1174" uniqueCount="275">
  <si>
    <t>Respondents</t>
  </si>
  <si>
    <t>Legal</t>
  </si>
  <si>
    <t>Manager</t>
  </si>
  <si>
    <t>Technical</t>
  </si>
  <si>
    <t>Clerical</t>
  </si>
  <si>
    <t>Consultant</t>
  </si>
  <si>
    <t>Overhead Multiplier</t>
  </si>
  <si>
    <t>Adjusted Hourly Rate</t>
  </si>
  <si>
    <t>Agency</t>
  </si>
  <si>
    <t>Hourly Wage</t>
  </si>
  <si>
    <t xml:space="preserve"> =C106+C107+C168+C175+C182+C220+C224+C422+C424+C426+C430+C432+C434+C438+C440+C441+C443+C446+C448+C450+C453+C455+C456+C458+C462+C463+C465</t>
  </si>
  <si>
    <t>Total Hourly Rate</t>
  </si>
  <si>
    <t>Hours and Costs Per Respondent or Activity</t>
  </si>
  <si>
    <t>Total Hours and Costs</t>
  </si>
  <si>
    <t>Total</t>
  </si>
  <si>
    <t>Labor</t>
  </si>
  <si>
    <t>Capital/</t>
  </si>
  <si>
    <t>Cost</t>
  </si>
  <si>
    <t>Startup</t>
  </si>
  <si>
    <t>O&amp;M</t>
  </si>
  <si>
    <t>INFORMATION COLLECTION ACTIVITY</t>
  </si>
  <si>
    <t>or Activities</t>
  </si>
  <si>
    <t>Subtotal</t>
  </si>
  <si>
    <t>varies</t>
  </si>
  <si>
    <t>EMISSION STANDARDS</t>
  </si>
  <si>
    <t># Of</t>
  </si>
  <si>
    <t xml:space="preserve">  Notify applicants of EPA's determination</t>
  </si>
  <si>
    <t xml:space="preserve">  Review notifications of compliance</t>
  </si>
  <si>
    <t xml:space="preserve">  Enter information into a database</t>
  </si>
  <si>
    <t>Performance test notification</t>
  </si>
  <si>
    <t xml:space="preserve">  Review site-specific comprehensive performance </t>
  </si>
  <si>
    <t xml:space="preserve">  test plan</t>
  </si>
  <si>
    <t xml:space="preserve">  Review site-specific confirmatory performance</t>
  </si>
  <si>
    <t xml:space="preserve">  Request additional information</t>
  </si>
  <si>
    <t>Time extension for subsequent performance tests</t>
  </si>
  <si>
    <t xml:space="preserve">  Review performance test date</t>
  </si>
  <si>
    <t xml:space="preserve">  notifications and rescheduled test date</t>
  </si>
  <si>
    <t xml:space="preserve">  notifications</t>
  </si>
  <si>
    <t>Site-specific performance test plan</t>
  </si>
  <si>
    <t>Comprehensive performance test</t>
  </si>
  <si>
    <t xml:space="preserve">  Determine if small, on-site sources pose the </t>
  </si>
  <si>
    <t xml:space="preserve">  same potential to exceed the Part 63, Subpart</t>
  </si>
  <si>
    <t xml:space="preserve">  EEE standards as large or off-site sources</t>
  </si>
  <si>
    <t xml:space="preserve">  Notify such sources that they must comply with</t>
  </si>
  <si>
    <t xml:space="preserve">  the testing frequency applicable to large or off-</t>
  </si>
  <si>
    <t xml:space="preserve">  site sources</t>
  </si>
  <si>
    <t>Notification of compliance requirements</t>
  </si>
  <si>
    <t>Waiver of performance tests</t>
  </si>
  <si>
    <t>MONITORING REQUIREMENTS</t>
  </si>
  <si>
    <t>DIOXINS AND FURANS</t>
  </si>
  <si>
    <t>Carbon injector parameters</t>
  </si>
  <si>
    <t xml:space="preserve">  Review requests to substitute a different brand </t>
  </si>
  <si>
    <t xml:space="preserve">  or type of carbon</t>
  </si>
  <si>
    <t>Inhibitor substitutions</t>
  </si>
  <si>
    <t xml:space="preserve">  Review requests to substitute a different brand</t>
  </si>
  <si>
    <t xml:space="preserve">  or type of inhibitor</t>
  </si>
  <si>
    <t>Particulate matter</t>
  </si>
  <si>
    <t>Waiver of operating limits</t>
  </si>
  <si>
    <t xml:space="preserve">  Review requests to have operating limits</t>
  </si>
  <si>
    <t xml:space="preserve">  waived</t>
  </si>
  <si>
    <t>Use of alternative CEMS spans</t>
  </si>
  <si>
    <t>evaluation</t>
  </si>
  <si>
    <t>Data in lieu of the initial comprehensive performance test</t>
  </si>
  <si>
    <t>Review requests to base initial compliance data in lieu of a</t>
  </si>
  <si>
    <t>comprehensice performance test</t>
  </si>
  <si>
    <t>Notify applicants of the EPA's determination</t>
  </si>
  <si>
    <t>Notifcation of performance test and CMS performance evaluation and approval of test plan and CMS performance evaluation plan</t>
  </si>
  <si>
    <t>Review notifications of intention to conduct a performance</t>
  </si>
  <si>
    <t>test</t>
  </si>
  <si>
    <t>Review notifications of delay in conducting a performance</t>
  </si>
  <si>
    <t>Review site-specific comprehensive performance test plans</t>
  </si>
  <si>
    <t>Review site-specific confirmatory performance test plans</t>
  </si>
  <si>
    <t>Request additional relevant information</t>
  </si>
  <si>
    <t>Review requests for an extension for conducting a</t>
  </si>
  <si>
    <t>performance test (other than the initial comprehensive</t>
  </si>
  <si>
    <t>performance test)</t>
  </si>
  <si>
    <t>Notification of compliance</t>
  </si>
  <si>
    <t>Review notifications of compliance</t>
  </si>
  <si>
    <t>Review requests for a time extension for Notification of</t>
  </si>
  <si>
    <t>Compliance</t>
  </si>
  <si>
    <t>Review requests to waive a performance test</t>
  </si>
  <si>
    <t>Notify applicants of EPA' s determination</t>
  </si>
  <si>
    <t>Notify applicants of the EPA' s determination</t>
  </si>
  <si>
    <t>Analysis of feedstream</t>
  </si>
  <si>
    <t>Request feedstream analysis plan</t>
  </si>
  <si>
    <t>Alternative compliance, monitoring requirements for standards other than those monitored with a CEMS</t>
  </si>
  <si>
    <t>Review requests for approval of alternative monitoring</t>
  </si>
  <si>
    <t>methods, except for standards that must be monitored with a</t>
  </si>
  <si>
    <t>CEMS</t>
  </si>
  <si>
    <t>Review requests for approval of a waiver of an operating</t>
  </si>
  <si>
    <t>parameter limit</t>
  </si>
  <si>
    <t>alternative monitoring requirements</t>
  </si>
  <si>
    <t>Notify applicants of the EPA's determination for approval of a</t>
  </si>
  <si>
    <t>waiver of an operating parameter limit</t>
  </si>
  <si>
    <t>PERFORMANCE EVALUATION</t>
  </si>
  <si>
    <t>Quality control program</t>
  </si>
  <si>
    <t>Review CMS quality control program</t>
  </si>
  <si>
    <t>Notify applicants of EPA's determination</t>
  </si>
  <si>
    <t>Notification of performance evaluation</t>
  </si>
  <si>
    <t>Review notifications of CMS performance evaluation</t>
  </si>
  <si>
    <t>Additional notification requirements for sources with continuous monitoring systems</t>
  </si>
  <si>
    <t>Review additional notification requirements for source with</t>
  </si>
  <si>
    <t>CMS</t>
  </si>
  <si>
    <t>Submission of site-specific performance evaluation test plan</t>
  </si>
  <si>
    <t>Request additional relavant information</t>
  </si>
  <si>
    <t>DRE</t>
  </si>
  <si>
    <t>Review DRE operating parameter limits</t>
  </si>
  <si>
    <t>Dioxins and furans</t>
  </si>
  <si>
    <t>Review dioxin and furan operating parameter limits</t>
  </si>
  <si>
    <t>Review requests for approval to substitute a different brand</t>
  </si>
  <si>
    <t>or type of carbon</t>
  </si>
  <si>
    <t>or type of inhibitor</t>
  </si>
  <si>
    <t>Notify applicants of the EPA's determination for approval to</t>
  </si>
  <si>
    <t>substitute a different brand or type of carbon</t>
  </si>
  <si>
    <t>substitute a different brand or type of inhibitor</t>
  </si>
  <si>
    <t>Mercury</t>
  </si>
  <si>
    <t>Review mercury operating parameter limits</t>
  </si>
  <si>
    <t>Review requests to extrapolate mercury feedrate limits</t>
  </si>
  <si>
    <t>Review requesrs for approval to substitute a different brand</t>
  </si>
  <si>
    <t>Review requesrs for approval to use a CEMS in lieu of</t>
  </si>
  <si>
    <t>operating parameter limtis</t>
  </si>
  <si>
    <t>Notify applicants of the EPA's determination to extrapolate</t>
  </si>
  <si>
    <t>mercury feedrate limits</t>
  </si>
  <si>
    <t>use a CEMS</t>
  </si>
  <si>
    <t>Review particulate matter operating parameter limits</t>
  </si>
  <si>
    <t>Semivolatile and low semivolatile metals</t>
  </si>
  <si>
    <t xml:space="preserve">Review semivolatile metal and low volatile metal operating </t>
  </si>
  <si>
    <t>Review requests to extrapolate semivolatile metal and low</t>
  </si>
  <si>
    <t>volatile metal feedrate limits</t>
  </si>
  <si>
    <t>SVM and LVM feedrates</t>
  </si>
  <si>
    <t>Review total chlorine operating parameter limits</t>
  </si>
  <si>
    <t>or type of sorbent</t>
  </si>
  <si>
    <t>Initial notification</t>
  </si>
  <si>
    <t>Review intial notifications</t>
  </si>
  <si>
    <t>Review applications of approval of construction</t>
  </si>
  <si>
    <t>Review applications of approval of reconstruction, as</t>
  </si>
  <si>
    <t>applicable</t>
  </si>
  <si>
    <t>Adjustment to time periods or postmark deadlines for submittal and review of equiped communications</t>
  </si>
  <si>
    <t>Review requests for an adjustment to time periods or</t>
  </si>
  <si>
    <t>postmark deadlines for submittal and review of required</t>
  </si>
  <si>
    <t>informaiton</t>
  </si>
  <si>
    <t>Request to reduce frequency of excess emissions an continuous monitoring system performance results</t>
  </si>
  <si>
    <t>Change in information already provided</t>
  </si>
  <si>
    <t>Review notifications of change(s) in the information already</t>
  </si>
  <si>
    <t>provided</t>
  </si>
  <si>
    <t xml:space="preserve">Review requests to reduce the frequency of excess </t>
  </si>
  <si>
    <t>emissions and CMS performance reports</t>
  </si>
  <si>
    <t>Waiver of record keeping and reporting requirements</t>
  </si>
  <si>
    <t>Review waivers of recordkeeping or reporting</t>
  </si>
  <si>
    <t>Data compression</t>
  </si>
  <si>
    <t>Review requests for approval to use date compression</t>
  </si>
  <si>
    <t>technigues to record data on a less frequent basis</t>
  </si>
  <si>
    <t>REPORTING REQUIREMENTS</t>
  </si>
  <si>
    <t>Startup shutdown and malfunction reports</t>
  </si>
  <si>
    <t>Review immediate startup, shutdown, and malfunction</t>
  </si>
  <si>
    <t>report, as applicable</t>
  </si>
  <si>
    <t>Excess emissions and continuous monitoring system performance report and summary report</t>
  </si>
  <si>
    <t>Review excess emissions and monitoring system</t>
  </si>
  <si>
    <t>performance reports and summary reports</t>
  </si>
  <si>
    <t>RECORDKEEPING REQUIREMENTS</t>
  </si>
  <si>
    <t>General recordkeeping requirements</t>
  </si>
  <si>
    <t>Inspect and review the files of all information (including all</t>
  </si>
  <si>
    <t>reports and notifications), as necessary</t>
  </si>
  <si>
    <t>Extension of the compliance date to install pollution prevention waste minimization controls</t>
  </si>
  <si>
    <t>Review requests for an extension of compliance date</t>
  </si>
  <si>
    <t>QUALITY ASSURANCE PROCEDURES FOR CEMS</t>
  </si>
  <si>
    <t>Performance Evaluation</t>
  </si>
  <si>
    <t>Review data collected from CEMS performance evaluation</t>
  </si>
  <si>
    <t>Review requests for approval to use alternative CEMS spans</t>
  </si>
  <si>
    <t>and ranges</t>
  </si>
  <si>
    <t>Reporting results of continuous monitoring system performance evaluations</t>
  </si>
  <si>
    <t>Review written reports of the results of the CMS performance</t>
  </si>
  <si>
    <t>Review requests for approval to use a CEMS in lieu of</t>
  </si>
  <si>
    <t>substitute a different brand or type of sorbent</t>
  </si>
  <si>
    <t>COMPLIANCE WITH THE STANDARDS AND OPERATING REQUIREMENTS</t>
  </si>
  <si>
    <t>Review operating record documenting compliance with all</t>
  </si>
  <si>
    <t>applicable CAA requirements and standards when not</t>
  </si>
  <si>
    <t>burning hazardous waste</t>
  </si>
  <si>
    <t>Extension of compliance with emission standards</t>
  </si>
  <si>
    <t>Review requests for extension of the compliance date</t>
  </si>
  <si>
    <t>Review progress reports, if required by EPA</t>
  </si>
  <si>
    <t>Changes in design, operation, or maintenance</t>
  </si>
  <si>
    <t>Review notifications of changes in design, operation, or</t>
  </si>
  <si>
    <t>maintenance</t>
  </si>
  <si>
    <t>Applicability of particulate matter and opacity standards during PM CEMS correlation tests</t>
  </si>
  <si>
    <t>Review of PM CEMS correlation test plans</t>
  </si>
  <si>
    <t>Notify applicants of EPA' determination</t>
  </si>
  <si>
    <t>Review petitions for alternative particulate matter standard</t>
  </si>
  <si>
    <t>Startup, shutdown, and malfunction plan</t>
  </si>
  <si>
    <t>Automatic waste feed cutoff</t>
  </si>
  <si>
    <t>Review excessive exceedance reports</t>
  </si>
  <si>
    <t>ESV openings</t>
  </si>
  <si>
    <t>Review ESV openings report</t>
  </si>
  <si>
    <t>Combustion system leaks</t>
  </si>
  <si>
    <t>Review requests for approval of alternative means of</t>
  </si>
  <si>
    <t>combustion system leak control</t>
  </si>
  <si>
    <t>Operator training and certification</t>
  </si>
  <si>
    <t>Review operator training and certification programs</t>
  </si>
  <si>
    <t>PERFORMANCE TESTING REQUIREMENTS</t>
  </si>
  <si>
    <t>EXTENSION OF THE COMPLIANCE DATE FOR WASTE MINIMIZATION OR POLLUTION PREVENTION</t>
  </si>
  <si>
    <t>Notify applicants of the EPA's determination for approval of</t>
  </si>
  <si>
    <t>Respondent</t>
  </si>
  <si>
    <t>MISCELLANEOUS NOTIFICATION REQUIREMENTS</t>
  </si>
  <si>
    <t>Review startup, shutdown, and malfunction report, as</t>
  </si>
  <si>
    <t>Total (Compliance and Standards)</t>
  </si>
  <si>
    <t>Total (Performance Testing)</t>
  </si>
  <si>
    <t>GRAND TOTAL</t>
  </si>
  <si>
    <t>Review site-specific performance evaluation test plans</t>
  </si>
  <si>
    <t>Total (Monitoring and Performance Evaluation)</t>
  </si>
  <si>
    <t>Total (Notification, Recordkeeping, Pollution Prevention, Quality Assurance for CEMS)</t>
  </si>
  <si>
    <t>Review startup, shutdown, and malfunction plans, notify</t>
  </si>
  <si>
    <t>applicant of results of review</t>
  </si>
  <si>
    <t>Notice of Intent to Comply</t>
  </si>
  <si>
    <t>Review draft and final NIC</t>
  </si>
  <si>
    <t>Attend public meeting</t>
  </si>
  <si>
    <t>Alternative particulate matter standard for liquid fuel boilers with low feedrates of metals</t>
  </si>
  <si>
    <t>for liquid boilers with low feedrates of metals</t>
  </si>
  <si>
    <t>Nothing</t>
  </si>
  <si>
    <t>Total (Standards)</t>
  </si>
  <si>
    <t>STANDARDS</t>
  </si>
  <si>
    <t>MISCELLANEOUS REQUIREMENTS</t>
  </si>
  <si>
    <t>Alternative Risk Based Chlorine Standards</t>
  </si>
  <si>
    <t>HCl Production Furnace Storage and Transfer Activities</t>
  </si>
  <si>
    <t>Review request for use of alternative risk based chlorine standards</t>
  </si>
  <si>
    <t>Review LDAR plan and compliance with control efficiency req's</t>
  </si>
  <si>
    <t>Incinerators</t>
  </si>
  <si>
    <t>Cement Kilns</t>
  </si>
  <si>
    <t>LWAKs</t>
  </si>
  <si>
    <t>LFB</t>
  </si>
  <si>
    <t>SFB</t>
  </si>
  <si>
    <t>HCl Prod Furn</t>
  </si>
  <si>
    <t>Phase II</t>
  </si>
  <si>
    <t>Compliance with alternative MACT standards</t>
  </si>
  <si>
    <t>Data in lieu for DRE testing</t>
  </si>
  <si>
    <t>Review data in lieu submission</t>
  </si>
  <si>
    <t>Hazardous waste residence time</t>
  </si>
  <si>
    <t>Review determination of hazardous waste residence time</t>
  </si>
  <si>
    <t>Operation and Maintenance Plan</t>
  </si>
  <si>
    <t>Review request to use alternative OPLs for ESP and ISWs</t>
  </si>
  <si>
    <t>Total chlorine (hydrogen chloride and chlorine gas)</t>
  </si>
  <si>
    <t>/hr</t>
  </si>
  <si>
    <t>Hours</t>
  </si>
  <si>
    <t>hr/yr</t>
  </si>
  <si>
    <t>$/yr</t>
  </si>
  <si>
    <t>Respond.</t>
  </si>
  <si>
    <t>Total Agency Hours per Labor Category</t>
  </si>
  <si>
    <t xml:space="preserve"> Base Hourly Wage 2002 ICR</t>
  </si>
  <si>
    <t>Inflation Adjusted Hourly Rate</t>
  </si>
  <si>
    <t>Reporting (RP) vs. Recordkeeping (RK)</t>
  </si>
  <si>
    <t>Reporting vs. Recordkeeping</t>
  </si>
  <si>
    <t>Reporting</t>
  </si>
  <si>
    <t>Recordkeeping</t>
  </si>
  <si>
    <t>No. Responses</t>
  </si>
  <si>
    <t>Total Hours</t>
  </si>
  <si>
    <t>RK</t>
  </si>
  <si>
    <t>Capital &amp;</t>
  </si>
  <si>
    <t>O&amp;M Costs</t>
  </si>
  <si>
    <t xml:space="preserve">Exhibit 2:  State Burden </t>
  </si>
  <si>
    <t>Exhibit 3:  Federal Burden</t>
  </si>
  <si>
    <t>RP</t>
  </si>
  <si>
    <t>Hours per Response</t>
  </si>
  <si>
    <t>Total Annual Hour Burden</t>
  </si>
  <si>
    <t>Cost per Response (Capital/Startup and O&amp;M Costs Only)</t>
  </si>
  <si>
    <t>Total Annual Cost Burden (Capital/Startup and O&amp;M Costs Only)</t>
  </si>
  <si>
    <t>Third Party Disclosure</t>
  </si>
  <si>
    <t>Hour and Cost Burden-State</t>
  </si>
  <si>
    <t>Capital/O&amp;M  Costs</t>
  </si>
  <si>
    <t>Hour and Cost Burden-Federal</t>
  </si>
  <si>
    <t>Reporting (438 Responses)</t>
  </si>
  <si>
    <t>Recordkeeping (986 Responses)</t>
  </si>
  <si>
    <t>Total (1424 Responses)</t>
  </si>
  <si>
    <t>Total (712 Responses)</t>
  </si>
  <si>
    <t>Recordkeeping (493 Responses)</t>
  </si>
  <si>
    <t>Reporting (219 Responses)</t>
  </si>
  <si>
    <t>O&amp;M + Labor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</si>
</sst>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General_)"/>
    <numFmt numFmtId="165" formatCode="#,##0.0"/>
    <numFmt numFmtId="166" formatCode="_(* #,##0_);_(* \(#,##0\);_(* &quot;-&quot;??_);_(@_)"/>
    <numFmt numFmtId="167" formatCode="0.0"/>
    <numFmt numFmtId="168" formatCode="&quot;$&quot;#,##0"/>
    <numFmt numFmtId="169" formatCode="0.00_);\(0.00\)"/>
  </numFmts>
  <fonts count="7">
    <font>
      <sz val="8"/>
      <name val="Helv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gray125">
        <fgColor indexed="8"/>
        <bgColor indexed="9"/>
      </patternFill>
    </fill>
    <fill>
      <patternFill patternType="solid">
        <fgColor indexed="47"/>
        <bgColor indexed="64"/>
      </patternFill>
    </fill>
  </fills>
  <borders count="10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ck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164" fontId="0" fillId="0" borderId="0"/>
    <xf numFmtId="43" fontId="1" fillId="0" borderId="0" applyFont="0" applyFill="0" applyBorder="0" applyAlignment="0" applyProtection="0"/>
  </cellStyleXfs>
  <cellXfs count="592">
    <xf numFmtId="164" fontId="0" fillId="0" borderId="0" xfId="0"/>
    <xf numFmtId="164" fontId="2" fillId="3" borderId="0" xfId="0" applyFont="1" applyFill="1" applyProtection="1">
      <protection locked="0"/>
    </xf>
    <xf numFmtId="164" fontId="2" fillId="3" borderId="0" xfId="0" quotePrefix="1" applyNumberFormat="1" applyFont="1" applyFill="1" applyAlignment="1" applyProtection="1">
      <alignment horizontal="left"/>
      <protection locked="0"/>
    </xf>
    <xf numFmtId="167" fontId="2" fillId="3" borderId="0" xfId="0" applyNumberFormat="1" applyFont="1" applyFill="1" applyAlignment="1" applyProtection="1">
      <alignment horizontal="center"/>
      <protection locked="0"/>
    </xf>
    <xf numFmtId="167" fontId="2" fillId="3" borderId="0" xfId="0" applyNumberFormat="1" applyFont="1" applyFill="1" applyAlignment="1" applyProtection="1">
      <alignment horizontal="left"/>
      <protection locked="0"/>
    </xf>
    <xf numFmtId="167" fontId="2" fillId="3" borderId="0" xfId="0" applyNumberFormat="1" applyFont="1" applyFill="1" applyProtection="1">
      <protection locked="0"/>
    </xf>
    <xf numFmtId="3" fontId="2" fillId="3" borderId="0" xfId="0" applyNumberFormat="1" applyFont="1" applyFill="1" applyProtection="1">
      <protection locked="0"/>
    </xf>
    <xf numFmtId="168" fontId="2" fillId="3" borderId="0" xfId="0" applyNumberFormat="1" applyFont="1" applyFill="1" applyProtection="1">
      <protection locked="0"/>
    </xf>
    <xf numFmtId="165" fontId="2" fillId="3" borderId="0" xfId="1" applyNumberFormat="1" applyFont="1" applyFill="1" applyProtection="1">
      <protection locked="0"/>
    </xf>
    <xf numFmtId="167" fontId="2" fillId="3" borderId="0" xfId="1" applyNumberFormat="1" applyFont="1" applyFill="1" applyProtection="1">
      <protection locked="0"/>
    </xf>
    <xf numFmtId="168" fontId="2" fillId="3" borderId="0" xfId="0" applyNumberFormat="1" applyFont="1" applyFill="1" applyAlignment="1" applyProtection="1">
      <alignment horizontal="left"/>
      <protection locked="0"/>
    </xf>
    <xf numFmtId="2" fontId="2" fillId="3" borderId="0" xfId="0" applyNumberFormat="1" applyFont="1" applyFill="1" applyBorder="1" applyProtection="1">
      <protection locked="0"/>
    </xf>
    <xf numFmtId="2" fontId="2" fillId="3" borderId="0" xfId="0" applyNumberFormat="1" applyFont="1" applyFill="1" applyBorder="1" applyAlignment="1" applyProtection="1">
      <alignment horizontal="left"/>
      <protection locked="0"/>
    </xf>
    <xf numFmtId="166" fontId="2" fillId="3" borderId="0" xfId="1" applyNumberFormat="1" applyFont="1" applyFill="1" applyBorder="1" applyProtection="1">
      <protection locked="0"/>
    </xf>
    <xf numFmtId="7" fontId="2" fillId="3" borderId="0" xfId="0" applyNumberFormat="1" applyFont="1" applyFill="1" applyProtection="1">
      <protection locked="0"/>
    </xf>
    <xf numFmtId="164" fontId="2" fillId="3" borderId="0" xfId="0" quotePrefix="1" applyNumberFormat="1" applyFont="1" applyFill="1" applyAlignment="1" applyProtection="1">
      <alignment horizontal="justify"/>
      <protection locked="0"/>
    </xf>
    <xf numFmtId="164" fontId="2" fillId="3" borderId="0" xfId="0" applyNumberFormat="1" applyFont="1" applyFill="1" applyAlignment="1" applyProtection="1">
      <alignment horizontal="justify"/>
      <protection locked="0"/>
    </xf>
    <xf numFmtId="164" fontId="2" fillId="3" borderId="0" xfId="0" applyFont="1" applyFill="1" applyAlignment="1" applyProtection="1">
      <alignment horizontal="justify"/>
      <protection locked="0"/>
    </xf>
    <xf numFmtId="4" fontId="2" fillId="3" borderId="0" xfId="0" applyNumberFormat="1" applyFont="1" applyFill="1" applyProtection="1">
      <protection locked="0"/>
    </xf>
    <xf numFmtId="2" fontId="2" fillId="3" borderId="0" xfId="0" applyNumberFormat="1" applyFont="1" applyFill="1" applyProtection="1">
      <protection locked="0"/>
    </xf>
    <xf numFmtId="167" fontId="3" fillId="3" borderId="0" xfId="0" applyNumberFormat="1" applyFont="1" applyFill="1" applyProtection="1">
      <protection locked="0"/>
    </xf>
    <xf numFmtId="3" fontId="3" fillId="3" borderId="0" xfId="0" applyNumberFormat="1" applyFont="1" applyFill="1" applyProtection="1">
      <protection locked="0"/>
    </xf>
    <xf numFmtId="164" fontId="4" fillId="3" borderId="0" xfId="0" quotePrefix="1" applyFont="1" applyFill="1" applyAlignment="1" applyProtection="1">
      <alignment horizontal="left"/>
      <protection locked="0"/>
    </xf>
    <xf numFmtId="164" fontId="3" fillId="3" borderId="0" xfId="0" quotePrefix="1" applyFont="1" applyFill="1" applyAlignment="1" applyProtection="1">
      <alignment horizontal="left"/>
      <protection locked="0"/>
    </xf>
    <xf numFmtId="167" fontId="2" fillId="3" borderId="0" xfId="0" applyNumberFormat="1" applyFont="1" applyFill="1" applyAlignment="1" applyProtection="1">
      <alignment horizontal="right"/>
      <protection locked="0"/>
    </xf>
    <xf numFmtId="3" fontId="2" fillId="3" borderId="0" xfId="0" applyNumberFormat="1" applyFont="1" applyFill="1" applyAlignment="1" applyProtection="1">
      <alignment horizontal="right"/>
      <protection locked="0"/>
    </xf>
    <xf numFmtId="168" fontId="2" fillId="3" borderId="0" xfId="0" applyNumberFormat="1" applyFont="1" applyFill="1" applyAlignment="1" applyProtection="1">
      <alignment horizontal="right"/>
      <protection locked="0"/>
    </xf>
    <xf numFmtId="165" fontId="2" fillId="3" borderId="0" xfId="1" applyNumberFormat="1" applyFont="1" applyFill="1" applyAlignment="1" applyProtection="1">
      <alignment horizontal="right"/>
      <protection locked="0"/>
    </xf>
    <xf numFmtId="167" fontId="2" fillId="3" borderId="0" xfId="1" applyNumberFormat="1" applyFont="1" applyFill="1" applyAlignment="1" applyProtection="1">
      <alignment horizontal="right"/>
      <protection locked="0"/>
    </xf>
    <xf numFmtId="164" fontId="2" fillId="3" borderId="0" xfId="0" applyFont="1" applyFill="1" applyBorder="1" applyProtection="1">
      <protection locked="0"/>
    </xf>
    <xf numFmtId="7" fontId="2" fillId="3" borderId="0" xfId="0" applyNumberFormat="1" applyFont="1" applyFill="1" applyBorder="1" applyProtection="1">
      <protection locked="0"/>
    </xf>
    <xf numFmtId="167" fontId="2" fillId="3" borderId="0" xfId="0" applyNumberFormat="1" applyFont="1" applyFill="1" applyAlignment="1" applyProtection="1">
      <alignment horizontal="centerContinuous"/>
      <protection locked="0"/>
    </xf>
    <xf numFmtId="167" fontId="2" fillId="3" borderId="0" xfId="0" quotePrefix="1" applyNumberFormat="1" applyFont="1" applyFill="1" applyAlignment="1" applyProtection="1">
      <alignment horizontal="centerContinuous"/>
      <protection locked="0"/>
    </xf>
    <xf numFmtId="3" fontId="2" fillId="3" borderId="0" xfId="0" applyNumberFormat="1" applyFont="1" applyFill="1" applyAlignment="1" applyProtection="1">
      <alignment horizontal="centerContinuous"/>
      <protection locked="0"/>
    </xf>
    <xf numFmtId="168" fontId="2" fillId="3" borderId="0" xfId="0" applyNumberFormat="1" applyFont="1" applyFill="1" applyAlignment="1" applyProtection="1">
      <alignment horizontal="centerContinuous"/>
      <protection locked="0"/>
    </xf>
    <xf numFmtId="167" fontId="2" fillId="3" borderId="0" xfId="1" applyNumberFormat="1" applyFont="1" applyFill="1" applyAlignment="1" applyProtection="1">
      <alignment horizontal="center"/>
      <protection locked="0"/>
    </xf>
    <xf numFmtId="167" fontId="2" fillId="3" borderId="1" xfId="0" applyNumberFormat="1" applyFont="1" applyFill="1" applyBorder="1" applyProtection="1">
      <protection locked="0"/>
    </xf>
    <xf numFmtId="3" fontId="2" fillId="3" borderId="1" xfId="0" applyNumberFormat="1" applyFont="1" applyFill="1" applyBorder="1" applyProtection="1">
      <protection locked="0"/>
    </xf>
    <xf numFmtId="168" fontId="2" fillId="3" borderId="1" xfId="0" applyNumberFormat="1" applyFont="1" applyFill="1" applyBorder="1" applyProtection="1">
      <protection locked="0"/>
    </xf>
    <xf numFmtId="168" fontId="2" fillId="3" borderId="2" xfId="0" applyNumberFormat="1" applyFont="1" applyFill="1" applyBorder="1" applyProtection="1">
      <protection locked="0"/>
    </xf>
    <xf numFmtId="165" fontId="2" fillId="3" borderId="3" xfId="1" applyNumberFormat="1" applyFont="1" applyFill="1" applyBorder="1" applyProtection="1">
      <protection locked="0"/>
    </xf>
    <xf numFmtId="167" fontId="2" fillId="3" borderId="1" xfId="1" applyNumberFormat="1" applyFont="1" applyFill="1" applyBorder="1" applyProtection="1">
      <protection locked="0"/>
    </xf>
    <xf numFmtId="3" fontId="2" fillId="3" borderId="0" xfId="0" applyNumberFormat="1" applyFont="1" applyFill="1" applyAlignment="1" applyProtection="1">
      <alignment horizontal="center"/>
      <protection locked="0"/>
    </xf>
    <xf numFmtId="168" fontId="2" fillId="3" borderId="0" xfId="0" applyNumberFormat="1" applyFont="1" applyFill="1" applyAlignment="1" applyProtection="1">
      <alignment horizontal="center"/>
      <protection locked="0"/>
    </xf>
    <xf numFmtId="165" fontId="2" fillId="3" borderId="0" xfId="1" quotePrefix="1" applyNumberFormat="1" applyFont="1" applyFill="1" applyAlignment="1" applyProtection="1">
      <alignment horizontal="center"/>
      <protection locked="0"/>
    </xf>
    <xf numFmtId="167" fontId="2" fillId="3" borderId="0" xfId="0" quotePrefix="1" applyNumberFormat="1" applyFont="1" applyFill="1" applyAlignment="1" applyProtection="1">
      <alignment horizontal="center"/>
      <protection locked="0"/>
    </xf>
    <xf numFmtId="168" fontId="2" fillId="3" borderId="0" xfId="0" applyNumberFormat="1" applyFont="1" applyFill="1" applyBorder="1" applyAlignment="1" applyProtection="1">
      <alignment horizontal="center"/>
      <protection locked="0"/>
    </xf>
    <xf numFmtId="165" fontId="2" fillId="3" borderId="0" xfId="1" applyNumberFormat="1" applyFont="1" applyFill="1" applyAlignment="1" applyProtection="1">
      <alignment horizontal="center"/>
      <protection locked="0"/>
    </xf>
    <xf numFmtId="164" fontId="2" fillId="3" borderId="4" xfId="0" applyNumberFormat="1" applyFont="1" applyFill="1" applyBorder="1" applyAlignment="1" applyProtection="1">
      <alignment horizontal="left"/>
      <protection locked="0"/>
    </xf>
    <xf numFmtId="167" fontId="2" fillId="3" borderId="4" xfId="0" applyNumberFormat="1" applyFont="1" applyFill="1" applyBorder="1" applyAlignment="1" applyProtection="1">
      <alignment horizontal="center"/>
      <protection locked="0"/>
    </xf>
    <xf numFmtId="3" fontId="2" fillId="3" borderId="4" xfId="0" applyNumberFormat="1" applyFont="1" applyFill="1" applyBorder="1" applyAlignment="1" applyProtection="1">
      <alignment horizontal="center"/>
      <protection locked="0"/>
    </xf>
    <xf numFmtId="168" fontId="2" fillId="3" borderId="4" xfId="0" applyNumberFormat="1" applyFont="1" applyFill="1" applyBorder="1" applyAlignment="1" applyProtection="1">
      <alignment horizontal="center"/>
      <protection locked="0"/>
    </xf>
    <xf numFmtId="165" fontId="2" fillId="0" borderId="4" xfId="0" applyNumberFormat="1" applyFont="1" applyBorder="1" applyAlignment="1" applyProtection="1">
      <alignment horizontal="center"/>
      <protection locked="0"/>
    </xf>
    <xf numFmtId="167" fontId="2" fillId="3" borderId="4" xfId="1" applyNumberFormat="1" applyFont="1" applyFill="1" applyBorder="1" applyAlignment="1" applyProtection="1">
      <alignment horizontal="center"/>
      <protection locked="0"/>
    </xf>
    <xf numFmtId="164" fontId="2" fillId="3" borderId="0" xfId="0" applyNumberFormat="1" applyFont="1" applyFill="1" applyBorder="1" applyAlignment="1" applyProtection="1">
      <alignment horizontal="left"/>
      <protection locked="0"/>
    </xf>
    <xf numFmtId="167" fontId="2" fillId="3" borderId="0" xfId="0" applyNumberFormat="1" applyFont="1" applyFill="1" applyBorder="1" applyAlignment="1" applyProtection="1">
      <alignment horizontal="center"/>
      <protection locked="0"/>
    </xf>
    <xf numFmtId="3" fontId="2" fillId="3" borderId="0" xfId="0" applyNumberFormat="1" applyFont="1" applyFill="1" applyBorder="1" applyAlignment="1" applyProtection="1">
      <alignment horizontal="center"/>
      <protection locked="0"/>
    </xf>
    <xf numFmtId="165" fontId="2" fillId="0" borderId="0" xfId="0" applyNumberFormat="1" applyFont="1" applyBorder="1" applyAlignment="1" applyProtection="1">
      <alignment horizontal="center"/>
      <protection locked="0"/>
    </xf>
    <xf numFmtId="167" fontId="2" fillId="3" borderId="0" xfId="1" applyNumberFormat="1" applyFont="1" applyFill="1" applyBorder="1" applyAlignment="1" applyProtection="1">
      <alignment horizontal="center"/>
      <protection locked="0"/>
    </xf>
    <xf numFmtId="164" fontId="3" fillId="3" borderId="5" xfId="0" applyNumberFormat="1" applyFont="1" applyFill="1" applyBorder="1" applyAlignment="1" applyProtection="1">
      <alignment horizontal="left"/>
      <protection locked="0"/>
    </xf>
    <xf numFmtId="164" fontId="2" fillId="3" borderId="6" xfId="0" applyNumberFormat="1" applyFont="1" applyFill="1" applyBorder="1" applyAlignment="1" applyProtection="1">
      <alignment horizontal="left"/>
      <protection locked="0"/>
    </xf>
    <xf numFmtId="167" fontId="2" fillId="3" borderId="6" xfId="0" applyNumberFormat="1" applyFont="1" applyFill="1" applyBorder="1" applyAlignment="1" applyProtection="1">
      <alignment horizontal="center"/>
      <protection locked="0"/>
    </xf>
    <xf numFmtId="3" fontId="2" fillId="3" borderId="6" xfId="0" applyNumberFormat="1" applyFont="1" applyFill="1" applyBorder="1" applyAlignment="1" applyProtection="1">
      <alignment horizontal="center"/>
      <protection locked="0"/>
    </xf>
    <xf numFmtId="168" fontId="2" fillId="3" borderId="6" xfId="0" applyNumberFormat="1" applyFont="1" applyFill="1" applyBorder="1" applyAlignment="1" applyProtection="1">
      <alignment horizontal="center"/>
      <protection locked="0"/>
    </xf>
    <xf numFmtId="168" fontId="2" fillId="3" borderId="7" xfId="0" applyNumberFormat="1" applyFont="1" applyFill="1" applyBorder="1" applyAlignment="1" applyProtection="1">
      <alignment horizontal="center"/>
      <protection locked="0"/>
    </xf>
    <xf numFmtId="165" fontId="2" fillId="0" borderId="6" xfId="0" applyNumberFormat="1" applyFont="1" applyBorder="1" applyAlignment="1" applyProtection="1">
      <alignment horizontal="center"/>
      <protection locked="0"/>
    </xf>
    <xf numFmtId="167" fontId="2" fillId="3" borderId="6" xfId="1" applyNumberFormat="1" applyFont="1" applyFill="1" applyBorder="1" applyAlignment="1" applyProtection="1">
      <alignment horizontal="center"/>
      <protection locked="0"/>
    </xf>
    <xf numFmtId="168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9" xfId="0" applyNumberFormat="1" applyFont="1" applyFill="1" applyBorder="1" applyAlignment="1" applyProtection="1">
      <alignment horizontal="left"/>
      <protection locked="0"/>
    </xf>
    <xf numFmtId="164" fontId="2" fillId="3" borderId="10" xfId="0" applyNumberFormat="1" applyFont="1" applyFill="1" applyBorder="1" applyAlignment="1" applyProtection="1">
      <alignment horizontal="left"/>
      <protection locked="0"/>
    </xf>
    <xf numFmtId="167" fontId="2" fillId="3" borderId="10" xfId="0" applyNumberFormat="1" applyFont="1" applyFill="1" applyBorder="1" applyAlignment="1" applyProtection="1">
      <alignment horizontal="right"/>
      <protection locked="0"/>
    </xf>
    <xf numFmtId="3" fontId="2" fillId="3" borderId="10" xfId="0" applyNumberFormat="1" applyFont="1" applyFill="1" applyBorder="1" applyAlignment="1" applyProtection="1">
      <alignment horizontal="right"/>
      <protection locked="0"/>
    </xf>
    <xf numFmtId="168" fontId="2" fillId="3" borderId="10" xfId="0" applyNumberFormat="1" applyFont="1" applyFill="1" applyBorder="1" applyAlignment="1" applyProtection="1">
      <alignment horizontal="right"/>
      <protection locked="0"/>
    </xf>
    <xf numFmtId="168" fontId="2" fillId="3" borderId="11" xfId="0" applyNumberFormat="1" applyFont="1" applyFill="1" applyBorder="1" applyAlignment="1" applyProtection="1">
      <alignment horizontal="right"/>
      <protection locked="0"/>
    </xf>
    <xf numFmtId="165" fontId="2" fillId="0" borderId="10" xfId="0" applyNumberFormat="1" applyFont="1" applyBorder="1" applyAlignment="1" applyProtection="1">
      <alignment horizontal="right"/>
      <protection locked="0"/>
    </xf>
    <xf numFmtId="167" fontId="2" fillId="3" borderId="10" xfId="1" applyNumberFormat="1" applyFont="1" applyFill="1" applyBorder="1" applyAlignment="1" applyProtection="1">
      <alignment horizontal="right"/>
      <protection locked="0"/>
    </xf>
    <xf numFmtId="164" fontId="2" fillId="3" borderId="5" xfId="0" applyNumberFormat="1" applyFont="1" applyFill="1" applyBorder="1" applyAlignment="1" applyProtection="1">
      <alignment horizontal="left"/>
      <protection locked="0"/>
    </xf>
    <xf numFmtId="164" fontId="2" fillId="3" borderId="8" xfId="0" applyNumberFormat="1" applyFont="1" applyFill="1" applyBorder="1" applyAlignment="1" applyProtection="1">
      <alignment horizontal="left"/>
      <protection locked="0"/>
    </xf>
    <xf numFmtId="167" fontId="2" fillId="3" borderId="8" xfId="0" applyNumberFormat="1" applyFont="1" applyFill="1" applyBorder="1" applyAlignment="1" applyProtection="1">
      <alignment horizontal="right"/>
      <protection locked="0"/>
    </xf>
    <xf numFmtId="3" fontId="2" fillId="3" borderId="8" xfId="0" applyNumberFormat="1" applyFont="1" applyFill="1" applyBorder="1" applyAlignment="1" applyProtection="1">
      <alignment horizontal="right"/>
      <protection locked="0"/>
    </xf>
    <xf numFmtId="168" fontId="2" fillId="3" borderId="8" xfId="0" applyNumberFormat="1" applyFont="1" applyFill="1" applyBorder="1" applyAlignment="1" applyProtection="1">
      <alignment horizontal="right"/>
      <protection locked="0"/>
    </xf>
    <xf numFmtId="168" fontId="2" fillId="3" borderId="7" xfId="0" applyNumberFormat="1" applyFont="1" applyFill="1" applyBorder="1" applyAlignment="1" applyProtection="1">
      <alignment horizontal="right"/>
      <protection locked="0"/>
    </xf>
    <xf numFmtId="165" fontId="2" fillId="0" borderId="6" xfId="0" applyNumberFormat="1" applyFont="1" applyBorder="1" applyAlignment="1" applyProtection="1">
      <alignment horizontal="right"/>
      <protection locked="0"/>
    </xf>
    <xf numFmtId="167" fontId="2" fillId="3" borderId="12" xfId="1" applyNumberFormat="1" applyFont="1" applyFill="1" applyBorder="1" applyAlignment="1" applyProtection="1">
      <alignment horizontal="right"/>
      <protection locked="0"/>
    </xf>
    <xf numFmtId="167" fontId="2" fillId="3" borderId="12" xfId="0" applyNumberFormat="1" applyFont="1" applyFill="1" applyBorder="1" applyAlignment="1" applyProtection="1">
      <alignment horizontal="right"/>
      <protection locked="0"/>
    </xf>
    <xf numFmtId="3" fontId="2" fillId="3" borderId="12" xfId="0" applyNumberFormat="1" applyFont="1" applyFill="1" applyBorder="1" applyAlignment="1" applyProtection="1">
      <alignment horizontal="right"/>
      <protection locked="0"/>
    </xf>
    <xf numFmtId="168" fontId="2" fillId="3" borderId="12" xfId="0" applyNumberFormat="1" applyFont="1" applyFill="1" applyBorder="1" applyAlignment="1" applyProtection="1">
      <alignment horizontal="right"/>
      <protection locked="0"/>
    </xf>
    <xf numFmtId="164" fontId="3" fillId="3" borderId="13" xfId="0" applyNumberFormat="1" applyFont="1" applyFill="1" applyBorder="1" applyAlignment="1" applyProtection="1">
      <alignment horizontal="left"/>
      <protection locked="0"/>
    </xf>
    <xf numFmtId="164" fontId="2" fillId="3" borderId="13" xfId="0" applyNumberFormat="1" applyFont="1" applyFill="1" applyBorder="1" applyAlignment="1" applyProtection="1">
      <alignment horizontal="left"/>
      <protection locked="0"/>
    </xf>
    <xf numFmtId="167" fontId="2" fillId="3" borderId="13" xfId="0" applyNumberFormat="1" applyFont="1" applyFill="1" applyBorder="1" applyAlignment="1" applyProtection="1">
      <alignment horizontal="right"/>
      <protection locked="0"/>
    </xf>
    <xf numFmtId="3" fontId="2" fillId="3" borderId="13" xfId="0" applyNumberFormat="1" applyFont="1" applyFill="1" applyBorder="1" applyAlignment="1" applyProtection="1">
      <alignment horizontal="right"/>
      <protection locked="0"/>
    </xf>
    <xf numFmtId="168" fontId="2" fillId="3" borderId="13" xfId="0" applyNumberFormat="1" applyFont="1" applyFill="1" applyBorder="1" applyAlignment="1" applyProtection="1">
      <alignment horizontal="right"/>
      <protection locked="0"/>
    </xf>
    <xf numFmtId="165" fontId="2" fillId="0" borderId="13" xfId="0" applyNumberFormat="1" applyFont="1" applyBorder="1" applyAlignment="1" applyProtection="1">
      <alignment horizontal="right"/>
      <protection locked="0"/>
    </xf>
    <xf numFmtId="167" fontId="2" fillId="3" borderId="13" xfId="1" applyNumberFormat="1" applyFont="1" applyFill="1" applyBorder="1" applyAlignment="1" applyProtection="1">
      <alignment horizontal="right"/>
      <protection locked="0"/>
    </xf>
    <xf numFmtId="164" fontId="3" fillId="3" borderId="14" xfId="0" applyNumberFormat="1" applyFont="1" applyFill="1" applyBorder="1" applyAlignment="1" applyProtection="1">
      <alignment horizontal="left"/>
      <protection locked="0"/>
    </xf>
    <xf numFmtId="164" fontId="2" fillId="3" borderId="14" xfId="0" applyNumberFormat="1" applyFont="1" applyFill="1" applyBorder="1" applyAlignment="1" applyProtection="1">
      <alignment horizontal="left"/>
      <protection locked="0"/>
    </xf>
    <xf numFmtId="167" fontId="2" fillId="3" borderId="14" xfId="0" applyNumberFormat="1" applyFont="1" applyFill="1" applyBorder="1" applyAlignment="1" applyProtection="1">
      <alignment horizontal="right"/>
      <protection locked="0"/>
    </xf>
    <xf numFmtId="3" fontId="2" fillId="3" borderId="14" xfId="0" applyNumberFormat="1" applyFont="1" applyFill="1" applyBorder="1" applyAlignment="1" applyProtection="1">
      <alignment horizontal="right"/>
      <protection locked="0"/>
    </xf>
    <xf numFmtId="168" fontId="2" fillId="3" borderId="14" xfId="0" applyNumberFormat="1" applyFont="1" applyFill="1" applyBorder="1" applyAlignment="1" applyProtection="1">
      <alignment horizontal="right"/>
      <protection locked="0"/>
    </xf>
    <xf numFmtId="165" fontId="2" fillId="0" borderId="14" xfId="0" applyNumberFormat="1" applyFont="1" applyBorder="1" applyAlignment="1" applyProtection="1">
      <alignment horizontal="right"/>
      <protection locked="0"/>
    </xf>
    <xf numFmtId="167" fontId="2" fillId="3" borderId="14" xfId="1" applyNumberFormat="1" applyFont="1" applyFill="1" applyBorder="1" applyAlignment="1" applyProtection="1">
      <alignment horizontal="right"/>
      <protection locked="0"/>
    </xf>
    <xf numFmtId="167" fontId="2" fillId="3" borderId="6" xfId="0" applyNumberFormat="1" applyFont="1" applyFill="1" applyBorder="1" applyAlignment="1" applyProtection="1">
      <alignment horizontal="right"/>
      <protection locked="0"/>
    </xf>
    <xf numFmtId="3" fontId="2" fillId="3" borderId="6" xfId="0" applyNumberFormat="1" applyFont="1" applyFill="1" applyBorder="1" applyAlignment="1" applyProtection="1">
      <alignment horizontal="right"/>
      <protection locked="0"/>
    </xf>
    <xf numFmtId="168" fontId="2" fillId="3" borderId="6" xfId="0" applyNumberFormat="1" applyFont="1" applyFill="1" applyBorder="1" applyAlignment="1" applyProtection="1">
      <alignment horizontal="right"/>
      <protection locked="0"/>
    </xf>
    <xf numFmtId="167" fontId="2" fillId="3" borderId="6" xfId="1" applyNumberFormat="1" applyFont="1" applyFill="1" applyBorder="1" applyAlignment="1" applyProtection="1">
      <alignment horizontal="right"/>
      <protection locked="0"/>
    </xf>
    <xf numFmtId="164" fontId="2" fillId="3" borderId="15" xfId="0" applyNumberFormat="1" applyFont="1" applyFill="1" applyBorder="1" applyAlignment="1" applyProtection="1">
      <alignment horizontal="left"/>
      <protection locked="0"/>
    </xf>
    <xf numFmtId="167" fontId="2" fillId="3" borderId="0" xfId="0" applyNumberFormat="1" applyFont="1" applyFill="1" applyBorder="1" applyAlignment="1" applyProtection="1">
      <alignment horizontal="right"/>
      <protection locked="0"/>
    </xf>
    <xf numFmtId="3" fontId="2" fillId="3" borderId="0" xfId="0" applyNumberFormat="1" applyFont="1" applyFill="1" applyBorder="1" applyAlignment="1" applyProtection="1">
      <alignment horizontal="right"/>
      <protection locked="0"/>
    </xf>
    <xf numFmtId="168" fontId="2" fillId="3" borderId="0" xfId="0" applyNumberFormat="1" applyFont="1" applyFill="1" applyBorder="1" applyAlignment="1" applyProtection="1">
      <alignment horizontal="right"/>
      <protection locked="0"/>
    </xf>
    <xf numFmtId="168" fontId="2" fillId="3" borderId="16" xfId="0" applyNumberFormat="1" applyFont="1" applyFill="1" applyBorder="1" applyAlignment="1" applyProtection="1">
      <alignment horizontal="right"/>
      <protection locked="0"/>
    </xf>
    <xf numFmtId="165" fontId="2" fillId="0" borderId="0" xfId="0" applyNumberFormat="1" applyFont="1" applyBorder="1" applyAlignment="1" applyProtection="1">
      <alignment horizontal="right"/>
      <protection locked="0"/>
    </xf>
    <xf numFmtId="167" fontId="2" fillId="3" borderId="0" xfId="1" applyNumberFormat="1" applyFont="1" applyFill="1" applyBorder="1" applyAlignment="1" applyProtection="1">
      <alignment horizontal="right"/>
      <protection locked="0"/>
    </xf>
    <xf numFmtId="168" fontId="2" fillId="3" borderId="17" xfId="0" applyNumberFormat="1" applyFont="1" applyFill="1" applyBorder="1" applyAlignment="1" applyProtection="1">
      <alignment horizontal="right"/>
      <protection locked="0"/>
    </xf>
    <xf numFmtId="2" fontId="2" fillId="3" borderId="1" xfId="0" applyNumberFormat="1" applyFont="1" applyFill="1" applyBorder="1" applyProtection="1">
      <protection locked="0"/>
    </xf>
    <xf numFmtId="164" fontId="2" fillId="3" borderId="1" xfId="0" applyFont="1" applyFill="1" applyBorder="1" applyProtection="1">
      <protection locked="0"/>
    </xf>
    <xf numFmtId="164" fontId="2" fillId="4" borderId="3" xfId="0" applyNumberFormat="1" applyFont="1" applyFill="1" applyBorder="1" applyAlignment="1" applyProtection="1">
      <alignment horizontal="left"/>
      <protection locked="0"/>
    </xf>
    <xf numFmtId="164" fontId="2" fillId="4" borderId="1" xfId="0" applyNumberFormat="1" applyFont="1" applyFill="1" applyBorder="1" applyAlignment="1" applyProtection="1">
      <alignment horizontal="left"/>
      <protection locked="0"/>
    </xf>
    <xf numFmtId="167" fontId="2" fillId="4" borderId="18" xfId="0" applyNumberFormat="1" applyFont="1" applyFill="1" applyBorder="1" applyAlignment="1" applyProtection="1">
      <alignment horizontal="right"/>
      <protection locked="0"/>
    </xf>
    <xf numFmtId="3" fontId="2" fillId="4" borderId="18" xfId="0" applyNumberFormat="1" applyFont="1" applyFill="1" applyBorder="1" applyAlignment="1" applyProtection="1">
      <alignment horizontal="right"/>
      <protection locked="0"/>
    </xf>
    <xf numFmtId="168" fontId="2" fillId="4" borderId="18" xfId="0" applyNumberFormat="1" applyFont="1" applyFill="1" applyBorder="1" applyAlignment="1" applyProtection="1">
      <alignment horizontal="right"/>
      <protection locked="0"/>
    </xf>
    <xf numFmtId="168" fontId="2" fillId="4" borderId="19" xfId="0" applyNumberFormat="1" applyFont="1" applyFill="1" applyBorder="1" applyAlignment="1" applyProtection="1">
      <alignment horizontal="right"/>
      <protection locked="0"/>
    </xf>
    <xf numFmtId="165" fontId="2" fillId="4" borderId="2" xfId="1" applyNumberFormat="1" applyFont="1" applyFill="1" applyBorder="1" applyAlignment="1" applyProtection="1">
      <alignment horizontal="right"/>
      <protection locked="0"/>
    </xf>
    <xf numFmtId="167" fontId="2" fillId="4" borderId="18" xfId="1" applyNumberFormat="1" applyFont="1" applyFill="1" applyBorder="1" applyAlignment="1" applyProtection="1">
      <alignment horizontal="right"/>
      <protection locked="0"/>
    </xf>
    <xf numFmtId="164" fontId="2" fillId="2" borderId="15" xfId="0" applyFont="1" applyFill="1" applyBorder="1" applyProtection="1">
      <protection locked="0"/>
    </xf>
    <xf numFmtId="164" fontId="2" fillId="2" borderId="17" xfId="0" applyFont="1" applyFill="1" applyBorder="1" applyProtection="1">
      <protection locked="0"/>
    </xf>
    <xf numFmtId="167" fontId="2" fillId="2" borderId="20" xfId="0" applyNumberFormat="1" applyFont="1" applyFill="1" applyBorder="1" applyAlignment="1" applyProtection="1">
      <alignment horizontal="right"/>
      <protection locked="0"/>
    </xf>
    <xf numFmtId="3" fontId="2" fillId="2" borderId="20" xfId="0" applyNumberFormat="1" applyFont="1" applyFill="1" applyBorder="1" applyAlignment="1" applyProtection="1">
      <alignment horizontal="right"/>
      <protection locked="0"/>
    </xf>
    <xf numFmtId="168" fontId="2" fillId="2" borderId="20" xfId="0" applyNumberFormat="1" applyFont="1" applyFill="1" applyBorder="1" applyAlignment="1" applyProtection="1">
      <alignment horizontal="right"/>
      <protection locked="0"/>
    </xf>
    <xf numFmtId="168" fontId="2" fillId="3" borderId="20" xfId="0" applyNumberFormat="1" applyFont="1" applyFill="1" applyBorder="1" applyAlignment="1" applyProtection="1">
      <alignment horizontal="right"/>
      <protection locked="0"/>
    </xf>
    <xf numFmtId="168" fontId="2" fillId="3" borderId="21" xfId="0" applyNumberFormat="1" applyFont="1" applyFill="1" applyBorder="1" applyAlignment="1" applyProtection="1">
      <alignment horizontal="right"/>
      <protection locked="0"/>
    </xf>
    <xf numFmtId="165" fontId="2" fillId="2" borderId="17" xfId="1" applyNumberFormat="1" applyFont="1" applyFill="1" applyBorder="1" applyAlignment="1" applyProtection="1">
      <alignment horizontal="right"/>
      <protection locked="0"/>
    </xf>
    <xf numFmtId="167" fontId="2" fillId="2" borderId="20" xfId="1" applyNumberFormat="1" applyFont="1" applyFill="1" applyBorder="1" applyAlignment="1" applyProtection="1">
      <alignment horizontal="right"/>
      <protection locked="0"/>
    </xf>
    <xf numFmtId="164" fontId="2" fillId="2" borderId="9" xfId="0" applyFont="1" applyFill="1" applyBorder="1" applyProtection="1">
      <protection locked="0"/>
    </xf>
    <xf numFmtId="164" fontId="2" fillId="2" borderId="10" xfId="0" applyFont="1" applyFill="1" applyBorder="1" applyProtection="1">
      <protection locked="0"/>
    </xf>
    <xf numFmtId="167" fontId="2" fillId="2" borderId="22" xfId="0" applyNumberFormat="1" applyFont="1" applyFill="1" applyBorder="1" applyAlignment="1" applyProtection="1">
      <alignment horizontal="right"/>
      <protection locked="0"/>
    </xf>
    <xf numFmtId="167" fontId="2" fillId="2" borderId="4" xfId="0" applyNumberFormat="1" applyFont="1" applyFill="1" applyBorder="1" applyAlignment="1" applyProtection="1">
      <alignment horizontal="right"/>
      <protection locked="0"/>
    </xf>
    <xf numFmtId="167" fontId="2" fillId="3" borderId="23" xfId="0" applyNumberFormat="1" applyFont="1" applyFill="1" applyBorder="1" applyAlignment="1" applyProtection="1">
      <alignment horizontal="right"/>
      <protection locked="0"/>
    </xf>
    <xf numFmtId="3" fontId="2" fillId="3" borderId="23" xfId="0" applyNumberFormat="1" applyFont="1" applyFill="1" applyBorder="1" applyAlignment="1" applyProtection="1">
      <alignment horizontal="right"/>
      <protection locked="0"/>
    </xf>
    <xf numFmtId="168" fontId="2" fillId="3" borderId="23" xfId="0" applyNumberFormat="1" applyFont="1" applyFill="1" applyBorder="1" applyAlignment="1" applyProtection="1">
      <alignment horizontal="right"/>
      <protection locked="0"/>
    </xf>
    <xf numFmtId="168" fontId="2" fillId="3" borderId="24" xfId="0" applyNumberFormat="1" applyFont="1" applyFill="1" applyBorder="1" applyAlignment="1" applyProtection="1">
      <alignment horizontal="right"/>
      <protection locked="0"/>
    </xf>
    <xf numFmtId="165" fontId="2" fillId="2" borderId="10" xfId="1" applyNumberFormat="1" applyFont="1" applyFill="1" applyBorder="1" applyAlignment="1" applyProtection="1">
      <alignment horizontal="right"/>
      <protection locked="0"/>
    </xf>
    <xf numFmtId="167" fontId="2" fillId="3" borderId="23" xfId="1" applyNumberFormat="1" applyFont="1" applyFill="1" applyBorder="1" applyAlignment="1" applyProtection="1">
      <alignment horizontal="right"/>
      <protection locked="0"/>
    </xf>
    <xf numFmtId="168" fontId="2" fillId="3" borderId="25" xfId="0" applyNumberFormat="1" applyFont="1" applyFill="1" applyBorder="1" applyAlignment="1" applyProtection="1">
      <alignment horizontal="right"/>
      <protection locked="0"/>
    </xf>
    <xf numFmtId="164" fontId="2" fillId="2" borderId="26" xfId="0" applyFont="1" applyFill="1" applyBorder="1" applyProtection="1">
      <protection locked="0"/>
    </xf>
    <xf numFmtId="167" fontId="2" fillId="3" borderId="20" xfId="0" applyNumberFormat="1" applyFont="1" applyFill="1" applyBorder="1" applyAlignment="1" applyProtection="1">
      <alignment horizontal="right"/>
      <protection locked="0"/>
    </xf>
    <xf numFmtId="164" fontId="2" fillId="3" borderId="5" xfId="0" applyFont="1" applyFill="1" applyBorder="1" applyAlignment="1" applyProtection="1">
      <alignment horizontal="left"/>
      <protection locked="0"/>
    </xf>
    <xf numFmtId="164" fontId="2" fillId="3" borderId="6" xfId="0" applyFont="1" applyFill="1" applyBorder="1" applyAlignment="1" applyProtection="1">
      <alignment horizontal="left"/>
      <protection locked="0"/>
    </xf>
    <xf numFmtId="167" fontId="2" fillId="3" borderId="27" xfId="0" applyNumberFormat="1" applyFont="1" applyFill="1" applyBorder="1" applyAlignment="1" applyProtection="1">
      <alignment horizontal="right"/>
      <protection locked="0"/>
    </xf>
    <xf numFmtId="3" fontId="2" fillId="3" borderId="27" xfId="0" applyNumberFormat="1" applyFont="1" applyFill="1" applyBorder="1" applyAlignment="1" applyProtection="1">
      <alignment horizontal="right"/>
      <protection locked="0"/>
    </xf>
    <xf numFmtId="168" fontId="2" fillId="3" borderId="27" xfId="0" applyNumberFormat="1" applyFont="1" applyFill="1" applyBorder="1" applyAlignment="1" applyProtection="1">
      <alignment horizontal="right"/>
      <protection locked="0"/>
    </xf>
    <xf numFmtId="168" fontId="2" fillId="3" borderId="28" xfId="0" applyNumberFormat="1" applyFont="1" applyFill="1" applyBorder="1" applyAlignment="1" applyProtection="1">
      <alignment horizontal="right"/>
      <protection locked="0"/>
    </xf>
    <xf numFmtId="165" fontId="2" fillId="3" borderId="29" xfId="1" applyNumberFormat="1" applyFont="1" applyFill="1" applyBorder="1" applyAlignment="1" applyProtection="1">
      <alignment horizontal="right"/>
      <protection locked="0"/>
    </xf>
    <xf numFmtId="167" fontId="2" fillId="3" borderId="27" xfId="1" applyNumberFormat="1" applyFont="1" applyFill="1" applyBorder="1" applyAlignment="1" applyProtection="1">
      <alignment horizontal="right"/>
      <protection locked="0"/>
    </xf>
    <xf numFmtId="168" fontId="2" fillId="3" borderId="30" xfId="0" applyNumberFormat="1" applyFont="1" applyFill="1" applyBorder="1" applyAlignment="1" applyProtection="1">
      <alignment horizontal="right"/>
      <protection locked="0"/>
    </xf>
    <xf numFmtId="164" fontId="2" fillId="5" borderId="31" xfId="0" applyNumberFormat="1" applyFont="1" applyFill="1" applyBorder="1" applyAlignment="1" applyProtection="1">
      <alignment horizontal="left"/>
      <protection locked="0"/>
    </xf>
    <xf numFmtId="164" fontId="2" fillId="5" borderId="32" xfId="0" applyNumberFormat="1" applyFont="1" applyFill="1" applyBorder="1" applyAlignment="1" applyProtection="1">
      <alignment horizontal="left"/>
      <protection locked="0"/>
    </xf>
    <xf numFmtId="167" fontId="2" fillId="5" borderId="32" xfId="0" applyNumberFormat="1" applyFont="1" applyFill="1" applyBorder="1" applyAlignment="1" applyProtection="1">
      <alignment horizontal="right"/>
      <protection locked="0"/>
    </xf>
    <xf numFmtId="3" fontId="2" fillId="5" borderId="32" xfId="0" applyNumberFormat="1" applyFont="1" applyFill="1" applyBorder="1" applyAlignment="1" applyProtection="1">
      <alignment horizontal="right"/>
      <protection locked="0"/>
    </xf>
    <xf numFmtId="168" fontId="2" fillId="5" borderId="32" xfId="0" applyNumberFormat="1" applyFont="1" applyFill="1" applyBorder="1" applyAlignment="1" applyProtection="1">
      <alignment horizontal="right"/>
      <protection locked="0"/>
    </xf>
    <xf numFmtId="168" fontId="2" fillId="5" borderId="33" xfId="0" applyNumberFormat="1" applyFont="1" applyFill="1" applyBorder="1" applyAlignment="1" applyProtection="1">
      <alignment horizontal="right"/>
      <protection locked="0"/>
    </xf>
    <xf numFmtId="165" fontId="2" fillId="5" borderId="32" xfId="1" applyNumberFormat="1" applyFont="1" applyFill="1" applyBorder="1" applyAlignment="1" applyProtection="1">
      <alignment horizontal="right"/>
      <protection locked="0"/>
    </xf>
    <xf numFmtId="167" fontId="2" fillId="5" borderId="32" xfId="1" applyNumberFormat="1" applyFont="1" applyFill="1" applyBorder="1" applyAlignment="1" applyProtection="1">
      <alignment horizontal="right"/>
      <protection locked="0"/>
    </xf>
    <xf numFmtId="168" fontId="2" fillId="5" borderId="34" xfId="0" applyNumberFormat="1" applyFont="1" applyFill="1" applyBorder="1" applyAlignment="1" applyProtection="1">
      <alignment horizontal="right"/>
      <protection locked="0"/>
    </xf>
    <xf numFmtId="164" fontId="2" fillId="2" borderId="20" xfId="0" quotePrefix="1" applyFont="1" applyFill="1" applyBorder="1" applyAlignment="1" applyProtection="1">
      <alignment horizontal="left"/>
      <protection locked="0"/>
    </xf>
    <xf numFmtId="164" fontId="2" fillId="2" borderId="20" xfId="0" applyFont="1" applyFill="1" applyBorder="1" applyProtection="1">
      <protection locked="0"/>
    </xf>
    <xf numFmtId="164" fontId="2" fillId="2" borderId="22" xfId="0" applyFont="1" applyFill="1" applyBorder="1" applyProtection="1">
      <protection locked="0"/>
    </xf>
    <xf numFmtId="167" fontId="2" fillId="3" borderId="35" xfId="0" applyNumberFormat="1" applyFont="1" applyFill="1" applyBorder="1" applyAlignment="1" applyProtection="1">
      <alignment horizontal="right"/>
      <protection locked="0"/>
    </xf>
    <xf numFmtId="3" fontId="2" fillId="3" borderId="35" xfId="0" applyNumberFormat="1" applyFont="1" applyFill="1" applyBorder="1" applyAlignment="1" applyProtection="1">
      <alignment horizontal="right"/>
      <protection locked="0"/>
    </xf>
    <xf numFmtId="168" fontId="2" fillId="3" borderId="35" xfId="0" applyNumberFormat="1" applyFont="1" applyFill="1" applyBorder="1" applyAlignment="1" applyProtection="1">
      <alignment horizontal="right"/>
      <protection locked="0"/>
    </xf>
    <xf numFmtId="168" fontId="2" fillId="3" borderId="36" xfId="0" applyNumberFormat="1" applyFont="1" applyFill="1" applyBorder="1" applyAlignment="1" applyProtection="1">
      <alignment horizontal="right"/>
      <protection locked="0"/>
    </xf>
    <xf numFmtId="167" fontId="2" fillId="3" borderId="35" xfId="1" applyNumberFormat="1" applyFont="1" applyFill="1" applyBorder="1" applyAlignment="1" applyProtection="1">
      <alignment horizontal="right"/>
      <protection locked="0"/>
    </xf>
    <xf numFmtId="2" fontId="2" fillId="3" borderId="4" xfId="0" applyNumberFormat="1" applyFont="1" applyFill="1" applyBorder="1" applyProtection="1">
      <protection locked="0"/>
    </xf>
    <xf numFmtId="164" fontId="2" fillId="3" borderId="4" xfId="0" applyFont="1" applyFill="1" applyBorder="1" applyProtection="1">
      <protection locked="0"/>
    </xf>
    <xf numFmtId="167" fontId="2" fillId="2" borderId="0" xfId="0" applyNumberFormat="1" applyFont="1" applyFill="1" applyBorder="1" applyAlignment="1" applyProtection="1">
      <alignment horizontal="right"/>
      <protection locked="0"/>
    </xf>
    <xf numFmtId="167" fontId="2" fillId="3" borderId="37" xfId="0" applyNumberFormat="1" applyFont="1" applyFill="1" applyBorder="1" applyAlignment="1" applyProtection="1">
      <alignment horizontal="right"/>
      <protection locked="0"/>
    </xf>
    <xf numFmtId="3" fontId="2" fillId="3" borderId="37" xfId="0" applyNumberFormat="1" applyFont="1" applyFill="1" applyBorder="1" applyAlignment="1" applyProtection="1">
      <alignment horizontal="right"/>
      <protection locked="0"/>
    </xf>
    <xf numFmtId="168" fontId="2" fillId="3" borderId="37" xfId="0" applyNumberFormat="1" applyFont="1" applyFill="1" applyBorder="1" applyAlignment="1" applyProtection="1">
      <alignment horizontal="right"/>
      <protection locked="0"/>
    </xf>
    <xf numFmtId="168" fontId="2" fillId="3" borderId="38" xfId="0" applyNumberFormat="1" applyFont="1" applyFill="1" applyBorder="1" applyAlignment="1" applyProtection="1">
      <alignment horizontal="right"/>
      <protection locked="0"/>
    </xf>
    <xf numFmtId="167" fontId="2" fillId="3" borderId="37" xfId="1" applyNumberFormat="1" applyFont="1" applyFill="1" applyBorder="1" applyAlignment="1" applyProtection="1">
      <alignment horizontal="right"/>
      <protection locked="0"/>
    </xf>
    <xf numFmtId="168" fontId="2" fillId="3" borderId="39" xfId="0" applyNumberFormat="1" applyFont="1" applyFill="1" applyBorder="1" applyAlignment="1" applyProtection="1">
      <alignment horizontal="right"/>
      <protection locked="0"/>
    </xf>
    <xf numFmtId="164" fontId="2" fillId="0" borderId="9" xfId="0" applyFont="1" applyBorder="1" applyProtection="1">
      <protection locked="0"/>
    </xf>
    <xf numFmtId="167" fontId="2" fillId="0" borderId="9" xfId="0" applyNumberFormat="1" applyFont="1" applyBorder="1" applyProtection="1">
      <protection locked="0"/>
    </xf>
    <xf numFmtId="167" fontId="2" fillId="3" borderId="40" xfId="0" applyNumberFormat="1" applyFont="1" applyFill="1" applyBorder="1" applyAlignment="1" applyProtection="1">
      <alignment horizontal="right"/>
      <protection locked="0"/>
    </xf>
    <xf numFmtId="3" fontId="2" fillId="3" borderId="40" xfId="0" applyNumberFormat="1" applyFont="1" applyFill="1" applyBorder="1" applyAlignment="1" applyProtection="1">
      <alignment horizontal="right"/>
      <protection locked="0"/>
    </xf>
    <xf numFmtId="168" fontId="2" fillId="3" borderId="40" xfId="0" applyNumberFormat="1" applyFont="1" applyFill="1" applyBorder="1" applyAlignment="1" applyProtection="1">
      <alignment horizontal="right"/>
      <protection locked="0"/>
    </xf>
    <xf numFmtId="168" fontId="2" fillId="3" borderId="41" xfId="0" applyNumberFormat="1" applyFont="1" applyFill="1" applyBorder="1" applyAlignment="1" applyProtection="1">
      <alignment horizontal="right"/>
      <protection locked="0"/>
    </xf>
    <xf numFmtId="167" fontId="2" fillId="3" borderId="40" xfId="1" applyNumberFormat="1" applyFont="1" applyFill="1" applyBorder="1" applyAlignment="1" applyProtection="1">
      <alignment horizontal="right"/>
      <protection locked="0"/>
    </xf>
    <xf numFmtId="2" fontId="2" fillId="3" borderId="9" xfId="0" applyNumberFormat="1" applyFont="1" applyFill="1" applyBorder="1" applyProtection="1">
      <protection locked="0"/>
    </xf>
    <xf numFmtId="164" fontId="2" fillId="3" borderId="9" xfId="0" applyFont="1" applyFill="1" applyBorder="1" applyProtection="1">
      <protection locked="0"/>
    </xf>
    <xf numFmtId="164" fontId="2" fillId="3" borderId="20" xfId="0" applyFont="1" applyFill="1" applyBorder="1" applyAlignment="1" applyProtection="1">
      <alignment horizontal="left"/>
      <protection locked="0"/>
    </xf>
    <xf numFmtId="3" fontId="2" fillId="3" borderId="20" xfId="0" applyNumberFormat="1" applyFont="1" applyFill="1" applyBorder="1" applyAlignment="1" applyProtection="1">
      <alignment horizontal="right"/>
      <protection locked="0"/>
    </xf>
    <xf numFmtId="165" fontId="2" fillId="3" borderId="17" xfId="1" applyNumberFormat="1" applyFont="1" applyFill="1" applyBorder="1" applyAlignment="1" applyProtection="1">
      <alignment horizontal="right"/>
      <protection locked="0"/>
    </xf>
    <xf numFmtId="167" fontId="2" fillId="3" borderId="20" xfId="1" applyNumberFormat="1" applyFont="1" applyFill="1" applyBorder="1" applyAlignment="1" applyProtection="1">
      <alignment horizontal="right"/>
      <protection locked="0"/>
    </xf>
    <xf numFmtId="164" fontId="2" fillId="3" borderId="20" xfId="0" quotePrefix="1" applyFont="1" applyFill="1" applyBorder="1" applyAlignment="1" applyProtection="1">
      <alignment horizontal="left"/>
      <protection locked="0"/>
    </xf>
    <xf numFmtId="164" fontId="2" fillId="3" borderId="22" xfId="0" quotePrefix="1" applyFont="1" applyFill="1" applyBorder="1" applyAlignment="1" applyProtection="1">
      <alignment horizontal="left"/>
      <protection locked="0"/>
    </xf>
    <xf numFmtId="167" fontId="2" fillId="3" borderId="22" xfId="0" applyNumberFormat="1" applyFont="1" applyFill="1" applyBorder="1" applyAlignment="1" applyProtection="1">
      <alignment horizontal="right"/>
      <protection locked="0"/>
    </xf>
    <xf numFmtId="165" fontId="2" fillId="3" borderId="10" xfId="1" applyNumberFormat="1" applyFont="1" applyFill="1" applyBorder="1" applyAlignment="1" applyProtection="1">
      <alignment horizontal="right"/>
      <protection locked="0"/>
    </xf>
    <xf numFmtId="164" fontId="2" fillId="3" borderId="42" xfId="0" applyFont="1" applyFill="1" applyBorder="1" applyAlignment="1" applyProtection="1">
      <alignment horizontal="left"/>
      <protection locked="0"/>
    </xf>
    <xf numFmtId="167" fontId="2" fillId="3" borderId="42" xfId="0" applyNumberFormat="1" applyFont="1" applyFill="1" applyBorder="1" applyAlignment="1" applyProtection="1">
      <alignment horizontal="right"/>
      <protection locked="0"/>
    </xf>
    <xf numFmtId="165" fontId="2" fillId="3" borderId="34" xfId="1" applyNumberFormat="1" applyFont="1" applyFill="1" applyBorder="1" applyAlignment="1" applyProtection="1">
      <alignment horizontal="right"/>
      <protection locked="0"/>
    </xf>
    <xf numFmtId="164" fontId="2" fillId="3" borderId="42" xfId="0" quotePrefix="1" applyFont="1" applyFill="1" applyBorder="1" applyAlignment="1" applyProtection="1">
      <alignment horizontal="left"/>
      <protection locked="0"/>
    </xf>
    <xf numFmtId="164" fontId="2" fillId="4" borderId="31" xfId="0" applyNumberFormat="1" applyFont="1" applyFill="1" applyBorder="1" applyAlignment="1" applyProtection="1">
      <alignment horizontal="left"/>
      <protection locked="0"/>
    </xf>
    <xf numFmtId="164" fontId="2" fillId="4" borderId="32" xfId="0" applyNumberFormat="1" applyFont="1" applyFill="1" applyBorder="1" applyAlignment="1" applyProtection="1">
      <alignment horizontal="left"/>
      <protection locked="0"/>
    </xf>
    <xf numFmtId="167" fontId="2" fillId="4" borderId="32" xfId="0" applyNumberFormat="1" applyFont="1" applyFill="1" applyBorder="1" applyAlignment="1" applyProtection="1">
      <alignment horizontal="right"/>
      <protection locked="0"/>
    </xf>
    <xf numFmtId="3" fontId="2" fillId="4" borderId="32" xfId="0" applyNumberFormat="1" applyFont="1" applyFill="1" applyBorder="1" applyAlignment="1" applyProtection="1">
      <alignment horizontal="right"/>
      <protection locked="0"/>
    </xf>
    <xf numFmtId="168" fontId="2" fillId="4" borderId="32" xfId="0" applyNumberFormat="1" applyFont="1" applyFill="1" applyBorder="1" applyAlignment="1" applyProtection="1">
      <alignment horizontal="right"/>
      <protection locked="0"/>
    </xf>
    <xf numFmtId="168" fontId="2" fillId="4" borderId="33" xfId="0" applyNumberFormat="1" applyFont="1" applyFill="1" applyBorder="1" applyAlignment="1" applyProtection="1">
      <alignment horizontal="right"/>
      <protection locked="0"/>
    </xf>
    <xf numFmtId="165" fontId="2" fillId="4" borderId="32" xfId="1" applyNumberFormat="1" applyFont="1" applyFill="1" applyBorder="1" applyAlignment="1" applyProtection="1">
      <alignment horizontal="right"/>
      <protection locked="0"/>
    </xf>
    <xf numFmtId="167" fontId="2" fillId="4" borderId="32" xfId="1" applyNumberFormat="1" applyFont="1" applyFill="1" applyBorder="1" applyAlignment="1" applyProtection="1">
      <alignment horizontal="right"/>
      <protection locked="0"/>
    </xf>
    <xf numFmtId="168" fontId="2" fillId="4" borderId="34" xfId="0" applyNumberFormat="1" applyFont="1" applyFill="1" applyBorder="1" applyAlignment="1" applyProtection="1">
      <alignment horizontal="right"/>
      <protection locked="0"/>
    </xf>
    <xf numFmtId="164" fontId="2" fillId="3" borderId="31" xfId="0" quotePrefix="1" applyFont="1" applyFill="1" applyBorder="1" applyAlignment="1" applyProtection="1">
      <alignment horizontal="left"/>
      <protection locked="0"/>
    </xf>
    <xf numFmtId="164" fontId="2" fillId="3" borderId="4" xfId="0" applyFont="1" applyFill="1" applyBorder="1" applyAlignment="1" applyProtection="1">
      <alignment horizontal="left"/>
      <protection locked="0"/>
    </xf>
    <xf numFmtId="167" fontId="2" fillId="3" borderId="9" xfId="0" applyNumberFormat="1" applyFont="1" applyFill="1" applyBorder="1" applyAlignment="1" applyProtection="1">
      <alignment horizontal="right"/>
      <protection locked="0"/>
    </xf>
    <xf numFmtId="3" fontId="2" fillId="3" borderId="9" xfId="0" applyNumberFormat="1" applyFont="1" applyFill="1" applyBorder="1" applyAlignment="1" applyProtection="1">
      <alignment horizontal="right"/>
      <protection locked="0"/>
    </xf>
    <xf numFmtId="168" fontId="2" fillId="3" borderId="9" xfId="0" applyNumberFormat="1" applyFont="1" applyFill="1" applyBorder="1" applyAlignment="1" applyProtection="1">
      <alignment horizontal="right"/>
      <protection locked="0"/>
    </xf>
    <xf numFmtId="164" fontId="2" fillId="3" borderId="9" xfId="0" quotePrefix="1" applyFont="1" applyFill="1" applyBorder="1" applyAlignment="1" applyProtection="1">
      <alignment horizontal="left"/>
      <protection locked="0"/>
    </xf>
    <xf numFmtId="3" fontId="2" fillId="3" borderId="42" xfId="0" applyNumberFormat="1" applyFont="1" applyFill="1" applyBorder="1" applyAlignment="1" applyProtection="1">
      <alignment horizontal="right"/>
      <protection locked="0"/>
    </xf>
    <xf numFmtId="168" fontId="2" fillId="3" borderId="42" xfId="0" applyNumberFormat="1" applyFont="1" applyFill="1" applyBorder="1" applyAlignment="1" applyProtection="1">
      <alignment horizontal="right"/>
      <protection locked="0"/>
    </xf>
    <xf numFmtId="164" fontId="2" fillId="3" borderId="15" xfId="0" applyFont="1" applyFill="1" applyBorder="1" applyProtection="1">
      <protection locked="0"/>
    </xf>
    <xf numFmtId="164" fontId="2" fillId="3" borderId="17" xfId="0" applyFont="1" applyFill="1" applyBorder="1" applyProtection="1">
      <protection locked="0"/>
    </xf>
    <xf numFmtId="4" fontId="2" fillId="3" borderId="29" xfId="0" applyNumberFormat="1" applyFont="1" applyFill="1" applyBorder="1" applyAlignment="1" applyProtection="1">
      <alignment horizontal="right"/>
      <protection locked="0"/>
    </xf>
    <xf numFmtId="3" fontId="2" fillId="3" borderId="22" xfId="0" applyNumberFormat="1" applyFont="1" applyFill="1" applyBorder="1" applyAlignment="1" applyProtection="1">
      <alignment horizontal="right"/>
      <protection locked="0"/>
    </xf>
    <xf numFmtId="168" fontId="2" fillId="3" borderId="22" xfId="0" applyNumberFormat="1" applyFont="1" applyFill="1" applyBorder="1" applyAlignment="1" applyProtection="1">
      <alignment horizontal="right"/>
      <protection locked="0"/>
    </xf>
    <xf numFmtId="167" fontId="2" fillId="3" borderId="22" xfId="1" applyNumberFormat="1" applyFont="1" applyFill="1" applyBorder="1" applyAlignment="1" applyProtection="1">
      <alignment horizontal="right"/>
      <protection locked="0"/>
    </xf>
    <xf numFmtId="164" fontId="2" fillId="3" borderId="26" xfId="0" applyFont="1" applyFill="1" applyBorder="1" applyProtection="1">
      <protection locked="0"/>
    </xf>
    <xf numFmtId="168" fontId="2" fillId="3" borderId="27" xfId="1" applyNumberFormat="1" applyFont="1" applyFill="1" applyBorder="1" applyAlignment="1" applyProtection="1">
      <alignment horizontal="right"/>
      <protection locked="0"/>
    </xf>
    <xf numFmtId="168" fontId="2" fillId="3" borderId="28" xfId="1" applyNumberFormat="1" applyFont="1" applyFill="1" applyBorder="1" applyAlignment="1" applyProtection="1">
      <alignment horizontal="right"/>
      <protection locked="0"/>
    </xf>
    <xf numFmtId="168" fontId="2" fillId="3" borderId="30" xfId="1" applyNumberFormat="1" applyFont="1" applyFill="1" applyBorder="1" applyAlignment="1" applyProtection="1">
      <alignment horizontal="right"/>
      <protection locked="0"/>
    </xf>
    <xf numFmtId="164" fontId="2" fillId="3" borderId="15" xfId="0" quotePrefix="1" applyFont="1" applyFill="1" applyBorder="1" applyAlignment="1" applyProtection="1">
      <alignment horizontal="left"/>
      <protection locked="0"/>
    </xf>
    <xf numFmtId="164" fontId="2" fillId="3" borderId="0" xfId="0" applyFont="1" applyFill="1" applyBorder="1" applyAlignment="1" applyProtection="1">
      <alignment horizontal="left"/>
      <protection locked="0"/>
    </xf>
    <xf numFmtId="167" fontId="2" fillId="3" borderId="15" xfId="0" applyNumberFormat="1" applyFont="1" applyFill="1" applyBorder="1" applyAlignment="1" applyProtection="1">
      <alignment horizontal="right"/>
      <protection locked="0"/>
    </xf>
    <xf numFmtId="3" fontId="2" fillId="3" borderId="15" xfId="0" applyNumberFormat="1" applyFont="1" applyFill="1" applyBorder="1" applyAlignment="1" applyProtection="1">
      <alignment horizontal="right"/>
      <protection locked="0"/>
    </xf>
    <xf numFmtId="168" fontId="2" fillId="3" borderId="15" xfId="0" applyNumberFormat="1" applyFont="1" applyFill="1" applyBorder="1" applyAlignment="1" applyProtection="1">
      <alignment horizontal="right"/>
      <protection locked="0"/>
    </xf>
    <xf numFmtId="167" fontId="2" fillId="3" borderId="17" xfId="1" applyNumberFormat="1" applyFont="1" applyFill="1" applyBorder="1" applyAlignment="1" applyProtection="1">
      <alignment horizontal="right"/>
      <protection locked="0"/>
    </xf>
    <xf numFmtId="164" fontId="2" fillId="3" borderId="43" xfId="0" applyFont="1" applyFill="1" applyBorder="1" applyProtection="1">
      <protection locked="0"/>
    </xf>
    <xf numFmtId="164" fontId="2" fillId="3" borderId="2" xfId="0" applyFont="1" applyFill="1" applyBorder="1" applyProtection="1">
      <protection locked="0"/>
    </xf>
    <xf numFmtId="167" fontId="2" fillId="3" borderId="18" xfId="0" applyNumberFormat="1" applyFont="1" applyFill="1" applyBorder="1" applyAlignment="1" applyProtection="1">
      <alignment horizontal="right"/>
      <protection locked="0"/>
    </xf>
    <xf numFmtId="167" fontId="2" fillId="3" borderId="1" xfId="0" applyNumberFormat="1" applyFont="1" applyFill="1" applyBorder="1" applyAlignment="1" applyProtection="1">
      <alignment horizontal="right"/>
      <protection locked="0"/>
    </xf>
    <xf numFmtId="167" fontId="2" fillId="3" borderId="44" xfId="0" applyNumberFormat="1" applyFont="1" applyFill="1" applyBorder="1" applyAlignment="1" applyProtection="1">
      <alignment horizontal="right"/>
      <protection locked="0"/>
    </xf>
    <xf numFmtId="3" fontId="2" fillId="3" borderId="44" xfId="0" applyNumberFormat="1" applyFont="1" applyFill="1" applyBorder="1" applyAlignment="1" applyProtection="1">
      <alignment horizontal="right"/>
      <protection locked="0"/>
    </xf>
    <xf numFmtId="168" fontId="2" fillId="3" borderId="44" xfId="0" applyNumberFormat="1" applyFont="1" applyFill="1" applyBorder="1" applyAlignment="1" applyProtection="1">
      <alignment horizontal="right"/>
      <protection locked="0"/>
    </xf>
    <xf numFmtId="168" fontId="2" fillId="3" borderId="45" xfId="0" applyNumberFormat="1" applyFont="1" applyFill="1" applyBorder="1" applyAlignment="1" applyProtection="1">
      <alignment horizontal="right"/>
      <protection locked="0"/>
    </xf>
    <xf numFmtId="167" fontId="2" fillId="3" borderId="44" xfId="1" applyNumberFormat="1" applyFont="1" applyFill="1" applyBorder="1" applyAlignment="1" applyProtection="1">
      <alignment horizontal="right"/>
      <protection locked="0"/>
    </xf>
    <xf numFmtId="168" fontId="2" fillId="3" borderId="46" xfId="0" applyNumberFormat="1" applyFont="1" applyFill="1" applyBorder="1" applyAlignment="1" applyProtection="1">
      <alignment horizontal="right"/>
      <protection locked="0"/>
    </xf>
    <xf numFmtId="4" fontId="2" fillId="3" borderId="6" xfId="0" applyNumberFormat="1" applyFont="1" applyFill="1" applyBorder="1" applyAlignment="1" applyProtection="1">
      <alignment horizontal="right"/>
      <protection locked="0"/>
    </xf>
    <xf numFmtId="164" fontId="3" fillId="3" borderId="47" xfId="0" applyNumberFormat="1" applyFont="1" applyFill="1" applyBorder="1" applyAlignment="1" applyProtection="1">
      <alignment horizontal="left"/>
      <protection locked="0"/>
    </xf>
    <xf numFmtId="164" fontId="3" fillId="3" borderId="29" xfId="0" applyNumberFormat="1" applyFont="1" applyFill="1" applyBorder="1" applyAlignment="1" applyProtection="1">
      <alignment horizontal="left"/>
      <protection locked="0"/>
    </xf>
    <xf numFmtId="167" fontId="3" fillId="3" borderId="27" xfId="0" applyNumberFormat="1" applyFont="1" applyFill="1" applyBorder="1" applyAlignment="1" applyProtection="1">
      <alignment horizontal="right"/>
      <protection locked="0"/>
    </xf>
    <xf numFmtId="164" fontId="3" fillId="3" borderId="0" xfId="0" applyNumberFormat="1" applyFont="1" applyFill="1" applyBorder="1" applyAlignment="1" applyProtection="1">
      <alignment horizontal="left"/>
      <protection locked="0"/>
    </xf>
    <xf numFmtId="167" fontId="3" fillId="3" borderId="0" xfId="0" applyNumberFormat="1" applyFont="1" applyFill="1" applyBorder="1" applyAlignment="1" applyProtection="1">
      <alignment horizontal="right"/>
      <protection locked="0"/>
    </xf>
    <xf numFmtId="165" fontId="2" fillId="3" borderId="0" xfId="1" applyNumberFormat="1" applyFont="1" applyFill="1" applyBorder="1" applyAlignment="1" applyProtection="1">
      <alignment horizontal="right"/>
      <protection locked="0"/>
    </xf>
    <xf numFmtId="168" fontId="2" fillId="3" borderId="11" xfId="0" applyNumberFormat="1" applyFont="1" applyFill="1" applyBorder="1" applyAlignment="1" applyProtection="1">
      <alignment horizontal="center"/>
      <protection locked="0"/>
    </xf>
    <xf numFmtId="168" fontId="2" fillId="3" borderId="10" xfId="0" applyNumberFormat="1" applyFont="1" applyFill="1" applyBorder="1" applyAlignment="1" applyProtection="1">
      <alignment horizontal="center"/>
      <protection locked="0"/>
    </xf>
    <xf numFmtId="164" fontId="2" fillId="3" borderId="3" xfId="0" applyNumberFormat="1" applyFont="1" applyFill="1" applyBorder="1" applyAlignment="1" applyProtection="1">
      <alignment horizontal="left"/>
      <protection locked="0"/>
    </xf>
    <xf numFmtId="164" fontId="2" fillId="3" borderId="17" xfId="0" applyNumberFormat="1" applyFont="1" applyFill="1" applyBorder="1" applyAlignment="1" applyProtection="1">
      <alignment horizontal="left"/>
      <protection locked="0"/>
    </xf>
    <xf numFmtId="167" fontId="2" fillId="3" borderId="17" xfId="0" applyNumberFormat="1" applyFont="1" applyFill="1" applyBorder="1" applyAlignment="1" applyProtection="1">
      <alignment horizontal="center"/>
      <protection locked="0"/>
    </xf>
    <xf numFmtId="3" fontId="2" fillId="3" borderId="17" xfId="0" applyNumberFormat="1" applyFont="1" applyFill="1" applyBorder="1" applyAlignment="1" applyProtection="1">
      <alignment horizontal="center"/>
      <protection locked="0"/>
    </xf>
    <xf numFmtId="168" fontId="2" fillId="3" borderId="17" xfId="0" applyNumberFormat="1" applyFont="1" applyFill="1" applyBorder="1" applyAlignment="1" applyProtection="1">
      <alignment horizontal="center"/>
      <protection locked="0"/>
    </xf>
    <xf numFmtId="168" fontId="2" fillId="3" borderId="16" xfId="0" applyNumberFormat="1" applyFont="1" applyFill="1" applyBorder="1" applyAlignment="1" applyProtection="1">
      <alignment horizontal="center"/>
      <protection locked="0"/>
    </xf>
    <xf numFmtId="165" fontId="2" fillId="0" borderId="17" xfId="0" applyNumberFormat="1" applyFont="1" applyBorder="1" applyAlignment="1" applyProtection="1">
      <alignment horizontal="center"/>
      <protection locked="0"/>
    </xf>
    <xf numFmtId="167" fontId="2" fillId="3" borderId="17" xfId="1" applyNumberFormat="1" applyFont="1" applyFill="1" applyBorder="1" applyAlignment="1" applyProtection="1">
      <alignment horizontal="center"/>
      <protection locked="0"/>
    </xf>
    <xf numFmtId="164" fontId="2" fillId="3" borderId="26" xfId="0" applyNumberFormat="1" applyFont="1" applyFill="1" applyBorder="1" applyAlignment="1" applyProtection="1">
      <alignment horizontal="left"/>
      <protection locked="0"/>
    </xf>
    <xf numFmtId="164" fontId="2" fillId="3" borderId="12" xfId="0" applyNumberFormat="1" applyFont="1" applyFill="1" applyBorder="1" applyAlignment="1" applyProtection="1">
      <alignment horizontal="left"/>
      <protection locked="0"/>
    </xf>
    <xf numFmtId="165" fontId="2" fillId="0" borderId="8" xfId="0" applyNumberFormat="1" applyFont="1" applyBorder="1" applyAlignment="1" applyProtection="1">
      <alignment horizontal="right"/>
      <protection locked="0"/>
    </xf>
    <xf numFmtId="167" fontId="2" fillId="3" borderId="8" xfId="1" applyNumberFormat="1" applyFont="1" applyFill="1" applyBorder="1" applyAlignment="1" applyProtection="1">
      <alignment horizontal="right"/>
      <protection locked="0"/>
    </xf>
    <xf numFmtId="167" fontId="2" fillId="3" borderId="4" xfId="0" applyNumberFormat="1" applyFont="1" applyFill="1" applyBorder="1" applyAlignment="1" applyProtection="1">
      <alignment horizontal="right"/>
      <protection locked="0"/>
    </xf>
    <xf numFmtId="3" fontId="2" fillId="3" borderId="4" xfId="0" applyNumberFormat="1" applyFont="1" applyFill="1" applyBorder="1" applyAlignment="1" applyProtection="1">
      <alignment horizontal="right"/>
      <protection locked="0"/>
    </xf>
    <xf numFmtId="168" fontId="2" fillId="3" borderId="4" xfId="0" applyNumberFormat="1" applyFont="1" applyFill="1" applyBorder="1" applyAlignment="1" applyProtection="1">
      <alignment horizontal="right"/>
      <protection locked="0"/>
    </xf>
    <xf numFmtId="165" fontId="2" fillId="0" borderId="4" xfId="0" applyNumberFormat="1" applyFont="1" applyBorder="1" applyAlignment="1" applyProtection="1">
      <alignment horizontal="right"/>
      <protection locked="0"/>
    </xf>
    <xf numFmtId="167" fontId="2" fillId="3" borderId="4" xfId="1" applyNumberFormat="1" applyFont="1" applyFill="1" applyBorder="1" applyAlignment="1" applyProtection="1">
      <alignment horizontal="right"/>
      <protection locked="0"/>
    </xf>
    <xf numFmtId="164" fontId="2" fillId="3" borderId="2" xfId="0" applyNumberFormat="1" applyFont="1" applyFill="1" applyBorder="1" applyAlignment="1" applyProtection="1">
      <alignment horizontal="left"/>
      <protection locked="0"/>
    </xf>
    <xf numFmtId="3" fontId="2" fillId="3" borderId="18" xfId="0" applyNumberFormat="1" applyFont="1" applyFill="1" applyBorder="1" applyAlignment="1" applyProtection="1">
      <alignment horizontal="right"/>
      <protection locked="0"/>
    </xf>
    <xf numFmtId="168" fontId="2" fillId="3" borderId="18" xfId="0" applyNumberFormat="1" applyFont="1" applyFill="1" applyBorder="1" applyAlignment="1" applyProtection="1">
      <alignment horizontal="right"/>
      <protection locked="0"/>
    </xf>
    <xf numFmtId="167" fontId="2" fillId="3" borderId="18" xfId="1" applyNumberFormat="1" applyFont="1" applyFill="1" applyBorder="1" applyAlignment="1" applyProtection="1">
      <alignment horizontal="right"/>
      <protection locked="0"/>
    </xf>
    <xf numFmtId="167" fontId="2" fillId="3" borderId="2" xfId="0" applyNumberFormat="1" applyFont="1" applyFill="1" applyBorder="1" applyAlignment="1" applyProtection="1">
      <alignment horizontal="right"/>
      <protection locked="0"/>
    </xf>
    <xf numFmtId="3" fontId="2" fillId="3" borderId="2" xfId="0" applyNumberFormat="1" applyFont="1" applyFill="1" applyBorder="1" applyAlignment="1" applyProtection="1">
      <alignment horizontal="right"/>
      <protection locked="0"/>
    </xf>
    <xf numFmtId="168" fontId="2" fillId="3" borderId="2" xfId="0" applyNumberFormat="1" applyFont="1" applyFill="1" applyBorder="1" applyAlignment="1" applyProtection="1">
      <alignment horizontal="right"/>
      <protection locked="0"/>
    </xf>
    <xf numFmtId="168" fontId="2" fillId="3" borderId="48" xfId="0" applyNumberFormat="1" applyFont="1" applyFill="1" applyBorder="1" applyAlignment="1" applyProtection="1">
      <alignment horizontal="right"/>
      <protection locked="0"/>
    </xf>
    <xf numFmtId="165" fontId="2" fillId="0" borderId="2" xfId="0" applyNumberFormat="1" applyFont="1" applyBorder="1" applyAlignment="1" applyProtection="1">
      <alignment horizontal="right"/>
      <protection locked="0"/>
    </xf>
    <xf numFmtId="167" fontId="2" fillId="3" borderId="2" xfId="1" applyNumberFormat="1" applyFont="1" applyFill="1" applyBorder="1" applyAlignment="1" applyProtection="1">
      <alignment horizontal="right"/>
      <protection locked="0"/>
    </xf>
    <xf numFmtId="167" fontId="2" fillId="3" borderId="17" xfId="0" applyNumberFormat="1" applyFont="1" applyFill="1" applyBorder="1" applyAlignment="1" applyProtection="1">
      <alignment horizontal="right"/>
      <protection locked="0"/>
    </xf>
    <xf numFmtId="3" fontId="2" fillId="3" borderId="17" xfId="0" applyNumberFormat="1" applyFont="1" applyFill="1" applyBorder="1" applyAlignment="1" applyProtection="1">
      <alignment horizontal="right"/>
      <protection locked="0"/>
    </xf>
    <xf numFmtId="165" fontId="2" fillId="0" borderId="17" xfId="0" applyNumberFormat="1" applyFont="1" applyBorder="1" applyAlignment="1" applyProtection="1">
      <alignment horizontal="right"/>
      <protection locked="0"/>
    </xf>
    <xf numFmtId="164" fontId="2" fillId="3" borderId="31" xfId="0" applyNumberFormat="1" applyFont="1" applyFill="1" applyBorder="1" applyAlignment="1" applyProtection="1">
      <alignment horizontal="left"/>
      <protection locked="0"/>
    </xf>
    <xf numFmtId="164" fontId="2" fillId="3" borderId="34" xfId="0" applyNumberFormat="1" applyFont="1" applyFill="1" applyBorder="1" applyAlignment="1" applyProtection="1">
      <alignment horizontal="left"/>
      <protection locked="0"/>
    </xf>
    <xf numFmtId="167" fontId="2" fillId="3" borderId="34" xfId="0" applyNumberFormat="1" applyFont="1" applyFill="1" applyBorder="1" applyAlignment="1" applyProtection="1">
      <alignment horizontal="right"/>
      <protection locked="0"/>
    </xf>
    <xf numFmtId="3" fontId="2" fillId="3" borderId="34" xfId="0" applyNumberFormat="1" applyFont="1" applyFill="1" applyBorder="1" applyAlignment="1" applyProtection="1">
      <alignment horizontal="right"/>
      <protection locked="0"/>
    </xf>
    <xf numFmtId="168" fontId="2" fillId="3" borderId="34" xfId="0" applyNumberFormat="1" applyFont="1" applyFill="1" applyBorder="1" applyAlignment="1" applyProtection="1">
      <alignment horizontal="right"/>
      <protection locked="0"/>
    </xf>
    <xf numFmtId="168" fontId="2" fillId="3" borderId="33" xfId="0" applyNumberFormat="1" applyFont="1" applyFill="1" applyBorder="1" applyAlignment="1" applyProtection="1">
      <alignment horizontal="right"/>
      <protection locked="0"/>
    </xf>
    <xf numFmtId="165" fontId="2" fillId="0" borderId="34" xfId="0" applyNumberFormat="1" applyFont="1" applyBorder="1" applyAlignment="1" applyProtection="1">
      <alignment horizontal="right"/>
      <protection locked="0"/>
    </xf>
    <xf numFmtId="167" fontId="2" fillId="3" borderId="34" xfId="1" applyNumberFormat="1" applyFont="1" applyFill="1" applyBorder="1" applyAlignment="1" applyProtection="1">
      <alignment horizontal="right"/>
      <protection locked="0"/>
    </xf>
    <xf numFmtId="164" fontId="2" fillId="3" borderId="32" xfId="0" applyFont="1" applyFill="1" applyBorder="1" applyProtection="1">
      <protection locked="0"/>
    </xf>
    <xf numFmtId="164" fontId="2" fillId="3" borderId="31" xfId="0" applyFont="1" applyFill="1" applyBorder="1" applyProtection="1">
      <protection locked="0"/>
    </xf>
    <xf numFmtId="164" fontId="2" fillId="3" borderId="49" xfId="0" applyNumberFormat="1" applyFont="1" applyFill="1" applyBorder="1" applyAlignment="1" applyProtection="1">
      <alignment horizontal="left"/>
      <protection locked="0"/>
    </xf>
    <xf numFmtId="164" fontId="2" fillId="2" borderId="3" xfId="0" applyFont="1" applyFill="1" applyBorder="1" applyProtection="1">
      <protection locked="0"/>
    </xf>
    <xf numFmtId="168" fontId="2" fillId="3" borderId="19" xfId="0" applyNumberFormat="1" applyFont="1" applyFill="1" applyBorder="1" applyAlignment="1" applyProtection="1">
      <alignment horizontal="right"/>
      <protection locked="0"/>
    </xf>
    <xf numFmtId="164" fontId="2" fillId="3" borderId="10" xfId="0" applyFont="1" applyFill="1" applyBorder="1" applyAlignment="1" applyProtection="1">
      <alignment horizontal="left"/>
      <protection locked="0"/>
    </xf>
    <xf numFmtId="167" fontId="2" fillId="3" borderId="50" xfId="0" applyNumberFormat="1" applyFont="1" applyFill="1" applyBorder="1" applyAlignment="1" applyProtection="1">
      <alignment horizontal="right"/>
      <protection locked="0"/>
    </xf>
    <xf numFmtId="3" fontId="3" fillId="3" borderId="27" xfId="0" applyNumberFormat="1" applyFont="1" applyFill="1" applyBorder="1" applyAlignment="1" applyProtection="1">
      <alignment horizontal="right"/>
      <protection locked="0"/>
    </xf>
    <xf numFmtId="168" fontId="2" fillId="3" borderId="27" xfId="1" applyNumberFormat="1" applyFont="1" applyFill="1" applyBorder="1" applyAlignment="1" applyProtection="1">
      <protection locked="0"/>
    </xf>
    <xf numFmtId="168" fontId="2" fillId="3" borderId="28" xfId="1" applyNumberFormat="1" applyFont="1" applyFill="1" applyBorder="1" applyAlignment="1" applyProtection="1">
      <protection locked="0"/>
    </xf>
    <xf numFmtId="165" fontId="2" fillId="3" borderId="29" xfId="1" applyNumberFormat="1" applyFont="1" applyFill="1" applyBorder="1" applyAlignment="1" applyProtection="1">
      <protection locked="0"/>
    </xf>
    <xf numFmtId="167" fontId="2" fillId="3" borderId="27" xfId="1" applyNumberFormat="1" applyFont="1" applyFill="1" applyBorder="1" applyAlignment="1" applyProtection="1">
      <protection locked="0"/>
    </xf>
    <xf numFmtId="168" fontId="2" fillId="3" borderId="30" xfId="1" applyNumberFormat="1" applyFont="1" applyFill="1" applyBorder="1" applyAlignment="1" applyProtection="1">
      <protection locked="0"/>
    </xf>
    <xf numFmtId="3" fontId="3" fillId="3" borderId="0" xfId="0" applyNumberFormat="1" applyFont="1" applyFill="1" applyBorder="1" applyAlignment="1" applyProtection="1">
      <alignment horizontal="right"/>
      <protection locked="0"/>
    </xf>
    <xf numFmtId="168" fontId="2" fillId="3" borderId="0" xfId="1" applyNumberFormat="1" applyFont="1" applyFill="1" applyBorder="1" applyAlignment="1" applyProtection="1">
      <protection locked="0"/>
    </xf>
    <xf numFmtId="168" fontId="2" fillId="3" borderId="13" xfId="1" applyNumberFormat="1" applyFont="1" applyFill="1" applyBorder="1" applyAlignment="1" applyProtection="1">
      <protection locked="0"/>
    </xf>
    <xf numFmtId="165" fontId="2" fillId="3" borderId="0" xfId="1" applyNumberFormat="1" applyFont="1" applyFill="1" applyBorder="1" applyAlignment="1" applyProtection="1">
      <protection locked="0"/>
    </xf>
    <xf numFmtId="167" fontId="2" fillId="3" borderId="0" xfId="1" applyNumberFormat="1" applyFont="1" applyFill="1" applyBorder="1" applyAlignment="1" applyProtection="1">
      <protection locked="0"/>
    </xf>
    <xf numFmtId="168" fontId="2" fillId="3" borderId="14" xfId="1" applyNumberFormat="1" applyFont="1" applyFill="1" applyBorder="1" applyAlignment="1" applyProtection="1">
      <protection locked="0"/>
    </xf>
    <xf numFmtId="164" fontId="2" fillId="4" borderId="9" xfId="0" applyNumberFormat="1" applyFont="1" applyFill="1" applyBorder="1" applyAlignment="1" applyProtection="1">
      <alignment horizontal="left"/>
      <protection locked="0"/>
    </xf>
    <xf numFmtId="164" fontId="2" fillId="4" borderId="4" xfId="0" applyNumberFormat="1" applyFont="1" applyFill="1" applyBorder="1" applyAlignment="1" applyProtection="1">
      <alignment horizontal="left"/>
      <protection locked="0"/>
    </xf>
    <xf numFmtId="167" fontId="2" fillId="4" borderId="4" xfId="0" applyNumberFormat="1" applyFont="1" applyFill="1" applyBorder="1" applyProtection="1">
      <protection locked="0"/>
    </xf>
    <xf numFmtId="3" fontId="2" fillId="4" borderId="4" xfId="0" applyNumberFormat="1" applyFont="1" applyFill="1" applyBorder="1" applyProtection="1">
      <protection locked="0"/>
    </xf>
    <xf numFmtId="168" fontId="2" fillId="4" borderId="4" xfId="0" applyNumberFormat="1" applyFont="1" applyFill="1" applyBorder="1" applyProtection="1">
      <protection locked="0"/>
    </xf>
    <xf numFmtId="168" fontId="2" fillId="4" borderId="11" xfId="0" applyNumberFormat="1" applyFont="1" applyFill="1" applyBorder="1" applyProtection="1">
      <protection locked="0"/>
    </xf>
    <xf numFmtId="165" fontId="2" fillId="4" borderId="4" xfId="1" applyNumberFormat="1" applyFont="1" applyFill="1" applyBorder="1" applyProtection="1">
      <protection locked="0"/>
    </xf>
    <xf numFmtId="167" fontId="2" fillId="4" borderId="4" xfId="1" applyNumberFormat="1" applyFont="1" applyFill="1" applyBorder="1" applyProtection="1">
      <protection locked="0"/>
    </xf>
    <xf numFmtId="168" fontId="2" fillId="4" borderId="10" xfId="0" applyNumberFormat="1" applyFont="1" applyFill="1" applyBorder="1" applyProtection="1">
      <protection locked="0"/>
    </xf>
    <xf numFmtId="164" fontId="2" fillId="3" borderId="31" xfId="0" applyFont="1" applyFill="1" applyBorder="1" applyAlignment="1" applyProtection="1">
      <alignment horizontal="left"/>
      <protection locked="0"/>
    </xf>
    <xf numFmtId="164" fontId="2" fillId="3" borderId="51" xfId="0" applyFont="1" applyFill="1" applyBorder="1" applyAlignment="1" applyProtection="1">
      <alignment horizontal="left"/>
      <protection locked="0"/>
    </xf>
    <xf numFmtId="164" fontId="2" fillId="3" borderId="47" xfId="0" applyFont="1" applyFill="1" applyBorder="1" applyAlignment="1" applyProtection="1">
      <alignment horizontal="left"/>
      <protection locked="0"/>
    </xf>
    <xf numFmtId="3" fontId="2" fillId="3" borderId="50" xfId="0" applyNumberFormat="1" applyFont="1" applyFill="1" applyBorder="1" applyAlignment="1" applyProtection="1">
      <alignment horizontal="right"/>
      <protection locked="0"/>
    </xf>
    <xf numFmtId="168" fontId="2" fillId="3" borderId="50" xfId="0" applyNumberFormat="1" applyFont="1" applyFill="1" applyBorder="1" applyAlignment="1" applyProtection="1">
      <alignment horizontal="right"/>
      <protection locked="0"/>
    </xf>
    <xf numFmtId="165" fontId="2" fillId="3" borderId="6" xfId="1" applyNumberFormat="1" applyFont="1" applyFill="1" applyBorder="1" applyAlignment="1" applyProtection="1">
      <alignment horizontal="right"/>
      <protection locked="0"/>
    </xf>
    <xf numFmtId="167" fontId="2" fillId="3" borderId="50" xfId="1" applyNumberFormat="1" applyFont="1" applyFill="1" applyBorder="1" applyAlignment="1" applyProtection="1">
      <alignment horizontal="right"/>
      <protection locked="0"/>
    </xf>
    <xf numFmtId="164" fontId="2" fillId="4" borderId="15" xfId="0" applyNumberFormat="1" applyFont="1" applyFill="1" applyBorder="1" applyAlignment="1" applyProtection="1">
      <alignment horizontal="left"/>
      <protection locked="0"/>
    </xf>
    <xf numFmtId="164" fontId="2" fillId="4" borderId="2" xfId="0" applyNumberFormat="1" applyFont="1" applyFill="1" applyBorder="1" applyAlignment="1" applyProtection="1">
      <alignment horizontal="left"/>
      <protection locked="0"/>
    </xf>
    <xf numFmtId="167" fontId="2" fillId="4" borderId="0" xfId="0" applyNumberFormat="1" applyFont="1" applyFill="1" applyBorder="1" applyAlignment="1" applyProtection="1">
      <alignment horizontal="right"/>
      <protection locked="0"/>
    </xf>
    <xf numFmtId="168" fontId="2" fillId="4" borderId="17" xfId="0" applyNumberFormat="1" applyFont="1" applyFill="1" applyBorder="1" applyAlignment="1" applyProtection="1">
      <alignment horizontal="right"/>
      <protection locked="0"/>
    </xf>
    <xf numFmtId="164" fontId="2" fillId="4" borderId="17" xfId="0" applyNumberFormat="1" applyFont="1" applyFill="1" applyBorder="1" applyAlignment="1" applyProtection="1">
      <alignment horizontal="left"/>
      <protection locked="0"/>
    </xf>
    <xf numFmtId="167" fontId="2" fillId="4" borderId="20" xfId="0" applyNumberFormat="1" applyFont="1" applyFill="1" applyBorder="1" applyAlignment="1" applyProtection="1">
      <alignment horizontal="right"/>
      <protection locked="0"/>
    </xf>
    <xf numFmtId="3" fontId="2" fillId="4" borderId="20" xfId="0" applyNumberFormat="1" applyFont="1" applyFill="1" applyBorder="1" applyAlignment="1" applyProtection="1">
      <alignment horizontal="right"/>
      <protection locked="0"/>
    </xf>
    <xf numFmtId="168" fontId="2" fillId="4" borderId="20" xfId="0" applyNumberFormat="1" applyFont="1" applyFill="1" applyBorder="1" applyAlignment="1" applyProtection="1">
      <alignment horizontal="right"/>
      <protection locked="0"/>
    </xf>
    <xf numFmtId="168" fontId="2" fillId="4" borderId="21" xfId="0" applyNumberFormat="1" applyFont="1" applyFill="1" applyBorder="1" applyAlignment="1" applyProtection="1">
      <alignment horizontal="right"/>
      <protection locked="0"/>
    </xf>
    <xf numFmtId="165" fontId="2" fillId="4" borderId="17" xfId="1" applyNumberFormat="1" applyFont="1" applyFill="1" applyBorder="1" applyAlignment="1" applyProtection="1">
      <alignment horizontal="right"/>
      <protection locked="0"/>
    </xf>
    <xf numFmtId="167" fontId="2" fillId="4" borderId="20" xfId="1" applyNumberFormat="1" applyFont="1" applyFill="1" applyBorder="1" applyAlignment="1" applyProtection="1">
      <alignment horizontal="right"/>
      <protection locked="0"/>
    </xf>
    <xf numFmtId="167" fontId="2" fillId="3" borderId="52" xfId="0" applyNumberFormat="1" applyFont="1" applyFill="1" applyBorder="1" applyAlignment="1" applyProtection="1">
      <alignment horizontal="right"/>
      <protection locked="0"/>
    </xf>
    <xf numFmtId="165" fontId="2" fillId="3" borderId="4" xfId="1" applyNumberFormat="1" applyFont="1" applyFill="1" applyBorder="1" applyAlignment="1" applyProtection="1">
      <alignment horizontal="right"/>
      <protection locked="0"/>
    </xf>
    <xf numFmtId="164" fontId="2" fillId="3" borderId="17" xfId="0" applyFont="1" applyFill="1" applyBorder="1" applyAlignment="1" applyProtection="1">
      <alignment horizontal="left"/>
      <protection locked="0"/>
    </xf>
    <xf numFmtId="167" fontId="2" fillId="3" borderId="53" xfId="0" applyNumberFormat="1" applyFont="1" applyFill="1" applyBorder="1" applyAlignment="1" applyProtection="1">
      <alignment horizontal="right"/>
      <protection locked="0"/>
    </xf>
    <xf numFmtId="3" fontId="2" fillId="3" borderId="53" xfId="0" applyNumberFormat="1" applyFont="1" applyFill="1" applyBorder="1" applyAlignment="1" applyProtection="1">
      <alignment horizontal="right"/>
      <protection locked="0"/>
    </xf>
    <xf numFmtId="168" fontId="2" fillId="3" borderId="53" xfId="0" applyNumberFormat="1" applyFont="1" applyFill="1" applyBorder="1" applyAlignment="1" applyProtection="1">
      <alignment horizontal="right"/>
      <protection locked="0"/>
    </xf>
    <xf numFmtId="167" fontId="2" fillId="3" borderId="53" xfId="1" applyNumberFormat="1" applyFont="1" applyFill="1" applyBorder="1" applyAlignment="1" applyProtection="1">
      <alignment horizontal="right"/>
      <protection locked="0"/>
    </xf>
    <xf numFmtId="164" fontId="2" fillId="3" borderId="49" xfId="0" applyFont="1" applyFill="1" applyBorder="1" applyAlignment="1" applyProtection="1">
      <alignment horizontal="left"/>
      <protection locked="0"/>
    </xf>
    <xf numFmtId="4" fontId="3" fillId="3" borderId="6" xfId="0" applyNumberFormat="1" applyFont="1" applyFill="1" applyBorder="1" applyAlignment="1" applyProtection="1">
      <alignment horizontal="right"/>
      <protection locked="0"/>
    </xf>
    <xf numFmtId="164" fontId="2" fillId="3" borderId="54" xfId="0" applyFont="1" applyFill="1" applyBorder="1" applyAlignment="1" applyProtection="1">
      <alignment horizontal="left"/>
      <protection locked="0"/>
    </xf>
    <xf numFmtId="164" fontId="2" fillId="3" borderId="55" xfId="0" applyFont="1" applyFill="1" applyBorder="1" applyAlignment="1" applyProtection="1">
      <alignment horizontal="left"/>
      <protection locked="0"/>
    </xf>
    <xf numFmtId="167" fontId="2" fillId="3" borderId="56" xfId="0" applyNumberFormat="1" applyFont="1" applyFill="1" applyBorder="1" applyAlignment="1" applyProtection="1">
      <alignment horizontal="right"/>
      <protection locked="0"/>
    </xf>
    <xf numFmtId="165" fontId="2" fillId="3" borderId="57" xfId="1" applyNumberFormat="1" applyFont="1" applyFill="1" applyBorder="1" applyAlignment="1" applyProtection="1">
      <alignment horizontal="right"/>
      <protection locked="0"/>
    </xf>
    <xf numFmtId="164" fontId="2" fillId="3" borderId="58" xfId="0" applyFont="1" applyFill="1" applyBorder="1" applyAlignment="1" applyProtection="1">
      <alignment horizontal="left"/>
      <protection locked="0"/>
    </xf>
    <xf numFmtId="164" fontId="2" fillId="3" borderId="15" xfId="0" applyFont="1" applyFill="1" applyBorder="1" applyAlignment="1" applyProtection="1">
      <alignment horizontal="left"/>
      <protection locked="0"/>
    </xf>
    <xf numFmtId="164" fontId="2" fillId="3" borderId="59" xfId="0" applyFont="1" applyFill="1" applyBorder="1" applyAlignment="1" applyProtection="1">
      <alignment horizontal="left"/>
      <protection locked="0"/>
    </xf>
    <xf numFmtId="164" fontId="2" fillId="3" borderId="9" xfId="0" applyFont="1" applyFill="1" applyBorder="1" applyAlignment="1" applyProtection="1">
      <alignment horizontal="left"/>
      <protection locked="0"/>
    </xf>
    <xf numFmtId="164" fontId="2" fillId="3" borderId="60" xfId="0" applyFont="1" applyFill="1" applyBorder="1" applyAlignment="1" applyProtection="1">
      <alignment horizontal="left"/>
      <protection locked="0"/>
    </xf>
    <xf numFmtId="164" fontId="2" fillId="3" borderId="61" xfId="0" applyFont="1" applyFill="1" applyBorder="1" applyAlignment="1" applyProtection="1">
      <alignment horizontal="left"/>
      <protection locked="0"/>
    </xf>
    <xf numFmtId="164" fontId="2" fillId="3" borderId="62" xfId="0" applyFont="1" applyFill="1" applyBorder="1" applyAlignment="1" applyProtection="1">
      <alignment horizontal="left"/>
      <protection locked="0"/>
    </xf>
    <xf numFmtId="164" fontId="2" fillId="3" borderId="63" xfId="0" applyFont="1" applyFill="1" applyBorder="1" applyAlignment="1" applyProtection="1">
      <alignment horizontal="left"/>
      <protection locked="0"/>
    </xf>
    <xf numFmtId="168" fontId="2" fillId="3" borderId="64" xfId="0" applyNumberFormat="1" applyFont="1" applyFill="1" applyBorder="1" applyAlignment="1" applyProtection="1">
      <alignment horizontal="right"/>
      <protection locked="0"/>
    </xf>
    <xf numFmtId="165" fontId="2" fillId="3" borderId="50" xfId="0" applyNumberFormat="1" applyFont="1" applyFill="1" applyBorder="1" applyAlignment="1" applyProtection="1">
      <alignment horizontal="right"/>
      <protection locked="0"/>
    </xf>
    <xf numFmtId="164" fontId="2" fillId="3" borderId="65" xfId="0" applyFont="1" applyFill="1" applyBorder="1" applyAlignment="1" applyProtection="1">
      <alignment horizontal="left"/>
      <protection locked="0"/>
    </xf>
    <xf numFmtId="167" fontId="2" fillId="3" borderId="66" xfId="0" applyNumberFormat="1" applyFont="1" applyFill="1" applyBorder="1" applyAlignment="1" applyProtection="1">
      <alignment horizontal="right"/>
      <protection locked="0"/>
    </xf>
    <xf numFmtId="167" fontId="2" fillId="3" borderId="67" xfId="0" applyNumberFormat="1" applyFont="1" applyFill="1" applyBorder="1" applyAlignment="1" applyProtection="1">
      <alignment horizontal="right"/>
      <protection locked="0"/>
    </xf>
    <xf numFmtId="3" fontId="2" fillId="3" borderId="67" xfId="0" applyNumberFormat="1" applyFont="1" applyFill="1" applyBorder="1" applyAlignment="1" applyProtection="1">
      <alignment horizontal="right"/>
      <protection locked="0"/>
    </xf>
    <xf numFmtId="168" fontId="2" fillId="3" borderId="67" xfId="0" applyNumberFormat="1" applyFont="1" applyFill="1" applyBorder="1" applyAlignment="1" applyProtection="1">
      <alignment horizontal="right"/>
      <protection locked="0"/>
    </xf>
    <xf numFmtId="168" fontId="2" fillId="3" borderId="68" xfId="0" applyNumberFormat="1" applyFont="1" applyFill="1" applyBorder="1" applyAlignment="1" applyProtection="1">
      <alignment horizontal="right"/>
      <protection locked="0"/>
    </xf>
    <xf numFmtId="167" fontId="2" fillId="3" borderId="67" xfId="1" applyNumberFormat="1" applyFont="1" applyFill="1" applyBorder="1" applyAlignment="1" applyProtection="1">
      <alignment horizontal="right"/>
      <protection locked="0"/>
    </xf>
    <xf numFmtId="168" fontId="2" fillId="3" borderId="69" xfId="0" applyNumberFormat="1" applyFont="1" applyFill="1" applyBorder="1" applyAlignment="1" applyProtection="1">
      <alignment horizontal="right"/>
      <protection locked="0"/>
    </xf>
    <xf numFmtId="164" fontId="2" fillId="3" borderId="3" xfId="0" applyFont="1" applyFill="1" applyBorder="1" applyAlignment="1" applyProtection="1">
      <alignment horizontal="left"/>
      <protection locked="0"/>
    </xf>
    <xf numFmtId="164" fontId="2" fillId="3" borderId="26" xfId="0" applyFont="1" applyFill="1" applyBorder="1" applyAlignment="1" applyProtection="1">
      <alignment horizontal="left"/>
      <protection locked="0"/>
    </xf>
    <xf numFmtId="164" fontId="2" fillId="3" borderId="70" xfId="0" applyFont="1" applyFill="1" applyBorder="1" applyAlignment="1" applyProtection="1">
      <alignment horizontal="left"/>
      <protection locked="0"/>
    </xf>
    <xf numFmtId="164" fontId="2" fillId="3" borderId="71" xfId="0" applyFont="1" applyFill="1" applyBorder="1" applyAlignment="1" applyProtection="1">
      <alignment horizontal="left"/>
      <protection locked="0"/>
    </xf>
    <xf numFmtId="4" fontId="2" fillId="3" borderId="0" xfId="0" applyNumberFormat="1" applyFont="1" applyFill="1" applyBorder="1" applyAlignment="1" applyProtection="1">
      <alignment horizontal="right"/>
      <protection locked="0"/>
    </xf>
    <xf numFmtId="164" fontId="3" fillId="3" borderId="5" xfId="0" applyFont="1" applyFill="1" applyBorder="1" applyAlignment="1" applyProtection="1">
      <alignment horizontal="left"/>
      <protection locked="0"/>
    </xf>
    <xf numFmtId="167" fontId="2" fillId="4" borderId="4" xfId="0" applyNumberFormat="1" applyFont="1" applyFill="1" applyBorder="1" applyAlignment="1" applyProtection="1">
      <alignment horizontal="right"/>
      <protection locked="0"/>
    </xf>
    <xf numFmtId="3" fontId="2" fillId="4" borderId="4" xfId="0" applyNumberFormat="1" applyFont="1" applyFill="1" applyBorder="1" applyAlignment="1" applyProtection="1">
      <alignment horizontal="right"/>
      <protection locked="0"/>
    </xf>
    <xf numFmtId="168" fontId="2" fillId="4" borderId="4" xfId="0" applyNumberFormat="1" applyFont="1" applyFill="1" applyBorder="1" applyAlignment="1" applyProtection="1">
      <alignment horizontal="right"/>
      <protection locked="0"/>
    </xf>
    <xf numFmtId="168" fontId="2" fillId="4" borderId="11" xfId="0" applyNumberFormat="1" applyFont="1" applyFill="1" applyBorder="1" applyAlignment="1" applyProtection="1">
      <alignment horizontal="right"/>
      <protection locked="0"/>
    </xf>
    <xf numFmtId="167" fontId="2" fillId="4" borderId="4" xfId="1" applyNumberFormat="1" applyFont="1" applyFill="1" applyBorder="1" applyAlignment="1" applyProtection="1">
      <alignment horizontal="right"/>
      <protection locked="0"/>
    </xf>
    <xf numFmtId="168" fontId="2" fillId="4" borderId="10" xfId="0" applyNumberFormat="1" applyFont="1" applyFill="1" applyBorder="1" applyAlignment="1" applyProtection="1">
      <alignment horizontal="right"/>
      <protection locked="0"/>
    </xf>
    <xf numFmtId="4" fontId="2" fillId="3" borderId="50" xfId="0" applyNumberFormat="1" applyFont="1" applyFill="1" applyBorder="1" applyAlignment="1" applyProtection="1">
      <alignment horizontal="right"/>
      <protection locked="0"/>
    </xf>
    <xf numFmtId="164" fontId="2" fillId="3" borderId="14" xfId="0" applyFont="1" applyFill="1" applyBorder="1" applyAlignment="1" applyProtection="1">
      <alignment horizontal="left"/>
      <protection locked="0"/>
    </xf>
    <xf numFmtId="164" fontId="2" fillId="3" borderId="72" xfId="0" applyFont="1" applyFill="1" applyBorder="1" applyAlignment="1" applyProtection="1">
      <alignment horizontal="left"/>
      <protection locked="0"/>
    </xf>
    <xf numFmtId="167" fontId="2" fillId="3" borderId="32" xfId="0" applyNumberFormat="1" applyFont="1" applyFill="1" applyBorder="1" applyAlignment="1" applyProtection="1">
      <alignment horizontal="right"/>
      <protection locked="0"/>
    </xf>
    <xf numFmtId="167" fontId="2" fillId="3" borderId="73" xfId="0" applyNumberFormat="1" applyFont="1" applyFill="1" applyBorder="1" applyAlignment="1" applyProtection="1">
      <alignment horizontal="right"/>
      <protection locked="0"/>
    </xf>
    <xf numFmtId="3" fontId="2" fillId="3" borderId="73" xfId="0" applyNumberFormat="1" applyFont="1" applyFill="1" applyBorder="1" applyAlignment="1" applyProtection="1">
      <alignment horizontal="right"/>
      <protection locked="0"/>
    </xf>
    <xf numFmtId="168" fontId="2" fillId="3" borderId="73" xfId="0" applyNumberFormat="1" applyFont="1" applyFill="1" applyBorder="1" applyAlignment="1" applyProtection="1">
      <alignment horizontal="right"/>
      <protection locked="0"/>
    </xf>
    <xf numFmtId="168" fontId="2" fillId="3" borderId="74" xfId="0" applyNumberFormat="1" applyFont="1" applyFill="1" applyBorder="1" applyAlignment="1" applyProtection="1">
      <alignment horizontal="right"/>
      <protection locked="0"/>
    </xf>
    <xf numFmtId="167" fontId="2" fillId="3" borderId="73" xfId="1" applyNumberFormat="1" applyFont="1" applyFill="1" applyBorder="1" applyAlignment="1" applyProtection="1">
      <alignment horizontal="right"/>
      <protection locked="0"/>
    </xf>
    <xf numFmtId="164" fontId="2" fillId="3" borderId="34" xfId="0" applyFont="1" applyFill="1" applyBorder="1" applyAlignment="1" applyProtection="1">
      <alignment horizontal="left"/>
      <protection locked="0"/>
    </xf>
    <xf numFmtId="164" fontId="3" fillId="3" borderId="31" xfId="0" applyFont="1" applyFill="1" applyBorder="1" applyAlignment="1" applyProtection="1">
      <alignment horizontal="left"/>
      <protection locked="0"/>
    </xf>
    <xf numFmtId="164" fontId="2" fillId="3" borderId="32" xfId="0" applyFont="1" applyFill="1" applyBorder="1" applyAlignment="1" applyProtection="1">
      <alignment horizontal="left"/>
      <protection locked="0"/>
    </xf>
    <xf numFmtId="167" fontId="2" fillId="3" borderId="42" xfId="1" applyNumberFormat="1" applyFont="1" applyFill="1" applyBorder="1" applyAlignment="1" applyProtection="1">
      <alignment horizontal="right"/>
      <protection locked="0"/>
    </xf>
    <xf numFmtId="164" fontId="3" fillId="3" borderId="3" xfId="0" applyFont="1" applyFill="1" applyBorder="1" applyAlignment="1" applyProtection="1">
      <alignment horizontal="left"/>
      <protection locked="0"/>
    </xf>
    <xf numFmtId="164" fontId="2" fillId="3" borderId="1" xfId="0" applyFont="1" applyFill="1" applyBorder="1" applyAlignment="1" applyProtection="1">
      <alignment horizontal="left"/>
      <protection locked="0"/>
    </xf>
    <xf numFmtId="167" fontId="2" fillId="3" borderId="12" xfId="0" applyNumberFormat="1" applyFont="1" applyFill="1" applyBorder="1" applyAlignment="1" applyProtection="1">
      <alignment horizontal="center"/>
      <protection locked="0"/>
    </xf>
    <xf numFmtId="164" fontId="2" fillId="3" borderId="12" xfId="0" applyFont="1" applyFill="1" applyBorder="1" applyProtection="1">
      <protection locked="0"/>
    </xf>
    <xf numFmtId="168" fontId="2" fillId="3" borderId="75" xfId="0" applyNumberFormat="1" applyFont="1" applyFill="1" applyBorder="1" applyAlignment="1" applyProtection="1">
      <alignment horizontal="right"/>
      <protection locked="0"/>
    </xf>
    <xf numFmtId="164" fontId="2" fillId="3" borderId="10" xfId="0" applyFont="1" applyFill="1" applyBorder="1" applyProtection="1">
      <protection locked="0"/>
    </xf>
    <xf numFmtId="164" fontId="2" fillId="3" borderId="5" xfId="0" applyFont="1" applyFill="1" applyBorder="1" applyProtection="1">
      <protection locked="0"/>
    </xf>
    <xf numFmtId="164" fontId="2" fillId="3" borderId="8" xfId="0" applyFont="1" applyFill="1" applyBorder="1" applyProtection="1">
      <protection locked="0"/>
    </xf>
    <xf numFmtId="164" fontId="2" fillId="3" borderId="51" xfId="0" applyFont="1" applyFill="1" applyBorder="1" applyProtection="1">
      <protection locked="0"/>
    </xf>
    <xf numFmtId="3" fontId="2" fillId="3" borderId="32" xfId="0" applyNumberFormat="1" applyFont="1" applyFill="1" applyBorder="1" applyAlignment="1" applyProtection="1">
      <alignment horizontal="right"/>
      <protection locked="0"/>
    </xf>
    <xf numFmtId="168" fontId="2" fillId="3" borderId="32" xfId="0" applyNumberFormat="1" applyFont="1" applyFill="1" applyBorder="1" applyAlignment="1" applyProtection="1">
      <alignment horizontal="right"/>
      <protection locked="0"/>
    </xf>
    <xf numFmtId="167" fontId="2" fillId="3" borderId="32" xfId="1" applyNumberFormat="1" applyFont="1" applyFill="1" applyBorder="1" applyAlignment="1" applyProtection="1">
      <alignment horizontal="right"/>
      <protection locked="0"/>
    </xf>
    <xf numFmtId="164" fontId="2" fillId="4" borderId="31" xfId="0" quotePrefix="1" applyNumberFormat="1" applyFont="1" applyFill="1" applyBorder="1" applyAlignment="1" applyProtection="1">
      <alignment horizontal="left"/>
      <protection locked="0"/>
    </xf>
    <xf numFmtId="164" fontId="2" fillId="4" borderId="71" xfId="0" applyNumberFormat="1" applyFont="1" applyFill="1" applyBorder="1" applyAlignment="1" applyProtection="1">
      <alignment horizontal="left"/>
      <protection locked="0"/>
    </xf>
    <xf numFmtId="167" fontId="2" fillId="3" borderId="76" xfId="1" applyNumberFormat="1" applyFont="1" applyFill="1" applyBorder="1" applyAlignment="1" applyProtection="1">
      <alignment horizontal="right"/>
      <protection locked="0"/>
    </xf>
    <xf numFmtId="164" fontId="2" fillId="3" borderId="3" xfId="0" applyFont="1" applyFill="1" applyBorder="1" applyProtection="1">
      <protection locked="0"/>
    </xf>
    <xf numFmtId="167" fontId="2" fillId="3" borderId="3" xfId="0" applyNumberFormat="1" applyFont="1" applyFill="1" applyBorder="1" applyProtection="1">
      <protection locked="0"/>
    </xf>
    <xf numFmtId="167" fontId="2" fillId="3" borderId="18" xfId="0" applyNumberFormat="1" applyFont="1" applyFill="1" applyBorder="1" applyProtection="1">
      <protection locked="0"/>
    </xf>
    <xf numFmtId="164" fontId="2" fillId="3" borderId="18" xfId="0" applyFont="1" applyFill="1" applyBorder="1" applyProtection="1">
      <protection locked="0"/>
    </xf>
    <xf numFmtId="168" fontId="2" fillId="3" borderId="18" xfId="0" applyNumberFormat="1" applyFont="1" applyFill="1" applyBorder="1" applyProtection="1">
      <protection locked="0"/>
    </xf>
    <xf numFmtId="168" fontId="2" fillId="3" borderId="48" xfId="0" applyNumberFormat="1" applyFont="1" applyFill="1" applyBorder="1" applyProtection="1">
      <protection locked="0"/>
    </xf>
    <xf numFmtId="164" fontId="3" fillId="3" borderId="5" xfId="0" applyFont="1" applyFill="1" applyBorder="1" applyProtection="1">
      <protection locked="0"/>
    </xf>
    <xf numFmtId="164" fontId="2" fillId="3" borderId="6" xfId="0" applyFont="1" applyFill="1" applyBorder="1" applyProtection="1">
      <protection locked="0"/>
    </xf>
    <xf numFmtId="164" fontId="2" fillId="5" borderId="9" xfId="0" applyNumberFormat="1" applyFont="1" applyFill="1" applyBorder="1" applyAlignment="1" applyProtection="1">
      <alignment horizontal="left"/>
      <protection locked="0"/>
    </xf>
    <xf numFmtId="164" fontId="2" fillId="5" borderId="4" xfId="0" applyNumberFormat="1" applyFont="1" applyFill="1" applyBorder="1" applyAlignment="1" applyProtection="1">
      <alignment horizontal="left"/>
      <protection locked="0"/>
    </xf>
    <xf numFmtId="167" fontId="2" fillId="5" borderId="4" xfId="0" applyNumberFormat="1" applyFont="1" applyFill="1" applyBorder="1" applyAlignment="1" applyProtection="1">
      <alignment horizontal="right"/>
      <protection locked="0"/>
    </xf>
    <xf numFmtId="3" fontId="2" fillId="5" borderId="4" xfId="0" applyNumberFormat="1" applyFont="1" applyFill="1" applyBorder="1" applyAlignment="1" applyProtection="1">
      <alignment horizontal="right"/>
      <protection locked="0"/>
    </xf>
    <xf numFmtId="168" fontId="2" fillId="5" borderId="4" xfId="0" applyNumberFormat="1" applyFont="1" applyFill="1" applyBorder="1" applyAlignment="1" applyProtection="1">
      <alignment horizontal="right"/>
      <protection locked="0"/>
    </xf>
    <xf numFmtId="168" fontId="2" fillId="5" borderId="11" xfId="0" applyNumberFormat="1" applyFont="1" applyFill="1" applyBorder="1" applyAlignment="1" applyProtection="1">
      <alignment horizontal="right"/>
      <protection locked="0"/>
    </xf>
    <xf numFmtId="167" fontId="2" fillId="5" borderId="4" xfId="1" applyNumberFormat="1" applyFont="1" applyFill="1" applyBorder="1" applyAlignment="1" applyProtection="1">
      <alignment horizontal="right"/>
      <protection locked="0"/>
    </xf>
    <xf numFmtId="168" fontId="2" fillId="5" borderId="10" xfId="0" applyNumberFormat="1" applyFont="1" applyFill="1" applyBorder="1" applyAlignment="1" applyProtection="1">
      <alignment horizontal="right"/>
      <protection locked="0"/>
    </xf>
    <xf numFmtId="164" fontId="2" fillId="3" borderId="3" xfId="0" quotePrefix="1" applyFont="1" applyFill="1" applyBorder="1" applyAlignment="1" applyProtection="1">
      <alignment horizontal="left"/>
      <protection locked="0"/>
    </xf>
    <xf numFmtId="164" fontId="2" fillId="3" borderId="2" xfId="0" applyFont="1" applyFill="1" applyBorder="1" applyAlignment="1" applyProtection="1">
      <alignment horizontal="left"/>
      <protection locked="0"/>
    </xf>
    <xf numFmtId="168" fontId="2" fillId="3" borderId="19" xfId="0" applyNumberFormat="1" applyFont="1" applyFill="1" applyBorder="1" applyProtection="1">
      <protection locked="0"/>
    </xf>
    <xf numFmtId="167" fontId="2" fillId="3" borderId="77" xfId="0" applyNumberFormat="1" applyFont="1" applyFill="1" applyBorder="1" applyAlignment="1" applyProtection="1">
      <alignment horizontal="right"/>
      <protection locked="0"/>
    </xf>
    <xf numFmtId="168" fontId="2" fillId="3" borderId="78" xfId="0" applyNumberFormat="1" applyFont="1" applyFill="1" applyBorder="1" applyAlignment="1" applyProtection="1">
      <alignment horizontal="right"/>
      <protection locked="0"/>
    </xf>
    <xf numFmtId="164" fontId="2" fillId="3" borderId="8" xfId="0" applyFont="1" applyFill="1" applyBorder="1" applyAlignment="1" applyProtection="1">
      <alignment horizontal="left"/>
      <protection locked="0"/>
    </xf>
    <xf numFmtId="164" fontId="2" fillId="3" borderId="79" xfId="0" applyFont="1" applyFill="1" applyBorder="1" applyProtection="1">
      <protection locked="0"/>
    </xf>
    <xf numFmtId="164" fontId="2" fillId="3" borderId="80" xfId="0" applyFont="1" applyFill="1" applyBorder="1" applyProtection="1">
      <protection locked="0"/>
    </xf>
    <xf numFmtId="164" fontId="2" fillId="3" borderId="49" xfId="0" applyFont="1" applyFill="1" applyBorder="1" applyProtection="1">
      <protection locked="0"/>
    </xf>
    <xf numFmtId="164" fontId="2" fillId="3" borderId="12" xfId="0" applyFont="1" applyFill="1" applyBorder="1" applyAlignment="1" applyProtection="1">
      <alignment horizontal="left"/>
      <protection locked="0"/>
    </xf>
    <xf numFmtId="164" fontId="2" fillId="3" borderId="81" xfId="0" applyFont="1" applyFill="1" applyBorder="1" applyAlignment="1" applyProtection="1">
      <alignment horizontal="left"/>
      <protection locked="0"/>
    </xf>
    <xf numFmtId="164" fontId="2" fillId="3" borderId="13" xfId="0" applyFont="1" applyFill="1" applyBorder="1" applyAlignment="1" applyProtection="1">
      <alignment horizontal="left"/>
      <protection locked="0"/>
    </xf>
    <xf numFmtId="167" fontId="2" fillId="3" borderId="80" xfId="0" applyNumberFormat="1" applyFont="1" applyFill="1" applyBorder="1" applyAlignment="1" applyProtection="1">
      <alignment horizontal="right"/>
      <protection locked="0"/>
    </xf>
    <xf numFmtId="3" fontId="2" fillId="3" borderId="80" xfId="0" applyNumberFormat="1" applyFont="1" applyFill="1" applyBorder="1" applyAlignment="1" applyProtection="1">
      <alignment horizontal="right"/>
      <protection locked="0"/>
    </xf>
    <xf numFmtId="168" fontId="2" fillId="3" borderId="80" xfId="0" applyNumberFormat="1" applyFont="1" applyFill="1" applyBorder="1" applyAlignment="1" applyProtection="1">
      <alignment horizontal="right"/>
      <protection locked="0"/>
    </xf>
    <xf numFmtId="168" fontId="2" fillId="3" borderId="82" xfId="0" applyNumberFormat="1" applyFont="1" applyFill="1" applyBorder="1" applyAlignment="1" applyProtection="1">
      <alignment horizontal="right"/>
      <protection locked="0"/>
    </xf>
    <xf numFmtId="164" fontId="3" fillId="3" borderId="43" xfId="0" applyFont="1" applyFill="1" applyBorder="1" applyAlignment="1" applyProtection="1">
      <alignment horizontal="left"/>
      <protection locked="0"/>
    </xf>
    <xf numFmtId="164" fontId="2" fillId="3" borderId="83" xfId="0" applyFont="1" applyFill="1" applyBorder="1" applyAlignment="1" applyProtection="1">
      <alignment horizontal="left"/>
      <protection locked="0"/>
    </xf>
    <xf numFmtId="167" fontId="2" fillId="3" borderId="84" xfId="0" applyNumberFormat="1" applyFont="1" applyFill="1" applyBorder="1" applyAlignment="1" applyProtection="1">
      <alignment horizontal="right"/>
      <protection locked="0"/>
    </xf>
    <xf numFmtId="3" fontId="2" fillId="3" borderId="83" xfId="0" applyNumberFormat="1" applyFont="1" applyFill="1" applyBorder="1" applyAlignment="1" applyProtection="1">
      <alignment horizontal="right"/>
      <protection locked="0"/>
    </xf>
    <xf numFmtId="168" fontId="2" fillId="3" borderId="84" xfId="0" applyNumberFormat="1" applyFont="1" applyFill="1" applyBorder="1" applyAlignment="1" applyProtection="1">
      <alignment horizontal="right"/>
      <protection locked="0"/>
    </xf>
    <xf numFmtId="168" fontId="2" fillId="3" borderId="83" xfId="0" applyNumberFormat="1" applyFont="1" applyFill="1" applyBorder="1" applyAlignment="1" applyProtection="1">
      <alignment horizontal="right"/>
      <protection locked="0"/>
    </xf>
    <xf numFmtId="168" fontId="2" fillId="3" borderId="85" xfId="0" applyNumberFormat="1" applyFont="1" applyFill="1" applyBorder="1" applyAlignment="1" applyProtection="1">
      <alignment horizontal="right"/>
      <protection locked="0"/>
    </xf>
    <xf numFmtId="167" fontId="2" fillId="3" borderId="86" xfId="1" applyNumberFormat="1" applyFont="1" applyFill="1" applyBorder="1" applyAlignment="1" applyProtection="1">
      <alignment horizontal="right"/>
      <protection locked="0"/>
    </xf>
    <xf numFmtId="168" fontId="2" fillId="3" borderId="51" xfId="0" applyNumberFormat="1" applyFont="1" applyFill="1" applyBorder="1" applyAlignment="1" applyProtection="1">
      <alignment horizontal="right"/>
      <protection locked="0"/>
    </xf>
    <xf numFmtId="164" fontId="2" fillId="3" borderId="79" xfId="0" applyFont="1" applyFill="1" applyBorder="1" applyAlignment="1" applyProtection="1">
      <alignment horizontal="left"/>
      <protection locked="0"/>
    </xf>
    <xf numFmtId="164" fontId="2" fillId="3" borderId="80" xfId="0" applyFont="1" applyFill="1" applyBorder="1" applyAlignment="1" applyProtection="1">
      <alignment horizontal="left"/>
      <protection locked="0"/>
    </xf>
    <xf numFmtId="167" fontId="2" fillId="3" borderId="80" xfId="1" applyNumberFormat="1" applyFont="1" applyFill="1" applyBorder="1" applyAlignment="1" applyProtection="1">
      <alignment horizontal="right"/>
      <protection locked="0"/>
    </xf>
    <xf numFmtId="168" fontId="2" fillId="3" borderId="87" xfId="0" applyNumberFormat="1" applyFont="1" applyFill="1" applyBorder="1" applyAlignment="1" applyProtection="1">
      <alignment horizontal="right"/>
      <protection locked="0"/>
    </xf>
    <xf numFmtId="164" fontId="2" fillId="3" borderId="43" xfId="0" applyFont="1" applyFill="1" applyBorder="1" applyAlignment="1" applyProtection="1">
      <alignment horizontal="left"/>
      <protection locked="0"/>
    </xf>
    <xf numFmtId="165" fontId="2" fillId="3" borderId="13" xfId="0" applyNumberFormat="1" applyFont="1" applyFill="1" applyBorder="1" applyAlignment="1" applyProtection="1">
      <alignment horizontal="right"/>
      <protection locked="0"/>
    </xf>
    <xf numFmtId="3" fontId="2" fillId="3" borderId="0" xfId="0" applyNumberFormat="1" applyFont="1" applyFill="1" applyBorder="1" applyProtection="1">
      <protection locked="0"/>
    </xf>
    <xf numFmtId="164" fontId="2" fillId="0" borderId="0" xfId="0" applyFont="1" applyProtection="1">
      <protection locked="0"/>
    </xf>
    <xf numFmtId="167" fontId="2" fillId="3" borderId="3" xfId="0" applyNumberFormat="1" applyFont="1" applyFill="1" applyBorder="1" applyAlignment="1" applyProtection="1">
      <alignment horizontal="centerContinuous"/>
      <protection locked="0"/>
    </xf>
    <xf numFmtId="167" fontId="2" fillId="3" borderId="1" xfId="0" applyNumberFormat="1" applyFont="1" applyFill="1" applyBorder="1" applyAlignment="1" applyProtection="1">
      <alignment horizontal="centerContinuous"/>
      <protection locked="0"/>
    </xf>
    <xf numFmtId="167" fontId="2" fillId="0" borderId="23" xfId="1" applyNumberFormat="1" applyFont="1" applyFill="1" applyBorder="1" applyAlignment="1" applyProtection="1">
      <alignment horizontal="right"/>
      <protection locked="0"/>
    </xf>
    <xf numFmtId="168" fontId="2" fillId="0" borderId="25" xfId="0" applyNumberFormat="1" applyFont="1" applyFill="1" applyBorder="1" applyAlignment="1" applyProtection="1">
      <alignment horizontal="right"/>
      <protection locked="0"/>
    </xf>
    <xf numFmtId="167" fontId="2" fillId="0" borderId="27" xfId="1" applyNumberFormat="1" applyFont="1" applyFill="1" applyBorder="1" applyAlignment="1" applyProtection="1">
      <alignment horizontal="right"/>
      <protection locked="0"/>
    </xf>
    <xf numFmtId="168" fontId="2" fillId="0" borderId="30" xfId="0" applyNumberFormat="1" applyFont="1" applyFill="1" applyBorder="1" applyAlignment="1" applyProtection="1">
      <alignment horizontal="right"/>
      <protection locked="0"/>
    </xf>
    <xf numFmtId="167" fontId="2" fillId="0" borderId="32" xfId="1" applyNumberFormat="1" applyFont="1" applyFill="1" applyBorder="1" applyAlignment="1" applyProtection="1">
      <alignment horizontal="right"/>
      <protection locked="0"/>
    </xf>
    <xf numFmtId="168" fontId="2" fillId="0" borderId="34" xfId="0" applyNumberFormat="1" applyFont="1" applyFill="1" applyBorder="1" applyAlignment="1" applyProtection="1">
      <alignment horizontal="right"/>
      <protection locked="0"/>
    </xf>
    <xf numFmtId="167" fontId="2" fillId="0" borderId="20" xfId="1" applyNumberFormat="1" applyFont="1" applyFill="1" applyBorder="1" applyAlignment="1" applyProtection="1">
      <alignment horizontal="right"/>
      <protection locked="0"/>
    </xf>
    <xf numFmtId="168" fontId="2" fillId="0" borderId="20" xfId="0" applyNumberFormat="1" applyFont="1" applyFill="1" applyBorder="1" applyAlignment="1" applyProtection="1">
      <alignment horizontal="right"/>
      <protection locked="0"/>
    </xf>
    <xf numFmtId="167" fontId="2" fillId="0" borderId="35" xfId="1" applyNumberFormat="1" applyFont="1" applyFill="1" applyBorder="1" applyAlignment="1" applyProtection="1">
      <alignment horizontal="right"/>
      <protection locked="0"/>
    </xf>
    <xf numFmtId="167" fontId="2" fillId="0" borderId="37" xfId="1" applyNumberFormat="1" applyFont="1" applyFill="1" applyBorder="1" applyAlignment="1" applyProtection="1">
      <alignment horizontal="right"/>
      <protection locked="0"/>
    </xf>
    <xf numFmtId="168" fontId="2" fillId="0" borderId="39" xfId="0" applyNumberFormat="1" applyFont="1" applyFill="1" applyBorder="1" applyAlignment="1" applyProtection="1">
      <alignment horizontal="right"/>
      <protection locked="0"/>
    </xf>
    <xf numFmtId="167" fontId="2" fillId="0" borderId="40" xfId="1" applyNumberFormat="1" applyFont="1" applyFill="1" applyBorder="1" applyAlignment="1" applyProtection="1">
      <alignment horizontal="right"/>
      <protection locked="0"/>
    </xf>
    <xf numFmtId="167" fontId="2" fillId="0" borderId="10" xfId="1" applyNumberFormat="1" applyFont="1" applyFill="1" applyBorder="1" applyAlignment="1" applyProtection="1">
      <alignment horizontal="right"/>
      <protection locked="0"/>
    </xf>
    <xf numFmtId="168" fontId="2" fillId="0" borderId="10" xfId="0" applyNumberFormat="1" applyFont="1" applyFill="1" applyBorder="1" applyAlignment="1" applyProtection="1">
      <alignment horizontal="right"/>
      <protection locked="0"/>
    </xf>
    <xf numFmtId="165" fontId="2" fillId="0" borderId="10" xfId="1" applyNumberFormat="1" applyFont="1" applyFill="1" applyBorder="1" applyAlignment="1" applyProtection="1">
      <alignment horizontal="right"/>
      <protection locked="0"/>
    </xf>
    <xf numFmtId="165" fontId="2" fillId="0" borderId="17" xfId="1" applyNumberFormat="1" applyFont="1" applyFill="1" applyBorder="1" applyAlignment="1" applyProtection="1">
      <alignment horizontal="right"/>
      <protection locked="0"/>
    </xf>
    <xf numFmtId="165" fontId="2" fillId="0" borderId="29" xfId="1" applyNumberFormat="1" applyFont="1" applyFill="1" applyBorder="1" applyAlignment="1" applyProtection="1">
      <alignment horizontal="right"/>
      <protection locked="0"/>
    </xf>
    <xf numFmtId="165" fontId="2" fillId="0" borderId="2" xfId="1" applyNumberFormat="1" applyFont="1" applyFill="1" applyBorder="1" applyAlignment="1" applyProtection="1">
      <alignment horizontal="right"/>
      <protection locked="0"/>
    </xf>
    <xf numFmtId="165" fontId="2" fillId="0" borderId="32" xfId="1" applyNumberFormat="1" applyFont="1" applyFill="1" applyBorder="1" applyAlignment="1" applyProtection="1">
      <alignment horizontal="right"/>
      <protection locked="0"/>
    </xf>
    <xf numFmtId="165" fontId="2" fillId="0" borderId="57" xfId="1" applyNumberFormat="1" applyFont="1" applyFill="1" applyBorder="1" applyAlignment="1" applyProtection="1">
      <alignment horizontal="right"/>
      <protection locked="0"/>
    </xf>
    <xf numFmtId="165" fontId="2" fillId="0" borderId="0" xfId="1" applyNumberFormat="1" applyFont="1" applyFill="1" applyBorder="1" applyAlignment="1" applyProtection="1">
      <alignment horizontal="right"/>
      <protection locked="0"/>
    </xf>
    <xf numFmtId="165" fontId="2" fillId="0" borderId="6" xfId="1" applyNumberFormat="1" applyFont="1" applyFill="1" applyBorder="1" applyAlignment="1" applyProtection="1">
      <alignment horizontal="right"/>
      <protection locked="0"/>
    </xf>
    <xf numFmtId="165" fontId="2" fillId="0" borderId="1" xfId="1" applyNumberFormat="1" applyFont="1" applyFill="1" applyBorder="1" applyAlignment="1" applyProtection="1">
      <alignment horizontal="right"/>
      <protection locked="0"/>
    </xf>
    <xf numFmtId="4" fontId="2" fillId="0" borderId="6" xfId="0" applyNumberFormat="1" applyFont="1" applyFill="1" applyBorder="1" applyAlignment="1" applyProtection="1">
      <alignment horizontal="righ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165" fontId="2" fillId="0" borderId="4" xfId="1" applyNumberFormat="1" applyFont="1" applyFill="1" applyBorder="1" applyAlignment="1" applyProtection="1">
      <alignment horizontal="right"/>
      <protection locked="0"/>
    </xf>
    <xf numFmtId="165" fontId="2" fillId="0" borderId="6" xfId="1" applyNumberFormat="1" applyFont="1" applyFill="1" applyBorder="1" applyAlignment="1" applyProtection="1">
      <alignment horizontal="center"/>
      <protection locked="0"/>
    </xf>
    <xf numFmtId="165" fontId="2" fillId="0" borderId="4" xfId="1" applyNumberFormat="1" applyFont="1" applyFill="1" applyBorder="1" applyAlignment="1" applyProtection="1">
      <alignment horizontal="center"/>
      <protection locked="0"/>
    </xf>
    <xf numFmtId="165" fontId="2" fillId="0" borderId="4" xfId="1" applyNumberFormat="1" applyFont="1" applyFill="1" applyBorder="1" applyProtection="1">
      <protection locked="0"/>
    </xf>
    <xf numFmtId="165" fontId="2" fillId="0" borderId="34" xfId="1" applyNumberFormat="1" applyFont="1" applyFill="1" applyBorder="1" applyAlignment="1" applyProtection="1">
      <alignment horizontal="right"/>
      <protection locked="0"/>
    </xf>
    <xf numFmtId="165" fontId="2" fillId="0" borderId="8" xfId="1" applyNumberFormat="1" applyFont="1" applyFill="1" applyBorder="1" applyAlignment="1" applyProtection="1">
      <alignment horizontal="right"/>
      <protection locked="0"/>
    </xf>
    <xf numFmtId="4" fontId="2" fillId="0" borderId="8" xfId="0" applyNumberFormat="1" applyFont="1" applyFill="1" applyBorder="1" applyAlignment="1" applyProtection="1">
      <alignment horizontal="right"/>
      <protection locked="0"/>
    </xf>
    <xf numFmtId="164" fontId="2" fillId="0" borderId="1" xfId="0" applyFont="1" applyFill="1" applyBorder="1" applyProtection="1">
      <protection locked="0"/>
    </xf>
    <xf numFmtId="164" fontId="2" fillId="0" borderId="2" xfId="0" applyFont="1" applyFill="1" applyBorder="1" applyProtection="1">
      <protection locked="0"/>
    </xf>
    <xf numFmtId="165" fontId="2" fillId="0" borderId="88" xfId="1" applyNumberFormat="1" applyFont="1" applyFill="1" applyBorder="1" applyAlignment="1" applyProtection="1">
      <alignment horizontal="right"/>
      <protection locked="0"/>
    </xf>
    <xf numFmtId="165" fontId="2" fillId="0" borderId="89" xfId="1" applyNumberFormat="1" applyFont="1" applyFill="1" applyBorder="1" applyAlignment="1" applyProtection="1">
      <alignment horizontal="right"/>
      <protection locked="0"/>
    </xf>
    <xf numFmtId="165" fontId="2" fillId="0" borderId="90" xfId="1" applyNumberFormat="1" applyFont="1" applyFill="1" applyBorder="1" applyAlignment="1" applyProtection="1">
      <alignment horizontal="right"/>
      <protection locked="0"/>
    </xf>
    <xf numFmtId="165" fontId="2" fillId="0" borderId="91" xfId="1" applyNumberFormat="1" applyFont="1" applyFill="1" applyBorder="1" applyAlignment="1" applyProtection="1">
      <alignment horizontal="right"/>
      <protection locked="0"/>
    </xf>
    <xf numFmtId="165" fontId="2" fillId="0" borderId="13" xfId="1" applyNumberFormat="1" applyFont="1" applyFill="1" applyBorder="1" applyAlignment="1" applyProtection="1">
      <alignment horizontal="right"/>
      <protection locked="0"/>
    </xf>
    <xf numFmtId="167" fontId="2" fillId="0" borderId="0" xfId="0" applyNumberFormat="1" applyFont="1" applyFill="1" applyProtection="1"/>
    <xf numFmtId="165" fontId="2" fillId="0" borderId="34" xfId="0" applyNumberFormat="1" applyFont="1" applyFill="1" applyBorder="1" applyAlignment="1" applyProtection="1">
      <alignment horizontal="right"/>
      <protection locked="0"/>
    </xf>
    <xf numFmtId="164" fontId="5" fillId="0" borderId="31" xfId="0" applyFont="1" applyBorder="1" applyAlignment="1">
      <alignment horizontal="centerContinuous" vertical="top"/>
    </xf>
    <xf numFmtId="168" fontId="5" fillId="0" borderId="32" xfId="0" applyNumberFormat="1" applyFont="1" applyFill="1" applyBorder="1" applyAlignment="1">
      <alignment horizontal="centerContinuous" vertical="top"/>
    </xf>
    <xf numFmtId="164" fontId="5" fillId="0" borderId="34" xfId="0" applyFont="1" applyBorder="1" applyAlignment="1">
      <alignment horizontal="centerContinuous" vertical="top"/>
    </xf>
    <xf numFmtId="168" fontId="5" fillId="0" borderId="18" xfId="0" applyNumberFormat="1" applyFont="1" applyFill="1" applyBorder="1" applyAlignment="1">
      <alignment horizontal="centerContinuous"/>
    </xf>
    <xf numFmtId="168" fontId="5" fillId="0" borderId="18" xfId="0" applyNumberFormat="1" applyFont="1" applyFill="1" applyBorder="1" applyAlignment="1">
      <alignment horizontal="center"/>
    </xf>
    <xf numFmtId="168" fontId="5" fillId="0" borderId="22" xfId="0" applyNumberFormat="1" applyFont="1" applyFill="1" applyBorder="1" applyAlignment="1">
      <alignment horizontal="center" vertical="center" wrapText="1"/>
    </xf>
    <xf numFmtId="0" fontId="2" fillId="0" borderId="92" xfId="0" applyNumberFormat="1" applyFont="1" applyBorder="1"/>
    <xf numFmtId="168" fontId="2" fillId="3" borderId="92" xfId="0" applyNumberFormat="1" applyFont="1" applyFill="1" applyBorder="1" applyAlignment="1" applyProtection="1">
      <alignment horizontal="center"/>
    </xf>
    <xf numFmtId="164" fontId="2" fillId="0" borderId="92" xfId="0" applyFont="1" applyBorder="1"/>
    <xf numFmtId="1" fontId="5" fillId="6" borderId="93" xfId="0" applyNumberFormat="1" applyFont="1" applyFill="1" applyBorder="1"/>
    <xf numFmtId="168" fontId="5" fillId="6" borderId="93" xfId="0" applyNumberFormat="1" applyFont="1" applyFill="1" applyBorder="1"/>
    <xf numFmtId="3" fontId="5" fillId="6" borderId="93" xfId="0" applyNumberFormat="1" applyFont="1" applyFill="1" applyBorder="1"/>
    <xf numFmtId="1" fontId="5" fillId="0" borderId="94" xfId="0" applyNumberFormat="1" applyFont="1" applyFill="1" applyBorder="1"/>
    <xf numFmtId="167" fontId="2" fillId="0" borderId="53" xfId="1" applyNumberFormat="1" applyFont="1" applyFill="1" applyBorder="1" applyAlignment="1" applyProtection="1">
      <alignment horizontal="right"/>
      <protection locked="0"/>
    </xf>
    <xf numFmtId="167" fontId="2" fillId="0" borderId="50" xfId="1" applyNumberFormat="1" applyFont="1" applyFill="1" applyBorder="1" applyAlignment="1" applyProtection="1">
      <alignment horizontal="right"/>
      <protection locked="0"/>
    </xf>
    <xf numFmtId="167" fontId="2" fillId="0" borderId="52" xfId="1" applyNumberFormat="1" applyFont="1" applyFill="1" applyBorder="1" applyAlignment="1" applyProtection="1">
      <alignment horizontal="right"/>
      <protection locked="0"/>
    </xf>
    <xf numFmtId="167" fontId="2" fillId="0" borderId="4" xfId="1" applyNumberFormat="1" applyFont="1" applyFill="1" applyBorder="1" applyAlignment="1" applyProtection="1">
      <alignment horizontal="right"/>
      <protection locked="0"/>
    </xf>
    <xf numFmtId="167" fontId="2" fillId="3" borderId="66" xfId="1" applyNumberFormat="1" applyFont="1" applyFill="1" applyBorder="1" applyAlignment="1" applyProtection="1">
      <alignment horizontal="right"/>
      <protection locked="0"/>
    </xf>
    <xf numFmtId="167" fontId="2" fillId="3" borderId="52" xfId="1" applyNumberFormat="1" applyFont="1" applyFill="1" applyBorder="1" applyAlignment="1" applyProtection="1">
      <alignment horizontal="right"/>
      <protection locked="0"/>
    </xf>
    <xf numFmtId="167" fontId="2" fillId="4" borderId="17" xfId="1" applyNumberFormat="1" applyFont="1" applyFill="1" applyBorder="1" applyAlignment="1" applyProtection="1">
      <alignment horizontal="right"/>
      <protection locked="0"/>
    </xf>
    <xf numFmtId="167" fontId="2" fillId="3" borderId="2" xfId="0" applyNumberFormat="1" applyFont="1" applyFill="1" applyBorder="1" applyProtection="1">
      <protection locked="0"/>
    </xf>
    <xf numFmtId="1" fontId="5" fillId="0" borderId="34" xfId="0" applyNumberFormat="1" applyFont="1" applyFill="1" applyBorder="1"/>
    <xf numFmtId="0" fontId="2" fillId="6" borderId="95" xfId="0" applyNumberFormat="1" applyFont="1" applyFill="1" applyBorder="1"/>
    <xf numFmtId="0" fontId="2" fillId="3" borderId="95" xfId="0" applyNumberFormat="1" applyFont="1" applyFill="1" applyBorder="1" applyAlignment="1" applyProtection="1">
      <alignment horizontal="right"/>
    </xf>
    <xf numFmtId="168" fontId="2" fillId="3" borderId="79" xfId="0" applyNumberFormat="1" applyFont="1" applyFill="1" applyBorder="1" applyAlignment="1" applyProtection="1">
      <alignment horizontal="right"/>
      <protection locked="0"/>
    </xf>
    <xf numFmtId="168" fontId="2" fillId="0" borderId="50" xfId="0" applyNumberFormat="1" applyFont="1" applyFill="1" applyBorder="1" applyAlignment="1" applyProtection="1">
      <alignment horizontal="right"/>
      <protection locked="0"/>
    </xf>
    <xf numFmtId="168" fontId="2" fillId="3" borderId="50" xfId="1" applyNumberFormat="1" applyFont="1" applyFill="1" applyBorder="1" applyAlignment="1" applyProtection="1">
      <alignment horizontal="right"/>
      <protection locked="0"/>
    </xf>
    <xf numFmtId="165" fontId="2" fillId="3" borderId="96" xfId="1" applyNumberFormat="1" applyFont="1" applyFill="1" applyBorder="1" applyAlignment="1" applyProtection="1">
      <alignment horizontal="center"/>
    </xf>
    <xf numFmtId="2" fontId="2" fillId="3" borderId="42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3" fontId="5" fillId="0" borderId="97" xfId="0" applyNumberFormat="1" applyFont="1" applyFill="1" applyBorder="1"/>
    <xf numFmtId="3" fontId="5" fillId="0" borderId="94" xfId="0" applyNumberFormat="1" applyFont="1" applyFill="1" applyBorder="1"/>
    <xf numFmtId="3" fontId="2" fillId="3" borderId="15" xfId="0" applyNumberFormat="1" applyFont="1" applyFill="1" applyBorder="1" applyProtection="1">
      <protection locked="0"/>
    </xf>
    <xf numFmtId="3" fontId="2" fillId="3" borderId="0" xfId="1" applyNumberFormat="1" applyFont="1" applyFill="1" applyBorder="1" applyProtection="1">
      <protection locked="0"/>
    </xf>
    <xf numFmtId="3" fontId="2" fillId="3" borderId="98" xfId="0" applyNumberFormat="1" applyFont="1" applyFill="1" applyBorder="1" applyAlignment="1" applyProtection="1">
      <alignment horizontal="right"/>
      <protection locked="0"/>
    </xf>
    <xf numFmtId="3" fontId="2" fillId="3" borderId="87" xfId="0" applyNumberFormat="1" applyFont="1" applyFill="1" applyBorder="1" applyAlignment="1" applyProtection="1">
      <alignment horizontal="right"/>
      <protection locked="0"/>
    </xf>
    <xf numFmtId="3" fontId="5" fillId="0" borderId="42" xfId="0" applyNumberFormat="1" applyFont="1" applyFill="1" applyBorder="1"/>
    <xf numFmtId="3" fontId="5" fillId="0" borderId="34" xfId="0" applyNumberFormat="1" applyFont="1" applyFill="1" applyBorder="1"/>
    <xf numFmtId="3" fontId="2" fillId="0" borderId="12" xfId="0" applyNumberFormat="1" applyFont="1" applyFill="1" applyBorder="1" applyAlignment="1" applyProtection="1">
      <alignment horizontal="right"/>
      <protection locked="0"/>
    </xf>
    <xf numFmtId="3" fontId="2" fillId="0" borderId="30" xfId="0" applyNumberFormat="1" applyFont="1" applyFill="1" applyBorder="1" applyAlignment="1" applyProtection="1">
      <alignment horizontal="right"/>
      <protection locked="0"/>
    </xf>
    <xf numFmtId="3" fontId="2" fillId="3" borderId="9" xfId="0" applyNumberFormat="1" applyFont="1" applyFill="1" applyBorder="1" applyProtection="1">
      <protection locked="0"/>
    </xf>
    <xf numFmtId="3" fontId="2" fillId="3" borderId="4" xfId="1" applyNumberFormat="1" applyFont="1" applyFill="1" applyBorder="1" applyProtection="1">
      <protection locked="0"/>
    </xf>
    <xf numFmtId="3" fontId="2" fillId="3" borderId="9" xfId="1" applyNumberFormat="1" applyFont="1" applyFill="1" applyBorder="1" applyProtection="1">
      <protection locked="0"/>
    </xf>
    <xf numFmtId="3" fontId="2" fillId="3" borderId="30" xfId="0" applyNumberFormat="1" applyFont="1" applyFill="1" applyBorder="1" applyAlignment="1" applyProtection="1">
      <alignment horizontal="right"/>
      <protection locked="0"/>
    </xf>
    <xf numFmtId="3" fontId="2" fillId="3" borderId="12" xfId="1" applyNumberFormat="1" applyFont="1" applyFill="1" applyBorder="1" applyAlignment="1" applyProtection="1">
      <alignment horizontal="right"/>
      <protection locked="0"/>
    </xf>
    <xf numFmtId="3" fontId="2" fillId="3" borderId="30" xfId="1" applyNumberFormat="1" applyFont="1" applyFill="1" applyBorder="1" applyAlignment="1" applyProtection="1">
      <alignment horizontal="right"/>
      <protection locked="0"/>
    </xf>
    <xf numFmtId="3" fontId="2" fillId="3" borderId="8" xfId="0" applyNumberFormat="1" applyFont="1" applyFill="1" applyBorder="1" applyAlignment="1" applyProtection="1">
      <alignment horizontal="center"/>
      <protection locked="0"/>
    </xf>
    <xf numFmtId="3" fontId="2" fillId="3" borderId="10" xfId="0" applyNumberFormat="1" applyFont="1" applyFill="1" applyBorder="1" applyAlignment="1" applyProtection="1">
      <alignment horizontal="center"/>
      <protection locked="0"/>
    </xf>
    <xf numFmtId="3" fontId="2" fillId="3" borderId="4" xfId="0" applyNumberFormat="1" applyFont="1" applyFill="1" applyBorder="1" applyProtection="1">
      <protection locked="0"/>
    </xf>
    <xf numFmtId="3" fontId="2" fillId="3" borderId="30" xfId="1" applyNumberFormat="1" applyFont="1" applyFill="1" applyBorder="1" applyAlignment="1" applyProtection="1">
      <protection locked="0"/>
    </xf>
    <xf numFmtId="3" fontId="2" fillId="3" borderId="1" xfId="1" applyNumberFormat="1" applyFont="1" applyFill="1" applyBorder="1" applyProtection="1">
      <protection locked="0"/>
    </xf>
    <xf numFmtId="3" fontId="5" fillId="0" borderId="22" xfId="0" applyNumberFormat="1" applyFont="1" applyFill="1" applyBorder="1"/>
    <xf numFmtId="3" fontId="2" fillId="4" borderId="34" xfId="0" applyNumberFormat="1" applyFont="1" applyFill="1" applyBorder="1" applyAlignment="1" applyProtection="1">
      <alignment horizontal="right"/>
      <protection locked="0"/>
    </xf>
    <xf numFmtId="1" fontId="2" fillId="3" borderId="6" xfId="1" applyNumberFormat="1" applyFont="1" applyFill="1" applyBorder="1" applyAlignment="1" applyProtection="1">
      <alignment horizontal="right"/>
      <protection locked="0"/>
    </xf>
    <xf numFmtId="168" fontId="2" fillId="3" borderId="99" xfId="0" applyNumberFormat="1" applyFont="1" applyFill="1" applyBorder="1" applyAlignment="1" applyProtection="1">
      <alignment horizontal="right"/>
      <protection locked="0"/>
    </xf>
    <xf numFmtId="168" fontId="2" fillId="3" borderId="100" xfId="0" applyNumberFormat="1" applyFont="1" applyFill="1" applyBorder="1" applyAlignment="1" applyProtection="1">
      <alignment horizontal="right"/>
      <protection locked="0"/>
    </xf>
    <xf numFmtId="3" fontId="2" fillId="0" borderId="10" xfId="1" applyNumberFormat="1" applyFont="1" applyFill="1" applyBorder="1" applyAlignment="1" applyProtection="1">
      <alignment horizontal="right"/>
      <protection locked="0"/>
    </xf>
    <xf numFmtId="3" fontId="2" fillId="0" borderId="17" xfId="1" applyNumberFormat="1" applyFont="1" applyFill="1" applyBorder="1" applyAlignment="1" applyProtection="1">
      <alignment horizontal="right"/>
      <protection locked="0"/>
    </xf>
    <xf numFmtId="3" fontId="2" fillId="0" borderId="57" xfId="1" applyNumberFormat="1" applyFont="1" applyFill="1" applyBorder="1" applyAlignment="1" applyProtection="1">
      <alignment horizontal="right"/>
      <protection locked="0"/>
    </xf>
    <xf numFmtId="1" fontId="2" fillId="3" borderId="27" xfId="0" applyNumberFormat="1" applyFont="1" applyFill="1" applyBorder="1" applyAlignment="1" applyProtection="1">
      <alignment horizontal="right"/>
      <protection locked="0"/>
    </xf>
    <xf numFmtId="168" fontId="2" fillId="0" borderId="0" xfId="0" applyNumberFormat="1" applyFont="1" applyProtection="1">
      <protection locked="0"/>
    </xf>
    <xf numFmtId="165" fontId="2" fillId="3" borderId="0" xfId="0" applyNumberFormat="1" applyFont="1" applyFill="1" applyBorder="1" applyAlignment="1" applyProtection="1">
      <alignment horizontal="right"/>
      <protection locked="0"/>
    </xf>
    <xf numFmtId="164" fontId="2" fillId="0" borderId="101" xfId="0" applyFont="1" applyBorder="1" applyProtection="1">
      <protection locked="0"/>
    </xf>
    <xf numFmtId="164" fontId="3" fillId="0" borderId="102" xfId="0" applyFont="1" applyBorder="1" applyProtection="1">
      <protection locked="0"/>
    </xf>
    <xf numFmtId="168" fontId="2" fillId="3" borderId="93" xfId="0" applyNumberFormat="1" applyFont="1" applyFill="1" applyBorder="1" applyAlignment="1" applyProtection="1">
      <alignment horizontal="right"/>
      <protection locked="0"/>
    </xf>
    <xf numFmtId="2" fontId="2" fillId="3" borderId="103" xfId="0" applyNumberFormat="1" applyFont="1" applyFill="1" applyBorder="1" applyProtection="1">
      <protection locked="0"/>
    </xf>
    <xf numFmtId="2" fontId="2" fillId="3" borderId="79" xfId="0" applyNumberFormat="1" applyFont="1" applyFill="1" applyBorder="1" applyProtection="1">
      <protection locked="0"/>
    </xf>
    <xf numFmtId="2" fontId="2" fillId="3" borderId="96" xfId="0" applyNumberFormat="1" applyFont="1" applyFill="1" applyBorder="1" applyProtection="1">
      <protection locked="0"/>
    </xf>
    <xf numFmtId="3" fontId="5" fillId="0" borderId="103" xfId="0" applyNumberFormat="1" applyFont="1" applyFill="1" applyBorder="1"/>
    <xf numFmtId="3" fontId="5" fillId="0" borderId="104" xfId="0" applyNumberFormat="1" applyFont="1" applyFill="1" applyBorder="1"/>
    <xf numFmtId="1" fontId="5" fillId="0" borderId="104" xfId="0" applyNumberFormat="1" applyFont="1" applyFill="1" applyBorder="1"/>
    <xf numFmtId="3" fontId="2" fillId="3" borderId="100" xfId="0" applyNumberFormat="1" applyFont="1" applyFill="1" applyBorder="1" applyAlignment="1" applyProtection="1">
      <alignment horizontal="right"/>
      <protection locked="0"/>
    </xf>
    <xf numFmtId="164" fontId="6" fillId="0" borderId="0" xfId="0" applyFont="1"/>
    <xf numFmtId="164" fontId="5" fillId="0" borderId="0" xfId="0" applyFont="1"/>
    <xf numFmtId="164" fontId="2" fillId="3" borderId="0" xfId="0" applyFont="1" applyFill="1" applyBorder="1"/>
    <xf numFmtId="164" fontId="5" fillId="0" borderId="42" xfId="0" applyFont="1" applyBorder="1" applyAlignment="1">
      <alignment horizontal="center" vertical="center" wrapText="1"/>
    </xf>
    <xf numFmtId="164" fontId="5" fillId="0" borderId="42" xfId="0" applyFont="1" applyBorder="1"/>
    <xf numFmtId="37" fontId="5" fillId="0" borderId="42" xfId="0" applyNumberFormat="1" applyFont="1" applyBorder="1"/>
    <xf numFmtId="5" fontId="5" fillId="0" borderId="42" xfId="0" applyNumberFormat="1" applyFont="1" applyBorder="1"/>
    <xf numFmtId="1" fontId="2" fillId="3" borderId="0" xfId="0" applyNumberFormat="1" applyFont="1" applyFill="1" applyBorder="1"/>
    <xf numFmtId="169" fontId="5" fillId="0" borderId="42" xfId="0" applyNumberFormat="1" applyFont="1" applyBorder="1"/>
    <xf numFmtId="37" fontId="5" fillId="0" borderId="42" xfId="0" applyNumberFormat="1" applyFont="1" applyFill="1" applyBorder="1"/>
    <xf numFmtId="5" fontId="5" fillId="0" borderId="42" xfId="0" applyNumberFormat="1" applyFont="1" applyFill="1" applyBorder="1"/>
    <xf numFmtId="1" fontId="3" fillId="0" borderId="101" xfId="0" applyNumberFormat="1" applyFont="1" applyBorder="1" applyProtection="1">
      <protection locked="0"/>
    </xf>
    <xf numFmtId="168" fontId="3" fillId="0" borderId="101" xfId="0" applyNumberFormat="1" applyFont="1" applyBorder="1" applyProtection="1">
      <protection locked="0"/>
    </xf>
    <xf numFmtId="164" fontId="3" fillId="0" borderId="101" xfId="0" applyFont="1" applyBorder="1" applyProtection="1">
      <protection locked="0"/>
    </xf>
    <xf numFmtId="164" fontId="2" fillId="0" borderId="102" xfId="0" applyFont="1" applyBorder="1" applyProtection="1">
      <protection locked="0"/>
    </xf>
    <xf numFmtId="168" fontId="2" fillId="0" borderId="101" xfId="0" applyNumberFormat="1" applyFont="1" applyBorder="1" applyProtection="1">
      <protection locked="0"/>
    </xf>
    <xf numFmtId="168" fontId="3" fillId="0" borderId="105" xfId="0" applyNumberFormat="1" applyFont="1" applyBorder="1" applyProtection="1">
      <protection locked="0"/>
    </xf>
    <xf numFmtId="0" fontId="5" fillId="0" borderId="3" xfId="0" applyNumberFormat="1" applyFont="1" applyFill="1" applyBorder="1" applyAlignment="1">
      <alignment horizontal="center" textRotation="90" wrapText="1"/>
    </xf>
    <xf numFmtId="164" fontId="0" fillId="0" borderId="15" xfId="0" applyBorder="1"/>
    <xf numFmtId="164" fontId="0" fillId="0" borderId="9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323" transitionEvaluation="1"/>
  <dimension ref="A1:AP366"/>
  <sheetViews>
    <sheetView tabSelected="1" topLeftCell="A323" workbookViewId="0">
      <selection activeCell="R366" sqref="R366"/>
    </sheetView>
  </sheetViews>
  <sheetFormatPr defaultColWidth="9.6640625" defaultRowHeight="11.25"/>
  <cols>
    <col min="1" max="1" width="2.1640625" style="456" customWidth="1"/>
    <col min="2" max="2" width="55" style="456" customWidth="1"/>
    <col min="3" max="3" width="7.6640625" style="456" customWidth="1"/>
    <col min="4" max="6" width="8" style="456" customWidth="1"/>
    <col min="7" max="7" width="8.5" style="456" customWidth="1"/>
    <col min="8" max="8" width="10.1640625" style="456" customWidth="1"/>
    <col min="9" max="9" width="10.6640625" style="456" hidden="1" customWidth="1"/>
    <col min="10" max="10" width="11.1640625" style="456" hidden="1" customWidth="1"/>
    <col min="11" max="11" width="11" style="456" hidden="1" customWidth="1"/>
    <col min="12" max="12" width="9.5" style="456" customWidth="1"/>
    <col min="13" max="13" width="7.33203125" style="456" customWidth="1"/>
    <col min="14" max="14" width="8" style="456" customWidth="1"/>
    <col min="15" max="15" width="10.6640625" style="456" customWidth="1"/>
    <col min="16" max="17" width="9" style="456" customWidth="1"/>
    <col min="18" max="18" width="9.83203125" style="456" customWidth="1"/>
    <col min="19" max="19" width="7.6640625" style="456" customWidth="1"/>
    <col min="20" max="20" width="10.83203125" style="456" customWidth="1"/>
    <col min="21" max="21" width="9.6640625" style="456" customWidth="1"/>
    <col min="22" max="22" width="10.6640625" style="456" customWidth="1"/>
    <col min="23" max="23" width="11.33203125" style="456" customWidth="1"/>
    <col min="24" max="24" width="10" style="456" customWidth="1"/>
    <col min="25" max="25" width="11.1640625" style="456" customWidth="1"/>
    <col min="26" max="26" width="29" style="456" customWidth="1"/>
    <col min="27" max="27" width="27.33203125" style="456" customWidth="1"/>
    <col min="28" max="28" width="15.6640625" style="456" customWidth="1"/>
    <col min="29" max="29" width="13.33203125" style="456" customWidth="1"/>
    <col min="30" max="30" width="18.83203125" style="456" customWidth="1"/>
    <col min="31" max="31" width="21.83203125" style="456" customWidth="1"/>
    <col min="32" max="16384" width="9.6640625" style="456"/>
  </cols>
  <sheetData>
    <row r="1" spans="1:42" s="1" customFormat="1">
      <c r="B1" s="2" t="s">
        <v>0</v>
      </c>
      <c r="C1" s="3" t="s">
        <v>1</v>
      </c>
      <c r="D1" s="4" t="s">
        <v>2</v>
      </c>
      <c r="E1" s="3" t="s">
        <v>3</v>
      </c>
      <c r="F1" s="3" t="s">
        <v>4</v>
      </c>
      <c r="G1" s="3" t="s">
        <v>5</v>
      </c>
      <c r="H1" s="5"/>
      <c r="I1" s="6"/>
      <c r="J1" s="6"/>
      <c r="K1" s="6"/>
      <c r="L1" s="7"/>
      <c r="M1" s="7"/>
      <c r="N1" s="8" t="s">
        <v>225</v>
      </c>
      <c r="O1" s="8">
        <f>26/3</f>
        <v>8.6666666666666661</v>
      </c>
      <c r="P1" s="9"/>
      <c r="Q1" s="9"/>
      <c r="R1" s="10"/>
      <c r="S1" s="11"/>
      <c r="T1" s="12"/>
      <c r="U1" s="13"/>
      <c r="X1" s="14"/>
    </row>
    <row r="2" spans="1:42" s="1" customFormat="1">
      <c r="B2" s="15" t="s">
        <v>246</v>
      </c>
      <c r="C2" s="5">
        <v>93.97</v>
      </c>
      <c r="D2" s="5">
        <v>71.489999999999995</v>
      </c>
      <c r="E2" s="5">
        <v>55</v>
      </c>
      <c r="F2" s="5">
        <v>26.48</v>
      </c>
      <c r="G2" s="5"/>
      <c r="H2" s="5"/>
      <c r="I2" s="6"/>
      <c r="J2" s="6"/>
      <c r="K2" s="6"/>
      <c r="L2" s="7"/>
      <c r="M2" s="7"/>
      <c r="N2" s="8" t="s">
        <v>226</v>
      </c>
      <c r="O2" s="8">
        <f>4.666666667/3</f>
        <v>1.5555555556666667</v>
      </c>
      <c r="P2" s="9"/>
      <c r="Q2" s="9"/>
      <c r="R2" s="7"/>
      <c r="S2" s="11"/>
      <c r="T2" s="11"/>
      <c r="U2" s="13"/>
      <c r="X2" s="14"/>
    </row>
    <row r="3" spans="1:42" s="1" customFormat="1">
      <c r="B3" s="16" t="s">
        <v>6</v>
      </c>
      <c r="C3" s="5">
        <v>1.0820000000000001</v>
      </c>
      <c r="D3" s="5">
        <v>1.0820000000000001</v>
      </c>
      <c r="E3" s="5">
        <v>1.0820000000000001</v>
      </c>
      <c r="F3" s="5">
        <v>1.0820000000000001</v>
      </c>
      <c r="G3" s="5"/>
      <c r="H3" s="5"/>
      <c r="I3" s="6"/>
      <c r="J3" s="6"/>
      <c r="K3" s="6"/>
      <c r="L3" s="7"/>
      <c r="M3" s="7"/>
      <c r="N3" s="8" t="s">
        <v>227</v>
      </c>
      <c r="O3" s="8">
        <f>1.333333333/3</f>
        <v>0.4444444443333333</v>
      </c>
      <c r="P3" s="9"/>
      <c r="Q3" s="9"/>
      <c r="R3" s="10"/>
      <c r="S3" s="11"/>
      <c r="T3" s="11"/>
      <c r="U3" s="13"/>
      <c r="X3" s="14"/>
    </row>
    <row r="4" spans="1:42" s="1" customFormat="1">
      <c r="B4" s="16" t="s">
        <v>7</v>
      </c>
      <c r="C4" s="5">
        <v>101.67554000000001</v>
      </c>
      <c r="D4" s="5">
        <v>77.352180000000004</v>
      </c>
      <c r="E4" s="5">
        <v>59.51</v>
      </c>
      <c r="F4" s="5">
        <v>28.651360000000004</v>
      </c>
      <c r="G4" s="5"/>
      <c r="H4" s="5"/>
      <c r="I4" s="6"/>
      <c r="J4" s="6"/>
      <c r="K4" s="6"/>
      <c r="L4" s="7"/>
      <c r="M4" s="7"/>
      <c r="N4" s="8" t="s">
        <v>228</v>
      </c>
      <c r="O4" s="8">
        <f>25/3</f>
        <v>8.3333333333333339</v>
      </c>
      <c r="P4" s="9"/>
      <c r="Q4" s="9"/>
      <c r="R4" s="7"/>
      <c r="S4" s="11"/>
      <c r="T4" s="11"/>
      <c r="U4" s="13"/>
      <c r="X4" s="14"/>
    </row>
    <row r="5" spans="1:42" s="1" customFormat="1">
      <c r="B5" s="17" t="s">
        <v>247</v>
      </c>
      <c r="C5" s="5">
        <v>125.647716</v>
      </c>
      <c r="D5" s="5">
        <v>95.593332000000018</v>
      </c>
      <c r="E5" s="5">
        <v>73.540152000000006</v>
      </c>
      <c r="F5" s="5">
        <v>35.40699</v>
      </c>
      <c r="G5" s="5">
        <v>95.593332000000018</v>
      </c>
      <c r="H5" s="5"/>
      <c r="I5" s="6"/>
      <c r="J5" s="6"/>
      <c r="K5" s="6"/>
      <c r="L5" s="7"/>
      <c r="M5" s="7"/>
      <c r="N5" s="8" t="s">
        <v>229</v>
      </c>
      <c r="O5" s="8">
        <f>2.3333333/3</f>
        <v>0.77777776666666665</v>
      </c>
      <c r="P5" s="9"/>
      <c r="Q5" s="9"/>
      <c r="R5" s="7"/>
      <c r="S5" s="11"/>
      <c r="T5" s="11"/>
      <c r="U5" s="13"/>
      <c r="X5" s="14"/>
    </row>
    <row r="6" spans="1:42" s="1" customFormat="1">
      <c r="B6" s="16" t="s">
        <v>8</v>
      </c>
      <c r="C6" s="3" t="s">
        <v>1</v>
      </c>
      <c r="D6" s="3" t="s">
        <v>2</v>
      </c>
      <c r="E6" s="3" t="s">
        <v>3</v>
      </c>
      <c r="F6" s="3" t="s">
        <v>4</v>
      </c>
      <c r="G6" s="3"/>
      <c r="H6" s="5"/>
      <c r="I6" s="6"/>
      <c r="J6" s="6"/>
      <c r="K6" s="6"/>
      <c r="L6" s="7"/>
      <c r="M6" s="7"/>
      <c r="N6" s="8" t="s">
        <v>230</v>
      </c>
      <c r="O6" s="8">
        <f>4.66666667/3</f>
        <v>1.5555555566666666</v>
      </c>
      <c r="P6" s="9"/>
      <c r="Q6" s="9"/>
      <c r="R6" s="7"/>
      <c r="S6" s="11"/>
      <c r="T6" s="11"/>
      <c r="U6" s="13"/>
      <c r="X6" s="14"/>
    </row>
    <row r="7" spans="1:42" s="1" customFormat="1">
      <c r="B7" s="16" t="s">
        <v>9</v>
      </c>
      <c r="C7" s="498">
        <v>55.69</v>
      </c>
      <c r="D7" s="498">
        <v>47.74</v>
      </c>
      <c r="E7" s="498">
        <v>34.340000000000003</v>
      </c>
      <c r="F7" s="498">
        <v>19</v>
      </c>
      <c r="G7" s="5"/>
      <c r="H7" s="5"/>
      <c r="I7" s="6"/>
      <c r="J7" s="6"/>
      <c r="K7" s="6"/>
      <c r="L7" s="7"/>
      <c r="M7" s="7"/>
      <c r="N7" s="8" t="s">
        <v>231</v>
      </c>
      <c r="O7" s="8">
        <f>32/3</f>
        <v>10.666666666666666</v>
      </c>
      <c r="P7" s="9"/>
      <c r="Q7" s="9"/>
      <c r="R7" s="7"/>
      <c r="S7" s="11"/>
      <c r="T7" s="11"/>
      <c r="U7" s="13"/>
      <c r="X7" s="14"/>
      <c r="AP7" s="18" t="s">
        <v>10</v>
      </c>
    </row>
    <row r="8" spans="1:42" s="1" customFormat="1">
      <c r="B8" s="16" t="s">
        <v>6</v>
      </c>
      <c r="C8" s="5">
        <v>1.6</v>
      </c>
      <c r="D8" s="5">
        <v>1.6</v>
      </c>
      <c r="E8" s="5">
        <v>1.6</v>
      </c>
      <c r="F8" s="5">
        <v>1.6</v>
      </c>
      <c r="G8" s="5"/>
      <c r="H8" s="5"/>
      <c r="I8" s="6"/>
      <c r="J8" s="6"/>
      <c r="K8" s="6"/>
      <c r="L8" s="7"/>
      <c r="M8" s="7"/>
      <c r="N8" s="7"/>
      <c r="O8" s="8"/>
      <c r="P8" s="9"/>
      <c r="Q8" s="9"/>
      <c r="R8" s="7"/>
      <c r="S8" s="11"/>
      <c r="T8" s="11"/>
      <c r="U8" s="13"/>
      <c r="X8" s="14"/>
    </row>
    <row r="9" spans="1:42" s="1" customFormat="1">
      <c r="B9" s="16" t="s">
        <v>11</v>
      </c>
      <c r="C9" s="19">
        <f>C8*C7</f>
        <v>89.103999999999999</v>
      </c>
      <c r="D9" s="19">
        <f>D8*D7</f>
        <v>76.384</v>
      </c>
      <c r="E9" s="19">
        <f>E8*E7</f>
        <v>54.94400000000001</v>
      </c>
      <c r="F9" s="19">
        <f>F8*F7</f>
        <v>30.400000000000002</v>
      </c>
      <c r="G9" s="19">
        <f>D9</f>
        <v>76.384</v>
      </c>
      <c r="H9" s="5"/>
      <c r="I9" s="6"/>
      <c r="J9" s="6"/>
      <c r="K9" s="6"/>
      <c r="L9" s="7"/>
      <c r="M9" s="7"/>
      <c r="N9" s="7"/>
      <c r="O9" s="8">
        <f>SUM(O1:O6)</f>
        <v>21.333333323333335</v>
      </c>
      <c r="P9" s="9"/>
      <c r="Q9" s="9"/>
      <c r="R9" s="7"/>
      <c r="S9" s="11"/>
      <c r="T9" s="11"/>
      <c r="U9" s="13"/>
      <c r="X9" s="14"/>
    </row>
    <row r="10" spans="1:42" s="1" customFormat="1">
      <c r="C10" s="5"/>
      <c r="D10" s="5"/>
      <c r="E10" s="5"/>
      <c r="F10" s="5"/>
      <c r="G10" s="5"/>
      <c r="H10" s="20"/>
      <c r="I10" s="21"/>
      <c r="J10" s="21"/>
      <c r="K10" s="21"/>
      <c r="L10" s="7"/>
      <c r="M10" s="7"/>
      <c r="N10" s="7"/>
      <c r="O10" s="8"/>
      <c r="P10" s="9"/>
      <c r="Q10" s="9"/>
      <c r="R10" s="7"/>
      <c r="S10" s="11"/>
      <c r="T10" s="11"/>
      <c r="U10" s="13"/>
      <c r="X10" s="14"/>
    </row>
    <row r="11" spans="1:42" s="29" customFormat="1" ht="12.75">
      <c r="A11" s="22" t="s">
        <v>257</v>
      </c>
      <c r="B11" s="23"/>
      <c r="C11" s="24"/>
      <c r="D11" s="24"/>
      <c r="E11" s="24"/>
      <c r="F11" s="24"/>
      <c r="G11" s="24"/>
      <c r="H11" s="24"/>
      <c r="I11" s="25"/>
      <c r="J11" s="25"/>
      <c r="K11" s="25"/>
      <c r="L11" s="26"/>
      <c r="M11" s="26"/>
      <c r="N11" s="26"/>
      <c r="O11" s="27"/>
      <c r="P11" s="28"/>
      <c r="Q11" s="28"/>
      <c r="R11" s="26"/>
      <c r="S11" s="11"/>
      <c r="T11" s="11"/>
      <c r="U11" s="13"/>
      <c r="X11" s="30"/>
      <c r="AA11" s="572" t="s">
        <v>265</v>
      </c>
      <c r="AB11" s="573"/>
      <c r="AC11" s="573"/>
      <c r="AD11" s="573"/>
      <c r="AE11" s="573"/>
      <c r="AF11" s="574"/>
    </row>
    <row r="12" spans="1:42" s="29" customFormat="1">
      <c r="A12" s="1"/>
      <c r="B12" s="1"/>
      <c r="C12" s="31"/>
      <c r="D12" s="31"/>
      <c r="E12" s="32" t="s">
        <v>12</v>
      </c>
      <c r="F12" s="31"/>
      <c r="G12" s="31"/>
      <c r="H12" s="31"/>
      <c r="I12" s="33"/>
      <c r="J12" s="33"/>
      <c r="K12" s="33"/>
      <c r="L12" s="34"/>
      <c r="M12" s="34"/>
      <c r="N12" s="34"/>
      <c r="O12" s="8"/>
      <c r="P12" s="35" t="s">
        <v>13</v>
      </c>
      <c r="Q12" s="35"/>
      <c r="R12" s="7"/>
      <c r="S12" s="11"/>
      <c r="T12" s="11"/>
      <c r="U12" s="13"/>
      <c r="X12" s="30"/>
      <c r="AA12" s="573"/>
      <c r="AB12" s="573"/>
      <c r="AC12" s="573"/>
      <c r="AD12" s="573"/>
      <c r="AE12" s="573"/>
      <c r="AF12" s="574"/>
    </row>
    <row r="13" spans="1:42" s="29" customFormat="1" ht="32.25" customHeight="1">
      <c r="A13" s="1"/>
      <c r="B13" s="1"/>
      <c r="C13" s="457" t="s">
        <v>245</v>
      </c>
      <c r="D13" s="458"/>
      <c r="E13" s="458"/>
      <c r="F13" s="458"/>
      <c r="G13" s="458"/>
      <c r="H13" s="36"/>
      <c r="I13" s="37"/>
      <c r="J13" s="37"/>
      <c r="K13" s="37"/>
      <c r="L13" s="38"/>
      <c r="M13" s="38"/>
      <c r="N13" s="39"/>
      <c r="O13" s="40"/>
      <c r="P13" s="41"/>
      <c r="Q13" s="41"/>
      <c r="R13" s="39"/>
      <c r="S13" s="589" t="s">
        <v>248</v>
      </c>
      <c r="T13" s="500" t="s">
        <v>249</v>
      </c>
      <c r="U13" s="501"/>
      <c r="V13" s="501"/>
      <c r="W13" s="501"/>
      <c r="X13" s="501"/>
      <c r="Y13" s="502"/>
      <c r="AA13" s="575"/>
      <c r="AB13" s="575" t="s">
        <v>260</v>
      </c>
      <c r="AC13" s="575" t="s">
        <v>261</v>
      </c>
      <c r="AD13" s="575" t="s">
        <v>262</v>
      </c>
      <c r="AE13" s="575" t="s">
        <v>263</v>
      </c>
      <c r="AF13" s="574"/>
    </row>
    <row r="14" spans="1:42" s="29" customFormat="1">
      <c r="A14" s="1"/>
      <c r="B14" s="1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14</v>
      </c>
      <c r="I14" s="42"/>
      <c r="J14" s="42"/>
      <c r="K14" s="42"/>
      <c r="L14" s="43" t="s">
        <v>15</v>
      </c>
      <c r="M14" s="43" t="s">
        <v>16</v>
      </c>
      <c r="N14" s="43" t="s">
        <v>19</v>
      </c>
      <c r="O14" s="44" t="s">
        <v>25</v>
      </c>
      <c r="P14" s="35" t="s">
        <v>14</v>
      </c>
      <c r="Q14" s="35" t="s">
        <v>255</v>
      </c>
      <c r="R14" s="43" t="s">
        <v>14</v>
      </c>
      <c r="S14" s="590"/>
      <c r="T14" s="503" t="s">
        <v>250</v>
      </c>
      <c r="U14" s="503"/>
      <c r="V14" s="503"/>
      <c r="W14" s="503" t="s">
        <v>251</v>
      </c>
      <c r="X14" s="503"/>
      <c r="Y14" s="503"/>
      <c r="AA14" s="576" t="s">
        <v>273</v>
      </c>
      <c r="AB14" s="580">
        <f>AC14/AF14</f>
        <v>0.5</v>
      </c>
      <c r="AC14" s="577">
        <f>U364</f>
        <v>109.48333328558336</v>
      </c>
      <c r="AD14" s="578">
        <f>AE14/AF14</f>
        <v>8.4002131221893155</v>
      </c>
      <c r="AE14" s="578">
        <f>V364</f>
        <v>1839.366665853167</v>
      </c>
      <c r="AF14" s="579">
        <f>T364</f>
        <v>218.96666657116671</v>
      </c>
    </row>
    <row r="15" spans="1:42" s="29" customFormat="1" ht="14.25" customHeight="1">
      <c r="A15" s="1"/>
      <c r="B15" s="1"/>
      <c r="C15" s="45">
        <f>C9</f>
        <v>89.103999999999999</v>
      </c>
      <c r="D15" s="45">
        <f>D9</f>
        <v>76.384</v>
      </c>
      <c r="E15" s="45">
        <f>E9</f>
        <v>54.94400000000001</v>
      </c>
      <c r="F15" s="45">
        <f>F9</f>
        <v>30.400000000000002</v>
      </c>
      <c r="G15" s="45">
        <f>G9</f>
        <v>76.384</v>
      </c>
      <c r="H15" s="3" t="s">
        <v>201</v>
      </c>
      <c r="I15" s="42"/>
      <c r="J15" s="42"/>
      <c r="K15" s="42"/>
      <c r="L15" s="43" t="s">
        <v>17</v>
      </c>
      <c r="M15" s="43" t="s">
        <v>18</v>
      </c>
      <c r="N15" s="46" t="s">
        <v>17</v>
      </c>
      <c r="O15" s="47" t="s">
        <v>244</v>
      </c>
      <c r="P15" s="35" t="s">
        <v>241</v>
      </c>
      <c r="Q15" s="35" t="s">
        <v>256</v>
      </c>
      <c r="R15" s="43" t="s">
        <v>17</v>
      </c>
      <c r="S15" s="590"/>
      <c r="T15" s="504"/>
      <c r="U15" s="504"/>
      <c r="V15" s="504"/>
      <c r="W15" s="504"/>
      <c r="X15" s="504"/>
      <c r="Y15" s="504"/>
      <c r="AA15" s="576" t="s">
        <v>272</v>
      </c>
      <c r="AB15" s="580">
        <f>AC15/AF15</f>
        <v>7.915471872349408</v>
      </c>
      <c r="AC15" s="577">
        <f>X364</f>
        <v>3903.8227761083999</v>
      </c>
      <c r="AD15" s="578">
        <f>AE15/AF15</f>
        <v>0.52238267979997777</v>
      </c>
      <c r="AE15" s="578">
        <f>Y364</f>
        <v>257.63333331666666</v>
      </c>
      <c r="AF15" s="579">
        <f>W364</f>
        <v>493.18888868083337</v>
      </c>
    </row>
    <row r="16" spans="1:42" s="29" customFormat="1" ht="28.5" customHeight="1">
      <c r="A16" s="54" t="s">
        <v>20</v>
      </c>
      <c r="B16" s="54"/>
      <c r="C16" s="55" t="s">
        <v>240</v>
      </c>
      <c r="D16" s="55" t="s">
        <v>240</v>
      </c>
      <c r="E16" s="55" t="s">
        <v>240</v>
      </c>
      <c r="F16" s="55" t="s">
        <v>240</v>
      </c>
      <c r="G16" s="55" t="s">
        <v>240</v>
      </c>
      <c r="H16" s="55" t="s">
        <v>242</v>
      </c>
      <c r="I16" s="56"/>
      <c r="J16" s="56"/>
      <c r="K16" s="56"/>
      <c r="L16" s="46" t="s">
        <v>243</v>
      </c>
      <c r="M16" s="46" t="s">
        <v>243</v>
      </c>
      <c r="N16" s="46" t="s">
        <v>243</v>
      </c>
      <c r="O16" s="57" t="s">
        <v>21</v>
      </c>
      <c r="P16" s="58" t="s">
        <v>242</v>
      </c>
      <c r="Q16" s="46" t="s">
        <v>243</v>
      </c>
      <c r="R16" s="46" t="s">
        <v>243</v>
      </c>
      <c r="S16" s="591"/>
      <c r="T16" s="505" t="s">
        <v>252</v>
      </c>
      <c r="U16" s="505" t="s">
        <v>253</v>
      </c>
      <c r="V16" s="505" t="s">
        <v>266</v>
      </c>
      <c r="W16" s="505" t="s">
        <v>252</v>
      </c>
      <c r="X16" s="505" t="s">
        <v>253</v>
      </c>
      <c r="Y16" s="505" t="s">
        <v>266</v>
      </c>
      <c r="AA16" s="576" t="s">
        <v>264</v>
      </c>
      <c r="AB16" s="580"/>
      <c r="AC16" s="577"/>
      <c r="AD16" s="578"/>
      <c r="AE16" s="578"/>
      <c r="AF16" s="574"/>
    </row>
    <row r="17" spans="1:32" s="29" customFormat="1" ht="12" thickBot="1">
      <c r="A17" s="54"/>
      <c r="B17" s="54"/>
      <c r="C17" s="55"/>
      <c r="D17" s="55"/>
      <c r="E17" s="55"/>
      <c r="F17" s="55"/>
      <c r="G17" s="55"/>
      <c r="H17" s="55"/>
      <c r="I17" s="56"/>
      <c r="J17" s="56"/>
      <c r="K17" s="56"/>
      <c r="L17" s="46"/>
      <c r="M17" s="46"/>
      <c r="N17" s="46"/>
      <c r="O17" s="57"/>
      <c r="P17" s="58"/>
      <c r="Q17" s="58"/>
      <c r="R17" s="46"/>
      <c r="S17" s="506"/>
      <c r="T17" s="527"/>
      <c r="U17" s="507"/>
      <c r="V17" s="508"/>
      <c r="W17" s="508"/>
      <c r="X17" s="508"/>
      <c r="Y17" s="508"/>
      <c r="AA17" s="576" t="s">
        <v>271</v>
      </c>
      <c r="AB17" s="580">
        <f>AC17/AF17</f>
        <v>5.6354346740633838</v>
      </c>
      <c r="AC17" s="581">
        <f>SUM(AC14:AC16)</f>
        <v>4013.3061093939832</v>
      </c>
      <c r="AD17" s="578">
        <f>AE17/AF17</f>
        <v>2.9445813961639304</v>
      </c>
      <c r="AE17" s="582">
        <f>SUM(AE14:AE16)</f>
        <v>2096.9999991698337</v>
      </c>
      <c r="AF17" s="579">
        <f>SUM(AF15,AF14)</f>
        <v>712.15555525200011</v>
      </c>
    </row>
    <row r="18" spans="1:32" s="29" customFormat="1" ht="12.75" thickTop="1" thickBot="1">
      <c r="A18" s="59" t="s">
        <v>219</v>
      </c>
      <c r="B18" s="60"/>
      <c r="C18" s="61"/>
      <c r="D18" s="61"/>
      <c r="E18" s="61"/>
      <c r="F18" s="61"/>
      <c r="G18" s="61"/>
      <c r="H18" s="61"/>
      <c r="I18" s="62"/>
      <c r="J18" s="62"/>
      <c r="K18" s="62"/>
      <c r="L18" s="63"/>
      <c r="M18" s="63"/>
      <c r="N18" s="64"/>
      <c r="O18" s="65"/>
      <c r="P18" s="66"/>
      <c r="Q18" s="66"/>
      <c r="R18" s="67"/>
      <c r="S18" s="522"/>
      <c r="T18" s="509"/>
      <c r="U18" s="509"/>
      <c r="V18" s="510"/>
      <c r="W18" s="511"/>
      <c r="X18" s="511"/>
      <c r="Y18" s="510"/>
    </row>
    <row r="19" spans="1:32" s="29" customFormat="1" ht="12.75" thickTop="1" thickBot="1">
      <c r="A19" s="68" t="s">
        <v>217</v>
      </c>
      <c r="B19" s="69"/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f>SUM(C19:G19)</f>
        <v>0</v>
      </c>
      <c r="I19" s="71"/>
      <c r="J19" s="71"/>
      <c r="K19" s="71"/>
      <c r="L19" s="72">
        <f>((C19*$C$9)+(D19*$D$9)+(E19*$E$9)+(F19*$F$9))</f>
        <v>0</v>
      </c>
      <c r="M19" s="72">
        <v>0</v>
      </c>
      <c r="N19" s="73">
        <v>0</v>
      </c>
      <c r="O19" s="74">
        <v>0</v>
      </c>
      <c r="P19" s="75">
        <f>(C19+D19+E19+F19)*O19</f>
        <v>0</v>
      </c>
      <c r="Q19" s="72">
        <f>(M19+N19)*O19</f>
        <v>0</v>
      </c>
      <c r="R19" s="72">
        <f>(L19+M19+N19)*O19</f>
        <v>0</v>
      </c>
      <c r="S19" s="523"/>
      <c r="T19" s="530">
        <f t="shared" ref="T19:V20" si="0">IF($S19="RP",O19,"")</f>
        <v>0</v>
      </c>
      <c r="U19" s="531">
        <f t="shared" si="0"/>
        <v>0</v>
      </c>
      <c r="V19" s="512">
        <f t="shared" si="0"/>
        <v>0</v>
      </c>
      <c r="W19" s="531">
        <f t="shared" ref="W19:Y20" si="1">IF($S19="RK",O19,"")</f>
        <v>0</v>
      </c>
      <c r="X19" s="531">
        <f t="shared" si="1"/>
        <v>0</v>
      </c>
      <c r="Y19" s="512">
        <f t="shared" si="1"/>
        <v>0</v>
      </c>
    </row>
    <row r="20" spans="1:32" s="29" customFormat="1" ht="12.75" thickTop="1" thickBot="1">
      <c r="A20" s="76" t="s">
        <v>22</v>
      </c>
      <c r="B20" s="77"/>
      <c r="C20" s="78">
        <f t="shared" ref="C20:N20" si="2">SUM(C19:C19)</f>
        <v>0</v>
      </c>
      <c r="D20" s="78">
        <f t="shared" si="2"/>
        <v>0</v>
      </c>
      <c r="E20" s="78">
        <f t="shared" si="2"/>
        <v>0</v>
      </c>
      <c r="F20" s="78">
        <f t="shared" si="2"/>
        <v>0</v>
      </c>
      <c r="G20" s="78">
        <f t="shared" si="2"/>
        <v>0</v>
      </c>
      <c r="H20" s="78">
        <f t="shared" si="2"/>
        <v>0</v>
      </c>
      <c r="I20" s="79">
        <f t="shared" si="2"/>
        <v>0</v>
      </c>
      <c r="J20" s="79">
        <f t="shared" si="2"/>
        <v>0</v>
      </c>
      <c r="K20" s="79">
        <f t="shared" si="2"/>
        <v>0</v>
      </c>
      <c r="L20" s="80">
        <f t="shared" si="2"/>
        <v>0</v>
      </c>
      <c r="M20" s="80">
        <f t="shared" si="2"/>
        <v>0</v>
      </c>
      <c r="N20" s="81">
        <f t="shared" si="2"/>
        <v>0</v>
      </c>
      <c r="O20" s="82"/>
      <c r="P20" s="83">
        <f>SUM(P19:P19)</f>
        <v>0</v>
      </c>
      <c r="Q20" s="72">
        <f>(M20+N20)*O20</f>
        <v>0</v>
      </c>
      <c r="R20" s="80">
        <f>SUM(R19:R19)</f>
        <v>0</v>
      </c>
      <c r="S20" s="530"/>
      <c r="T20" s="530">
        <f t="shared" si="0"/>
        <v>0</v>
      </c>
      <c r="U20" s="531">
        <f t="shared" si="0"/>
        <v>0</v>
      </c>
      <c r="V20" s="512">
        <f t="shared" si="0"/>
        <v>0</v>
      </c>
      <c r="W20" s="531">
        <f t="shared" si="1"/>
        <v>0</v>
      </c>
      <c r="X20" s="531">
        <f t="shared" si="1"/>
        <v>0</v>
      </c>
      <c r="Y20" s="512">
        <f t="shared" si="1"/>
        <v>0</v>
      </c>
    </row>
    <row r="21" spans="1:32" s="29" customFormat="1" ht="12.75" thickTop="1" thickBot="1">
      <c r="A21" s="59" t="s">
        <v>218</v>
      </c>
      <c r="B21" s="60"/>
      <c r="C21" s="84"/>
      <c r="D21" s="84"/>
      <c r="E21" s="84"/>
      <c r="F21" s="84"/>
      <c r="G21" s="84"/>
      <c r="H21" s="84">
        <f>H20</f>
        <v>0</v>
      </c>
      <c r="I21" s="85"/>
      <c r="J21" s="85"/>
      <c r="K21" s="85"/>
      <c r="L21" s="86">
        <f>L20</f>
        <v>0</v>
      </c>
      <c r="M21" s="86">
        <f>M20</f>
        <v>0</v>
      </c>
      <c r="N21" s="81">
        <f>N20</f>
        <v>0</v>
      </c>
      <c r="O21" s="82"/>
      <c r="P21" s="83">
        <f>P20</f>
        <v>0</v>
      </c>
      <c r="Q21" s="72">
        <f>(M21+N21)*O21</f>
        <v>0</v>
      </c>
      <c r="R21" s="80">
        <f>R20</f>
        <v>0</v>
      </c>
      <c r="S21" s="523"/>
      <c r="T21" s="85">
        <f t="shared" ref="T21:Y21" si="3">T20</f>
        <v>0</v>
      </c>
      <c r="U21" s="79">
        <f t="shared" si="3"/>
        <v>0</v>
      </c>
      <c r="V21" s="80">
        <f t="shared" si="3"/>
        <v>0</v>
      </c>
      <c r="W21" s="79">
        <f t="shared" si="3"/>
        <v>0</v>
      </c>
      <c r="X21" s="79">
        <f t="shared" si="3"/>
        <v>0</v>
      </c>
      <c r="Y21" s="80">
        <f t="shared" si="3"/>
        <v>0</v>
      </c>
    </row>
    <row r="22" spans="1:32" s="29" customFormat="1" ht="12" thickTop="1">
      <c r="A22" s="87"/>
      <c r="B22" s="88"/>
      <c r="C22" s="89"/>
      <c r="D22" s="89"/>
      <c r="E22" s="89"/>
      <c r="F22" s="89"/>
      <c r="G22" s="89"/>
      <c r="H22" s="89"/>
      <c r="I22" s="90"/>
      <c r="J22" s="90"/>
      <c r="K22" s="90"/>
      <c r="L22" s="91"/>
      <c r="M22" s="91"/>
      <c r="N22" s="91"/>
      <c r="O22" s="92"/>
      <c r="P22" s="93"/>
      <c r="Q22" s="93"/>
      <c r="R22" s="91"/>
      <c r="S22" s="11"/>
      <c r="T22" s="532"/>
      <c r="U22" s="533"/>
      <c r="W22" s="455"/>
      <c r="X22" s="455"/>
    </row>
    <row r="23" spans="1:32" s="29" customFormat="1" ht="12" thickBot="1">
      <c r="A23" s="94"/>
      <c r="B23" s="95"/>
      <c r="C23" s="96"/>
      <c r="D23" s="96"/>
      <c r="E23" s="96"/>
      <c r="F23" s="96"/>
      <c r="G23" s="96"/>
      <c r="H23" s="96"/>
      <c r="I23" s="97"/>
      <c r="J23" s="97"/>
      <c r="K23" s="97"/>
      <c r="L23" s="98"/>
      <c r="M23" s="98"/>
      <c r="N23" s="98"/>
      <c r="O23" s="99"/>
      <c r="P23" s="100"/>
      <c r="Q23" s="100"/>
      <c r="R23" s="98"/>
      <c r="S23" s="11"/>
      <c r="T23" s="532"/>
      <c r="U23" s="533"/>
      <c r="W23" s="455"/>
      <c r="X23" s="455"/>
    </row>
    <row r="24" spans="1:32" s="29" customFormat="1" ht="12.75" thickTop="1" thickBot="1">
      <c r="A24" s="59" t="s">
        <v>174</v>
      </c>
      <c r="B24" s="60"/>
      <c r="C24" s="101"/>
      <c r="D24" s="101"/>
      <c r="E24" s="101"/>
      <c r="F24" s="101"/>
      <c r="G24" s="101"/>
      <c r="H24" s="101"/>
      <c r="I24" s="102"/>
      <c r="J24" s="102"/>
      <c r="K24" s="102"/>
      <c r="L24" s="103"/>
      <c r="M24" s="103"/>
      <c r="N24" s="81"/>
      <c r="O24" s="82"/>
      <c r="P24" s="104"/>
      <c r="Q24" s="104"/>
      <c r="R24" s="80"/>
      <c r="S24" s="103"/>
      <c r="T24" s="85"/>
      <c r="U24" s="79"/>
      <c r="V24" s="80"/>
      <c r="W24" s="79"/>
      <c r="X24" s="79"/>
      <c r="Y24" s="80"/>
    </row>
    <row r="25" spans="1:32" s="114" customFormat="1" ht="12" thickTop="1">
      <c r="A25" s="105" t="s">
        <v>232</v>
      </c>
      <c r="B25" s="54"/>
      <c r="C25" s="106"/>
      <c r="D25" s="106"/>
      <c r="E25" s="106"/>
      <c r="F25" s="106"/>
      <c r="G25" s="106"/>
      <c r="H25" s="106"/>
      <c r="I25" s="107"/>
      <c r="J25" s="107"/>
      <c r="K25" s="107"/>
      <c r="L25" s="108"/>
      <c r="M25" s="108"/>
      <c r="N25" s="109"/>
      <c r="O25" s="110"/>
      <c r="P25" s="111"/>
      <c r="Q25" s="111"/>
      <c r="R25" s="112"/>
      <c r="S25" s="524"/>
      <c r="T25" s="534"/>
      <c r="U25" s="535"/>
      <c r="V25" s="452"/>
      <c r="W25" s="535"/>
      <c r="X25" s="535"/>
      <c r="Y25" s="452"/>
    </row>
    <row r="26" spans="1:32" s="29" customFormat="1">
      <c r="A26" s="115"/>
      <c r="B26" s="116" t="s">
        <v>175</v>
      </c>
      <c r="C26" s="117"/>
      <c r="D26" s="117"/>
      <c r="E26" s="117"/>
      <c r="F26" s="117"/>
      <c r="G26" s="117"/>
      <c r="H26" s="117"/>
      <c r="I26" s="118"/>
      <c r="J26" s="118"/>
      <c r="K26" s="118"/>
      <c r="L26" s="119"/>
      <c r="M26" s="119"/>
      <c r="N26" s="120"/>
      <c r="O26" s="121"/>
      <c r="P26" s="122"/>
      <c r="Q26" s="122"/>
      <c r="R26" s="119"/>
      <c r="S26" s="11"/>
      <c r="T26" s="532"/>
      <c r="U26" s="533"/>
      <c r="W26" s="455"/>
      <c r="X26" s="455"/>
    </row>
    <row r="27" spans="1:32" s="29" customFormat="1" ht="12" thickBot="1">
      <c r="A27" s="123"/>
      <c r="B27" s="124" t="s">
        <v>176</v>
      </c>
      <c r="C27" s="125"/>
      <c r="D27" s="125"/>
      <c r="E27" s="125"/>
      <c r="F27" s="125"/>
      <c r="G27" s="125"/>
      <c r="H27" s="125"/>
      <c r="I27" s="126"/>
      <c r="J27" s="126"/>
      <c r="K27" s="126"/>
      <c r="L27" s="127"/>
      <c r="M27" s="128"/>
      <c r="N27" s="129"/>
      <c r="O27" s="130"/>
      <c r="P27" s="131"/>
      <c r="Q27" s="131"/>
      <c r="R27" s="128"/>
      <c r="S27" s="11"/>
      <c r="T27" s="532"/>
      <c r="U27" s="533"/>
      <c r="W27" s="455"/>
      <c r="X27" s="455"/>
    </row>
    <row r="28" spans="1:32" s="29" customFormat="1" ht="12" thickBot="1">
      <c r="A28" s="132"/>
      <c r="B28" s="133" t="s">
        <v>177</v>
      </c>
      <c r="C28" s="134">
        <v>0</v>
      </c>
      <c r="D28" s="134">
        <v>0.5</v>
      </c>
      <c r="E28" s="134">
        <v>2</v>
      </c>
      <c r="F28" s="134">
        <v>0</v>
      </c>
      <c r="G28" s="135">
        <v>0</v>
      </c>
      <c r="H28" s="136">
        <f>SUM(C28:G28)</f>
        <v>2.5</v>
      </c>
      <c r="I28" s="137"/>
      <c r="J28" s="137"/>
      <c r="K28" s="137"/>
      <c r="L28" s="138">
        <f>((C28*$C$9)+(D28*$D$9)+(E28*$E$9)+(F28*$F$9))</f>
        <v>148.08000000000001</v>
      </c>
      <c r="M28" s="138">
        <v>0</v>
      </c>
      <c r="N28" s="139">
        <v>0</v>
      </c>
      <c r="O28" s="140">
        <f>0.05*O9</f>
        <v>1.0666666661666668</v>
      </c>
      <c r="P28" s="459">
        <f>(C28+D28+E28+F28)*O28</f>
        <v>2.6666666654166669</v>
      </c>
      <c r="Q28" s="72">
        <f>(M28+N28)*O28</f>
        <v>0</v>
      </c>
      <c r="R28" s="460">
        <f>(L28+M28+N28)*O28</f>
        <v>157.95199992596002</v>
      </c>
      <c r="S28" s="11" t="s">
        <v>254</v>
      </c>
      <c r="T28" s="530" t="str">
        <f t="shared" ref="T28:V29" si="4">IF($S28="RP",O28,"")</f>
        <v/>
      </c>
      <c r="U28" s="531" t="str">
        <f t="shared" si="4"/>
        <v/>
      </c>
      <c r="V28" s="512" t="str">
        <f t="shared" si="4"/>
        <v/>
      </c>
      <c r="W28" s="531">
        <f t="shared" ref="W28:Y29" si="5">IF($S28="RK",O28,"")</f>
        <v>1.0666666661666668</v>
      </c>
      <c r="X28" s="531">
        <f t="shared" si="5"/>
        <v>2.6666666654166669</v>
      </c>
      <c r="Y28" s="512">
        <f t="shared" si="5"/>
        <v>0</v>
      </c>
    </row>
    <row r="29" spans="1:32" s="29" customFormat="1" ht="12" thickBot="1">
      <c r="A29" s="143"/>
      <c r="B29" s="124" t="s">
        <v>97</v>
      </c>
      <c r="C29" s="144">
        <v>0</v>
      </c>
      <c r="D29" s="144">
        <v>0.25</v>
      </c>
      <c r="E29" s="144">
        <v>0</v>
      </c>
      <c r="F29" s="144">
        <v>0.25</v>
      </c>
      <c r="G29" s="106">
        <v>0</v>
      </c>
      <c r="H29" s="136">
        <f>SUM(C29:G29)</f>
        <v>0.5</v>
      </c>
      <c r="I29" s="137"/>
      <c r="J29" s="137"/>
      <c r="K29" s="137"/>
      <c r="L29" s="138">
        <f>((C29*$C$9)+(D29*$D$9)+(E29*$E$9)+(F29*$F$9))</f>
        <v>26.696000000000002</v>
      </c>
      <c r="M29" s="138">
        <v>0</v>
      </c>
      <c r="N29" s="139">
        <v>1</v>
      </c>
      <c r="O29" s="130">
        <f>0.05*O9</f>
        <v>1.0666666661666668</v>
      </c>
      <c r="P29" s="459">
        <f>(C29+D29+E29+F29)*O29</f>
        <v>0.53333333308333342</v>
      </c>
      <c r="Q29" s="72">
        <f>(M29+N29)*O29</f>
        <v>1.0666666661666668</v>
      </c>
      <c r="R29" s="460">
        <f>(L29+M29+N29)*O29</f>
        <v>29.542399986152006</v>
      </c>
      <c r="S29" s="11" t="s">
        <v>259</v>
      </c>
      <c r="T29" s="530">
        <f t="shared" si="4"/>
        <v>1.0666666661666668</v>
      </c>
      <c r="U29" s="531">
        <f t="shared" si="4"/>
        <v>0.53333333308333342</v>
      </c>
      <c r="V29" s="512">
        <f t="shared" si="4"/>
        <v>1.0666666661666668</v>
      </c>
      <c r="W29" s="531" t="str">
        <f t="shared" si="5"/>
        <v/>
      </c>
      <c r="X29" s="531" t="str">
        <f t="shared" si="5"/>
        <v/>
      </c>
      <c r="Y29" s="512" t="str">
        <f t="shared" si="5"/>
        <v/>
      </c>
    </row>
    <row r="30" spans="1:32" s="29" customFormat="1" ht="12.75" thickTop="1" thickBot="1">
      <c r="A30" s="145" t="s">
        <v>22</v>
      </c>
      <c r="B30" s="146"/>
      <c r="C30" s="147">
        <f t="shared" ref="C30:N30" si="6">SUM(C28:C29)</f>
        <v>0</v>
      </c>
      <c r="D30" s="147">
        <f t="shared" si="6"/>
        <v>0.75</v>
      </c>
      <c r="E30" s="147">
        <f t="shared" si="6"/>
        <v>2</v>
      </c>
      <c r="F30" s="147">
        <f t="shared" si="6"/>
        <v>0.25</v>
      </c>
      <c r="G30" s="147">
        <f t="shared" si="6"/>
        <v>0</v>
      </c>
      <c r="H30" s="147">
        <f t="shared" si="6"/>
        <v>3</v>
      </c>
      <c r="I30" s="148">
        <f t="shared" si="6"/>
        <v>0</v>
      </c>
      <c r="J30" s="148">
        <f t="shared" si="6"/>
        <v>0</v>
      </c>
      <c r="K30" s="148">
        <f t="shared" si="6"/>
        <v>0</v>
      </c>
      <c r="L30" s="149">
        <f t="shared" si="6"/>
        <v>174.77600000000001</v>
      </c>
      <c r="M30" s="149">
        <f t="shared" si="6"/>
        <v>0</v>
      </c>
      <c r="N30" s="150">
        <f t="shared" si="6"/>
        <v>1</v>
      </c>
      <c r="O30" s="151"/>
      <c r="P30" s="461">
        <f>SUM(P28:P29)</f>
        <v>3.1999999985000001</v>
      </c>
      <c r="Q30" s="462">
        <f>SUM(Q28:Q29)</f>
        <v>1.0666666661666668</v>
      </c>
      <c r="R30" s="462">
        <f>SUM(R28:R29)</f>
        <v>187.49439991211204</v>
      </c>
      <c r="S30" s="525">
        <f t="shared" ref="S30:Y30" si="7">SUM(S28:S29)</f>
        <v>0</v>
      </c>
      <c r="T30" s="538">
        <f t="shared" si="7"/>
        <v>1.0666666661666668</v>
      </c>
      <c r="U30" s="539">
        <f t="shared" si="7"/>
        <v>0.53333333308333342</v>
      </c>
      <c r="V30" s="462">
        <f t="shared" si="7"/>
        <v>1.0666666661666668</v>
      </c>
      <c r="W30" s="539">
        <f t="shared" si="7"/>
        <v>1.0666666661666668</v>
      </c>
      <c r="X30" s="539">
        <f t="shared" si="7"/>
        <v>2.6666666654166669</v>
      </c>
      <c r="Y30" s="462">
        <f t="shared" si="7"/>
        <v>0</v>
      </c>
    </row>
    <row r="31" spans="1:32" s="29" customFormat="1" ht="12" hidden="1" thickTop="1">
      <c r="A31" s="154" t="s">
        <v>29</v>
      </c>
      <c r="B31" s="155"/>
      <c r="C31" s="156"/>
      <c r="D31" s="156"/>
      <c r="E31" s="156"/>
      <c r="F31" s="156"/>
      <c r="G31" s="156"/>
      <c r="H31" s="156"/>
      <c r="I31" s="157"/>
      <c r="J31" s="157"/>
      <c r="K31" s="157"/>
      <c r="L31" s="158"/>
      <c r="M31" s="158"/>
      <c r="N31" s="159"/>
      <c r="O31" s="160"/>
      <c r="P31" s="463"/>
      <c r="Q31" s="463"/>
      <c r="R31" s="464"/>
      <c r="S31" s="11"/>
      <c r="T31" s="532"/>
      <c r="U31" s="533"/>
      <c r="W31" s="455"/>
      <c r="X31" s="455"/>
    </row>
    <row r="32" spans="1:32" s="29" customFormat="1" ht="12" hidden="1" thickTop="1">
      <c r="A32" s="163" t="s">
        <v>35</v>
      </c>
      <c r="B32" s="163"/>
      <c r="C32" s="125"/>
      <c r="D32" s="125"/>
      <c r="E32" s="125"/>
      <c r="F32" s="125"/>
      <c r="G32" s="125"/>
      <c r="H32" s="125"/>
      <c r="I32" s="126"/>
      <c r="J32" s="126"/>
      <c r="K32" s="126"/>
      <c r="L32" s="127"/>
      <c r="M32" s="128"/>
      <c r="N32" s="129"/>
      <c r="O32" s="130"/>
      <c r="P32" s="465"/>
      <c r="Q32" s="465"/>
      <c r="R32" s="466"/>
      <c r="S32" s="11"/>
      <c r="T32" s="532"/>
      <c r="U32" s="533"/>
      <c r="W32" s="455"/>
      <c r="X32" s="455"/>
    </row>
    <row r="33" spans="1:24" s="29" customFormat="1" ht="12" hidden="1" thickTop="1">
      <c r="A33" s="164" t="s">
        <v>36</v>
      </c>
      <c r="B33" s="164"/>
      <c r="C33" s="125"/>
      <c r="D33" s="125"/>
      <c r="E33" s="125"/>
      <c r="F33" s="125"/>
      <c r="G33" s="125"/>
      <c r="H33" s="125"/>
      <c r="I33" s="126"/>
      <c r="J33" s="126"/>
      <c r="K33" s="126"/>
      <c r="L33" s="127"/>
      <c r="M33" s="128"/>
      <c r="N33" s="129"/>
      <c r="O33" s="130"/>
      <c r="P33" s="465"/>
      <c r="Q33" s="465"/>
      <c r="R33" s="466"/>
      <c r="S33" s="11"/>
      <c r="T33" s="532"/>
      <c r="U33" s="533"/>
      <c r="W33" s="455"/>
      <c r="X33" s="455"/>
    </row>
    <row r="34" spans="1:24" s="29" customFormat="1" ht="12" hidden="1" thickTop="1">
      <c r="A34" s="165" t="s">
        <v>37</v>
      </c>
      <c r="B34" s="165"/>
      <c r="C34" s="134">
        <v>0</v>
      </c>
      <c r="D34" s="134">
        <v>0</v>
      </c>
      <c r="E34" s="134">
        <v>0.25</v>
      </c>
      <c r="F34" s="134">
        <v>0.1</v>
      </c>
      <c r="G34" s="135"/>
      <c r="H34" s="136">
        <f>SUM(C34:F34)</f>
        <v>0.35</v>
      </c>
      <c r="I34" s="137"/>
      <c r="J34" s="137"/>
      <c r="K34" s="137"/>
      <c r="L34" s="138" t="e">
        <f>((C34*#REF!)+(D34*$D$9)+(E34*$E$9)+(F34*$F$9))</f>
        <v>#REF!</v>
      </c>
      <c r="M34" s="138">
        <v>0</v>
      </c>
      <c r="N34" s="139">
        <v>0</v>
      </c>
      <c r="O34" s="140" t="e">
        <f>#REF!+#REF!</f>
        <v>#REF!</v>
      </c>
      <c r="P34" s="459" t="e">
        <f>(C34+D34+E34+F34)*O34</f>
        <v>#REF!</v>
      </c>
      <c r="Q34" s="513"/>
      <c r="R34" s="460" t="e">
        <f>(L34+M34+N34)*O34</f>
        <v>#REF!</v>
      </c>
      <c r="S34" s="11"/>
      <c r="T34" s="532"/>
      <c r="U34" s="533"/>
      <c r="W34" s="455"/>
      <c r="X34" s="455"/>
    </row>
    <row r="35" spans="1:24" s="29" customFormat="1" ht="12" hidden="1" thickTop="1">
      <c r="A35" s="164" t="s">
        <v>26</v>
      </c>
      <c r="B35" s="164"/>
      <c r="C35" s="144">
        <v>0</v>
      </c>
      <c r="D35" s="144">
        <v>0.25</v>
      </c>
      <c r="E35" s="144">
        <v>0</v>
      </c>
      <c r="F35" s="144">
        <v>0.25</v>
      </c>
      <c r="G35" s="106"/>
      <c r="H35" s="136">
        <f>SUM(C35:F35)</f>
        <v>0.5</v>
      </c>
      <c r="I35" s="137"/>
      <c r="J35" s="137"/>
      <c r="K35" s="137"/>
      <c r="L35" s="138" t="e">
        <f>((C35*#REF!)+(D35*$D$9)+(E35*$E$9)+(F35*$F$9))</f>
        <v>#REF!</v>
      </c>
      <c r="M35" s="138">
        <v>0</v>
      </c>
      <c r="N35" s="139" t="e">
        <f>O35*0.52</f>
        <v>#REF!</v>
      </c>
      <c r="O35" s="130" t="e">
        <f>O34</f>
        <v>#REF!</v>
      </c>
      <c r="P35" s="459" t="e">
        <f>(C35+D35+E35+F35)*O35</f>
        <v>#REF!</v>
      </c>
      <c r="Q35" s="513"/>
      <c r="R35" s="460" t="e">
        <f>(L35+M35+N35)*O35</f>
        <v>#REF!</v>
      </c>
      <c r="S35" s="11"/>
      <c r="T35" s="532"/>
      <c r="U35" s="533"/>
      <c r="W35" s="455"/>
      <c r="X35" s="455"/>
    </row>
    <row r="36" spans="1:24" s="29" customFormat="1" ht="12.75" hidden="1" thickTop="1" thickBot="1">
      <c r="A36" s="145" t="s">
        <v>22</v>
      </c>
      <c r="B36" s="146"/>
      <c r="C36" s="147">
        <v>0</v>
      </c>
      <c r="D36" s="147" t="s">
        <v>23</v>
      </c>
      <c r="E36" s="147" t="s">
        <v>23</v>
      </c>
      <c r="F36" s="147" t="s">
        <v>23</v>
      </c>
      <c r="G36" s="147"/>
      <c r="H36" s="147" t="s">
        <v>23</v>
      </c>
      <c r="I36" s="148"/>
      <c r="J36" s="148"/>
      <c r="K36" s="148"/>
      <c r="L36" s="149" t="s">
        <v>23</v>
      </c>
      <c r="M36" s="149">
        <v>0</v>
      </c>
      <c r="N36" s="150" t="s">
        <v>23</v>
      </c>
      <c r="O36" s="151" t="e">
        <f>O34</f>
        <v>#REF!</v>
      </c>
      <c r="P36" s="461" t="e">
        <f>SUM(P34:P35)</f>
        <v>#REF!</v>
      </c>
      <c r="Q36" s="514"/>
      <c r="R36" s="462" t="e">
        <f>SUM(R34:R35)</f>
        <v>#REF!</v>
      </c>
      <c r="S36" s="11"/>
      <c r="T36" s="532"/>
      <c r="U36" s="533"/>
      <c r="W36" s="455"/>
      <c r="X36" s="455"/>
    </row>
    <row r="37" spans="1:24" s="29" customFormat="1" ht="12" hidden="1" thickTop="1">
      <c r="A37" s="154" t="s">
        <v>38</v>
      </c>
      <c r="B37" s="155"/>
      <c r="C37" s="156"/>
      <c r="D37" s="156"/>
      <c r="E37" s="156"/>
      <c r="F37" s="156"/>
      <c r="G37" s="156"/>
      <c r="H37" s="156"/>
      <c r="I37" s="157"/>
      <c r="J37" s="157"/>
      <c r="K37" s="157"/>
      <c r="L37" s="158"/>
      <c r="M37" s="158"/>
      <c r="N37" s="159"/>
      <c r="O37" s="160"/>
      <c r="P37" s="463"/>
      <c r="Q37" s="463"/>
      <c r="R37" s="464"/>
      <c r="S37" s="11"/>
      <c r="T37" s="532"/>
      <c r="U37" s="533"/>
      <c r="W37" s="455"/>
      <c r="X37" s="455"/>
    </row>
    <row r="38" spans="1:24" s="29" customFormat="1" ht="12" hidden="1" thickTop="1">
      <c r="A38" s="163" t="s">
        <v>30</v>
      </c>
      <c r="B38" s="163"/>
      <c r="C38" s="125"/>
      <c r="D38" s="125"/>
      <c r="E38" s="125"/>
      <c r="F38" s="125"/>
      <c r="G38" s="125"/>
      <c r="H38" s="125"/>
      <c r="I38" s="126"/>
      <c r="J38" s="126"/>
      <c r="K38" s="126"/>
      <c r="L38" s="127"/>
      <c r="M38" s="128"/>
      <c r="N38" s="129"/>
      <c r="O38" s="130"/>
      <c r="P38" s="465"/>
      <c r="Q38" s="465"/>
      <c r="R38" s="466"/>
      <c r="S38" s="11"/>
      <c r="T38" s="532"/>
      <c r="U38" s="533"/>
      <c r="W38" s="455"/>
      <c r="X38" s="455"/>
    </row>
    <row r="39" spans="1:24" s="172" customFormat="1" ht="12" hidden="1" thickTop="1">
      <c r="A39" s="165" t="s">
        <v>31</v>
      </c>
      <c r="B39" s="165"/>
      <c r="C39" s="134">
        <v>0</v>
      </c>
      <c r="D39" s="134">
        <v>5</v>
      </c>
      <c r="E39" s="134">
        <v>40</v>
      </c>
      <c r="F39" s="134">
        <v>0</v>
      </c>
      <c r="G39" s="135"/>
      <c r="H39" s="166">
        <f>SUM(C39:F39)</f>
        <v>45</v>
      </c>
      <c r="I39" s="167"/>
      <c r="J39" s="167"/>
      <c r="K39" s="167"/>
      <c r="L39" s="138" t="e">
        <f>((C39*#REF!)+(D39*$D$9)+(E39*$E$9)+(F39*$F$9))</f>
        <v>#REF!</v>
      </c>
      <c r="M39" s="168">
        <v>0</v>
      </c>
      <c r="N39" s="169">
        <v>0</v>
      </c>
      <c r="O39" s="140">
        <v>45.5</v>
      </c>
      <c r="P39" s="467">
        <f>(C39+D39+E39+F39)*O39</f>
        <v>2047.5</v>
      </c>
      <c r="Q39" s="515"/>
      <c r="R39" s="460" t="e">
        <f>(L39+M39+N39)*O39</f>
        <v>#REF!</v>
      </c>
      <c r="S39" s="171"/>
      <c r="T39" s="540"/>
      <c r="U39" s="541"/>
      <c r="W39" s="548"/>
      <c r="X39" s="548"/>
    </row>
    <row r="40" spans="1:24" s="29" customFormat="1" ht="12" hidden="1" thickTop="1">
      <c r="A40" s="164" t="s">
        <v>32</v>
      </c>
      <c r="B40" s="164"/>
      <c r="C40" s="125"/>
      <c r="D40" s="125"/>
      <c r="E40" s="125"/>
      <c r="F40" s="125"/>
      <c r="G40" s="173"/>
      <c r="H40" s="174"/>
      <c r="I40" s="175"/>
      <c r="J40" s="175"/>
      <c r="K40" s="175"/>
      <c r="L40" s="176"/>
      <c r="M40" s="176"/>
      <c r="N40" s="177"/>
      <c r="O40" s="130"/>
      <c r="P40" s="468"/>
      <c r="Q40" s="513"/>
      <c r="R40" s="469"/>
      <c r="S40" s="11"/>
      <c r="T40" s="532"/>
      <c r="U40" s="533"/>
      <c r="W40" s="455"/>
      <c r="X40" s="455"/>
    </row>
    <row r="41" spans="1:24" s="188" customFormat="1" ht="12" hidden="1" thickTop="1">
      <c r="A41" s="180" t="s">
        <v>31</v>
      </c>
      <c r="B41" s="180"/>
      <c r="C41" s="181">
        <v>0</v>
      </c>
      <c r="D41" s="181">
        <v>2</v>
      </c>
      <c r="E41" s="181">
        <v>13.25</v>
      </c>
      <c r="F41" s="181">
        <v>0</v>
      </c>
      <c r="G41" s="181"/>
      <c r="H41" s="182">
        <f>SUM(C41:F41)</f>
        <v>15.25</v>
      </c>
      <c r="I41" s="183"/>
      <c r="J41" s="183"/>
      <c r="K41" s="183"/>
      <c r="L41" s="138" t="e">
        <f>((C41*#REF!)+(D41*$D$9)+(E41*$E$9)+(F41*$F$9))</f>
        <v>#REF!</v>
      </c>
      <c r="M41" s="184">
        <v>0</v>
      </c>
      <c r="N41" s="185">
        <v>0</v>
      </c>
      <c r="O41" s="140" t="e">
        <f>#REF!</f>
        <v>#REF!</v>
      </c>
      <c r="P41" s="470" t="e">
        <f>(C41+D41+E41+F41)*O41</f>
        <v>#REF!</v>
      </c>
      <c r="Q41" s="516"/>
      <c r="R41" s="460" t="e">
        <f>(L41+M41+N41)*O41</f>
        <v>#REF!</v>
      </c>
      <c r="S41" s="171"/>
      <c r="T41" s="540"/>
      <c r="U41" s="542"/>
      <c r="W41" s="540"/>
      <c r="X41" s="540"/>
    </row>
    <row r="42" spans="1:24" s="29" customFormat="1" ht="12" hidden="1" thickTop="1">
      <c r="A42" s="165" t="s">
        <v>33</v>
      </c>
      <c r="B42" s="165"/>
      <c r="C42" s="134">
        <v>0</v>
      </c>
      <c r="D42" s="134">
        <v>0.25</v>
      </c>
      <c r="E42" s="134">
        <v>0</v>
      </c>
      <c r="F42" s="134">
        <v>0.25</v>
      </c>
      <c r="G42" s="135"/>
      <c r="H42" s="136">
        <f>SUM(C42:F42)</f>
        <v>0.5</v>
      </c>
      <c r="I42" s="137"/>
      <c r="J42" s="137"/>
      <c r="K42" s="137"/>
      <c r="L42" s="138" t="e">
        <f>((C42*#REF!)+(D42*$D$9)+(E42*$E$9)+(F42*$F$9))</f>
        <v>#REF!</v>
      </c>
      <c r="M42" s="138">
        <v>0</v>
      </c>
      <c r="N42" s="139">
        <f>O39*0.52</f>
        <v>23.66</v>
      </c>
      <c r="O42" s="140">
        <f>O39*0.5</f>
        <v>22.75</v>
      </c>
      <c r="P42" s="459">
        <f>(C42+D42+E42+F42)*O42</f>
        <v>11.375</v>
      </c>
      <c r="Q42" s="513"/>
      <c r="R42" s="460" t="e">
        <f>(L42+M42+N42)*O42</f>
        <v>#REF!</v>
      </c>
      <c r="S42" s="11"/>
      <c r="T42" s="532"/>
      <c r="U42" s="533"/>
      <c r="W42" s="455"/>
      <c r="X42" s="455"/>
    </row>
    <row r="43" spans="1:24" s="29" customFormat="1" ht="12" hidden="1" thickTop="1">
      <c r="A43" s="165" t="s">
        <v>26</v>
      </c>
      <c r="B43" s="164"/>
      <c r="C43" s="144">
        <v>0</v>
      </c>
      <c r="D43" s="144">
        <v>0.25</v>
      </c>
      <c r="E43" s="144">
        <v>0</v>
      </c>
      <c r="F43" s="144">
        <v>0.25</v>
      </c>
      <c r="G43" s="106"/>
      <c r="H43" s="136">
        <f>SUM(C43:F43)</f>
        <v>0.5</v>
      </c>
      <c r="I43" s="137"/>
      <c r="J43" s="137"/>
      <c r="K43" s="137"/>
      <c r="L43" s="138" t="e">
        <f>((C43*#REF!)+(D43*$D$9)+(E43*$E$9)+(F43*$F$9))</f>
        <v>#REF!</v>
      </c>
      <c r="M43" s="138">
        <v>0</v>
      </c>
      <c r="N43" s="139">
        <f>O43*0.52</f>
        <v>23.66</v>
      </c>
      <c r="O43" s="140">
        <f>O39</f>
        <v>45.5</v>
      </c>
      <c r="P43" s="459">
        <f>(C43+D43+E43+F43)*O43</f>
        <v>22.75</v>
      </c>
      <c r="Q43" s="513"/>
      <c r="R43" s="460" t="e">
        <f>(L43+M43+N43)*O43</f>
        <v>#REF!</v>
      </c>
      <c r="S43" s="11"/>
      <c r="T43" s="532"/>
      <c r="U43" s="533"/>
      <c r="W43" s="455"/>
      <c r="X43" s="455"/>
    </row>
    <row r="44" spans="1:24" s="29" customFormat="1" ht="12.75" hidden="1" thickTop="1" thickBot="1">
      <c r="A44" s="145" t="s">
        <v>22</v>
      </c>
      <c r="B44" s="146"/>
      <c r="C44" s="147">
        <v>0</v>
      </c>
      <c r="D44" s="147" t="s">
        <v>23</v>
      </c>
      <c r="E44" s="147" t="s">
        <v>23</v>
      </c>
      <c r="F44" s="147" t="s">
        <v>23</v>
      </c>
      <c r="G44" s="147"/>
      <c r="H44" s="147" t="s">
        <v>23</v>
      </c>
      <c r="I44" s="148"/>
      <c r="J44" s="148"/>
      <c r="K44" s="148"/>
      <c r="L44" s="149" t="s">
        <v>23</v>
      </c>
      <c r="M44" s="149">
        <v>0</v>
      </c>
      <c r="N44" s="150" t="s">
        <v>23</v>
      </c>
      <c r="O44" s="151" t="s">
        <v>23</v>
      </c>
      <c r="P44" s="461" t="e">
        <f>SUM(P39:P43)</f>
        <v>#REF!</v>
      </c>
      <c r="Q44" s="514"/>
      <c r="R44" s="462" t="e">
        <f>SUM(R39:R43)</f>
        <v>#REF!</v>
      </c>
      <c r="S44" s="11"/>
      <c r="T44" s="532"/>
      <c r="U44" s="533"/>
      <c r="W44" s="455"/>
      <c r="X44" s="455"/>
    </row>
    <row r="45" spans="1:24" s="29" customFormat="1" ht="12" hidden="1" thickTop="1">
      <c r="A45" s="154" t="s">
        <v>39</v>
      </c>
      <c r="B45" s="155"/>
      <c r="C45" s="156"/>
      <c r="D45" s="156"/>
      <c r="E45" s="156"/>
      <c r="F45" s="156"/>
      <c r="G45" s="156"/>
      <c r="H45" s="156"/>
      <c r="I45" s="157"/>
      <c r="J45" s="157"/>
      <c r="K45" s="157"/>
      <c r="L45" s="158"/>
      <c r="M45" s="158"/>
      <c r="N45" s="159"/>
      <c r="O45" s="160"/>
      <c r="P45" s="463"/>
      <c r="Q45" s="463"/>
      <c r="R45" s="464"/>
      <c r="S45" s="11"/>
      <c r="T45" s="532"/>
      <c r="U45" s="533"/>
      <c r="W45" s="455"/>
      <c r="X45" s="455"/>
    </row>
    <row r="46" spans="1:24" s="29" customFormat="1" ht="12" hidden="1" thickTop="1">
      <c r="A46" s="189" t="s">
        <v>40</v>
      </c>
      <c r="B46" s="189"/>
      <c r="C46" s="144"/>
      <c r="D46" s="144"/>
      <c r="E46" s="144"/>
      <c r="F46" s="144"/>
      <c r="G46" s="144"/>
      <c r="H46" s="144"/>
      <c r="I46" s="190"/>
      <c r="J46" s="190"/>
      <c r="K46" s="190"/>
      <c r="L46" s="128"/>
      <c r="M46" s="128"/>
      <c r="N46" s="129"/>
      <c r="O46" s="191"/>
      <c r="P46" s="465"/>
      <c r="Q46" s="465"/>
      <c r="R46" s="466"/>
      <c r="S46" s="11"/>
      <c r="T46" s="532"/>
      <c r="U46" s="533"/>
      <c r="W46" s="455"/>
      <c r="X46" s="455"/>
    </row>
    <row r="47" spans="1:24" s="29" customFormat="1" ht="12" hidden="1" thickTop="1">
      <c r="A47" s="193" t="s">
        <v>41</v>
      </c>
      <c r="B47" s="193"/>
      <c r="C47" s="144"/>
      <c r="D47" s="144"/>
      <c r="E47" s="144"/>
      <c r="F47" s="144"/>
      <c r="G47" s="144"/>
      <c r="H47" s="144"/>
      <c r="I47" s="190"/>
      <c r="J47" s="190"/>
      <c r="K47" s="190"/>
      <c r="L47" s="128"/>
      <c r="M47" s="128"/>
      <c r="N47" s="129"/>
      <c r="O47" s="191"/>
      <c r="P47" s="465"/>
      <c r="Q47" s="465"/>
      <c r="R47" s="466"/>
      <c r="S47" s="11"/>
      <c r="T47" s="532"/>
      <c r="U47" s="533"/>
      <c r="W47" s="455"/>
      <c r="X47" s="455"/>
    </row>
    <row r="48" spans="1:24" s="29" customFormat="1" ht="12" hidden="1" thickTop="1">
      <c r="A48" s="194" t="s">
        <v>42</v>
      </c>
      <c r="B48" s="194"/>
      <c r="C48" s="195">
        <v>0</v>
      </c>
      <c r="D48" s="195">
        <v>0.5</v>
      </c>
      <c r="E48" s="195">
        <v>4</v>
      </c>
      <c r="F48" s="195">
        <v>0</v>
      </c>
      <c r="G48" s="106"/>
      <c r="H48" s="136">
        <f>SUM(C48:F48)</f>
        <v>4.5</v>
      </c>
      <c r="I48" s="137"/>
      <c r="J48" s="137"/>
      <c r="K48" s="137"/>
      <c r="L48" s="138" t="e">
        <f>((C48*#REF!)+(D48*$D$9)+(E48*$E$9)+(F48*$F$9))</f>
        <v>#REF!</v>
      </c>
      <c r="M48" s="138">
        <v>0</v>
      </c>
      <c r="N48" s="139">
        <v>0</v>
      </c>
      <c r="O48" s="196" t="e">
        <f>#REF!</f>
        <v>#REF!</v>
      </c>
      <c r="P48" s="459" t="e">
        <f>(C48+D48+E48+F48)*O48</f>
        <v>#REF!</v>
      </c>
      <c r="Q48" s="513"/>
      <c r="R48" s="460" t="e">
        <f>(L48+M48+N48)*O48</f>
        <v>#REF!</v>
      </c>
      <c r="S48" s="11"/>
      <c r="T48" s="532"/>
      <c r="U48" s="533"/>
      <c r="W48" s="455"/>
      <c r="X48" s="455"/>
    </row>
    <row r="49" spans="1:25" s="29" customFormat="1" ht="12" hidden="1" thickTop="1">
      <c r="A49" s="189" t="s">
        <v>43</v>
      </c>
      <c r="B49" s="189"/>
      <c r="C49" s="144"/>
      <c r="D49" s="144"/>
      <c r="E49" s="144"/>
      <c r="F49" s="144"/>
      <c r="G49" s="144"/>
      <c r="H49" s="144"/>
      <c r="I49" s="190"/>
      <c r="J49" s="190"/>
      <c r="K49" s="190"/>
      <c r="L49" s="128"/>
      <c r="M49" s="128"/>
      <c r="N49" s="129"/>
      <c r="O49" s="191"/>
      <c r="P49" s="465"/>
      <c r="Q49" s="465"/>
      <c r="R49" s="466"/>
      <c r="S49" s="11"/>
      <c r="T49" s="532"/>
      <c r="U49" s="533"/>
      <c r="W49" s="455"/>
      <c r="X49" s="455"/>
    </row>
    <row r="50" spans="1:25" s="29" customFormat="1" ht="12" hidden="1" thickTop="1">
      <c r="A50" s="189" t="s">
        <v>44</v>
      </c>
      <c r="B50" s="189"/>
      <c r="C50" s="144"/>
      <c r="D50" s="144"/>
      <c r="E50" s="144"/>
      <c r="F50" s="144"/>
      <c r="G50" s="144"/>
      <c r="H50" s="144"/>
      <c r="I50" s="190"/>
      <c r="J50" s="190"/>
      <c r="K50" s="190"/>
      <c r="L50" s="128"/>
      <c r="M50" s="128"/>
      <c r="N50" s="129"/>
      <c r="O50" s="191"/>
      <c r="P50" s="465"/>
      <c r="Q50" s="465"/>
      <c r="R50" s="466"/>
      <c r="S50" s="11"/>
      <c r="T50" s="532"/>
      <c r="U50" s="533"/>
      <c r="W50" s="455"/>
      <c r="X50" s="455"/>
    </row>
    <row r="51" spans="1:25" s="29" customFormat="1" ht="12" hidden="1" thickTop="1">
      <c r="A51" s="189" t="s">
        <v>45</v>
      </c>
      <c r="B51" s="189"/>
      <c r="C51" s="144">
        <v>0</v>
      </c>
      <c r="D51" s="144">
        <v>0.25</v>
      </c>
      <c r="E51" s="144">
        <v>0</v>
      </c>
      <c r="F51" s="144">
        <v>0.25</v>
      </c>
      <c r="G51" s="106"/>
      <c r="H51" s="136">
        <f>SUM(C51:F51)</f>
        <v>0.5</v>
      </c>
      <c r="I51" s="137"/>
      <c r="J51" s="137"/>
      <c r="K51" s="137"/>
      <c r="L51" s="138" t="e">
        <f>((C51*#REF!)+(D51*$D$9)+(E51*$E$9)+(F51*$F$9))</f>
        <v>#REF!</v>
      </c>
      <c r="M51" s="138">
        <v>0</v>
      </c>
      <c r="N51" s="139">
        <f>O51*0.52</f>
        <v>0</v>
      </c>
      <c r="O51" s="191">
        <v>0</v>
      </c>
      <c r="P51" s="459">
        <f>(C51+D51+E51+F51)*O51</f>
        <v>0</v>
      </c>
      <c r="Q51" s="513"/>
      <c r="R51" s="460" t="e">
        <f>(L51+M51+N51)*O51</f>
        <v>#REF!</v>
      </c>
      <c r="S51" s="11"/>
      <c r="T51" s="532"/>
      <c r="U51" s="533"/>
      <c r="W51" s="455"/>
      <c r="X51" s="455"/>
    </row>
    <row r="52" spans="1:25" s="29" customFormat="1" ht="12.75" hidden="1" thickTop="1" thickBot="1">
      <c r="A52" s="145" t="s">
        <v>22</v>
      </c>
      <c r="B52" s="146"/>
      <c r="C52" s="147">
        <v>0</v>
      </c>
      <c r="D52" s="147" t="s">
        <v>23</v>
      </c>
      <c r="E52" s="147" t="s">
        <v>23</v>
      </c>
      <c r="F52" s="147" t="s">
        <v>23</v>
      </c>
      <c r="G52" s="147"/>
      <c r="H52" s="147" t="s">
        <v>23</v>
      </c>
      <c r="I52" s="148"/>
      <c r="J52" s="148"/>
      <c r="K52" s="148"/>
      <c r="L52" s="149" t="s">
        <v>23</v>
      </c>
      <c r="M52" s="149">
        <f>SUM(M48:M51)</f>
        <v>0</v>
      </c>
      <c r="N52" s="150" t="s">
        <v>23</v>
      </c>
      <c r="O52" s="151" t="s">
        <v>23</v>
      </c>
      <c r="P52" s="461" t="e">
        <f>SUM(P48:P51)</f>
        <v>#REF!</v>
      </c>
      <c r="Q52" s="514"/>
      <c r="R52" s="462" t="e">
        <f>SUM(R48:R51)</f>
        <v>#REF!</v>
      </c>
      <c r="S52" s="11"/>
      <c r="T52" s="532"/>
      <c r="U52" s="533"/>
      <c r="W52" s="455"/>
      <c r="X52" s="455"/>
    </row>
    <row r="53" spans="1:25" s="29" customFormat="1" ht="12" hidden="1" thickTop="1">
      <c r="A53" s="154" t="s">
        <v>46</v>
      </c>
      <c r="B53" s="155"/>
      <c r="C53" s="156"/>
      <c r="D53" s="156"/>
      <c r="E53" s="156"/>
      <c r="F53" s="156"/>
      <c r="G53" s="156"/>
      <c r="H53" s="156"/>
      <c r="I53" s="157"/>
      <c r="J53" s="157"/>
      <c r="K53" s="157"/>
      <c r="L53" s="158"/>
      <c r="M53" s="158"/>
      <c r="N53" s="159"/>
      <c r="O53" s="160"/>
      <c r="P53" s="463"/>
      <c r="Q53" s="463"/>
      <c r="R53" s="464"/>
      <c r="S53" s="11"/>
      <c r="T53" s="532"/>
      <c r="U53" s="533"/>
      <c r="W53" s="455"/>
      <c r="X53" s="455"/>
    </row>
    <row r="54" spans="1:25" s="29" customFormat="1" ht="12" hidden="1" thickTop="1">
      <c r="A54" s="197" t="s">
        <v>27</v>
      </c>
      <c r="B54" s="197"/>
      <c r="C54" s="198">
        <v>0</v>
      </c>
      <c r="D54" s="198">
        <v>3</v>
      </c>
      <c r="E54" s="198">
        <v>24</v>
      </c>
      <c r="F54" s="198">
        <v>0</v>
      </c>
      <c r="G54" s="106"/>
      <c r="H54" s="136">
        <f>SUM(C54:F54)</f>
        <v>27</v>
      </c>
      <c r="I54" s="137"/>
      <c r="J54" s="137"/>
      <c r="K54" s="137"/>
      <c r="L54" s="138" t="e">
        <f>((C54*#REF!)+(D54*$D$9)+(E54*$E$9)+(F54*$F$9))</f>
        <v>#REF!</v>
      </c>
      <c r="M54" s="138">
        <v>0</v>
      </c>
      <c r="N54" s="139">
        <v>0</v>
      </c>
      <c r="O54" s="199" t="e">
        <f>#REF!+#REF!</f>
        <v>#REF!</v>
      </c>
      <c r="P54" s="459" t="e">
        <f>(C54+D54+E54+F54)*O54</f>
        <v>#REF!</v>
      </c>
      <c r="Q54" s="513"/>
      <c r="R54" s="460" t="e">
        <f>(L54+M54+N54)*O54</f>
        <v>#REF!</v>
      </c>
      <c r="S54" s="11"/>
      <c r="T54" s="532"/>
      <c r="U54" s="533"/>
      <c r="W54" s="455"/>
      <c r="X54" s="455"/>
    </row>
    <row r="55" spans="1:25" s="29" customFormat="1" ht="12" hidden="1" thickTop="1">
      <c r="A55" s="200" t="s">
        <v>28</v>
      </c>
      <c r="B55" s="193"/>
      <c r="C55" s="144">
        <v>0</v>
      </c>
      <c r="D55" s="144">
        <v>0</v>
      </c>
      <c r="E55" s="144">
        <v>0</v>
      </c>
      <c r="F55" s="144">
        <v>0</v>
      </c>
      <c r="G55" s="106"/>
      <c r="H55" s="136">
        <v>2</v>
      </c>
      <c r="I55" s="137"/>
      <c r="J55" s="137"/>
      <c r="K55" s="137"/>
      <c r="L55" s="138" t="e">
        <f>((C55*#REF!)+(D55*$D$9)+(E55*$E$9)+(F55*$F$9))</f>
        <v>#REF!</v>
      </c>
      <c r="M55" s="138">
        <v>0</v>
      </c>
      <c r="N55" s="139">
        <v>0</v>
      </c>
      <c r="O55" s="199" t="e">
        <f>O54</f>
        <v>#REF!</v>
      </c>
      <c r="P55" s="459" t="e">
        <f>(C55+D55+E55+F55)*O55</f>
        <v>#REF!</v>
      </c>
      <c r="Q55" s="513"/>
      <c r="R55" s="460" t="e">
        <f>(L55+M55+N55)*O55</f>
        <v>#REF!</v>
      </c>
      <c r="S55" s="11"/>
      <c r="T55" s="532"/>
      <c r="U55" s="533"/>
      <c r="W55" s="455"/>
      <c r="X55" s="455"/>
    </row>
    <row r="56" spans="1:25" s="29" customFormat="1" ht="12.75" hidden="1" thickTop="1" thickBot="1">
      <c r="A56" s="145" t="s">
        <v>22</v>
      </c>
      <c r="B56" s="146"/>
      <c r="C56" s="147">
        <v>0</v>
      </c>
      <c r="D56" s="147" t="s">
        <v>23</v>
      </c>
      <c r="E56" s="147" t="s">
        <v>23</v>
      </c>
      <c r="F56" s="147">
        <v>0</v>
      </c>
      <c r="G56" s="147"/>
      <c r="H56" s="147" t="s">
        <v>23</v>
      </c>
      <c r="I56" s="148"/>
      <c r="J56" s="148"/>
      <c r="K56" s="148"/>
      <c r="L56" s="149" t="s">
        <v>23</v>
      </c>
      <c r="M56" s="149">
        <f>SUM(M54:M55)</f>
        <v>0</v>
      </c>
      <c r="N56" s="150">
        <f>SUM(N54:N55)</f>
        <v>0</v>
      </c>
      <c r="O56" s="151" t="e">
        <f>O54</f>
        <v>#REF!</v>
      </c>
      <c r="P56" s="461" t="e">
        <f>SUM(P54:P55)</f>
        <v>#REF!</v>
      </c>
      <c r="Q56" s="514"/>
      <c r="R56" s="462" t="e">
        <f>SUM(R54:R55)</f>
        <v>#REF!</v>
      </c>
      <c r="S56" s="11"/>
      <c r="T56" s="532"/>
      <c r="U56" s="533"/>
      <c r="W56" s="455"/>
      <c r="X56" s="455"/>
    </row>
    <row r="57" spans="1:25" s="29" customFormat="1" ht="12" thickTop="1">
      <c r="A57" s="201" t="s">
        <v>178</v>
      </c>
      <c r="B57" s="202"/>
      <c r="C57" s="203"/>
      <c r="D57" s="203"/>
      <c r="E57" s="203"/>
      <c r="F57" s="203"/>
      <c r="G57" s="203"/>
      <c r="H57" s="203"/>
      <c r="I57" s="204"/>
      <c r="J57" s="204"/>
      <c r="K57" s="204"/>
      <c r="L57" s="205"/>
      <c r="M57" s="205"/>
      <c r="N57" s="206"/>
      <c r="O57" s="207"/>
      <c r="P57" s="463"/>
      <c r="Q57" s="463"/>
      <c r="R57" s="464"/>
      <c r="S57" s="11"/>
      <c r="T57" s="532"/>
      <c r="U57" s="533"/>
      <c r="W57" s="455"/>
      <c r="X57" s="455"/>
    </row>
    <row r="58" spans="1:25" s="29" customFormat="1">
      <c r="A58" s="210"/>
      <c r="B58" s="211" t="s">
        <v>179</v>
      </c>
      <c r="C58" s="212">
        <v>0</v>
      </c>
      <c r="D58" s="212">
        <v>0.5</v>
      </c>
      <c r="E58" s="212">
        <v>4</v>
      </c>
      <c r="F58" s="212">
        <v>0</v>
      </c>
      <c r="G58" s="212">
        <v>0</v>
      </c>
      <c r="H58" s="212">
        <f>SUM(C58:G58)</f>
        <v>4.5</v>
      </c>
      <c r="I58" s="213"/>
      <c r="J58" s="213"/>
      <c r="K58" s="213"/>
      <c r="L58" s="214">
        <f>((C58*$C$9)+(D58*$D$9)+(E58*$E$9)+(F58*$F$9))</f>
        <v>257.96800000000002</v>
      </c>
      <c r="M58" s="214">
        <v>0</v>
      </c>
      <c r="N58" s="185">
        <v>0</v>
      </c>
      <c r="O58" s="196">
        <f>0.2*O9</f>
        <v>4.2666666646666673</v>
      </c>
      <c r="P58" s="471">
        <f>(C58+D58+E58+F58)*O58</f>
        <v>19.199999991000002</v>
      </c>
      <c r="Q58" s="72">
        <f>(M58+N58)*O58</f>
        <v>0</v>
      </c>
      <c r="R58" s="472">
        <f>(L58+M58+N58)*O58</f>
        <v>1100.663466150731</v>
      </c>
      <c r="S58" s="11" t="s">
        <v>254</v>
      </c>
      <c r="T58" s="536" t="str">
        <f t="shared" ref="T58:V60" si="8">IF($S58="RP",O58,"")</f>
        <v/>
      </c>
      <c r="U58" s="537" t="str">
        <f t="shared" si="8"/>
        <v/>
      </c>
      <c r="V58" s="521" t="str">
        <f t="shared" si="8"/>
        <v/>
      </c>
      <c r="W58" s="537">
        <f t="shared" ref="W58:Y60" si="9">IF($S58="RK",O58,"")</f>
        <v>4.2666666646666673</v>
      </c>
      <c r="X58" s="537">
        <f t="shared" si="9"/>
        <v>19.199999991000002</v>
      </c>
      <c r="Y58" s="521">
        <f t="shared" si="9"/>
        <v>0</v>
      </c>
    </row>
    <row r="59" spans="1:25" s="172" customFormat="1">
      <c r="A59" s="215"/>
      <c r="B59" s="211" t="s">
        <v>180</v>
      </c>
      <c r="C59" s="212">
        <v>0</v>
      </c>
      <c r="D59" s="212">
        <v>0.5</v>
      </c>
      <c r="E59" s="212">
        <v>1</v>
      </c>
      <c r="F59" s="198">
        <v>0</v>
      </c>
      <c r="G59" s="198">
        <v>0</v>
      </c>
      <c r="H59" s="198">
        <f>SUM(C59:G59)</f>
        <v>1.5</v>
      </c>
      <c r="I59" s="216"/>
      <c r="J59" s="216"/>
      <c r="K59" s="216"/>
      <c r="L59" s="217">
        <f>((C59*$C$9)+(D59*$D$9)+(E59*$E$9)+(F59*$F$9))</f>
        <v>93.13600000000001</v>
      </c>
      <c r="M59" s="217">
        <v>0</v>
      </c>
      <c r="N59" s="73">
        <v>0</v>
      </c>
      <c r="O59" s="196">
        <f>0.1*O9</f>
        <v>2.1333333323333337</v>
      </c>
      <c r="P59" s="471">
        <f>(C59+D59+E59+F59)*O59</f>
        <v>3.1999999985000005</v>
      </c>
      <c r="Q59" s="72">
        <f>(M59+N59)*O59</f>
        <v>0</v>
      </c>
      <c r="R59" s="472">
        <f>(L59+M59+N59)*O59</f>
        <v>198.69013324019738</v>
      </c>
      <c r="S59" s="171" t="s">
        <v>254</v>
      </c>
      <c r="T59" s="536" t="str">
        <f t="shared" si="8"/>
        <v/>
      </c>
      <c r="U59" s="537" t="str">
        <f t="shared" si="8"/>
        <v/>
      </c>
      <c r="V59" s="521" t="str">
        <f t="shared" si="8"/>
        <v/>
      </c>
      <c r="W59" s="537">
        <f t="shared" si="9"/>
        <v>2.1333333323333337</v>
      </c>
      <c r="X59" s="537">
        <f t="shared" si="9"/>
        <v>3.1999999985000005</v>
      </c>
      <c r="Y59" s="521">
        <f t="shared" si="9"/>
        <v>0</v>
      </c>
    </row>
    <row r="60" spans="1:25" s="29" customFormat="1" ht="12" thickBot="1">
      <c r="A60" s="218"/>
      <c r="B60" s="219" t="s">
        <v>97</v>
      </c>
      <c r="C60" s="144">
        <v>0</v>
      </c>
      <c r="D60" s="144">
        <v>0.25</v>
      </c>
      <c r="E60" s="144">
        <v>0</v>
      </c>
      <c r="F60" s="144">
        <v>0.25</v>
      </c>
      <c r="G60" s="106">
        <v>0</v>
      </c>
      <c r="H60" s="136">
        <f>SUM(C60:G60)</f>
        <v>0.5</v>
      </c>
      <c r="I60" s="137"/>
      <c r="J60" s="137"/>
      <c r="K60" s="137"/>
      <c r="L60" s="138">
        <f>((C60*$C$9)+(D60*$D$9)+(E60*$E$9)+(F60*$F$9))</f>
        <v>26.696000000000002</v>
      </c>
      <c r="M60" s="138">
        <v>0</v>
      </c>
      <c r="N60" s="139">
        <v>5</v>
      </c>
      <c r="O60" s="191">
        <f>0.2*O9</f>
        <v>4.2666666646666673</v>
      </c>
      <c r="P60" s="141">
        <f>(C60+D60+E60+F60)*O60</f>
        <v>2.1333333323333337</v>
      </c>
      <c r="Q60" s="72">
        <f>(M60+N60)*O60</f>
        <v>21.333333323333335</v>
      </c>
      <c r="R60" s="142">
        <f>(L60+M60+N60)*O60</f>
        <v>135.23626660327469</v>
      </c>
      <c r="S60" s="11" t="s">
        <v>259</v>
      </c>
      <c r="T60" s="536">
        <f t="shared" si="8"/>
        <v>4.2666666646666673</v>
      </c>
      <c r="U60" s="537">
        <f t="shared" si="8"/>
        <v>2.1333333323333337</v>
      </c>
      <c r="V60" s="521">
        <f t="shared" si="8"/>
        <v>21.333333323333335</v>
      </c>
      <c r="W60" s="537" t="str">
        <f t="shared" si="9"/>
        <v/>
      </c>
      <c r="X60" s="537" t="str">
        <f t="shared" si="9"/>
        <v/>
      </c>
      <c r="Y60" s="521" t="str">
        <f t="shared" si="9"/>
        <v/>
      </c>
    </row>
    <row r="61" spans="1:25" s="29" customFormat="1" ht="12.75" thickTop="1" thickBot="1">
      <c r="A61" s="145" t="s">
        <v>22</v>
      </c>
      <c r="B61" s="146"/>
      <c r="C61" s="147">
        <f t="shared" ref="C61:H61" si="10">(SUM(C60,C59,C58))</f>
        <v>0</v>
      </c>
      <c r="D61" s="147">
        <f t="shared" si="10"/>
        <v>1.25</v>
      </c>
      <c r="E61" s="147">
        <f t="shared" si="10"/>
        <v>5</v>
      </c>
      <c r="F61" s="147">
        <f t="shared" si="10"/>
        <v>0.25</v>
      </c>
      <c r="G61" s="147">
        <f t="shared" si="10"/>
        <v>0</v>
      </c>
      <c r="H61" s="147">
        <f t="shared" si="10"/>
        <v>6.5</v>
      </c>
      <c r="I61" s="148"/>
      <c r="J61" s="148"/>
      <c r="K61" s="148"/>
      <c r="L61" s="149">
        <f>(SUM(L60,L59,L58))</f>
        <v>377.8</v>
      </c>
      <c r="M61" s="149">
        <f>(SUM(M60,M59,M58))</f>
        <v>0</v>
      </c>
      <c r="N61" s="150">
        <f>(SUM(N60,N59,N58))</f>
        <v>5</v>
      </c>
      <c r="O61" s="220"/>
      <c r="P61" s="147">
        <f>(SUM(P60,P59,P58))</f>
        <v>24.533333321833336</v>
      </c>
      <c r="Q61" s="153">
        <f>(SUM(Q60,Q59,Q58))</f>
        <v>21.333333323333335</v>
      </c>
      <c r="R61" s="153">
        <f>(SUM(R60,R59,R58))</f>
        <v>1434.5898659942031</v>
      </c>
      <c r="S61" s="323">
        <f t="shared" ref="S61:Y61" si="11">(SUM(S60,S59,S58))</f>
        <v>0</v>
      </c>
      <c r="T61" s="85">
        <f t="shared" si="11"/>
        <v>4.2666666646666673</v>
      </c>
      <c r="U61" s="543">
        <f t="shared" si="11"/>
        <v>2.1333333323333337</v>
      </c>
      <c r="V61" s="153">
        <f t="shared" si="11"/>
        <v>21.333333323333335</v>
      </c>
      <c r="W61" s="543">
        <f t="shared" si="11"/>
        <v>6.399999997000001</v>
      </c>
      <c r="X61" s="543">
        <f t="shared" si="11"/>
        <v>22.399999989500003</v>
      </c>
      <c r="Y61" s="153">
        <f t="shared" si="11"/>
        <v>0</v>
      </c>
    </row>
    <row r="62" spans="1:25" s="29" customFormat="1" ht="12" thickTop="1">
      <c r="A62" s="201" t="s">
        <v>233</v>
      </c>
      <c r="B62" s="202"/>
      <c r="C62" s="203"/>
      <c r="D62" s="203"/>
      <c r="E62" s="203"/>
      <c r="F62" s="203"/>
      <c r="G62" s="203"/>
      <c r="H62" s="203"/>
      <c r="I62" s="204"/>
      <c r="J62" s="204"/>
      <c r="K62" s="204"/>
      <c r="L62" s="205"/>
      <c r="M62" s="205"/>
      <c r="N62" s="206"/>
      <c r="O62" s="207"/>
      <c r="P62" s="208"/>
      <c r="Q62" s="208"/>
      <c r="R62" s="209"/>
      <c r="S62" s="11"/>
      <c r="T62" s="532"/>
      <c r="U62" s="533"/>
      <c r="W62" s="455"/>
      <c r="X62" s="455"/>
    </row>
    <row r="63" spans="1:25" s="172" customFormat="1">
      <c r="A63" s="215"/>
      <c r="B63" s="211" t="s">
        <v>234</v>
      </c>
      <c r="C63" s="212">
        <v>0</v>
      </c>
      <c r="D63" s="212">
        <v>3</v>
      </c>
      <c r="E63" s="212">
        <v>5</v>
      </c>
      <c r="F63" s="212">
        <v>0</v>
      </c>
      <c r="G63" s="195">
        <v>0</v>
      </c>
      <c r="H63" s="195">
        <f>SUM(C63:G63)</f>
        <v>8</v>
      </c>
      <c r="I63" s="221"/>
      <c r="J63" s="221"/>
      <c r="K63" s="221"/>
      <c r="L63" s="222">
        <f>((C63*$C$9)+(D63*$D$9)+(E63*$E$9)+(F63*$F$9))</f>
        <v>503.87200000000001</v>
      </c>
      <c r="M63" s="222">
        <v>0</v>
      </c>
      <c r="N63" s="185">
        <v>0</v>
      </c>
      <c r="O63" s="196">
        <f>0.75*O9</f>
        <v>15.999999992500001</v>
      </c>
      <c r="P63" s="223">
        <f>(C63+D63+E63+F63)*O63</f>
        <v>127.99999994000001</v>
      </c>
      <c r="Q63" s="72">
        <f>(M63+N63)*O63</f>
        <v>0</v>
      </c>
      <c r="R63" s="72">
        <f>(L63+M63+N63)*O63</f>
        <v>8061.9519962209606</v>
      </c>
      <c r="S63" s="171" t="s">
        <v>254</v>
      </c>
      <c r="T63" s="536" t="str">
        <f t="shared" ref="T63:V64" si="12">IF($S63="RP",O63,"")</f>
        <v/>
      </c>
      <c r="U63" s="537" t="str">
        <f t="shared" si="12"/>
        <v/>
      </c>
      <c r="V63" s="521" t="str">
        <f t="shared" si="12"/>
        <v/>
      </c>
      <c r="W63" s="537">
        <f t="shared" ref="W63:Y64" si="13">IF($S63="RK",O63,"")</f>
        <v>15.999999992500001</v>
      </c>
      <c r="X63" s="537">
        <f t="shared" si="13"/>
        <v>127.99999994000001</v>
      </c>
      <c r="Y63" s="521">
        <f t="shared" si="13"/>
        <v>0</v>
      </c>
    </row>
    <row r="64" spans="1:25" s="29" customFormat="1" ht="12" thickBot="1">
      <c r="A64" s="224"/>
      <c r="B64" s="219" t="s">
        <v>97</v>
      </c>
      <c r="C64" s="144">
        <v>0</v>
      </c>
      <c r="D64" s="144">
        <v>0.25</v>
      </c>
      <c r="E64" s="144">
        <v>0</v>
      </c>
      <c r="F64" s="144">
        <v>0.25</v>
      </c>
      <c r="G64" s="106">
        <v>0</v>
      </c>
      <c r="H64" s="136">
        <f>SUM(C64:G64)</f>
        <v>0.5</v>
      </c>
      <c r="I64" s="137"/>
      <c r="J64" s="137"/>
      <c r="K64" s="137"/>
      <c r="L64" s="138">
        <f>((C64*$C$9)+(D64*$D$9)+(E64*$E$9)+(F64*$F$9))</f>
        <v>26.696000000000002</v>
      </c>
      <c r="M64" s="138">
        <v>0</v>
      </c>
      <c r="N64" s="139">
        <v>1</v>
      </c>
      <c r="O64" s="191">
        <f>0.75*O9</f>
        <v>15.999999992500001</v>
      </c>
      <c r="P64" s="141">
        <f>(C64+D64+E64+F64)*O64</f>
        <v>7.9999999962500006</v>
      </c>
      <c r="Q64" s="72">
        <f>(M64+N64)*O64</f>
        <v>15.999999992500001</v>
      </c>
      <c r="R64" s="142">
        <f>(L64+M64+N64)*O64</f>
        <v>443.13599979228007</v>
      </c>
      <c r="S64" s="11" t="s">
        <v>259</v>
      </c>
      <c r="T64" s="536">
        <f t="shared" si="12"/>
        <v>15.999999992500001</v>
      </c>
      <c r="U64" s="537">
        <f t="shared" si="12"/>
        <v>7.9999999962500006</v>
      </c>
      <c r="V64" s="521">
        <f t="shared" si="12"/>
        <v>15.999999992500001</v>
      </c>
      <c r="W64" s="537" t="str">
        <f t="shared" si="13"/>
        <v/>
      </c>
      <c r="X64" s="537" t="str">
        <f t="shared" si="13"/>
        <v/>
      </c>
      <c r="Y64" s="521" t="str">
        <f t="shared" si="13"/>
        <v/>
      </c>
    </row>
    <row r="65" spans="1:25" s="29" customFormat="1" ht="12.75" thickTop="1" thickBot="1">
      <c r="A65" s="145" t="s">
        <v>22</v>
      </c>
      <c r="B65" s="146"/>
      <c r="C65" s="152">
        <f t="shared" ref="C65:H65" si="14">C63+C64</f>
        <v>0</v>
      </c>
      <c r="D65" s="152">
        <f t="shared" si="14"/>
        <v>3.25</v>
      </c>
      <c r="E65" s="152">
        <f t="shared" si="14"/>
        <v>5</v>
      </c>
      <c r="F65" s="152">
        <f t="shared" si="14"/>
        <v>0.25</v>
      </c>
      <c r="G65" s="152">
        <f t="shared" si="14"/>
        <v>0</v>
      </c>
      <c r="H65" s="152">
        <f t="shared" si="14"/>
        <v>8.5</v>
      </c>
      <c r="I65" s="148"/>
      <c r="J65" s="148"/>
      <c r="K65" s="148"/>
      <c r="L65" s="225">
        <f>L63+L64</f>
        <v>530.56799999999998</v>
      </c>
      <c r="M65" s="225">
        <f>M63+M64</f>
        <v>0</v>
      </c>
      <c r="N65" s="226">
        <f>N63+N64</f>
        <v>1</v>
      </c>
      <c r="O65" s="151"/>
      <c r="P65" s="152">
        <f>P63+P64</f>
        <v>135.99999993625002</v>
      </c>
      <c r="Q65" s="227">
        <f>Q63+Q64</f>
        <v>15.999999992500001</v>
      </c>
      <c r="R65" s="227">
        <f>R63+R64</f>
        <v>8505.0879960132406</v>
      </c>
      <c r="S65" s="526">
        <f t="shared" ref="S65:Y65" si="15">S63+S64</f>
        <v>0</v>
      </c>
      <c r="T65" s="544">
        <f t="shared" si="15"/>
        <v>15.999999992500001</v>
      </c>
      <c r="U65" s="545">
        <f t="shared" si="15"/>
        <v>7.9999999962500006</v>
      </c>
      <c r="V65" s="227">
        <f t="shared" si="15"/>
        <v>15.999999992500001</v>
      </c>
      <c r="W65" s="545">
        <f t="shared" si="15"/>
        <v>15.999999992500001</v>
      </c>
      <c r="X65" s="545">
        <f t="shared" si="15"/>
        <v>127.99999994000001</v>
      </c>
      <c r="Y65" s="227">
        <f t="shared" si="15"/>
        <v>0</v>
      </c>
    </row>
    <row r="66" spans="1:25" s="29" customFormat="1" ht="12" thickTop="1">
      <c r="A66" s="201" t="s">
        <v>235</v>
      </c>
      <c r="B66" s="202"/>
      <c r="C66" s="203"/>
      <c r="D66" s="203"/>
      <c r="E66" s="203"/>
      <c r="F66" s="203"/>
      <c r="G66" s="203"/>
      <c r="H66" s="203"/>
      <c r="I66" s="204"/>
      <c r="J66" s="204"/>
      <c r="K66" s="204"/>
      <c r="L66" s="205"/>
      <c r="M66" s="205"/>
      <c r="N66" s="206"/>
      <c r="O66" s="207"/>
      <c r="P66" s="208"/>
      <c r="Q66" s="208"/>
      <c r="R66" s="209"/>
      <c r="S66" s="11"/>
      <c r="T66" s="532"/>
      <c r="U66" s="533"/>
      <c r="W66" s="455"/>
      <c r="X66" s="455"/>
    </row>
    <row r="67" spans="1:25" s="172" customFormat="1">
      <c r="A67" s="215"/>
      <c r="B67" s="211" t="s">
        <v>236</v>
      </c>
      <c r="C67" s="212">
        <v>0</v>
      </c>
      <c r="D67" s="212">
        <v>0.25</v>
      </c>
      <c r="E67" s="212">
        <v>2</v>
      </c>
      <c r="F67" s="212">
        <v>0</v>
      </c>
      <c r="G67" s="195">
        <v>0</v>
      </c>
      <c r="H67" s="195">
        <f>SUM(C67:G67)</f>
        <v>2.25</v>
      </c>
      <c r="I67" s="221"/>
      <c r="J67" s="221"/>
      <c r="K67" s="221"/>
      <c r="L67" s="222">
        <f>((C67*$C$9)+(D67*$D$9)+(E67*$E$9)+(F67*$F$9))</f>
        <v>128.98400000000001</v>
      </c>
      <c r="M67" s="222">
        <v>0</v>
      </c>
      <c r="N67" s="185">
        <v>0</v>
      </c>
      <c r="O67" s="196">
        <f>O9</f>
        <v>21.333333323333335</v>
      </c>
      <c r="P67" s="223">
        <f>(C67+D67+E67+F67)*O67</f>
        <v>47.999999977500003</v>
      </c>
      <c r="Q67" s="72">
        <f>(M67+N67)*O67</f>
        <v>0</v>
      </c>
      <c r="R67" s="72">
        <f>(L67+M67+N67)*O67</f>
        <v>2751.6586653768272</v>
      </c>
      <c r="S67" s="171" t="s">
        <v>254</v>
      </c>
      <c r="T67" s="536" t="str">
        <f t="shared" ref="T67:V68" si="16">IF($S67="RP",O67,"")</f>
        <v/>
      </c>
      <c r="U67" s="537" t="str">
        <f t="shared" si="16"/>
        <v/>
      </c>
      <c r="V67" s="521" t="str">
        <f t="shared" si="16"/>
        <v/>
      </c>
      <c r="W67" s="537">
        <f t="shared" ref="W67:Y68" si="17">IF($S67="RK",O67,"")</f>
        <v>21.333333323333335</v>
      </c>
      <c r="X67" s="537">
        <f t="shared" si="17"/>
        <v>47.999999977500003</v>
      </c>
      <c r="Y67" s="521">
        <f t="shared" si="17"/>
        <v>0</v>
      </c>
    </row>
    <row r="68" spans="1:25" s="29" customFormat="1" ht="12" thickBot="1">
      <c r="A68" s="224"/>
      <c r="B68" s="219" t="s">
        <v>97</v>
      </c>
      <c r="C68" s="144">
        <v>0</v>
      </c>
      <c r="D68" s="144">
        <v>0.25</v>
      </c>
      <c r="E68" s="144">
        <v>0</v>
      </c>
      <c r="F68" s="144">
        <v>0.25</v>
      </c>
      <c r="G68" s="106">
        <v>0</v>
      </c>
      <c r="H68" s="136">
        <f>SUM(C68:G68)</f>
        <v>0.5</v>
      </c>
      <c r="I68" s="137"/>
      <c r="J68" s="137"/>
      <c r="K68" s="137"/>
      <c r="L68" s="138">
        <f>((C68*$C$9)+(D68*$D$9)+(E68*$E$9)+(F68*$F$9))</f>
        <v>26.696000000000002</v>
      </c>
      <c r="M68" s="138">
        <v>0</v>
      </c>
      <c r="N68" s="139">
        <v>1</v>
      </c>
      <c r="O68" s="191">
        <f>O9</f>
        <v>21.333333323333335</v>
      </c>
      <c r="P68" s="141">
        <f>(C68+D68+E68+F68)*O68</f>
        <v>10.666666661666667</v>
      </c>
      <c r="Q68" s="72">
        <f>(M68+N68)*O68</f>
        <v>21.333333323333335</v>
      </c>
      <c r="R68" s="142">
        <f>(L68+M68+N68)*O68</f>
        <v>590.84799972304006</v>
      </c>
      <c r="S68" s="11" t="s">
        <v>259</v>
      </c>
      <c r="T68" s="536">
        <f t="shared" si="16"/>
        <v>21.333333323333335</v>
      </c>
      <c r="U68" s="537">
        <f t="shared" si="16"/>
        <v>10.666666661666667</v>
      </c>
      <c r="V68" s="521">
        <f t="shared" si="16"/>
        <v>21.333333323333335</v>
      </c>
      <c r="W68" s="537" t="str">
        <f t="shared" si="17"/>
        <v/>
      </c>
      <c r="X68" s="537" t="str">
        <f t="shared" si="17"/>
        <v/>
      </c>
      <c r="Y68" s="521" t="str">
        <f t="shared" si="17"/>
        <v/>
      </c>
    </row>
    <row r="69" spans="1:25" s="29" customFormat="1" ht="12.75" thickTop="1" thickBot="1">
      <c r="A69" s="145" t="s">
        <v>22</v>
      </c>
      <c r="B69" s="146"/>
      <c r="C69" s="152">
        <f t="shared" ref="C69:H69" si="18">C67+C68</f>
        <v>0</v>
      </c>
      <c r="D69" s="152">
        <f t="shared" si="18"/>
        <v>0.5</v>
      </c>
      <c r="E69" s="152">
        <f t="shared" si="18"/>
        <v>2</v>
      </c>
      <c r="F69" s="152">
        <f t="shared" si="18"/>
        <v>0.25</v>
      </c>
      <c r="G69" s="152">
        <f t="shared" si="18"/>
        <v>0</v>
      </c>
      <c r="H69" s="152">
        <f t="shared" si="18"/>
        <v>2.75</v>
      </c>
      <c r="I69" s="148"/>
      <c r="J69" s="148"/>
      <c r="K69" s="148"/>
      <c r="L69" s="225">
        <f>L67+L68</f>
        <v>155.68</v>
      </c>
      <c r="M69" s="225">
        <f>M67+M68</f>
        <v>0</v>
      </c>
      <c r="N69" s="226">
        <f>N67+N68</f>
        <v>1</v>
      </c>
      <c r="O69" s="151"/>
      <c r="P69" s="152">
        <f>P67+P68</f>
        <v>58.666666639166671</v>
      </c>
      <c r="Q69" s="227">
        <f>Q67+Q68</f>
        <v>21.333333323333335</v>
      </c>
      <c r="R69" s="227">
        <f>R67+R68</f>
        <v>3342.5066650998674</v>
      </c>
      <c r="S69" s="526">
        <f t="shared" ref="S69:Y69" si="19">S67+S68</f>
        <v>0</v>
      </c>
      <c r="T69" s="544">
        <f t="shared" si="19"/>
        <v>21.333333323333335</v>
      </c>
      <c r="U69" s="545">
        <f t="shared" si="19"/>
        <v>10.666666661666667</v>
      </c>
      <c r="V69" s="227">
        <f t="shared" si="19"/>
        <v>21.333333323333335</v>
      </c>
      <c r="W69" s="545">
        <f t="shared" si="19"/>
        <v>21.333333323333335</v>
      </c>
      <c r="X69" s="545">
        <f t="shared" si="19"/>
        <v>47.999999977500003</v>
      </c>
      <c r="Y69" s="227">
        <f t="shared" si="19"/>
        <v>0</v>
      </c>
    </row>
    <row r="70" spans="1:25" s="29" customFormat="1" ht="12" thickTop="1">
      <c r="A70" s="201" t="s">
        <v>181</v>
      </c>
      <c r="B70" s="202"/>
      <c r="C70" s="203"/>
      <c r="D70" s="203"/>
      <c r="E70" s="203"/>
      <c r="F70" s="203"/>
      <c r="G70" s="203"/>
      <c r="H70" s="203"/>
      <c r="I70" s="204"/>
      <c r="J70" s="204"/>
      <c r="K70" s="204"/>
      <c r="L70" s="205"/>
      <c r="M70" s="205"/>
      <c r="N70" s="206"/>
      <c r="O70" s="207"/>
      <c r="P70" s="208"/>
      <c r="Q70" s="208"/>
      <c r="R70" s="209"/>
      <c r="S70" s="11"/>
      <c r="T70" s="532"/>
      <c r="U70" s="533"/>
      <c r="W70" s="455"/>
      <c r="X70" s="455"/>
    </row>
    <row r="71" spans="1:25" s="29" customFormat="1">
      <c r="A71" s="228"/>
      <c r="B71" s="229" t="s">
        <v>182</v>
      </c>
      <c r="C71" s="230"/>
      <c r="D71" s="230"/>
      <c r="E71" s="230"/>
      <c r="F71" s="230"/>
      <c r="G71" s="230"/>
      <c r="H71" s="230"/>
      <c r="I71" s="231"/>
      <c r="J71" s="231"/>
      <c r="K71" s="231"/>
      <c r="L71" s="232"/>
      <c r="M71" s="232"/>
      <c r="N71" s="129"/>
      <c r="O71" s="191"/>
      <c r="P71" s="233"/>
      <c r="Q71" s="233"/>
      <c r="R71" s="112"/>
      <c r="S71" s="11"/>
      <c r="T71" s="532"/>
      <c r="U71" s="533"/>
      <c r="W71" s="455"/>
      <c r="X71" s="455"/>
    </row>
    <row r="72" spans="1:25" s="172" customFormat="1">
      <c r="A72" s="215"/>
      <c r="B72" s="211" t="s">
        <v>183</v>
      </c>
      <c r="C72" s="212">
        <v>0</v>
      </c>
      <c r="D72" s="212">
        <v>3</v>
      </c>
      <c r="E72" s="212">
        <v>15</v>
      </c>
      <c r="F72" s="212">
        <v>0</v>
      </c>
      <c r="G72" s="195">
        <v>0</v>
      </c>
      <c r="H72" s="195">
        <f>SUM(C72:G72)</f>
        <v>18</v>
      </c>
      <c r="I72" s="221"/>
      <c r="J72" s="221"/>
      <c r="K72" s="221"/>
      <c r="L72" s="222">
        <f>((C72*$C$9)+(D72*$D$9)+(E72*$E$9)+(F72*$F$9))</f>
        <v>1053.3120000000001</v>
      </c>
      <c r="M72" s="222">
        <v>0</v>
      </c>
      <c r="N72" s="185">
        <v>0</v>
      </c>
      <c r="O72" s="196">
        <f>0.5*O9</f>
        <v>10.666666661666667</v>
      </c>
      <c r="P72" s="223">
        <f>(C72+D72+E72+F72)*O72</f>
        <v>191.99999991000001</v>
      </c>
      <c r="Q72" s="72">
        <f>(M72+N72)*O72</f>
        <v>0</v>
      </c>
      <c r="R72" s="72">
        <f>(L72+M72+N72)*O72</f>
        <v>11235.327994733441</v>
      </c>
      <c r="S72" s="171" t="s">
        <v>254</v>
      </c>
      <c r="T72" s="536" t="str">
        <f t="shared" ref="T72:V73" si="20">IF($S72="RP",O72,"")</f>
        <v/>
      </c>
      <c r="U72" s="537" t="str">
        <f t="shared" si="20"/>
        <v/>
      </c>
      <c r="V72" s="521" t="str">
        <f t="shared" si="20"/>
        <v/>
      </c>
      <c r="W72" s="537">
        <f t="shared" ref="W72:Y73" si="21">IF($S72="RK",O72,"")</f>
        <v>10.666666661666667</v>
      </c>
      <c r="X72" s="537">
        <f t="shared" si="21"/>
        <v>191.99999991000001</v>
      </c>
      <c r="Y72" s="521">
        <f t="shared" si="21"/>
        <v>0</v>
      </c>
    </row>
    <row r="73" spans="1:25" s="29" customFormat="1" ht="12" thickBot="1">
      <c r="A73" s="224"/>
      <c r="B73" s="219" t="s">
        <v>97</v>
      </c>
      <c r="C73" s="144">
        <v>0</v>
      </c>
      <c r="D73" s="144">
        <v>0.25</v>
      </c>
      <c r="E73" s="144">
        <v>0</v>
      </c>
      <c r="F73" s="144">
        <v>0.25</v>
      </c>
      <c r="G73" s="106">
        <v>0</v>
      </c>
      <c r="H73" s="136">
        <f>SUM(C73:G73)</f>
        <v>0.5</v>
      </c>
      <c r="I73" s="137"/>
      <c r="J73" s="137"/>
      <c r="K73" s="137"/>
      <c r="L73" s="138">
        <f>((C73*$C$9)+(D73*$D$9)+(E73*$E$9)+(F73*$F$9))</f>
        <v>26.696000000000002</v>
      </c>
      <c r="M73" s="138">
        <v>0</v>
      </c>
      <c r="N73" s="139">
        <v>1</v>
      </c>
      <c r="O73" s="191">
        <f>0.5*O9</f>
        <v>10.666666661666667</v>
      </c>
      <c r="P73" s="141">
        <f>(C73+D73+E73+F73)*O73</f>
        <v>5.3333333308333337</v>
      </c>
      <c r="Q73" s="72">
        <f>(M73+N73)*O73</f>
        <v>10.666666661666667</v>
      </c>
      <c r="R73" s="142">
        <f>(L73+M73+N73)*O73</f>
        <v>295.42399986152003</v>
      </c>
      <c r="S73" s="11" t="s">
        <v>259</v>
      </c>
      <c r="T73" s="536">
        <f t="shared" si="20"/>
        <v>10.666666661666667</v>
      </c>
      <c r="U73" s="537">
        <f t="shared" si="20"/>
        <v>5.3333333308333337</v>
      </c>
      <c r="V73" s="521">
        <f t="shared" si="20"/>
        <v>10.666666661666667</v>
      </c>
      <c r="W73" s="537" t="str">
        <f t="shared" si="21"/>
        <v/>
      </c>
      <c r="X73" s="537" t="str">
        <f t="shared" si="21"/>
        <v/>
      </c>
      <c r="Y73" s="521" t="str">
        <f t="shared" si="21"/>
        <v/>
      </c>
    </row>
    <row r="74" spans="1:25" s="29" customFormat="1" ht="12.75" thickTop="1" thickBot="1">
      <c r="A74" s="145" t="s">
        <v>22</v>
      </c>
      <c r="B74" s="146"/>
      <c r="C74" s="152">
        <f t="shared" ref="C74:H74" si="22">C72+C73</f>
        <v>0</v>
      </c>
      <c r="D74" s="152">
        <f t="shared" si="22"/>
        <v>3.25</v>
      </c>
      <c r="E74" s="152">
        <f t="shared" si="22"/>
        <v>15</v>
      </c>
      <c r="F74" s="152">
        <f t="shared" si="22"/>
        <v>0.25</v>
      </c>
      <c r="G74" s="152">
        <f t="shared" si="22"/>
        <v>0</v>
      </c>
      <c r="H74" s="152">
        <f t="shared" si="22"/>
        <v>18.5</v>
      </c>
      <c r="I74" s="148"/>
      <c r="J74" s="148"/>
      <c r="K74" s="148"/>
      <c r="L74" s="225">
        <f>L72+L73</f>
        <v>1080.008</v>
      </c>
      <c r="M74" s="225">
        <f>M72+M73</f>
        <v>0</v>
      </c>
      <c r="N74" s="226">
        <f>N72+N73</f>
        <v>1</v>
      </c>
      <c r="O74" s="151"/>
      <c r="P74" s="152">
        <f>P72+P73</f>
        <v>197.33333324083335</v>
      </c>
      <c r="Q74" s="227">
        <f>Q72+Q73</f>
        <v>10.666666661666667</v>
      </c>
      <c r="R74" s="227">
        <f>R72+R73</f>
        <v>11530.751994594961</v>
      </c>
      <c r="S74" s="526">
        <f t="shared" ref="S74:Y74" si="23">S72+S73</f>
        <v>0</v>
      </c>
      <c r="T74" s="544">
        <f t="shared" si="23"/>
        <v>10.666666661666667</v>
      </c>
      <c r="U74" s="545">
        <f t="shared" si="23"/>
        <v>5.3333333308333337</v>
      </c>
      <c r="V74" s="227">
        <f t="shared" si="23"/>
        <v>10.666666661666667</v>
      </c>
      <c r="W74" s="545">
        <f t="shared" si="23"/>
        <v>10.666666661666667</v>
      </c>
      <c r="X74" s="545">
        <f t="shared" si="23"/>
        <v>191.99999991000001</v>
      </c>
      <c r="Y74" s="227">
        <f t="shared" si="23"/>
        <v>0</v>
      </c>
    </row>
    <row r="75" spans="1:25" s="29" customFormat="1" ht="12" thickTop="1">
      <c r="A75" s="201" t="s">
        <v>184</v>
      </c>
      <c r="B75" s="202"/>
      <c r="C75" s="203"/>
      <c r="D75" s="203"/>
      <c r="E75" s="203"/>
      <c r="F75" s="203"/>
      <c r="G75" s="203"/>
      <c r="H75" s="203"/>
      <c r="I75" s="204"/>
      <c r="J75" s="204"/>
      <c r="K75" s="204"/>
      <c r="L75" s="205"/>
      <c r="M75" s="205"/>
      <c r="N75" s="206"/>
      <c r="O75" s="207"/>
      <c r="P75" s="208"/>
      <c r="Q75" s="208"/>
      <c r="R75" s="209"/>
      <c r="S75" s="11"/>
      <c r="T75" s="532"/>
      <c r="U75" s="533"/>
      <c r="W75" s="455"/>
      <c r="X75" s="455"/>
    </row>
    <row r="76" spans="1:25" s="29" customFormat="1">
      <c r="A76" s="210"/>
      <c r="B76" s="211" t="s">
        <v>185</v>
      </c>
      <c r="C76" s="212">
        <v>0</v>
      </c>
      <c r="D76" s="212">
        <v>0.25</v>
      </c>
      <c r="E76" s="212">
        <v>10</v>
      </c>
      <c r="F76" s="212">
        <v>0</v>
      </c>
      <c r="G76" s="212">
        <v>0</v>
      </c>
      <c r="H76" s="212">
        <f>SUM(C76:G76)</f>
        <v>10.25</v>
      </c>
      <c r="I76" s="213"/>
      <c r="J76" s="213"/>
      <c r="K76" s="213"/>
      <c r="L76" s="214">
        <f>((C76*$C$9)+(D76*$D$9)+(E76*$E$9)+(F76*$F$9))</f>
        <v>568.53600000000006</v>
      </c>
      <c r="M76" s="214">
        <v>0</v>
      </c>
      <c r="N76" s="185">
        <v>0</v>
      </c>
      <c r="O76" s="196">
        <f>13*1/3</f>
        <v>4.333333333333333</v>
      </c>
      <c r="P76" s="75">
        <f>(C76+D76+E76+F76)*O76</f>
        <v>44.416666666666664</v>
      </c>
      <c r="Q76" s="72">
        <f>(M76+N76)*O76</f>
        <v>0</v>
      </c>
      <c r="R76" s="72">
        <f>(L76+M76+N76)*O76</f>
        <v>2463.6559999999999</v>
      </c>
      <c r="S76" s="11" t="s">
        <v>254</v>
      </c>
      <c r="T76" s="536" t="str">
        <f t="shared" ref="T76:V77" si="24">IF($S76="RP",O76,"")</f>
        <v/>
      </c>
      <c r="U76" s="537" t="str">
        <f t="shared" si="24"/>
        <v/>
      </c>
      <c r="V76" s="521" t="str">
        <f t="shared" si="24"/>
        <v/>
      </c>
      <c r="W76" s="537">
        <f t="shared" ref="W76:Y77" si="25">IF($S76="RK",O76,"")</f>
        <v>4.333333333333333</v>
      </c>
      <c r="X76" s="537">
        <f t="shared" si="25"/>
        <v>44.416666666666664</v>
      </c>
      <c r="Y76" s="521">
        <f t="shared" si="25"/>
        <v>0</v>
      </c>
    </row>
    <row r="77" spans="1:25" s="29" customFormat="1" ht="12" thickBot="1">
      <c r="A77" s="218"/>
      <c r="B77" s="219" t="s">
        <v>186</v>
      </c>
      <c r="C77" s="144">
        <v>0</v>
      </c>
      <c r="D77" s="144">
        <v>0.25</v>
      </c>
      <c r="E77" s="144">
        <v>0</v>
      </c>
      <c r="F77" s="144">
        <v>0.25</v>
      </c>
      <c r="G77" s="106">
        <v>0</v>
      </c>
      <c r="H77" s="136">
        <f>SUM(C77:G77)</f>
        <v>0.5</v>
      </c>
      <c r="I77" s="137"/>
      <c r="J77" s="137"/>
      <c r="K77" s="137"/>
      <c r="L77" s="138">
        <f>((C77*$C$9)+(D77*$D$9)+(E77*$E$9)+(F77*$F$9))</f>
        <v>26.696000000000002</v>
      </c>
      <c r="M77" s="138">
        <v>0</v>
      </c>
      <c r="N77" s="139">
        <v>1</v>
      </c>
      <c r="O77" s="191">
        <f>O76</f>
        <v>4.333333333333333</v>
      </c>
      <c r="P77" s="141">
        <f>(C77+D77+E77+F77)*O77</f>
        <v>2.1666666666666665</v>
      </c>
      <c r="Q77" s="72">
        <f>(M77+N77)*O77</f>
        <v>4.333333333333333</v>
      </c>
      <c r="R77" s="142">
        <f>(L77+M77+N77)*O77</f>
        <v>120.01600000000001</v>
      </c>
      <c r="S77" s="11" t="s">
        <v>259</v>
      </c>
      <c r="T77" s="536">
        <f t="shared" si="24"/>
        <v>4.333333333333333</v>
      </c>
      <c r="U77" s="537">
        <f t="shared" si="24"/>
        <v>2.1666666666666665</v>
      </c>
      <c r="V77" s="521">
        <f t="shared" si="24"/>
        <v>4.333333333333333</v>
      </c>
      <c r="W77" s="537" t="str">
        <f t="shared" si="25"/>
        <v/>
      </c>
      <c r="X77" s="537" t="str">
        <f t="shared" si="25"/>
        <v/>
      </c>
      <c r="Y77" s="521" t="str">
        <f t="shared" si="25"/>
        <v/>
      </c>
    </row>
    <row r="78" spans="1:25" s="29" customFormat="1" ht="12.75" thickTop="1" thickBot="1">
      <c r="A78" s="145" t="s">
        <v>22</v>
      </c>
      <c r="B78" s="146"/>
      <c r="C78" s="147">
        <f t="shared" ref="C78:H78" si="26">(C76+C77)</f>
        <v>0</v>
      </c>
      <c r="D78" s="147">
        <f t="shared" si="26"/>
        <v>0.5</v>
      </c>
      <c r="E78" s="147">
        <f t="shared" si="26"/>
        <v>10</v>
      </c>
      <c r="F78" s="147">
        <f t="shared" si="26"/>
        <v>0.25</v>
      </c>
      <c r="G78" s="147">
        <f t="shared" si="26"/>
        <v>0</v>
      </c>
      <c r="H78" s="147">
        <f t="shared" si="26"/>
        <v>10.75</v>
      </c>
      <c r="I78" s="148"/>
      <c r="J78" s="148"/>
      <c r="K78" s="148"/>
      <c r="L78" s="149">
        <f>(L76+L77)</f>
        <v>595.23200000000008</v>
      </c>
      <c r="M78" s="149">
        <f>(M76+M77)</f>
        <v>0</v>
      </c>
      <c r="N78" s="150">
        <f>(N76+N77)</f>
        <v>1</v>
      </c>
      <c r="O78" s="220"/>
      <c r="P78" s="147">
        <f>(P76+P77)</f>
        <v>46.583333333333329</v>
      </c>
      <c r="Q78" s="153">
        <f>(Q76+Q77)</f>
        <v>4.333333333333333</v>
      </c>
      <c r="R78" s="153">
        <f>(R76+R77)</f>
        <v>2583.672</v>
      </c>
      <c r="S78" s="323">
        <f t="shared" ref="S78:Y78" si="27">(S76+S77)</f>
        <v>0</v>
      </c>
      <c r="T78" s="85">
        <f t="shared" si="27"/>
        <v>4.333333333333333</v>
      </c>
      <c r="U78" s="543">
        <f t="shared" si="27"/>
        <v>2.1666666666666665</v>
      </c>
      <c r="V78" s="153">
        <f t="shared" si="27"/>
        <v>4.333333333333333</v>
      </c>
      <c r="W78" s="543">
        <f t="shared" si="27"/>
        <v>4.333333333333333</v>
      </c>
      <c r="X78" s="543">
        <f t="shared" si="27"/>
        <v>44.416666666666664</v>
      </c>
      <c r="Y78" s="153">
        <f t="shared" si="27"/>
        <v>0</v>
      </c>
    </row>
    <row r="79" spans="1:25" s="29" customFormat="1" ht="12" thickTop="1">
      <c r="A79" s="201" t="s">
        <v>215</v>
      </c>
      <c r="B79" s="202"/>
      <c r="C79" s="203"/>
      <c r="D79" s="203"/>
      <c r="E79" s="203"/>
      <c r="F79" s="203"/>
      <c r="G79" s="203"/>
      <c r="H79" s="203"/>
      <c r="I79" s="204"/>
      <c r="J79" s="204"/>
      <c r="K79" s="204"/>
      <c r="L79" s="205"/>
      <c r="M79" s="205"/>
      <c r="N79" s="206"/>
      <c r="O79" s="207"/>
      <c r="P79" s="208"/>
      <c r="Q79" s="208"/>
      <c r="R79" s="209"/>
      <c r="S79" s="11"/>
      <c r="T79" s="532"/>
      <c r="U79" s="533"/>
      <c r="W79" s="455"/>
      <c r="X79" s="455"/>
    </row>
    <row r="80" spans="1:25" s="29" customFormat="1">
      <c r="A80" s="228"/>
      <c r="B80" s="229" t="s">
        <v>187</v>
      </c>
      <c r="C80" s="230"/>
      <c r="D80" s="230"/>
      <c r="E80" s="230"/>
      <c r="F80" s="230"/>
      <c r="G80" s="230"/>
      <c r="H80" s="230"/>
      <c r="I80" s="231"/>
      <c r="J80" s="231"/>
      <c r="K80" s="231"/>
      <c r="L80" s="232"/>
      <c r="M80" s="232"/>
      <c r="N80" s="129"/>
      <c r="O80" s="191"/>
      <c r="P80" s="233"/>
      <c r="Q80" s="233"/>
      <c r="R80" s="112"/>
      <c r="S80" s="11"/>
      <c r="T80" s="532"/>
      <c r="U80" s="533"/>
      <c r="W80" s="455"/>
      <c r="X80" s="455"/>
    </row>
    <row r="81" spans="1:25" s="172" customFormat="1">
      <c r="A81" s="215"/>
      <c r="B81" s="211" t="s">
        <v>216</v>
      </c>
      <c r="C81" s="212">
        <v>0</v>
      </c>
      <c r="D81" s="212">
        <v>0.5</v>
      </c>
      <c r="E81" s="212">
        <v>15</v>
      </c>
      <c r="F81" s="212">
        <v>0</v>
      </c>
      <c r="G81" s="195">
        <v>0</v>
      </c>
      <c r="H81" s="195">
        <f>SUM(C81:F81)</f>
        <v>15.5</v>
      </c>
      <c r="I81" s="221"/>
      <c r="J81" s="221"/>
      <c r="K81" s="221"/>
      <c r="L81" s="222">
        <f>((C81*$C$9)+(D81*$D$9)+(E81*$E$9)+(F81*$F$9))</f>
        <v>862.3520000000002</v>
      </c>
      <c r="M81" s="222"/>
      <c r="N81" s="73"/>
      <c r="O81" s="473">
        <f>0.1*O9</f>
        <v>2.1333333323333337</v>
      </c>
      <c r="P81" s="75">
        <f>(C81+D81+E81+F81)*O81</f>
        <v>33.06666665116667</v>
      </c>
      <c r="Q81" s="72">
        <f>(M81+N81)*O81</f>
        <v>0</v>
      </c>
      <c r="R81" s="72">
        <f>(L81+M81+N81)*O81</f>
        <v>1839.6842658043154</v>
      </c>
      <c r="S81" s="171" t="s">
        <v>254</v>
      </c>
      <c r="T81" s="536" t="str">
        <f t="shared" ref="T81:V82" si="28">IF($S81="RP",O81,"")</f>
        <v/>
      </c>
      <c r="U81" s="537" t="str">
        <f t="shared" si="28"/>
        <v/>
      </c>
      <c r="V81" s="521" t="str">
        <f t="shared" si="28"/>
        <v/>
      </c>
      <c r="W81" s="537">
        <f t="shared" ref="W81:Y82" si="29">IF($S81="RK",O81,"")</f>
        <v>2.1333333323333337</v>
      </c>
      <c r="X81" s="537">
        <f t="shared" si="29"/>
        <v>33.06666665116667</v>
      </c>
      <c r="Y81" s="521">
        <f t="shared" si="29"/>
        <v>0</v>
      </c>
    </row>
    <row r="82" spans="1:25" s="29" customFormat="1" ht="12" thickBot="1">
      <c r="A82" s="224"/>
      <c r="B82" s="219" t="s">
        <v>186</v>
      </c>
      <c r="C82" s="144">
        <v>0</v>
      </c>
      <c r="D82" s="144">
        <v>0.25</v>
      </c>
      <c r="E82" s="144">
        <v>0</v>
      </c>
      <c r="F82" s="144">
        <v>0.25</v>
      </c>
      <c r="G82" s="106">
        <v>0</v>
      </c>
      <c r="H82" s="136">
        <f>SUM(C82:G82)</f>
        <v>0.5</v>
      </c>
      <c r="I82" s="137"/>
      <c r="J82" s="137"/>
      <c r="K82" s="137"/>
      <c r="L82" s="138">
        <f>((C82*$C$9)+(D82*$D$9)+(E82*$E$9)+(F82*$F$9))</f>
        <v>26.696000000000002</v>
      </c>
      <c r="M82" s="138">
        <v>0</v>
      </c>
      <c r="N82" s="139">
        <v>0</v>
      </c>
      <c r="O82" s="474">
        <f>0.1*O9</f>
        <v>2.1333333323333337</v>
      </c>
      <c r="P82" s="141">
        <f>(C82+D82+E82+F82)*O82</f>
        <v>1.0666666661666668</v>
      </c>
      <c r="Q82" s="72">
        <f>(M82+N82)*O82</f>
        <v>0</v>
      </c>
      <c r="R82" s="142">
        <f>(L82+M82+N82)*O82</f>
        <v>56.951466639970675</v>
      </c>
      <c r="S82" s="11" t="s">
        <v>259</v>
      </c>
      <c r="T82" s="536">
        <f t="shared" si="28"/>
        <v>2.1333333323333337</v>
      </c>
      <c r="U82" s="537">
        <f t="shared" si="28"/>
        <v>1.0666666661666668</v>
      </c>
      <c r="V82" s="521">
        <f t="shared" si="28"/>
        <v>0</v>
      </c>
      <c r="W82" s="537" t="str">
        <f t="shared" si="29"/>
        <v/>
      </c>
      <c r="X82" s="537" t="str">
        <f t="shared" si="29"/>
        <v/>
      </c>
      <c r="Y82" s="521" t="str">
        <f t="shared" si="29"/>
        <v/>
      </c>
    </row>
    <row r="83" spans="1:25" s="29" customFormat="1" ht="12.75" thickTop="1" thickBot="1">
      <c r="A83" s="145" t="s">
        <v>22</v>
      </c>
      <c r="B83" s="146"/>
      <c r="C83" s="147">
        <f t="shared" ref="C83:H83" si="30">(C81+C82)</f>
        <v>0</v>
      </c>
      <c r="D83" s="147">
        <f t="shared" si="30"/>
        <v>0.75</v>
      </c>
      <c r="E83" s="147">
        <f t="shared" si="30"/>
        <v>15</v>
      </c>
      <c r="F83" s="147">
        <f t="shared" si="30"/>
        <v>0.25</v>
      </c>
      <c r="G83" s="147">
        <f t="shared" si="30"/>
        <v>0</v>
      </c>
      <c r="H83" s="147">
        <f t="shared" si="30"/>
        <v>16</v>
      </c>
      <c r="I83" s="148"/>
      <c r="J83" s="148"/>
      <c r="K83" s="148"/>
      <c r="L83" s="149">
        <f>(L81+L82)</f>
        <v>889.04800000000023</v>
      </c>
      <c r="M83" s="149">
        <f>(M81+M82)</f>
        <v>0</v>
      </c>
      <c r="N83" s="150">
        <f>(N81+N82)</f>
        <v>0</v>
      </c>
      <c r="O83" s="151"/>
      <c r="P83" s="147">
        <f>(P81+P82)</f>
        <v>34.133333317333339</v>
      </c>
      <c r="Q83" s="153">
        <f>(Q81+Q82)</f>
        <v>0</v>
      </c>
      <c r="R83" s="153">
        <f>(R81+R82)</f>
        <v>1896.6357324442861</v>
      </c>
      <c r="S83" s="323"/>
      <c r="T83" s="85">
        <f t="shared" ref="T83:Y83" si="31">(T81+T82)</f>
        <v>2.1333333323333337</v>
      </c>
      <c r="U83" s="543">
        <f t="shared" si="31"/>
        <v>1.0666666661666668</v>
      </c>
      <c r="V83" s="153">
        <f t="shared" si="31"/>
        <v>0</v>
      </c>
      <c r="W83" s="543">
        <f t="shared" si="31"/>
        <v>2.1333333323333337</v>
      </c>
      <c r="X83" s="543">
        <f t="shared" si="31"/>
        <v>33.06666665116667</v>
      </c>
      <c r="Y83" s="153">
        <f t="shared" si="31"/>
        <v>0</v>
      </c>
    </row>
    <row r="84" spans="1:25" s="29" customFormat="1" ht="12" thickTop="1">
      <c r="A84" s="201" t="s">
        <v>188</v>
      </c>
      <c r="B84" s="202"/>
      <c r="C84" s="203"/>
      <c r="D84" s="203"/>
      <c r="E84" s="203"/>
      <c r="F84" s="203"/>
      <c r="G84" s="203"/>
      <c r="H84" s="203"/>
      <c r="I84" s="204"/>
      <c r="J84" s="204"/>
      <c r="K84" s="204"/>
      <c r="L84" s="205"/>
      <c r="M84" s="205"/>
      <c r="N84" s="206"/>
      <c r="O84" s="207"/>
      <c r="P84" s="208"/>
      <c r="Q84" s="208"/>
      <c r="R84" s="209"/>
      <c r="S84" s="11"/>
      <c r="T84" s="455"/>
      <c r="U84" s="533"/>
      <c r="W84" s="455"/>
      <c r="X84" s="455"/>
    </row>
    <row r="85" spans="1:25" s="29" customFormat="1">
      <c r="A85" s="228"/>
      <c r="B85" s="229" t="s">
        <v>210</v>
      </c>
      <c r="C85" s="230"/>
      <c r="D85" s="230"/>
      <c r="E85" s="230"/>
      <c r="F85" s="230"/>
      <c r="G85" s="230"/>
      <c r="H85" s="230"/>
      <c r="I85" s="231"/>
      <c r="J85" s="231"/>
      <c r="K85" s="231"/>
      <c r="L85" s="232"/>
      <c r="M85" s="232"/>
      <c r="N85" s="129"/>
      <c r="O85" s="191"/>
      <c r="P85" s="233"/>
      <c r="Q85" s="233"/>
      <c r="R85" s="112"/>
      <c r="S85" s="11"/>
      <c r="T85" s="536"/>
      <c r="U85" s="537"/>
      <c r="V85" s="521"/>
      <c r="W85" s="537"/>
      <c r="X85" s="537"/>
      <c r="Y85" s="521"/>
    </row>
    <row r="86" spans="1:25" s="172" customFormat="1" ht="12" thickBot="1">
      <c r="A86" s="215"/>
      <c r="B86" s="211" t="s">
        <v>211</v>
      </c>
      <c r="C86" s="230">
        <v>0</v>
      </c>
      <c r="D86" s="230">
        <v>0.5</v>
      </c>
      <c r="E86" s="230">
        <v>5</v>
      </c>
      <c r="F86" s="230">
        <v>0</v>
      </c>
      <c r="G86" s="230">
        <v>0</v>
      </c>
      <c r="H86" s="230">
        <f>SUM(C86:G86)</f>
        <v>5.5</v>
      </c>
      <c r="I86" s="231"/>
      <c r="J86" s="231"/>
      <c r="K86" s="231"/>
      <c r="L86" s="232">
        <f>((C86*$C$9)+(D86*$D$9)+(E86*$E$9)+(F86*$F$9))</f>
        <v>312.91200000000003</v>
      </c>
      <c r="M86" s="232">
        <v>0</v>
      </c>
      <c r="N86" s="129">
        <v>1</v>
      </c>
      <c r="O86" s="191">
        <f>O9</f>
        <v>21.333333323333335</v>
      </c>
      <c r="P86" s="233">
        <f>(C86+D86+E86+F86)*O86</f>
        <v>117.33333327833334</v>
      </c>
      <c r="Q86" s="72">
        <f>(M86+N86)*O86</f>
        <v>21.333333323333335</v>
      </c>
      <c r="R86" s="112">
        <f>(L86+M86+N86)*O86</f>
        <v>6696.7893301942149</v>
      </c>
      <c r="S86" s="171" t="s">
        <v>254</v>
      </c>
      <c r="T86" s="536" t="str">
        <f>IF($S86="RP",O86,"")</f>
        <v/>
      </c>
      <c r="U86" s="537" t="str">
        <f>IF($S86="RP",P86,"")</f>
        <v/>
      </c>
      <c r="V86" s="521" t="str">
        <f>IF($S86="RP",Q86,"")</f>
        <v/>
      </c>
      <c r="W86" s="537">
        <f>IF($S86="RK",O86,"")</f>
        <v>21.333333323333335</v>
      </c>
      <c r="X86" s="537">
        <f>IF($S86="RK",P86,"")</f>
        <v>117.33333327833334</v>
      </c>
      <c r="Y86" s="521">
        <f>IF($S86="RK",Q86,"")</f>
        <v>21.333333323333335</v>
      </c>
    </row>
    <row r="87" spans="1:25" s="29" customFormat="1" ht="12.75" thickTop="1" thickBot="1">
      <c r="A87" s="145" t="s">
        <v>22</v>
      </c>
      <c r="B87" s="146"/>
      <c r="C87" s="147">
        <f t="shared" ref="C87:H87" si="32">(C86)</f>
        <v>0</v>
      </c>
      <c r="D87" s="147">
        <f t="shared" si="32"/>
        <v>0.5</v>
      </c>
      <c r="E87" s="147">
        <f t="shared" si="32"/>
        <v>5</v>
      </c>
      <c r="F87" s="147">
        <f t="shared" si="32"/>
        <v>0</v>
      </c>
      <c r="G87" s="147">
        <f t="shared" si="32"/>
        <v>0</v>
      </c>
      <c r="H87" s="147">
        <f t="shared" si="32"/>
        <v>5.5</v>
      </c>
      <c r="I87" s="148"/>
      <c r="J87" s="148"/>
      <c r="K87" s="148"/>
      <c r="L87" s="149">
        <f>(L86)</f>
        <v>312.91200000000003</v>
      </c>
      <c r="M87" s="149">
        <f>(M86)</f>
        <v>0</v>
      </c>
      <c r="N87" s="150">
        <f>(N86)</f>
        <v>1</v>
      </c>
      <c r="O87" s="151"/>
      <c r="P87" s="147">
        <f>(P86)</f>
        <v>117.33333327833334</v>
      </c>
      <c r="Q87" s="153">
        <f>(Q86)</f>
        <v>21.333333323333335</v>
      </c>
      <c r="R87" s="153">
        <f>(R86)</f>
        <v>6696.7893301942149</v>
      </c>
      <c r="S87" s="153"/>
      <c r="T87" s="543" t="str">
        <f t="shared" ref="T87:Y87" si="33">(T86)</f>
        <v/>
      </c>
      <c r="U87" s="543" t="str">
        <f t="shared" si="33"/>
        <v/>
      </c>
      <c r="V87" s="153" t="str">
        <f t="shared" si="33"/>
        <v/>
      </c>
      <c r="W87" s="543">
        <f t="shared" si="33"/>
        <v>21.333333323333335</v>
      </c>
      <c r="X87" s="543">
        <f t="shared" si="33"/>
        <v>117.33333327833334</v>
      </c>
      <c r="Y87" s="153">
        <f t="shared" si="33"/>
        <v>21.333333323333335</v>
      </c>
    </row>
    <row r="88" spans="1:25" s="29" customFormat="1" ht="12" thickTop="1">
      <c r="A88" s="201" t="s">
        <v>189</v>
      </c>
      <c r="B88" s="202"/>
      <c r="C88" s="203"/>
      <c r="D88" s="203"/>
      <c r="E88" s="203"/>
      <c r="F88" s="203"/>
      <c r="G88" s="203"/>
      <c r="H88" s="203"/>
      <c r="I88" s="204"/>
      <c r="J88" s="204"/>
      <c r="K88" s="204"/>
      <c r="L88" s="205"/>
      <c r="M88" s="205"/>
      <c r="N88" s="206"/>
      <c r="O88" s="207"/>
      <c r="P88" s="208"/>
      <c r="Q88" s="208"/>
      <c r="R88" s="209"/>
      <c r="S88" s="11"/>
      <c r="T88" s="455"/>
      <c r="U88" s="533"/>
      <c r="W88" s="455"/>
      <c r="X88" s="455"/>
    </row>
    <row r="89" spans="1:25" s="172" customFormat="1">
      <c r="A89" s="215"/>
      <c r="B89" s="211" t="s">
        <v>190</v>
      </c>
      <c r="C89" s="212">
        <v>0</v>
      </c>
      <c r="D89" s="212">
        <v>0.25</v>
      </c>
      <c r="E89" s="212">
        <v>5</v>
      </c>
      <c r="F89" s="212">
        <v>0.1</v>
      </c>
      <c r="G89" s="212">
        <v>0</v>
      </c>
      <c r="H89" s="212">
        <f>SUM(C89:G89)</f>
        <v>5.35</v>
      </c>
      <c r="I89" s="213"/>
      <c r="J89" s="213"/>
      <c r="K89" s="213"/>
      <c r="L89" s="214">
        <f>((C89*$C$9)+(D89*$D$9)+(E89*$E$9)+(F89*$F$9))</f>
        <v>296.85600000000005</v>
      </c>
      <c r="M89" s="214">
        <v>0</v>
      </c>
      <c r="N89" s="185">
        <v>0</v>
      </c>
      <c r="O89" s="473">
        <f>0.1*O9</f>
        <v>2.1333333323333337</v>
      </c>
      <c r="P89" s="75">
        <f>(C89+D89+E89+F89)*O89</f>
        <v>11.413333327983334</v>
      </c>
      <c r="Q89" s="72">
        <f>(M89+N89)*O89</f>
        <v>0</v>
      </c>
      <c r="R89" s="72">
        <f>(L89+M89+N89)*O89</f>
        <v>633.29279970314417</v>
      </c>
      <c r="S89" s="171" t="s">
        <v>254</v>
      </c>
      <c r="T89" s="536" t="str">
        <f t="shared" ref="T89:V90" si="34">IF($S89="RP",O89,"")</f>
        <v/>
      </c>
      <c r="U89" s="537" t="str">
        <f t="shared" si="34"/>
        <v/>
      </c>
      <c r="V89" s="521" t="str">
        <f t="shared" si="34"/>
        <v/>
      </c>
      <c r="W89" s="537">
        <f t="shared" ref="W89:Y90" si="35">IF($S89="RK",O89,"")</f>
        <v>2.1333333323333337</v>
      </c>
      <c r="X89" s="537">
        <f t="shared" si="35"/>
        <v>11.413333327983334</v>
      </c>
      <c r="Y89" s="521">
        <f t="shared" si="35"/>
        <v>0</v>
      </c>
    </row>
    <row r="90" spans="1:25" s="172" customFormat="1" ht="12" thickBot="1">
      <c r="A90" s="215"/>
      <c r="B90" s="211" t="s">
        <v>97</v>
      </c>
      <c r="C90" s="212">
        <v>0</v>
      </c>
      <c r="D90" s="212">
        <v>0.25</v>
      </c>
      <c r="E90" s="212">
        <v>0</v>
      </c>
      <c r="F90" s="212">
        <v>0.25</v>
      </c>
      <c r="G90" s="212">
        <v>0</v>
      </c>
      <c r="H90" s="212">
        <f>SUM(C90:G90)</f>
        <v>0.5</v>
      </c>
      <c r="I90" s="213"/>
      <c r="J90" s="213"/>
      <c r="K90" s="213"/>
      <c r="L90" s="214">
        <f>((C90*$C$9)+(D90*$D$9)+(E90*$E$9)+(F90*$F$9))</f>
        <v>26.696000000000002</v>
      </c>
      <c r="M90" s="214">
        <v>0</v>
      </c>
      <c r="N90" s="185">
        <v>1</v>
      </c>
      <c r="O90" s="473">
        <f>0.1*O9</f>
        <v>2.1333333323333337</v>
      </c>
      <c r="P90" s="75">
        <f>(C90+D90+E90+F90)*O90</f>
        <v>1.0666666661666668</v>
      </c>
      <c r="Q90" s="72">
        <f>(M90+N90)*O90</f>
        <v>2.1333333323333337</v>
      </c>
      <c r="R90" s="72">
        <f>(L90+M90+N90)*O90</f>
        <v>59.084799972304012</v>
      </c>
      <c r="S90" s="171" t="s">
        <v>259</v>
      </c>
      <c r="T90" s="536">
        <f t="shared" si="34"/>
        <v>2.1333333323333337</v>
      </c>
      <c r="U90" s="537">
        <f t="shared" si="34"/>
        <v>1.0666666661666668</v>
      </c>
      <c r="V90" s="521">
        <f t="shared" si="34"/>
        <v>2.1333333323333337</v>
      </c>
      <c r="W90" s="537" t="str">
        <f t="shared" si="35"/>
        <v/>
      </c>
      <c r="X90" s="537" t="str">
        <f t="shared" si="35"/>
        <v/>
      </c>
      <c r="Y90" s="521" t="str">
        <f t="shared" si="35"/>
        <v/>
      </c>
    </row>
    <row r="91" spans="1:25" s="29" customFormat="1" ht="12.75" thickTop="1" thickBot="1">
      <c r="A91" s="145" t="s">
        <v>22</v>
      </c>
      <c r="B91" s="146"/>
      <c r="C91" s="147">
        <f t="shared" ref="C91:H91" si="36">(C89+C90)</f>
        <v>0</v>
      </c>
      <c r="D91" s="147">
        <f t="shared" si="36"/>
        <v>0.5</v>
      </c>
      <c r="E91" s="147">
        <f t="shared" si="36"/>
        <v>5</v>
      </c>
      <c r="F91" s="147">
        <f t="shared" si="36"/>
        <v>0.35</v>
      </c>
      <c r="G91" s="147">
        <f t="shared" si="36"/>
        <v>0</v>
      </c>
      <c r="H91" s="147">
        <f t="shared" si="36"/>
        <v>5.85</v>
      </c>
      <c r="I91" s="148"/>
      <c r="J91" s="148"/>
      <c r="K91" s="148"/>
      <c r="L91" s="149">
        <f>(L89+L90)</f>
        <v>323.55200000000008</v>
      </c>
      <c r="M91" s="149">
        <f>(M89+M90)</f>
        <v>0</v>
      </c>
      <c r="N91" s="150">
        <f>(N89+N90)</f>
        <v>1</v>
      </c>
      <c r="O91" s="475"/>
      <c r="P91" s="147">
        <f>(P89+P90)</f>
        <v>12.479999994150001</v>
      </c>
      <c r="Q91" s="153">
        <f>(Q89+Q90)</f>
        <v>2.1333333323333337</v>
      </c>
      <c r="R91" s="153">
        <f>(R89+R90)</f>
        <v>692.37759967544821</v>
      </c>
      <c r="S91" s="153">
        <f t="shared" ref="S91:Y91" si="37">(S89+S90)</f>
        <v>0</v>
      </c>
      <c r="T91" s="543">
        <f t="shared" si="37"/>
        <v>2.1333333323333337</v>
      </c>
      <c r="U91" s="543">
        <f t="shared" si="37"/>
        <v>1.0666666661666668</v>
      </c>
      <c r="V91" s="153">
        <f t="shared" si="37"/>
        <v>2.1333333323333337</v>
      </c>
      <c r="W91" s="543">
        <f t="shared" si="37"/>
        <v>2.1333333323333337</v>
      </c>
      <c r="X91" s="543">
        <f t="shared" si="37"/>
        <v>11.413333327983334</v>
      </c>
      <c r="Y91" s="153">
        <f t="shared" si="37"/>
        <v>0</v>
      </c>
    </row>
    <row r="92" spans="1:25" s="29" customFormat="1" ht="12" thickTop="1">
      <c r="A92" s="201" t="s">
        <v>191</v>
      </c>
      <c r="B92" s="202"/>
      <c r="C92" s="203"/>
      <c r="D92" s="203"/>
      <c r="E92" s="203"/>
      <c r="F92" s="203"/>
      <c r="G92" s="203"/>
      <c r="H92" s="203"/>
      <c r="I92" s="204"/>
      <c r="J92" s="204"/>
      <c r="K92" s="204"/>
      <c r="L92" s="205"/>
      <c r="M92" s="205"/>
      <c r="N92" s="206"/>
      <c r="O92" s="207"/>
      <c r="P92" s="208"/>
      <c r="Q92" s="208"/>
      <c r="R92" s="209"/>
      <c r="S92" s="11"/>
      <c r="T92" s="455"/>
      <c r="U92" s="533"/>
      <c r="W92" s="455"/>
      <c r="X92" s="455"/>
    </row>
    <row r="93" spans="1:25" s="172" customFormat="1">
      <c r="A93" s="215"/>
      <c r="B93" s="211" t="s">
        <v>192</v>
      </c>
      <c r="C93" s="212">
        <v>0</v>
      </c>
      <c r="D93" s="212">
        <v>0.25</v>
      </c>
      <c r="E93" s="212">
        <v>5</v>
      </c>
      <c r="F93" s="212">
        <v>0.1</v>
      </c>
      <c r="G93" s="212">
        <v>0</v>
      </c>
      <c r="H93" s="212">
        <f>SUM(C93:G93)</f>
        <v>5.35</v>
      </c>
      <c r="I93" s="213"/>
      <c r="J93" s="213"/>
      <c r="K93" s="213"/>
      <c r="L93" s="214">
        <f>((C93*$C$9)+(D93*$D$9)+(E93*$E$9)+(F93*$F$9))</f>
        <v>296.85600000000005</v>
      </c>
      <c r="M93" s="214">
        <v>0</v>
      </c>
      <c r="N93" s="185">
        <v>0</v>
      </c>
      <c r="O93" s="196">
        <f>18.7/3</f>
        <v>6.2333333333333334</v>
      </c>
      <c r="P93" s="75">
        <f>(C93+D93+E93+F93)*O93</f>
        <v>33.348333333333329</v>
      </c>
      <c r="Q93" s="72">
        <f>(M93+N93)*O93</f>
        <v>0</v>
      </c>
      <c r="R93" s="72">
        <f>(L93+M93+N93)*O93</f>
        <v>1850.4024000000004</v>
      </c>
      <c r="S93" s="171" t="s">
        <v>254</v>
      </c>
      <c r="T93" s="536" t="str">
        <f t="shared" ref="T93:V94" si="38">IF($S93="RP",O93,"")</f>
        <v/>
      </c>
      <c r="U93" s="537" t="str">
        <f t="shared" si="38"/>
        <v/>
      </c>
      <c r="V93" s="521" t="str">
        <f t="shared" si="38"/>
        <v/>
      </c>
      <c r="W93" s="537">
        <f t="shared" ref="W93:Y94" si="39">IF($S93="RK",O93,"")</f>
        <v>6.2333333333333334</v>
      </c>
      <c r="X93" s="537">
        <f t="shared" si="39"/>
        <v>33.348333333333329</v>
      </c>
      <c r="Y93" s="521">
        <f t="shared" si="39"/>
        <v>0</v>
      </c>
    </row>
    <row r="94" spans="1:25" s="172" customFormat="1" ht="12" thickBot="1">
      <c r="A94" s="215"/>
      <c r="B94" s="211" t="s">
        <v>97</v>
      </c>
      <c r="C94" s="212">
        <v>0</v>
      </c>
      <c r="D94" s="212">
        <v>0.25</v>
      </c>
      <c r="E94" s="212">
        <v>0</v>
      </c>
      <c r="F94" s="212">
        <v>0.25</v>
      </c>
      <c r="G94" s="212">
        <v>0</v>
      </c>
      <c r="H94" s="212">
        <f>SUM(C94:G94)</f>
        <v>0.5</v>
      </c>
      <c r="I94" s="213"/>
      <c r="J94" s="213"/>
      <c r="K94" s="213"/>
      <c r="L94" s="214">
        <f>((C94*$C$9)+(D94*$D$9)+(E94*$E$9)+(F94*$F$9))</f>
        <v>26.696000000000002</v>
      </c>
      <c r="M94" s="214">
        <v>0</v>
      </c>
      <c r="N94" s="185">
        <v>1</v>
      </c>
      <c r="O94" s="196">
        <f>18.7/3</f>
        <v>6.2333333333333334</v>
      </c>
      <c r="P94" s="75">
        <f>(C94+D94+E94+F94)*O94</f>
        <v>3.1166666666666667</v>
      </c>
      <c r="Q94" s="72">
        <f>(M94+N94)*O94</f>
        <v>6.2333333333333334</v>
      </c>
      <c r="R94" s="72">
        <f>(L94+M94+N94)*O94</f>
        <v>172.63840000000002</v>
      </c>
      <c r="S94" s="171" t="s">
        <v>259</v>
      </c>
      <c r="T94" s="536">
        <f t="shared" si="38"/>
        <v>6.2333333333333334</v>
      </c>
      <c r="U94" s="537">
        <f t="shared" si="38"/>
        <v>3.1166666666666667</v>
      </c>
      <c r="V94" s="521">
        <f t="shared" si="38"/>
        <v>6.2333333333333334</v>
      </c>
      <c r="W94" s="537" t="str">
        <f t="shared" si="39"/>
        <v/>
      </c>
      <c r="X94" s="537" t="str">
        <f t="shared" si="39"/>
        <v/>
      </c>
      <c r="Y94" s="521" t="str">
        <f t="shared" si="39"/>
        <v/>
      </c>
    </row>
    <row r="95" spans="1:25" s="29" customFormat="1" ht="12.75" thickTop="1" thickBot="1">
      <c r="A95" s="145" t="s">
        <v>22</v>
      </c>
      <c r="B95" s="146"/>
      <c r="C95" s="147">
        <f t="shared" ref="C95:H95" si="40">(C93+C94)</f>
        <v>0</v>
      </c>
      <c r="D95" s="147">
        <f t="shared" si="40"/>
        <v>0.5</v>
      </c>
      <c r="E95" s="147">
        <f t="shared" si="40"/>
        <v>5</v>
      </c>
      <c r="F95" s="147">
        <f t="shared" si="40"/>
        <v>0.35</v>
      </c>
      <c r="G95" s="147">
        <f t="shared" si="40"/>
        <v>0</v>
      </c>
      <c r="H95" s="147">
        <f t="shared" si="40"/>
        <v>5.85</v>
      </c>
      <c r="I95" s="148"/>
      <c r="J95" s="148"/>
      <c r="K95" s="148"/>
      <c r="L95" s="149">
        <f>(L93+L94)</f>
        <v>323.55200000000008</v>
      </c>
      <c r="M95" s="149">
        <f>(M93+M94)</f>
        <v>0</v>
      </c>
      <c r="N95" s="150">
        <f>(N93+N94)</f>
        <v>1</v>
      </c>
      <c r="O95" s="151"/>
      <c r="P95" s="147">
        <f>(P93+P94)</f>
        <v>36.464999999999996</v>
      </c>
      <c r="Q95" s="153">
        <f>(Q93+Q94)</f>
        <v>6.2333333333333334</v>
      </c>
      <c r="R95" s="153">
        <f>(R93+R94)</f>
        <v>2023.0408000000004</v>
      </c>
      <c r="S95" s="153">
        <f t="shared" ref="S95:Y95" si="41">(S93+S94)</f>
        <v>0</v>
      </c>
      <c r="T95" s="543">
        <f t="shared" si="41"/>
        <v>6.2333333333333334</v>
      </c>
      <c r="U95" s="543">
        <f t="shared" si="41"/>
        <v>3.1166666666666667</v>
      </c>
      <c r="V95" s="153">
        <f t="shared" si="41"/>
        <v>6.2333333333333334</v>
      </c>
      <c r="W95" s="543">
        <f t="shared" si="41"/>
        <v>6.2333333333333334</v>
      </c>
      <c r="X95" s="543">
        <f t="shared" si="41"/>
        <v>33.348333333333329</v>
      </c>
      <c r="Y95" s="153">
        <f t="shared" si="41"/>
        <v>0</v>
      </c>
    </row>
    <row r="96" spans="1:25" s="29" customFormat="1" ht="12" thickTop="1">
      <c r="A96" s="201" t="s">
        <v>193</v>
      </c>
      <c r="B96" s="202"/>
      <c r="C96" s="203"/>
      <c r="D96" s="203"/>
      <c r="E96" s="203"/>
      <c r="F96" s="203"/>
      <c r="G96" s="203"/>
      <c r="H96" s="203"/>
      <c r="I96" s="204"/>
      <c r="J96" s="204"/>
      <c r="K96" s="204"/>
      <c r="L96" s="205"/>
      <c r="M96" s="205"/>
      <c r="N96" s="206"/>
      <c r="O96" s="207"/>
      <c r="P96" s="208"/>
      <c r="Q96" s="208"/>
      <c r="R96" s="209"/>
      <c r="S96" s="11"/>
      <c r="T96" s="455"/>
      <c r="U96" s="533"/>
      <c r="W96" s="455"/>
      <c r="X96" s="455"/>
    </row>
    <row r="97" spans="1:25" s="29" customFormat="1">
      <c r="A97" s="228"/>
      <c r="B97" s="229" t="s">
        <v>194</v>
      </c>
      <c r="C97" s="230"/>
      <c r="D97" s="230"/>
      <c r="E97" s="230"/>
      <c r="F97" s="230"/>
      <c r="G97" s="230"/>
      <c r="H97" s="230"/>
      <c r="I97" s="231"/>
      <c r="J97" s="231"/>
      <c r="K97" s="231"/>
      <c r="L97" s="232"/>
      <c r="M97" s="232"/>
      <c r="N97" s="129"/>
      <c r="O97" s="191"/>
      <c r="P97" s="233"/>
      <c r="Q97" s="233"/>
      <c r="R97" s="112"/>
      <c r="S97" s="11"/>
      <c r="T97" s="455"/>
      <c r="U97" s="533"/>
      <c r="W97" s="455"/>
      <c r="X97" s="455"/>
    </row>
    <row r="98" spans="1:25" s="29" customFormat="1">
      <c r="A98" s="228"/>
      <c r="B98" s="229" t="s">
        <v>195</v>
      </c>
      <c r="C98" s="230">
        <v>0</v>
      </c>
      <c r="D98" s="230">
        <v>0.5</v>
      </c>
      <c r="E98" s="230">
        <v>2</v>
      </c>
      <c r="F98" s="230">
        <v>0</v>
      </c>
      <c r="G98" s="230">
        <v>0</v>
      </c>
      <c r="H98" s="230">
        <f>SUM(C98:G98)</f>
        <v>2.5</v>
      </c>
      <c r="I98" s="231"/>
      <c r="J98" s="231"/>
      <c r="K98" s="231"/>
      <c r="L98" s="232">
        <f>((C98*$C$9)+(D98*$D$9)+(E98*$E$9)+(F98*$F$9))</f>
        <v>148.08000000000001</v>
      </c>
      <c r="M98" s="232">
        <v>0</v>
      </c>
      <c r="N98" s="129">
        <v>0</v>
      </c>
      <c r="O98" s="474">
        <f>O9*50%</f>
        <v>10.666666661666667</v>
      </c>
      <c r="P98" s="233">
        <f>(C98+D98+E98+F98)*O98</f>
        <v>26.666666654166669</v>
      </c>
      <c r="Q98" s="72">
        <f>(M98+N98)*O98</f>
        <v>0</v>
      </c>
      <c r="R98" s="112">
        <f>(L98+M98+N98)*O98</f>
        <v>1579.5199992596004</v>
      </c>
      <c r="S98" s="11" t="s">
        <v>254</v>
      </c>
      <c r="T98" s="536" t="str">
        <f t="shared" ref="T98:V99" si="42">IF($S98="RP",O98,"")</f>
        <v/>
      </c>
      <c r="U98" s="537" t="str">
        <f t="shared" si="42"/>
        <v/>
      </c>
      <c r="V98" s="521" t="str">
        <f t="shared" si="42"/>
        <v/>
      </c>
      <c r="W98" s="537">
        <f t="shared" ref="W98:Y99" si="43">IF($S98="RK",O98,"")</f>
        <v>10.666666661666667</v>
      </c>
      <c r="X98" s="537">
        <f t="shared" si="43"/>
        <v>26.666666654166669</v>
      </c>
      <c r="Y98" s="521">
        <f t="shared" si="43"/>
        <v>0</v>
      </c>
    </row>
    <row r="99" spans="1:25" s="114" customFormat="1" ht="12" thickBot="1">
      <c r="A99" s="234"/>
      <c r="B99" s="235" t="s">
        <v>186</v>
      </c>
      <c r="C99" s="236">
        <v>0</v>
      </c>
      <c r="D99" s="236">
        <v>0.25</v>
      </c>
      <c r="E99" s="236">
        <v>0</v>
      </c>
      <c r="F99" s="236">
        <v>0.25</v>
      </c>
      <c r="G99" s="237">
        <v>0</v>
      </c>
      <c r="H99" s="238">
        <f>SUM(C99:G99)</f>
        <v>0.5</v>
      </c>
      <c r="I99" s="239"/>
      <c r="J99" s="239"/>
      <c r="K99" s="239"/>
      <c r="L99" s="240">
        <f>((C99*$C$9)+(D99*$D$9)+(E99*$E$9)+(F99*$F$9))</f>
        <v>26.696000000000002</v>
      </c>
      <c r="M99" s="240">
        <v>0</v>
      </c>
      <c r="N99" s="241">
        <v>1</v>
      </c>
      <c r="O99" s="476">
        <f>O98</f>
        <v>10.666666661666667</v>
      </c>
      <c r="P99" s="242">
        <f>(C99+D99+E99+F99)*O99</f>
        <v>5.3333333308333337</v>
      </c>
      <c r="Q99" s="72">
        <f>(M99+N99)*O99</f>
        <v>10.666666661666667</v>
      </c>
      <c r="R99" s="243">
        <f>(L99+M99+N99)*O99</f>
        <v>295.42399986152003</v>
      </c>
      <c r="S99" s="113" t="s">
        <v>259</v>
      </c>
      <c r="T99" s="536">
        <f t="shared" si="42"/>
        <v>10.666666661666667</v>
      </c>
      <c r="U99" s="537">
        <f t="shared" si="42"/>
        <v>5.3333333308333337</v>
      </c>
      <c r="V99" s="521">
        <f t="shared" si="42"/>
        <v>10.666666661666667</v>
      </c>
      <c r="W99" s="537" t="str">
        <f t="shared" si="43"/>
        <v/>
      </c>
      <c r="X99" s="537" t="str">
        <f t="shared" si="43"/>
        <v/>
      </c>
      <c r="Y99" s="521" t="str">
        <f t="shared" si="43"/>
        <v/>
      </c>
    </row>
    <row r="100" spans="1:25" s="29" customFormat="1" ht="12.75" thickTop="1" thickBot="1">
      <c r="A100" s="145" t="s">
        <v>22</v>
      </c>
      <c r="B100" s="146"/>
      <c r="C100" s="147">
        <f t="shared" ref="C100:H100" si="44">(C98+C99)</f>
        <v>0</v>
      </c>
      <c r="D100" s="147">
        <f t="shared" si="44"/>
        <v>0.75</v>
      </c>
      <c r="E100" s="147">
        <f t="shared" si="44"/>
        <v>2</v>
      </c>
      <c r="F100" s="147">
        <f t="shared" si="44"/>
        <v>0.25</v>
      </c>
      <c r="G100" s="147">
        <f t="shared" si="44"/>
        <v>0</v>
      </c>
      <c r="H100" s="147">
        <f t="shared" si="44"/>
        <v>3</v>
      </c>
      <c r="I100" s="148"/>
      <c r="J100" s="148"/>
      <c r="K100" s="148"/>
      <c r="L100" s="149">
        <f>(L98+L99)</f>
        <v>174.77600000000001</v>
      </c>
      <c r="M100" s="149">
        <f>(M98+M99)</f>
        <v>0</v>
      </c>
      <c r="N100" s="150">
        <f>(N98+N99)</f>
        <v>1</v>
      </c>
      <c r="O100" s="475"/>
      <c r="P100" s="147">
        <f>(P98+P99)</f>
        <v>31.999999985000002</v>
      </c>
      <c r="Q100" s="153">
        <f>(Q98+Q99)</f>
        <v>10.666666661666667</v>
      </c>
      <c r="R100" s="153">
        <f>(R98+R99)</f>
        <v>1874.9439991211204</v>
      </c>
      <c r="S100" s="153">
        <f t="shared" ref="S100:Y100" si="45">(S98+S99)</f>
        <v>0</v>
      </c>
      <c r="T100" s="543">
        <f t="shared" si="45"/>
        <v>10.666666661666667</v>
      </c>
      <c r="U100" s="543">
        <f t="shared" si="45"/>
        <v>5.3333333308333337</v>
      </c>
      <c r="V100" s="153">
        <f t="shared" si="45"/>
        <v>10.666666661666667</v>
      </c>
      <c r="W100" s="543">
        <f t="shared" si="45"/>
        <v>10.666666661666667</v>
      </c>
      <c r="X100" s="543">
        <f t="shared" si="45"/>
        <v>26.666666654166669</v>
      </c>
      <c r="Y100" s="153">
        <f t="shared" si="45"/>
        <v>0</v>
      </c>
    </row>
    <row r="101" spans="1:25" s="29" customFormat="1" ht="12" thickTop="1">
      <c r="A101" s="201" t="s">
        <v>196</v>
      </c>
      <c r="B101" s="202"/>
      <c r="C101" s="203"/>
      <c r="D101" s="203"/>
      <c r="E101" s="203"/>
      <c r="F101" s="203"/>
      <c r="G101" s="203"/>
      <c r="H101" s="203"/>
      <c r="I101" s="204"/>
      <c r="J101" s="204"/>
      <c r="K101" s="204"/>
      <c r="L101" s="205"/>
      <c r="M101" s="205"/>
      <c r="N101" s="206"/>
      <c r="O101" s="477"/>
      <c r="P101" s="208"/>
      <c r="Q101" s="208"/>
      <c r="R101" s="209"/>
      <c r="S101" s="11"/>
      <c r="T101" s="455"/>
      <c r="U101" s="533"/>
      <c r="W101" s="455"/>
      <c r="X101" s="455"/>
    </row>
    <row r="102" spans="1:25" s="172" customFormat="1">
      <c r="A102" s="215"/>
      <c r="B102" s="211" t="s">
        <v>197</v>
      </c>
      <c r="C102" s="212">
        <v>0</v>
      </c>
      <c r="D102" s="212">
        <v>0.25</v>
      </c>
      <c r="E102" s="212">
        <v>15</v>
      </c>
      <c r="F102" s="212">
        <v>0</v>
      </c>
      <c r="G102" s="212">
        <v>0</v>
      </c>
      <c r="H102" s="212">
        <f>SUM(C102:G102)</f>
        <v>15.25</v>
      </c>
      <c r="I102" s="213"/>
      <c r="J102" s="213"/>
      <c r="K102" s="213"/>
      <c r="L102" s="214">
        <f>((C102*$C$9)+(D102*$D$9)+(E102*$E$9)+(F102*$F$9))</f>
        <v>843.2560000000002</v>
      </c>
      <c r="M102" s="214">
        <v>0</v>
      </c>
      <c r="N102" s="185">
        <v>0</v>
      </c>
      <c r="O102" s="473">
        <f>O9</f>
        <v>21.333333323333335</v>
      </c>
      <c r="P102" s="75">
        <f>(C102+D102+E102+F102)*O102</f>
        <v>325.33333318083334</v>
      </c>
      <c r="Q102" s="72">
        <f>(M102+N102)*O102</f>
        <v>0</v>
      </c>
      <c r="R102" s="72">
        <f>(L102+M102+N102)*O102</f>
        <v>17989.461324900778</v>
      </c>
      <c r="S102" s="171" t="s">
        <v>254</v>
      </c>
      <c r="T102" s="536" t="str">
        <f t="shared" ref="T102:V103" si="46">IF($S102="RP",O102,"")</f>
        <v/>
      </c>
      <c r="U102" s="537" t="str">
        <f t="shared" si="46"/>
        <v/>
      </c>
      <c r="V102" s="521" t="str">
        <f t="shared" si="46"/>
        <v/>
      </c>
      <c r="W102" s="537">
        <f t="shared" ref="W102:Y103" si="47">IF($S102="RK",O102,"")</f>
        <v>21.333333323333335</v>
      </c>
      <c r="X102" s="537">
        <f t="shared" si="47"/>
        <v>325.33333318083334</v>
      </c>
      <c r="Y102" s="521">
        <f t="shared" si="47"/>
        <v>0</v>
      </c>
    </row>
    <row r="103" spans="1:25" s="172" customFormat="1" ht="12" thickBot="1">
      <c r="A103" s="215"/>
      <c r="B103" s="211" t="s">
        <v>97</v>
      </c>
      <c r="C103" s="230">
        <v>0</v>
      </c>
      <c r="D103" s="230">
        <v>0.25</v>
      </c>
      <c r="E103" s="230">
        <v>0</v>
      </c>
      <c r="F103" s="230">
        <v>0.25</v>
      </c>
      <c r="G103" s="230">
        <v>0</v>
      </c>
      <c r="H103" s="230">
        <f>SUM(C103:G103)</f>
        <v>0.5</v>
      </c>
      <c r="I103" s="231"/>
      <c r="J103" s="231"/>
      <c r="K103" s="231"/>
      <c r="L103" s="232">
        <f>((C103*$C$9)+(D103*$D$9)+(E103*$E$9)+(F103*$F$9))</f>
        <v>26.696000000000002</v>
      </c>
      <c r="M103" s="232">
        <v>0</v>
      </c>
      <c r="N103" s="129">
        <v>20</v>
      </c>
      <c r="O103" s="474">
        <f>O9</f>
        <v>21.333333323333335</v>
      </c>
      <c r="P103" s="233">
        <f>(C103+D103+E103+F103)*O103</f>
        <v>10.666666661666667</v>
      </c>
      <c r="Q103" s="72">
        <f>(M103+N103)*O103</f>
        <v>426.6666664666667</v>
      </c>
      <c r="R103" s="112">
        <f>(L103+M103+N103)*O103</f>
        <v>996.1813328663734</v>
      </c>
      <c r="S103" s="171" t="s">
        <v>259</v>
      </c>
      <c r="T103" s="536">
        <f t="shared" si="46"/>
        <v>21.333333323333335</v>
      </c>
      <c r="U103" s="537">
        <f t="shared" si="46"/>
        <v>10.666666661666667</v>
      </c>
      <c r="V103" s="521">
        <f t="shared" si="46"/>
        <v>426.6666664666667</v>
      </c>
      <c r="W103" s="537" t="str">
        <f t="shared" si="47"/>
        <v/>
      </c>
      <c r="X103" s="537" t="str">
        <f t="shared" si="47"/>
        <v/>
      </c>
      <c r="Y103" s="521" t="str">
        <f t="shared" si="47"/>
        <v/>
      </c>
    </row>
    <row r="104" spans="1:25" s="29" customFormat="1" ht="12.75" thickTop="1" thickBot="1">
      <c r="A104" s="145" t="s">
        <v>22</v>
      </c>
      <c r="B104" s="146"/>
      <c r="C104" s="147">
        <f t="shared" ref="C104:H104" si="48">(C103+C102)</f>
        <v>0</v>
      </c>
      <c r="D104" s="147">
        <f t="shared" si="48"/>
        <v>0.5</v>
      </c>
      <c r="E104" s="147">
        <f t="shared" si="48"/>
        <v>15</v>
      </c>
      <c r="F104" s="147">
        <f t="shared" si="48"/>
        <v>0.25</v>
      </c>
      <c r="G104" s="147">
        <f t="shared" si="48"/>
        <v>0</v>
      </c>
      <c r="H104" s="147">
        <f t="shared" si="48"/>
        <v>15.75</v>
      </c>
      <c r="I104" s="148"/>
      <c r="J104" s="148"/>
      <c r="K104" s="148"/>
      <c r="L104" s="149">
        <f>(L103+L102)</f>
        <v>869.95200000000023</v>
      </c>
      <c r="M104" s="149">
        <f>(M103+M102)</f>
        <v>0</v>
      </c>
      <c r="N104" s="150">
        <f>(N103+N102)</f>
        <v>20</v>
      </c>
      <c r="O104" s="220"/>
      <c r="P104" s="147">
        <f>(P103+P102)</f>
        <v>335.99999984250002</v>
      </c>
      <c r="Q104" s="153">
        <f>(Q103+Q102)</f>
        <v>426.6666664666667</v>
      </c>
      <c r="R104" s="153">
        <f>(R103+R102)</f>
        <v>18985.642657767152</v>
      </c>
      <c r="S104" s="153">
        <f t="shared" ref="S104:Y104" si="49">(S103+S102)</f>
        <v>0</v>
      </c>
      <c r="T104" s="543">
        <f t="shared" si="49"/>
        <v>21.333333323333335</v>
      </c>
      <c r="U104" s="543">
        <f t="shared" si="49"/>
        <v>10.666666661666667</v>
      </c>
      <c r="V104" s="153">
        <f t="shared" si="49"/>
        <v>426.6666664666667</v>
      </c>
      <c r="W104" s="543">
        <f t="shared" si="49"/>
        <v>21.333333323333335</v>
      </c>
      <c r="X104" s="543">
        <f t="shared" si="49"/>
        <v>325.33333318083334</v>
      </c>
      <c r="Y104" s="153">
        <f t="shared" si="49"/>
        <v>0</v>
      </c>
    </row>
    <row r="105" spans="1:25" s="29" customFormat="1" ht="12" thickTop="1">
      <c r="A105" s="201" t="s">
        <v>237</v>
      </c>
      <c r="B105" s="202"/>
      <c r="C105" s="203"/>
      <c r="D105" s="203"/>
      <c r="E105" s="203"/>
      <c r="F105" s="203"/>
      <c r="G105" s="203"/>
      <c r="H105" s="203"/>
      <c r="I105" s="204"/>
      <c r="J105" s="204"/>
      <c r="K105" s="204"/>
      <c r="L105" s="205"/>
      <c r="M105" s="205"/>
      <c r="N105" s="206"/>
      <c r="O105" s="207"/>
      <c r="P105" s="208"/>
      <c r="Q105" s="208"/>
      <c r="R105" s="209"/>
      <c r="S105" s="11"/>
      <c r="T105" s="455"/>
      <c r="U105" s="533"/>
      <c r="W105" s="455"/>
      <c r="X105" s="455"/>
    </row>
    <row r="106" spans="1:25" s="172" customFormat="1">
      <c r="A106" s="215"/>
      <c r="B106" s="211" t="s">
        <v>238</v>
      </c>
      <c r="C106" s="212">
        <v>0</v>
      </c>
      <c r="D106" s="212">
        <v>0.25</v>
      </c>
      <c r="E106" s="212">
        <v>8</v>
      </c>
      <c r="F106" s="212">
        <v>0</v>
      </c>
      <c r="G106" s="212">
        <v>0</v>
      </c>
      <c r="H106" s="212">
        <f>SUM(C106:G106)</f>
        <v>8.25</v>
      </c>
      <c r="I106" s="213"/>
      <c r="J106" s="213"/>
      <c r="K106" s="213"/>
      <c r="L106" s="214">
        <f>((C106*$C$9)+(D106*$D$9)+(E106*$E$9)+(F106*$F$9))</f>
        <v>458.64800000000008</v>
      </c>
      <c r="M106" s="214">
        <v>0</v>
      </c>
      <c r="N106" s="185">
        <v>0</v>
      </c>
      <c r="O106" s="473">
        <f>14/3</f>
        <v>4.666666666666667</v>
      </c>
      <c r="P106" s="75">
        <f>(C106+D106+E106+F106)*O106</f>
        <v>38.5</v>
      </c>
      <c r="Q106" s="72">
        <f>(M106+N106)*O106</f>
        <v>0</v>
      </c>
      <c r="R106" s="72">
        <f>(L106+M106+N106)*O106</f>
        <v>2140.3573333333338</v>
      </c>
      <c r="S106" s="171" t="s">
        <v>254</v>
      </c>
      <c r="T106" s="536" t="str">
        <f t="shared" ref="T106:V107" si="50">IF($S106="RP",O106,"")</f>
        <v/>
      </c>
      <c r="U106" s="537" t="str">
        <f t="shared" si="50"/>
        <v/>
      </c>
      <c r="V106" s="521" t="str">
        <f t="shared" si="50"/>
        <v/>
      </c>
      <c r="W106" s="537">
        <f t="shared" ref="W106:Y107" si="51">IF($S106="RK",O106,"")</f>
        <v>4.666666666666667</v>
      </c>
      <c r="X106" s="537">
        <f t="shared" si="51"/>
        <v>38.5</v>
      </c>
      <c r="Y106" s="521">
        <f t="shared" si="51"/>
        <v>0</v>
      </c>
    </row>
    <row r="107" spans="1:25" s="172" customFormat="1" ht="12" thickBot="1">
      <c r="A107" s="215"/>
      <c r="B107" s="211" t="s">
        <v>97</v>
      </c>
      <c r="C107" s="230">
        <v>0</v>
      </c>
      <c r="D107" s="230">
        <v>0.25</v>
      </c>
      <c r="E107" s="230">
        <v>0</v>
      </c>
      <c r="F107" s="230">
        <v>0.25</v>
      </c>
      <c r="G107" s="230">
        <v>0</v>
      </c>
      <c r="H107" s="230">
        <f>SUM(C107:G107)</f>
        <v>0.5</v>
      </c>
      <c r="I107" s="231"/>
      <c r="J107" s="231"/>
      <c r="K107" s="231"/>
      <c r="L107" s="232">
        <f>((C107*$C$9)+(D107*$D$9)+(E107*$E$9)+(F107*$F$9))</f>
        <v>26.696000000000002</v>
      </c>
      <c r="M107" s="232">
        <v>0</v>
      </c>
      <c r="N107" s="129">
        <v>20</v>
      </c>
      <c r="O107" s="474">
        <f>14/3</f>
        <v>4.666666666666667</v>
      </c>
      <c r="P107" s="233">
        <f>(C107+D107+E107+F107)*O107</f>
        <v>2.3333333333333335</v>
      </c>
      <c r="Q107" s="72">
        <f>(M107+N107)*O107</f>
        <v>93.333333333333343</v>
      </c>
      <c r="R107" s="112">
        <f>(L107+M107+N107)*O107</f>
        <v>217.91466666666668</v>
      </c>
      <c r="S107" s="171" t="s">
        <v>259</v>
      </c>
      <c r="T107" s="536">
        <f t="shared" si="50"/>
        <v>4.666666666666667</v>
      </c>
      <c r="U107" s="537">
        <f t="shared" si="50"/>
        <v>2.3333333333333335</v>
      </c>
      <c r="V107" s="521">
        <f t="shared" si="50"/>
        <v>93.333333333333343</v>
      </c>
      <c r="W107" s="537" t="str">
        <f t="shared" si="51"/>
        <v/>
      </c>
      <c r="X107" s="537" t="str">
        <f t="shared" si="51"/>
        <v/>
      </c>
      <c r="Y107" s="521" t="str">
        <f t="shared" si="51"/>
        <v/>
      </c>
    </row>
    <row r="108" spans="1:25" s="29" customFormat="1" ht="12.75" thickTop="1" thickBot="1">
      <c r="A108" s="145" t="s">
        <v>22</v>
      </c>
      <c r="B108" s="146"/>
      <c r="C108" s="147">
        <f t="shared" ref="C108:H108" si="52">(C107+C106)</f>
        <v>0</v>
      </c>
      <c r="D108" s="147">
        <f t="shared" si="52"/>
        <v>0.5</v>
      </c>
      <c r="E108" s="147">
        <f t="shared" si="52"/>
        <v>8</v>
      </c>
      <c r="F108" s="147">
        <f t="shared" si="52"/>
        <v>0.25</v>
      </c>
      <c r="G108" s="147">
        <f t="shared" si="52"/>
        <v>0</v>
      </c>
      <c r="H108" s="147">
        <f t="shared" si="52"/>
        <v>8.75</v>
      </c>
      <c r="I108" s="148"/>
      <c r="J108" s="148"/>
      <c r="K108" s="148"/>
      <c r="L108" s="149">
        <f>(L107+L106)</f>
        <v>485.34400000000011</v>
      </c>
      <c r="M108" s="149">
        <f>(M107+M106)</f>
        <v>0</v>
      </c>
      <c r="N108" s="150">
        <f>(N107+N106)</f>
        <v>20</v>
      </c>
      <c r="O108" s="220"/>
      <c r="P108" s="147">
        <f>(P107+P106)</f>
        <v>40.833333333333336</v>
      </c>
      <c r="Q108" s="153">
        <f>(Q107+Q106)</f>
        <v>93.333333333333343</v>
      </c>
      <c r="R108" s="153">
        <f>(R107+R106)</f>
        <v>2358.2720000000004</v>
      </c>
      <c r="S108" s="153">
        <f t="shared" ref="S108:Y108" si="53">(S107+S106)</f>
        <v>0</v>
      </c>
      <c r="T108" s="543">
        <f t="shared" si="53"/>
        <v>4.666666666666667</v>
      </c>
      <c r="U108" s="543">
        <f t="shared" si="53"/>
        <v>2.3333333333333335</v>
      </c>
      <c r="V108" s="153">
        <f t="shared" si="53"/>
        <v>93.333333333333343</v>
      </c>
      <c r="W108" s="543">
        <f t="shared" si="53"/>
        <v>4.666666666666667</v>
      </c>
      <c r="X108" s="543">
        <f t="shared" si="53"/>
        <v>38.5</v>
      </c>
      <c r="Y108" s="153">
        <f t="shared" si="53"/>
        <v>0</v>
      </c>
    </row>
    <row r="109" spans="1:25" s="29" customFormat="1" ht="12.75" thickTop="1" thickBot="1">
      <c r="A109" s="145"/>
      <c r="B109" s="146"/>
      <c r="C109" s="101"/>
      <c r="D109" s="101"/>
      <c r="E109" s="101"/>
      <c r="F109" s="101"/>
      <c r="G109" s="101"/>
      <c r="H109" s="101"/>
      <c r="I109" s="102"/>
      <c r="J109" s="102"/>
      <c r="K109" s="102"/>
      <c r="L109" s="103"/>
      <c r="M109" s="103"/>
      <c r="N109" s="81"/>
      <c r="O109" s="244"/>
      <c r="P109" s="101"/>
      <c r="Q109" s="101"/>
      <c r="R109" s="80"/>
      <c r="S109" s="80"/>
      <c r="T109" s="79"/>
      <c r="U109" s="79"/>
      <c r="V109" s="80"/>
      <c r="W109" s="79"/>
      <c r="X109" s="79"/>
      <c r="Y109" s="80"/>
    </row>
    <row r="110" spans="1:25" s="29" customFormat="1" ht="12.75" thickTop="1" thickBot="1">
      <c r="A110" s="245" t="s">
        <v>204</v>
      </c>
      <c r="B110" s="246"/>
      <c r="C110" s="247"/>
      <c r="D110" s="247"/>
      <c r="E110" s="247"/>
      <c r="F110" s="247"/>
      <c r="G110" s="247"/>
      <c r="H110" s="147">
        <f>SUM(H108,H104,H100,H95,H91,H87,H83,H78,H74,H69,H65,H61,H30)</f>
        <v>110.7</v>
      </c>
      <c r="I110" s="148"/>
      <c r="J110" s="148"/>
      <c r="K110" s="148"/>
      <c r="L110" s="149">
        <f>SUM(L108,L104,L100,L95,L91,L87,L83,L78,L74,L69,L65,L61,L30)</f>
        <v>6293.2000000000016</v>
      </c>
      <c r="M110" s="149">
        <f>SUM(M108,M104,M100,M95,M91,M87,M83,M78,M74,M69,M65,M61,M30)</f>
        <v>0</v>
      </c>
      <c r="N110" s="150">
        <f>SUM(N108,N104,N100,N95,N91,N87,N83,N78,N74,N69,N65,N61,N30)</f>
        <v>54</v>
      </c>
      <c r="O110" s="151"/>
      <c r="P110" s="559">
        <f>SUM(P108,P104,P100,P95,P91,P87,P83,P78,P74,P69,P65,P61,P30)</f>
        <v>1075.5616662205668</v>
      </c>
      <c r="Q110" s="153">
        <f>SUM(Q108,Q104,Q100,Q95,Q91,Q87,Q83,Q78,Q74,Q69,Q65,Q61,Q30)</f>
        <v>635.09999975100015</v>
      </c>
      <c r="R110" s="153">
        <f>SUM(R108,R104,R100,R95,R91,R87,R83,R78,R74,R69,R65,R61,R30)</f>
        <v>62111.805040816609</v>
      </c>
      <c r="S110" s="153">
        <f t="shared" ref="S110:Y110" si="54">SUM(S108,S104,S100,S95,S91,S87,S83,S78,S74,S69,S65,S61,S30)</f>
        <v>0</v>
      </c>
      <c r="T110" s="543">
        <f t="shared" si="54"/>
        <v>104.83333329133336</v>
      </c>
      <c r="U110" s="559">
        <f>SUM(U108,U104,U100,U95,U91,U87,U83,U78,U74,U69,U65,U61,U30)</f>
        <v>52.41666664566668</v>
      </c>
      <c r="V110" s="153">
        <f t="shared" si="54"/>
        <v>613.76666642766679</v>
      </c>
      <c r="W110" s="543">
        <f t="shared" si="54"/>
        <v>128.299999947</v>
      </c>
      <c r="X110" s="559">
        <f>SUM(X108,X104,X100,X95,X91,X87,X83,X78,X74,X69,X65,X61,X30)</f>
        <v>1023.1449995748999</v>
      </c>
      <c r="Y110" s="153">
        <f t="shared" si="54"/>
        <v>21.333333323333335</v>
      </c>
    </row>
    <row r="111" spans="1:25" s="29" customFormat="1" ht="12" thickTop="1">
      <c r="A111" s="87"/>
      <c r="B111" s="248"/>
      <c r="C111" s="249"/>
      <c r="D111" s="249"/>
      <c r="E111" s="249"/>
      <c r="F111" s="249"/>
      <c r="G111" s="249"/>
      <c r="H111" s="106"/>
      <c r="I111" s="107"/>
      <c r="J111" s="107"/>
      <c r="K111" s="107"/>
      <c r="L111" s="108"/>
      <c r="M111" s="108"/>
      <c r="N111" s="91"/>
      <c r="O111" s="250"/>
      <c r="P111" s="106"/>
      <c r="Q111" s="106"/>
      <c r="R111" s="91"/>
      <c r="S111" s="11"/>
      <c r="T111" s="455"/>
      <c r="U111" s="533"/>
      <c r="W111" s="455"/>
      <c r="X111" s="455"/>
    </row>
    <row r="112" spans="1:25" s="29" customFormat="1" ht="12" thickBot="1">
      <c r="A112" s="94"/>
      <c r="B112" s="248"/>
      <c r="C112" s="249"/>
      <c r="D112" s="249"/>
      <c r="E112" s="249"/>
      <c r="F112" s="249"/>
      <c r="G112" s="249"/>
      <c r="H112" s="106"/>
      <c r="I112" s="107"/>
      <c r="J112" s="107"/>
      <c r="K112" s="107"/>
      <c r="L112" s="108"/>
      <c r="M112" s="108"/>
      <c r="N112" s="98"/>
      <c r="O112" s="250"/>
      <c r="P112" s="106"/>
      <c r="Q112" s="106"/>
      <c r="R112" s="98"/>
      <c r="S112" s="11"/>
      <c r="T112" s="455"/>
      <c r="U112" s="533"/>
      <c r="W112" s="455"/>
      <c r="X112" s="455"/>
    </row>
    <row r="113" spans="1:25" s="114" customFormat="1" ht="12.75" thickTop="1" thickBot="1">
      <c r="A113" s="59" t="s">
        <v>198</v>
      </c>
      <c r="B113" s="60"/>
      <c r="C113" s="61"/>
      <c r="D113" s="61"/>
      <c r="E113" s="61"/>
      <c r="F113" s="61"/>
      <c r="G113" s="61"/>
      <c r="H113" s="61"/>
      <c r="I113" s="62"/>
      <c r="J113" s="62"/>
      <c r="K113" s="62"/>
      <c r="L113" s="63"/>
      <c r="M113" s="63"/>
      <c r="N113" s="64"/>
      <c r="O113" s="65"/>
      <c r="P113" s="66"/>
      <c r="Q113" s="66"/>
      <c r="R113" s="67"/>
      <c r="S113" s="67"/>
      <c r="T113" s="546"/>
      <c r="U113" s="546"/>
      <c r="V113" s="67"/>
      <c r="W113" s="546"/>
      <c r="X113" s="546"/>
      <c r="Y113" s="67"/>
    </row>
    <row r="114" spans="1:25" s="29" customFormat="1" ht="12" thickTop="1">
      <c r="A114" s="68" t="s">
        <v>62</v>
      </c>
      <c r="B114" s="48"/>
      <c r="C114" s="49"/>
      <c r="D114" s="49"/>
      <c r="E114" s="49"/>
      <c r="F114" s="49"/>
      <c r="G114" s="49"/>
      <c r="H114" s="49"/>
      <c r="I114" s="50"/>
      <c r="J114" s="50"/>
      <c r="K114" s="50"/>
      <c r="L114" s="51"/>
      <c r="M114" s="51"/>
      <c r="N114" s="251"/>
      <c r="O114" s="52"/>
      <c r="P114" s="53"/>
      <c r="Q114" s="53"/>
      <c r="R114" s="252"/>
      <c r="S114" s="252"/>
      <c r="T114" s="547"/>
      <c r="U114" s="547"/>
      <c r="V114" s="252"/>
      <c r="W114" s="547"/>
      <c r="X114" s="547"/>
      <c r="Y114" s="252"/>
    </row>
    <row r="115" spans="1:25" s="29" customFormat="1">
      <c r="A115" s="253"/>
      <c r="B115" s="254" t="s">
        <v>63</v>
      </c>
      <c r="C115" s="255"/>
      <c r="D115" s="255"/>
      <c r="E115" s="255"/>
      <c r="F115" s="255"/>
      <c r="G115" s="255"/>
      <c r="H115" s="255"/>
      <c r="I115" s="256"/>
      <c r="J115" s="256"/>
      <c r="K115" s="256"/>
      <c r="L115" s="257"/>
      <c r="M115" s="257"/>
      <c r="N115" s="258"/>
      <c r="O115" s="259"/>
      <c r="P115" s="260"/>
      <c r="Q115" s="260"/>
      <c r="R115" s="257"/>
      <c r="S115" s="11"/>
      <c r="T115" s="455"/>
      <c r="U115" s="533"/>
      <c r="W115" s="455"/>
      <c r="X115" s="455"/>
    </row>
    <row r="116" spans="1:25" s="29" customFormat="1">
      <c r="A116" s="68"/>
      <c r="B116" s="69" t="s">
        <v>64</v>
      </c>
      <c r="C116" s="70">
        <v>0</v>
      </c>
      <c r="D116" s="70">
        <v>2</v>
      </c>
      <c r="E116" s="70">
        <v>20</v>
      </c>
      <c r="F116" s="70">
        <v>0</v>
      </c>
      <c r="G116" s="70">
        <v>0</v>
      </c>
      <c r="H116" s="70">
        <f>SUM(C116:G116)</f>
        <v>22</v>
      </c>
      <c r="I116" s="71"/>
      <c r="J116" s="71"/>
      <c r="K116" s="71"/>
      <c r="L116" s="72">
        <f>((C116*$C$9)+(D116*$D$9)+(E116*$E$9)+(F116*$F$9))</f>
        <v>1251.6480000000001</v>
      </c>
      <c r="M116" s="72">
        <v>0</v>
      </c>
      <c r="N116" s="73">
        <v>0</v>
      </c>
      <c r="O116" s="74">
        <f>0.1*O9</f>
        <v>2.1333333323333337</v>
      </c>
      <c r="P116" s="75">
        <f>(C116+D116+E116+F116)*O116</f>
        <v>46.933333311333342</v>
      </c>
      <c r="Q116" s="72">
        <f>(M116+N116)*O116</f>
        <v>0</v>
      </c>
      <c r="R116" s="72">
        <f>(L116+M116+N116)*O116</f>
        <v>2670.1823987483526</v>
      </c>
      <c r="S116" s="171" t="s">
        <v>254</v>
      </c>
      <c r="T116" s="536" t="str">
        <f t="shared" ref="T116:V117" si="55">IF($S116="RP",O116,"")</f>
        <v/>
      </c>
      <c r="U116" s="537" t="str">
        <f t="shared" si="55"/>
        <v/>
      </c>
      <c r="V116" s="521" t="str">
        <f t="shared" si="55"/>
        <v/>
      </c>
      <c r="W116" s="537">
        <f t="shared" ref="W116:Y117" si="56">IF($S116="RK",O116,"")</f>
        <v>2.1333333323333337</v>
      </c>
      <c r="X116" s="537">
        <f t="shared" si="56"/>
        <v>46.933333311333342</v>
      </c>
      <c r="Y116" s="521">
        <f t="shared" si="56"/>
        <v>0</v>
      </c>
    </row>
    <row r="117" spans="1:25" s="29" customFormat="1" ht="12" thickBot="1">
      <c r="A117" s="261"/>
      <c r="B117" s="69" t="s">
        <v>65</v>
      </c>
      <c r="C117" s="70">
        <v>0</v>
      </c>
      <c r="D117" s="70">
        <v>0.25</v>
      </c>
      <c r="E117" s="70">
        <v>0</v>
      </c>
      <c r="F117" s="70">
        <v>0.25</v>
      </c>
      <c r="G117" s="70">
        <v>0</v>
      </c>
      <c r="H117" s="70">
        <f>SUM(C117:G117)</f>
        <v>0.5</v>
      </c>
      <c r="I117" s="71"/>
      <c r="J117" s="71"/>
      <c r="K117" s="71"/>
      <c r="L117" s="72">
        <f>((C117*$C$9)+(D117*$D$9)+(E117*$E$9)+(F117*$F$9))</f>
        <v>26.696000000000002</v>
      </c>
      <c r="M117" s="72">
        <v>0</v>
      </c>
      <c r="N117" s="73">
        <v>1</v>
      </c>
      <c r="O117" s="74">
        <f>0.1*O9</f>
        <v>2.1333333323333337</v>
      </c>
      <c r="P117" s="75">
        <f>(C117+D117+E117+F117)*O117</f>
        <v>1.0666666661666668</v>
      </c>
      <c r="Q117" s="72">
        <f>(M117+N117)*O117</f>
        <v>2.1333333323333337</v>
      </c>
      <c r="R117" s="72">
        <f>(L117+M117+N117)*O117</f>
        <v>59.084799972304012</v>
      </c>
      <c r="S117" s="171" t="s">
        <v>259</v>
      </c>
      <c r="T117" s="536">
        <f t="shared" si="55"/>
        <v>2.1333333323333337</v>
      </c>
      <c r="U117" s="537">
        <f t="shared" si="55"/>
        <v>1.0666666661666668</v>
      </c>
      <c r="V117" s="521">
        <f t="shared" si="55"/>
        <v>2.1333333323333337</v>
      </c>
      <c r="W117" s="537" t="str">
        <f t="shared" si="56"/>
        <v/>
      </c>
      <c r="X117" s="537" t="str">
        <f t="shared" si="56"/>
        <v/>
      </c>
      <c r="Y117" s="521" t="str">
        <f t="shared" si="56"/>
        <v/>
      </c>
    </row>
    <row r="118" spans="1:25" s="29" customFormat="1" ht="12.75" thickTop="1" thickBot="1">
      <c r="A118" s="262" t="s">
        <v>22</v>
      </c>
      <c r="B118" s="77"/>
      <c r="C118" s="78">
        <f t="shared" ref="C118:N118" si="57">SUM(C116:C117)</f>
        <v>0</v>
      </c>
      <c r="D118" s="78">
        <f t="shared" si="57"/>
        <v>2.25</v>
      </c>
      <c r="E118" s="78">
        <f t="shared" si="57"/>
        <v>20</v>
      </c>
      <c r="F118" s="78">
        <f t="shared" si="57"/>
        <v>0.25</v>
      </c>
      <c r="G118" s="78">
        <f t="shared" si="57"/>
        <v>0</v>
      </c>
      <c r="H118" s="78">
        <f t="shared" si="57"/>
        <v>22.5</v>
      </c>
      <c r="I118" s="79">
        <f t="shared" si="57"/>
        <v>0</v>
      </c>
      <c r="J118" s="79">
        <f t="shared" si="57"/>
        <v>0</v>
      </c>
      <c r="K118" s="79">
        <f t="shared" si="57"/>
        <v>0</v>
      </c>
      <c r="L118" s="80">
        <f t="shared" si="57"/>
        <v>1278.3440000000001</v>
      </c>
      <c r="M118" s="80">
        <f t="shared" si="57"/>
        <v>0</v>
      </c>
      <c r="N118" s="81">
        <f t="shared" si="57"/>
        <v>1</v>
      </c>
      <c r="O118" s="263"/>
      <c r="P118" s="264">
        <f>SUM(P116:P117)</f>
        <v>47.999999977500011</v>
      </c>
      <c r="Q118" s="80">
        <f>SUM(Q116:Q117)</f>
        <v>2.1333333323333337</v>
      </c>
      <c r="R118" s="80">
        <f>SUM(R116:R117)</f>
        <v>2729.2671987206568</v>
      </c>
      <c r="S118" s="80"/>
      <c r="T118" s="79">
        <f t="shared" ref="T118:Y118" si="58">SUM(T116:T117)</f>
        <v>2.1333333323333337</v>
      </c>
      <c r="U118" s="79">
        <f t="shared" si="58"/>
        <v>1.0666666661666668</v>
      </c>
      <c r="V118" s="80">
        <f t="shared" si="58"/>
        <v>2.1333333323333337</v>
      </c>
      <c r="W118" s="79">
        <f t="shared" si="58"/>
        <v>2.1333333323333337</v>
      </c>
      <c r="X118" s="79">
        <f t="shared" si="58"/>
        <v>46.933333311333342</v>
      </c>
      <c r="Y118" s="80">
        <f t="shared" si="58"/>
        <v>0</v>
      </c>
    </row>
    <row r="119" spans="1:25" s="29" customFormat="1" ht="12" thickTop="1">
      <c r="A119" s="68" t="s">
        <v>66</v>
      </c>
      <c r="B119" s="48"/>
      <c r="C119" s="265"/>
      <c r="D119" s="265"/>
      <c r="E119" s="265"/>
      <c r="F119" s="265"/>
      <c r="G119" s="265"/>
      <c r="H119" s="265"/>
      <c r="I119" s="266"/>
      <c r="J119" s="266"/>
      <c r="K119" s="266"/>
      <c r="L119" s="267"/>
      <c r="M119" s="267"/>
      <c r="N119" s="73"/>
      <c r="O119" s="268"/>
      <c r="P119" s="269"/>
      <c r="Q119" s="269"/>
      <c r="R119" s="72"/>
      <c r="S119" s="11"/>
      <c r="T119" s="455"/>
      <c r="U119" s="533"/>
      <c r="W119" s="455"/>
      <c r="X119" s="455"/>
    </row>
    <row r="120" spans="1:25" s="29" customFormat="1">
      <c r="A120" s="105"/>
      <c r="B120" s="270" t="s">
        <v>67</v>
      </c>
      <c r="C120" s="106"/>
      <c r="D120" s="236"/>
      <c r="E120" s="236"/>
      <c r="F120" s="236"/>
      <c r="G120" s="236"/>
      <c r="H120" s="236"/>
      <c r="I120" s="271"/>
      <c r="J120" s="271"/>
      <c r="K120" s="271"/>
      <c r="L120" s="272"/>
      <c r="M120" s="272"/>
      <c r="N120" s="109"/>
      <c r="O120" s="110"/>
      <c r="P120" s="273"/>
      <c r="Q120" s="233"/>
      <c r="R120" s="112"/>
      <c r="S120" s="11"/>
      <c r="T120" s="455"/>
      <c r="U120" s="533"/>
      <c r="W120" s="455"/>
      <c r="X120" s="455"/>
    </row>
    <row r="121" spans="1:25" s="29" customFormat="1">
      <c r="A121" s="68"/>
      <c r="B121" s="69" t="s">
        <v>68</v>
      </c>
      <c r="C121" s="70">
        <v>0</v>
      </c>
      <c r="D121" s="70">
        <v>0.25</v>
      </c>
      <c r="E121" s="70">
        <v>0.25</v>
      </c>
      <c r="F121" s="70">
        <v>0</v>
      </c>
      <c r="G121" s="70">
        <v>0</v>
      </c>
      <c r="H121" s="70">
        <f>SUM(C121:G121)</f>
        <v>0.5</v>
      </c>
      <c r="I121" s="71"/>
      <c r="J121" s="71"/>
      <c r="K121" s="71"/>
      <c r="L121" s="72">
        <f>((C121*$C$9)+(D121*$D$9)+(E121*$E$9)+(F121*$F$9))</f>
        <v>32.832000000000001</v>
      </c>
      <c r="M121" s="72">
        <v>0</v>
      </c>
      <c r="N121" s="73">
        <v>0</v>
      </c>
      <c r="O121" s="74">
        <f>O9*60%</f>
        <v>12.799999994</v>
      </c>
      <c r="P121" s="75">
        <f>(C121+D121+E121+F121)*O121</f>
        <v>6.3999999970000001</v>
      </c>
      <c r="Q121" s="72">
        <f>(M121+N121)*O121</f>
        <v>0</v>
      </c>
      <c r="R121" s="72">
        <f>(L121+M121+N121)*O121</f>
        <v>420.24959980300804</v>
      </c>
      <c r="S121" s="528" t="s">
        <v>254</v>
      </c>
      <c r="T121" s="536" t="str">
        <f>IF($S121="RP",O121,"")</f>
        <v/>
      </c>
      <c r="U121" s="537" t="str">
        <f>IF($S121="RP",P121,"")</f>
        <v/>
      </c>
      <c r="V121" s="521" t="str">
        <f>IF($S121="RP",Q121,"")</f>
        <v/>
      </c>
      <c r="W121" s="537">
        <f>IF($S121="RK",O121,"")</f>
        <v>12.799999994</v>
      </c>
      <c r="X121" s="537">
        <f>IF($S121="RK",P121,"")</f>
        <v>6.3999999970000001</v>
      </c>
      <c r="Y121" s="521">
        <f>IF($S121="RK",Q121,"")</f>
        <v>0</v>
      </c>
    </row>
    <row r="122" spans="1:25" s="29" customFormat="1">
      <c r="A122" s="105"/>
      <c r="B122" s="254" t="s">
        <v>69</v>
      </c>
      <c r="C122" s="236"/>
      <c r="D122" s="274"/>
      <c r="E122" s="274"/>
      <c r="F122" s="274"/>
      <c r="G122" s="274"/>
      <c r="H122" s="274"/>
      <c r="I122" s="275"/>
      <c r="J122" s="275"/>
      <c r="K122" s="275"/>
      <c r="L122" s="276"/>
      <c r="M122" s="276"/>
      <c r="N122" s="277"/>
      <c r="O122" s="278"/>
      <c r="P122" s="279"/>
      <c r="Q122" s="279"/>
      <c r="R122" s="276"/>
      <c r="S122" s="11"/>
      <c r="T122" s="532"/>
      <c r="U122" s="533"/>
      <c r="W122" s="455"/>
      <c r="X122" s="455"/>
    </row>
    <row r="123" spans="1:25" s="29" customFormat="1">
      <c r="A123" s="105"/>
      <c r="B123" s="254" t="s">
        <v>68</v>
      </c>
      <c r="C123" s="280">
        <v>0</v>
      </c>
      <c r="D123" s="280">
        <v>0.25</v>
      </c>
      <c r="E123" s="280">
        <v>0.25</v>
      </c>
      <c r="F123" s="280">
        <v>0</v>
      </c>
      <c r="G123" s="280">
        <v>0</v>
      </c>
      <c r="H123" s="280">
        <f>SUM(C123:G123)</f>
        <v>0.5</v>
      </c>
      <c r="I123" s="281"/>
      <c r="J123" s="281"/>
      <c r="K123" s="281"/>
      <c r="L123" s="112">
        <f>((C123*$C$9)+(D123*$D$9)+(E123*$E$9)+(F123*$F$9))</f>
        <v>32.832000000000001</v>
      </c>
      <c r="M123" s="112">
        <v>0</v>
      </c>
      <c r="N123" s="109">
        <v>0</v>
      </c>
      <c r="O123" s="282">
        <f>0.1*O9</f>
        <v>2.1333333323333337</v>
      </c>
      <c r="P123" s="233">
        <f>(C123+D123+E123+F123)*O123</f>
        <v>1.0666666661666668</v>
      </c>
      <c r="Q123" s="72">
        <f>(M123+N123)*O123</f>
        <v>0</v>
      </c>
      <c r="R123" s="112">
        <f>(L123+M123+N123)*O123</f>
        <v>70.041599967168011</v>
      </c>
      <c r="S123" s="171" t="s">
        <v>254</v>
      </c>
      <c r="T123" s="536" t="str">
        <f t="shared" ref="T123:V127" si="59">IF($S123="RP",O123,"")</f>
        <v/>
      </c>
      <c r="U123" s="537" t="str">
        <f t="shared" si="59"/>
        <v/>
      </c>
      <c r="V123" s="521" t="str">
        <f t="shared" si="59"/>
        <v/>
      </c>
      <c r="W123" s="537">
        <f t="shared" ref="W123:Y127" si="60">IF($S123="RK",O123,"")</f>
        <v>2.1333333323333337</v>
      </c>
      <c r="X123" s="537">
        <f t="shared" si="60"/>
        <v>1.0666666661666668</v>
      </c>
      <c r="Y123" s="521">
        <f t="shared" si="60"/>
        <v>0</v>
      </c>
    </row>
    <row r="124" spans="1:25" s="291" customFormat="1">
      <c r="A124" s="283"/>
      <c r="B124" s="284" t="s">
        <v>70</v>
      </c>
      <c r="C124" s="285">
        <v>0</v>
      </c>
      <c r="D124" s="285">
        <v>5</v>
      </c>
      <c r="E124" s="285">
        <v>50</v>
      </c>
      <c r="F124" s="285">
        <v>0</v>
      </c>
      <c r="G124" s="285">
        <v>0</v>
      </c>
      <c r="H124" s="198">
        <f>SUM(C124:G124)</f>
        <v>55</v>
      </c>
      <c r="I124" s="286"/>
      <c r="J124" s="286"/>
      <c r="K124" s="286"/>
      <c r="L124" s="287">
        <f>((C124*$C$9)+(D124*$D$9)+(E124*$E$9)+(F124*$F$9))</f>
        <v>3129.1200000000003</v>
      </c>
      <c r="M124" s="287">
        <v>0</v>
      </c>
      <c r="N124" s="288">
        <v>0</v>
      </c>
      <c r="O124" s="289">
        <f>O9*60%</f>
        <v>12.799999994</v>
      </c>
      <c r="P124" s="290">
        <f>(C124+D124+E124+F124)*O124</f>
        <v>703.99999966999997</v>
      </c>
      <c r="Q124" s="72">
        <f>(M124+N124)*O124</f>
        <v>0</v>
      </c>
      <c r="R124" s="287">
        <f>(L124+M124+N124)*O124</f>
        <v>40052.735981225283</v>
      </c>
      <c r="S124" s="171" t="s">
        <v>254</v>
      </c>
      <c r="T124" s="536" t="str">
        <f t="shared" si="59"/>
        <v/>
      </c>
      <c r="U124" s="537" t="str">
        <f t="shared" si="59"/>
        <v/>
      </c>
      <c r="V124" s="521" t="str">
        <f t="shared" si="59"/>
        <v/>
      </c>
      <c r="W124" s="537">
        <f t="shared" si="60"/>
        <v>12.799999994</v>
      </c>
      <c r="X124" s="537">
        <f t="shared" si="60"/>
        <v>703.99999966999997</v>
      </c>
      <c r="Y124" s="521">
        <f t="shared" si="60"/>
        <v>0</v>
      </c>
    </row>
    <row r="125" spans="1:25" s="291" customFormat="1">
      <c r="A125" s="283"/>
      <c r="B125" s="284" t="s">
        <v>71</v>
      </c>
      <c r="C125" s="285">
        <v>0</v>
      </c>
      <c r="D125" s="285">
        <v>2</v>
      </c>
      <c r="E125" s="285">
        <v>10</v>
      </c>
      <c r="F125" s="285">
        <v>0</v>
      </c>
      <c r="G125" s="285">
        <v>0</v>
      </c>
      <c r="H125" s="198">
        <f>SUM(C125:G125)</f>
        <v>12</v>
      </c>
      <c r="I125" s="286"/>
      <c r="J125" s="286"/>
      <c r="K125" s="286"/>
      <c r="L125" s="287">
        <f>((C125*$C$9)+(D125*$D$9)+(E125*$E$9)+(F125*$F$9))</f>
        <v>702.20800000000008</v>
      </c>
      <c r="M125" s="287">
        <v>0</v>
      </c>
      <c r="N125" s="288">
        <v>0</v>
      </c>
      <c r="O125" s="499">
        <f>O6+0.1*O4</f>
        <v>2.38888889</v>
      </c>
      <c r="P125" s="290">
        <f>(C125+D125+E125+F125)*O125</f>
        <v>28.666666679999999</v>
      </c>
      <c r="Q125" s="72">
        <f>(M125+N125)*O125</f>
        <v>0</v>
      </c>
      <c r="R125" s="287">
        <f>(L125+M125+N125)*O125</f>
        <v>1677.4968896691203</v>
      </c>
      <c r="S125" s="171" t="s">
        <v>254</v>
      </c>
      <c r="T125" s="536" t="str">
        <f t="shared" si="59"/>
        <v/>
      </c>
      <c r="U125" s="537" t="str">
        <f t="shared" si="59"/>
        <v/>
      </c>
      <c r="V125" s="521" t="str">
        <f t="shared" si="59"/>
        <v/>
      </c>
      <c r="W125" s="537">
        <f t="shared" si="60"/>
        <v>2.38888889</v>
      </c>
      <c r="X125" s="537">
        <f t="shared" si="60"/>
        <v>28.666666679999999</v>
      </c>
      <c r="Y125" s="521">
        <f t="shared" si="60"/>
        <v>0</v>
      </c>
    </row>
    <row r="126" spans="1:25" s="291" customFormat="1">
      <c r="A126" s="292"/>
      <c r="B126" s="284" t="s">
        <v>72</v>
      </c>
      <c r="C126" s="285">
        <v>0</v>
      </c>
      <c r="D126" s="285">
        <v>0.25</v>
      </c>
      <c r="E126" s="285">
        <v>0</v>
      </c>
      <c r="F126" s="285">
        <v>0.25</v>
      </c>
      <c r="G126" s="285">
        <v>0</v>
      </c>
      <c r="H126" s="285">
        <f>SUM(C126:G126)</f>
        <v>0.5</v>
      </c>
      <c r="I126" s="286"/>
      <c r="J126" s="286"/>
      <c r="K126" s="286"/>
      <c r="L126" s="287">
        <f>((C126*$C$9)+(D126*$D$9)+(E126*$E$9)+(F126*$F$9))</f>
        <v>26.696000000000002</v>
      </c>
      <c r="M126" s="287">
        <v>0</v>
      </c>
      <c r="N126" s="288">
        <v>20</v>
      </c>
      <c r="O126" s="289">
        <f>0.5*O7</f>
        <v>5.333333333333333</v>
      </c>
      <c r="P126" s="290">
        <f>(C126+D126+E126+F126)*O126</f>
        <v>2.6666666666666665</v>
      </c>
      <c r="Q126" s="72">
        <f>(M126+N126)*O126</f>
        <v>106.66666666666666</v>
      </c>
      <c r="R126" s="287">
        <f>(L126+M126+N126)*O126</f>
        <v>249.0453333333333</v>
      </c>
      <c r="S126" s="171" t="s">
        <v>254</v>
      </c>
      <c r="T126" s="536" t="str">
        <f t="shared" si="59"/>
        <v/>
      </c>
      <c r="U126" s="537" t="str">
        <f t="shared" si="59"/>
        <v/>
      </c>
      <c r="V126" s="521" t="str">
        <f t="shared" si="59"/>
        <v/>
      </c>
      <c r="W126" s="537">
        <f t="shared" si="60"/>
        <v>5.333333333333333</v>
      </c>
      <c r="X126" s="537">
        <f t="shared" si="60"/>
        <v>2.6666666666666665</v>
      </c>
      <c r="Y126" s="521">
        <f t="shared" si="60"/>
        <v>106.66666666666666</v>
      </c>
    </row>
    <row r="127" spans="1:25" s="29" customFormat="1" ht="12" thickBot="1">
      <c r="A127" s="218"/>
      <c r="B127" s="293" t="s">
        <v>65</v>
      </c>
      <c r="C127" s="280">
        <v>0</v>
      </c>
      <c r="D127" s="280">
        <v>0.25</v>
      </c>
      <c r="E127" s="280">
        <v>0</v>
      </c>
      <c r="F127" s="280">
        <v>0.25</v>
      </c>
      <c r="G127" s="280">
        <v>0</v>
      </c>
      <c r="H127" s="280">
        <f>SUM(C127:G127)</f>
        <v>0.5</v>
      </c>
      <c r="I127" s="281"/>
      <c r="J127" s="281"/>
      <c r="K127" s="281"/>
      <c r="L127" s="112">
        <f>((C127*$C$9)+(D127*$D$9)+(E127*$E$9)+(F127*$F$9))</f>
        <v>26.696000000000002</v>
      </c>
      <c r="M127" s="112">
        <v>0</v>
      </c>
      <c r="N127" s="109">
        <v>20</v>
      </c>
      <c r="O127" s="282">
        <f>O9*60%</f>
        <v>12.799999994</v>
      </c>
      <c r="P127" s="233">
        <f>(C127+D127+E127+F127)*O127</f>
        <v>6.3999999970000001</v>
      </c>
      <c r="Q127" s="72">
        <f>(M127+N127)*O127</f>
        <v>255.99999988000002</v>
      </c>
      <c r="R127" s="112">
        <f>(L127+M127+N127)*O127</f>
        <v>597.70879971982401</v>
      </c>
      <c r="S127" s="171" t="s">
        <v>259</v>
      </c>
      <c r="T127" s="536">
        <f t="shared" si="59"/>
        <v>12.799999994</v>
      </c>
      <c r="U127" s="537">
        <f t="shared" si="59"/>
        <v>6.3999999970000001</v>
      </c>
      <c r="V127" s="521">
        <f t="shared" si="59"/>
        <v>255.99999988000002</v>
      </c>
      <c r="W127" s="537" t="str">
        <f t="shared" si="60"/>
        <v/>
      </c>
      <c r="X127" s="537" t="str">
        <f t="shared" si="60"/>
        <v/>
      </c>
      <c r="Y127" s="521" t="str">
        <f t="shared" si="60"/>
        <v/>
      </c>
    </row>
    <row r="128" spans="1:25" s="29" customFormat="1" ht="12.75" thickTop="1" thickBot="1">
      <c r="A128" s="262" t="s">
        <v>22</v>
      </c>
      <c r="B128" s="77"/>
      <c r="C128" s="78">
        <f t="shared" ref="C128:N128" si="61">SUM(C121:C127)</f>
        <v>0</v>
      </c>
      <c r="D128" s="78">
        <f t="shared" si="61"/>
        <v>8</v>
      </c>
      <c r="E128" s="78">
        <f t="shared" si="61"/>
        <v>60.5</v>
      </c>
      <c r="F128" s="78">
        <f t="shared" si="61"/>
        <v>0.5</v>
      </c>
      <c r="G128" s="78">
        <f t="shared" si="61"/>
        <v>0</v>
      </c>
      <c r="H128" s="78">
        <f t="shared" si="61"/>
        <v>69</v>
      </c>
      <c r="I128" s="79">
        <f t="shared" si="61"/>
        <v>0</v>
      </c>
      <c r="J128" s="79">
        <f t="shared" si="61"/>
        <v>0</v>
      </c>
      <c r="K128" s="79">
        <f t="shared" si="61"/>
        <v>0</v>
      </c>
      <c r="L128" s="80">
        <f t="shared" si="61"/>
        <v>3950.3840000000005</v>
      </c>
      <c r="M128" s="80">
        <f t="shared" si="61"/>
        <v>0</v>
      </c>
      <c r="N128" s="81">
        <f t="shared" si="61"/>
        <v>40</v>
      </c>
      <c r="O128" s="82"/>
      <c r="P128" s="553">
        <f>SUM(P121:P127)</f>
        <v>749.19999967683327</v>
      </c>
      <c r="Q128" s="80">
        <f>SUM(Q121:Q127)</f>
        <v>362.66666654666665</v>
      </c>
      <c r="R128" s="80">
        <f>SUM(R121:R127)</f>
        <v>43067.278203717739</v>
      </c>
      <c r="S128" s="80"/>
      <c r="T128" s="79">
        <f t="shared" ref="T128:Y128" si="62">SUM(T121:T127)</f>
        <v>12.799999994</v>
      </c>
      <c r="U128" s="79">
        <f t="shared" si="62"/>
        <v>6.3999999970000001</v>
      </c>
      <c r="V128" s="80">
        <f t="shared" si="62"/>
        <v>255.99999988000002</v>
      </c>
      <c r="W128" s="79">
        <f t="shared" si="62"/>
        <v>35.455555543666669</v>
      </c>
      <c r="X128" s="79">
        <f t="shared" si="62"/>
        <v>742.79999967983326</v>
      </c>
      <c r="Y128" s="80">
        <f t="shared" si="62"/>
        <v>106.66666666666666</v>
      </c>
    </row>
    <row r="129" spans="1:25" s="29" customFormat="1" ht="12" thickTop="1">
      <c r="A129" s="201" t="s">
        <v>34</v>
      </c>
      <c r="B129" s="202"/>
      <c r="C129" s="203"/>
      <c r="D129" s="203"/>
      <c r="E129" s="203"/>
      <c r="F129" s="203"/>
      <c r="G129" s="203"/>
      <c r="H129" s="203"/>
      <c r="I129" s="204"/>
      <c r="J129" s="204"/>
      <c r="K129" s="204"/>
      <c r="L129" s="205"/>
      <c r="M129" s="205"/>
      <c r="N129" s="206"/>
      <c r="O129" s="207"/>
      <c r="P129" s="208"/>
      <c r="Q129" s="208"/>
      <c r="R129" s="209"/>
      <c r="S129" s="11"/>
      <c r="T129" s="455"/>
      <c r="U129" s="533"/>
      <c r="W129" s="455"/>
      <c r="X129" s="455"/>
    </row>
    <row r="130" spans="1:25" s="29" customFormat="1">
      <c r="A130" s="294"/>
      <c r="B130" s="124" t="s">
        <v>73</v>
      </c>
      <c r="C130" s="125"/>
      <c r="D130" s="125"/>
      <c r="E130" s="125"/>
      <c r="F130" s="125"/>
      <c r="G130" s="125"/>
      <c r="H130" s="125"/>
      <c r="I130" s="126"/>
      <c r="J130" s="126"/>
      <c r="K130" s="126"/>
      <c r="L130" s="127"/>
      <c r="M130" s="128"/>
      <c r="N130" s="129"/>
      <c r="O130" s="130"/>
      <c r="P130" s="131"/>
      <c r="Q130" s="131"/>
      <c r="R130" s="128"/>
      <c r="S130" s="11"/>
      <c r="T130" s="455"/>
      <c r="U130" s="533"/>
      <c r="W130" s="455"/>
      <c r="X130" s="455"/>
    </row>
    <row r="131" spans="1:25" s="29" customFormat="1">
      <c r="A131" s="123"/>
      <c r="B131" s="124" t="s">
        <v>74</v>
      </c>
      <c r="C131" s="125"/>
      <c r="D131" s="125"/>
      <c r="E131" s="125"/>
      <c r="F131" s="125"/>
      <c r="G131" s="173"/>
      <c r="H131" s="174"/>
      <c r="I131" s="175"/>
      <c r="J131" s="175"/>
      <c r="K131" s="175"/>
      <c r="L131" s="176"/>
      <c r="M131" s="176"/>
      <c r="N131" s="177"/>
      <c r="O131" s="130"/>
      <c r="P131" s="178"/>
      <c r="Q131" s="343"/>
      <c r="R131" s="179"/>
      <c r="S131" s="11"/>
      <c r="T131" s="455"/>
      <c r="U131" s="533"/>
      <c r="W131" s="455"/>
      <c r="X131" s="455"/>
    </row>
    <row r="132" spans="1:25" s="172" customFormat="1">
      <c r="A132" s="132"/>
      <c r="B132" s="133" t="s">
        <v>75</v>
      </c>
      <c r="C132" s="134">
        <v>0</v>
      </c>
      <c r="D132" s="134">
        <v>4</v>
      </c>
      <c r="E132" s="134">
        <v>16</v>
      </c>
      <c r="F132" s="134">
        <v>0</v>
      </c>
      <c r="G132" s="135">
        <v>0</v>
      </c>
      <c r="H132" s="166">
        <f>SUM(C132:G132)</f>
        <v>20</v>
      </c>
      <c r="I132" s="167"/>
      <c r="J132" s="167"/>
      <c r="K132" s="167"/>
      <c r="L132" s="168">
        <f>((C132*$C$9)+(D132*$D$9)+(E132*$E$9)+(F132*$F$9))</f>
        <v>1184.6400000000001</v>
      </c>
      <c r="M132" s="168">
        <v>0</v>
      </c>
      <c r="N132" s="169">
        <v>0</v>
      </c>
      <c r="O132" s="140">
        <f>0.2*O9</f>
        <v>4.2666666646666673</v>
      </c>
      <c r="P132" s="170">
        <f>(C132+D132+E132+F132)*O132</f>
        <v>85.333333293333339</v>
      </c>
      <c r="Q132" s="72">
        <f>(M132+N132)*O132</f>
        <v>0</v>
      </c>
      <c r="R132" s="142">
        <f>(L132+M132+N132)*O132</f>
        <v>5054.4639976307208</v>
      </c>
      <c r="S132" s="528" t="s">
        <v>254</v>
      </c>
      <c r="T132" s="536" t="str">
        <f t="shared" ref="T132:V133" si="63">IF($S132="RP",O132,"")</f>
        <v/>
      </c>
      <c r="U132" s="537" t="str">
        <f t="shared" si="63"/>
        <v/>
      </c>
      <c r="V132" s="521" t="str">
        <f t="shared" si="63"/>
        <v/>
      </c>
      <c r="W132" s="537">
        <f t="shared" ref="W132:Y133" si="64">IF($S132="RK",O132,"")</f>
        <v>4.2666666646666673</v>
      </c>
      <c r="X132" s="537">
        <f t="shared" si="64"/>
        <v>85.333333293333339</v>
      </c>
      <c r="Y132" s="521">
        <f t="shared" si="64"/>
        <v>0</v>
      </c>
    </row>
    <row r="133" spans="1:25" s="29" customFormat="1" ht="12" thickBot="1">
      <c r="A133" s="224"/>
      <c r="B133" s="124" t="s">
        <v>65</v>
      </c>
      <c r="C133" s="144">
        <v>0</v>
      </c>
      <c r="D133" s="144">
        <v>0.25</v>
      </c>
      <c r="E133" s="144">
        <v>0</v>
      </c>
      <c r="F133" s="144">
        <v>0.25</v>
      </c>
      <c r="G133" s="106">
        <v>0</v>
      </c>
      <c r="H133" s="136">
        <f>SUM(C133:G133)</f>
        <v>0.5</v>
      </c>
      <c r="I133" s="137"/>
      <c r="J133" s="137"/>
      <c r="K133" s="137"/>
      <c r="L133" s="138">
        <f>((C133*$C$9)+(D133*$D$9)+(E133*$E$9)+(F133*$F$9))</f>
        <v>26.696000000000002</v>
      </c>
      <c r="M133" s="138">
        <v>0</v>
      </c>
      <c r="N133" s="139">
        <v>1</v>
      </c>
      <c r="O133" s="130">
        <f>0.2*O9</f>
        <v>4.2666666646666673</v>
      </c>
      <c r="P133" s="141">
        <f>(C133+D133+E133+F133)*O133</f>
        <v>2.1333333323333337</v>
      </c>
      <c r="Q133" s="72">
        <f>(M133+N133)*O133</f>
        <v>4.2666666646666673</v>
      </c>
      <c r="R133" s="142">
        <f>(L133+M133+N133)*O133</f>
        <v>118.16959994460802</v>
      </c>
      <c r="S133" s="171" t="s">
        <v>259</v>
      </c>
      <c r="T133" s="536">
        <f t="shared" si="63"/>
        <v>4.2666666646666673</v>
      </c>
      <c r="U133" s="537">
        <f t="shared" si="63"/>
        <v>2.1333333323333337</v>
      </c>
      <c r="V133" s="521">
        <f t="shared" si="63"/>
        <v>4.2666666646666673</v>
      </c>
      <c r="W133" s="537" t="str">
        <f t="shared" si="64"/>
        <v/>
      </c>
      <c r="X133" s="537" t="str">
        <f t="shared" si="64"/>
        <v/>
      </c>
      <c r="Y133" s="521" t="str">
        <f t="shared" si="64"/>
        <v/>
      </c>
    </row>
    <row r="134" spans="1:25" s="29" customFormat="1" ht="12.75" thickTop="1" thickBot="1">
      <c r="A134" s="145" t="s">
        <v>22</v>
      </c>
      <c r="B134" s="146"/>
      <c r="C134" s="147">
        <f t="shared" ref="C134:N134" si="65">SUM(C131:C133)</f>
        <v>0</v>
      </c>
      <c r="D134" s="147">
        <f t="shared" si="65"/>
        <v>4.25</v>
      </c>
      <c r="E134" s="147">
        <f t="shared" si="65"/>
        <v>16</v>
      </c>
      <c r="F134" s="147">
        <f t="shared" si="65"/>
        <v>0.25</v>
      </c>
      <c r="G134" s="147">
        <f t="shared" si="65"/>
        <v>0</v>
      </c>
      <c r="H134" s="147">
        <f t="shared" si="65"/>
        <v>20.5</v>
      </c>
      <c r="I134" s="148">
        <f t="shared" si="65"/>
        <v>0</v>
      </c>
      <c r="J134" s="148">
        <f t="shared" si="65"/>
        <v>0</v>
      </c>
      <c r="K134" s="148">
        <f t="shared" si="65"/>
        <v>0</v>
      </c>
      <c r="L134" s="149">
        <f t="shared" si="65"/>
        <v>1211.336</v>
      </c>
      <c r="M134" s="149">
        <f t="shared" si="65"/>
        <v>0</v>
      </c>
      <c r="N134" s="150">
        <f t="shared" si="65"/>
        <v>1</v>
      </c>
      <c r="O134" s="151"/>
      <c r="P134" s="152">
        <f>SUM(P131:P133)</f>
        <v>87.466666625666676</v>
      </c>
      <c r="Q134" s="153">
        <f>SUM(Q131:Q133)</f>
        <v>4.2666666646666673</v>
      </c>
      <c r="R134" s="153">
        <f>SUM(R131:R133)</f>
        <v>5172.6335975753291</v>
      </c>
      <c r="S134" s="153"/>
      <c r="T134" s="543">
        <f t="shared" ref="T134:Y134" si="66">SUM(T131:T133)</f>
        <v>4.2666666646666673</v>
      </c>
      <c r="U134" s="543">
        <f t="shared" si="66"/>
        <v>2.1333333323333337</v>
      </c>
      <c r="V134" s="153">
        <f t="shared" si="66"/>
        <v>4.2666666646666673</v>
      </c>
      <c r="W134" s="543">
        <f t="shared" si="66"/>
        <v>4.2666666646666673</v>
      </c>
      <c r="X134" s="543">
        <f t="shared" si="66"/>
        <v>85.333333293333339</v>
      </c>
      <c r="Y134" s="153">
        <f t="shared" si="66"/>
        <v>0</v>
      </c>
    </row>
    <row r="135" spans="1:25" s="29" customFormat="1" ht="12" hidden="1" thickTop="1">
      <c r="A135" s="154" t="s">
        <v>29</v>
      </c>
      <c r="B135" s="155"/>
      <c r="C135" s="156"/>
      <c r="D135" s="156"/>
      <c r="E135" s="156"/>
      <c r="F135" s="156"/>
      <c r="G135" s="156"/>
      <c r="H135" s="156"/>
      <c r="I135" s="157"/>
      <c r="J135" s="157"/>
      <c r="K135" s="157"/>
      <c r="L135" s="158"/>
      <c r="M135" s="158"/>
      <c r="N135" s="159"/>
      <c r="O135" s="160"/>
      <c r="P135" s="161"/>
      <c r="Q135" s="161"/>
      <c r="R135" s="162"/>
      <c r="S135" s="11"/>
      <c r="T135" s="455"/>
      <c r="U135" s="533"/>
      <c r="W135" s="455"/>
      <c r="X135" s="455"/>
    </row>
    <row r="136" spans="1:25" s="29" customFormat="1" hidden="1">
      <c r="A136" s="163" t="s">
        <v>35</v>
      </c>
      <c r="B136" s="163"/>
      <c r="C136" s="125"/>
      <c r="D136" s="125"/>
      <c r="E136" s="125"/>
      <c r="F136" s="125"/>
      <c r="G136" s="125"/>
      <c r="H136" s="125"/>
      <c r="I136" s="126"/>
      <c r="J136" s="126"/>
      <c r="K136" s="126"/>
      <c r="L136" s="127"/>
      <c r="M136" s="128"/>
      <c r="N136" s="129"/>
      <c r="O136" s="130"/>
      <c r="P136" s="131"/>
      <c r="Q136" s="131"/>
      <c r="R136" s="128"/>
      <c r="S136" s="11"/>
      <c r="T136" s="455"/>
      <c r="U136" s="533"/>
      <c r="W136" s="455"/>
      <c r="X136" s="455"/>
    </row>
    <row r="137" spans="1:25" s="29" customFormat="1" hidden="1">
      <c r="A137" s="164" t="s">
        <v>36</v>
      </c>
      <c r="B137" s="164"/>
      <c r="C137" s="125"/>
      <c r="D137" s="125"/>
      <c r="E137" s="125"/>
      <c r="F137" s="125"/>
      <c r="G137" s="125"/>
      <c r="H137" s="125"/>
      <c r="I137" s="126"/>
      <c r="J137" s="126"/>
      <c r="K137" s="126"/>
      <c r="L137" s="127"/>
      <c r="M137" s="128"/>
      <c r="N137" s="129"/>
      <c r="O137" s="130"/>
      <c r="P137" s="131"/>
      <c r="Q137" s="131"/>
      <c r="R137" s="128"/>
      <c r="S137" s="11"/>
      <c r="T137" s="455"/>
      <c r="U137" s="533"/>
      <c r="W137" s="455"/>
      <c r="X137" s="455"/>
    </row>
    <row r="138" spans="1:25" s="29" customFormat="1" hidden="1">
      <c r="A138" s="165" t="s">
        <v>37</v>
      </c>
      <c r="B138" s="165"/>
      <c r="C138" s="134">
        <v>0</v>
      </c>
      <c r="D138" s="134">
        <v>0</v>
      </c>
      <c r="E138" s="134">
        <v>0.25</v>
      </c>
      <c r="F138" s="134">
        <v>0.1</v>
      </c>
      <c r="G138" s="135"/>
      <c r="H138" s="136">
        <f>SUM(C138:F138)</f>
        <v>0.35</v>
      </c>
      <c r="I138" s="137"/>
      <c r="J138" s="137"/>
      <c r="K138" s="137"/>
      <c r="L138" s="138" t="e">
        <f>((C138*#REF!)+(D138*$D$9)+(E138*$E$9)+(F138*$F$9))</f>
        <v>#REF!</v>
      </c>
      <c r="M138" s="138">
        <v>0</v>
      </c>
      <c r="N138" s="139">
        <v>0</v>
      </c>
      <c r="O138" s="140" t="e">
        <f>#REF!+#REF!</f>
        <v>#REF!</v>
      </c>
      <c r="P138" s="141" t="e">
        <f>(C138+D138+E138+F138)*O138</f>
        <v>#REF!</v>
      </c>
      <c r="Q138" s="343"/>
      <c r="R138" s="142" t="e">
        <f>(L138+M138+N138)*O138</f>
        <v>#REF!</v>
      </c>
      <c r="S138" s="11"/>
      <c r="T138" s="455"/>
      <c r="U138" s="533"/>
      <c r="W138" s="455"/>
      <c r="X138" s="455"/>
    </row>
    <row r="139" spans="1:25" s="29" customFormat="1" ht="12" hidden="1" thickBot="1">
      <c r="A139" s="164" t="s">
        <v>26</v>
      </c>
      <c r="B139" s="164"/>
      <c r="C139" s="144">
        <v>0</v>
      </c>
      <c r="D139" s="144">
        <v>0.25</v>
      </c>
      <c r="E139" s="144">
        <v>0</v>
      </c>
      <c r="F139" s="144">
        <v>0.25</v>
      </c>
      <c r="G139" s="106"/>
      <c r="H139" s="136">
        <f>SUM(C139:F139)</f>
        <v>0.5</v>
      </c>
      <c r="I139" s="137"/>
      <c r="J139" s="137"/>
      <c r="K139" s="137"/>
      <c r="L139" s="138" t="e">
        <f>((C139*#REF!)+(D139*$D$9)+(E139*$E$9)+(F139*$F$9))</f>
        <v>#REF!</v>
      </c>
      <c r="M139" s="138">
        <v>0</v>
      </c>
      <c r="N139" s="139" t="e">
        <f>O139*0.52</f>
        <v>#REF!</v>
      </c>
      <c r="O139" s="130" t="e">
        <f>O138</f>
        <v>#REF!</v>
      </c>
      <c r="P139" s="141" t="e">
        <f>(C139+D139+E139+F139)*O139</f>
        <v>#REF!</v>
      </c>
      <c r="Q139" s="343"/>
      <c r="R139" s="142" t="e">
        <f>(L139+M139+N139)*O139</f>
        <v>#REF!</v>
      </c>
      <c r="S139" s="11"/>
      <c r="T139" s="455"/>
      <c r="U139" s="533"/>
      <c r="W139" s="455"/>
      <c r="X139" s="455"/>
    </row>
    <row r="140" spans="1:25" s="29" customFormat="1" ht="12.75" hidden="1" thickTop="1" thickBot="1">
      <c r="A140" s="145" t="s">
        <v>22</v>
      </c>
      <c r="B140" s="146"/>
      <c r="C140" s="147">
        <v>0</v>
      </c>
      <c r="D140" s="147" t="s">
        <v>23</v>
      </c>
      <c r="E140" s="147" t="s">
        <v>23</v>
      </c>
      <c r="F140" s="147" t="s">
        <v>23</v>
      </c>
      <c r="G140" s="147"/>
      <c r="H140" s="147" t="s">
        <v>23</v>
      </c>
      <c r="I140" s="148"/>
      <c r="J140" s="148"/>
      <c r="K140" s="148"/>
      <c r="L140" s="149" t="s">
        <v>23</v>
      </c>
      <c r="M140" s="149">
        <v>0</v>
      </c>
      <c r="N140" s="150" t="s">
        <v>23</v>
      </c>
      <c r="O140" s="151" t="e">
        <f>O138</f>
        <v>#REF!</v>
      </c>
      <c r="P140" s="152" t="e">
        <f>SUM(P138:P139)</f>
        <v>#REF!</v>
      </c>
      <c r="Q140" s="325"/>
      <c r="R140" s="153" t="e">
        <f>SUM(R138:R139)</f>
        <v>#REF!</v>
      </c>
      <c r="S140" s="11"/>
      <c r="T140" s="455"/>
      <c r="U140" s="533"/>
      <c r="W140" s="455"/>
      <c r="X140" s="455"/>
    </row>
    <row r="141" spans="1:25" s="29" customFormat="1" ht="12" hidden="1" thickTop="1">
      <c r="A141" s="154" t="s">
        <v>38</v>
      </c>
      <c r="B141" s="155"/>
      <c r="C141" s="156"/>
      <c r="D141" s="156"/>
      <c r="E141" s="156"/>
      <c r="F141" s="156"/>
      <c r="G141" s="156"/>
      <c r="H141" s="156"/>
      <c r="I141" s="157"/>
      <c r="J141" s="157"/>
      <c r="K141" s="157"/>
      <c r="L141" s="158"/>
      <c r="M141" s="158"/>
      <c r="N141" s="159"/>
      <c r="O141" s="160"/>
      <c r="P141" s="161"/>
      <c r="Q141" s="161"/>
      <c r="R141" s="162"/>
      <c r="S141" s="11"/>
      <c r="T141" s="455"/>
      <c r="U141" s="533"/>
      <c r="W141" s="455"/>
      <c r="X141" s="455"/>
    </row>
    <row r="142" spans="1:25" s="29" customFormat="1" hidden="1">
      <c r="A142" s="163" t="s">
        <v>30</v>
      </c>
      <c r="B142" s="163"/>
      <c r="C142" s="125"/>
      <c r="D142" s="125"/>
      <c r="E142" s="125"/>
      <c r="F142" s="125"/>
      <c r="G142" s="125"/>
      <c r="H142" s="125"/>
      <c r="I142" s="126"/>
      <c r="J142" s="126"/>
      <c r="K142" s="126"/>
      <c r="L142" s="127"/>
      <c r="M142" s="128"/>
      <c r="N142" s="129"/>
      <c r="O142" s="130"/>
      <c r="P142" s="131"/>
      <c r="Q142" s="131"/>
      <c r="R142" s="128"/>
      <c r="S142" s="11"/>
      <c r="T142" s="455"/>
      <c r="U142" s="533"/>
      <c r="W142" s="455"/>
      <c r="X142" s="455"/>
    </row>
    <row r="143" spans="1:25" s="172" customFormat="1" hidden="1">
      <c r="A143" s="165" t="s">
        <v>31</v>
      </c>
      <c r="B143" s="165"/>
      <c r="C143" s="134">
        <v>0</v>
      </c>
      <c r="D143" s="134">
        <v>5</v>
      </c>
      <c r="E143" s="134">
        <v>40</v>
      </c>
      <c r="F143" s="134">
        <v>0</v>
      </c>
      <c r="G143" s="135"/>
      <c r="H143" s="166">
        <f>SUM(C143:F143)</f>
        <v>45</v>
      </c>
      <c r="I143" s="167"/>
      <c r="J143" s="167"/>
      <c r="K143" s="167"/>
      <c r="L143" s="138" t="e">
        <f>((C143*#REF!)+(D143*$D$9)+(E143*$E$9)+(F143*$F$9))</f>
        <v>#REF!</v>
      </c>
      <c r="M143" s="168">
        <v>0</v>
      </c>
      <c r="N143" s="169">
        <v>0</v>
      </c>
      <c r="O143" s="140">
        <v>45.5</v>
      </c>
      <c r="P143" s="170">
        <f>(C143+D143+E143+F143)*O143</f>
        <v>2047.5</v>
      </c>
      <c r="Q143" s="518"/>
      <c r="R143" s="142" t="e">
        <f>(L143+M143+N143)*O143</f>
        <v>#REF!</v>
      </c>
      <c r="S143" s="171"/>
      <c r="T143" s="548"/>
      <c r="U143" s="541"/>
      <c r="W143" s="548"/>
      <c r="X143" s="548"/>
    </row>
    <row r="144" spans="1:25" s="29" customFormat="1" hidden="1">
      <c r="A144" s="164" t="s">
        <v>32</v>
      </c>
      <c r="B144" s="164"/>
      <c r="C144" s="125"/>
      <c r="D144" s="125"/>
      <c r="E144" s="125"/>
      <c r="F144" s="125"/>
      <c r="G144" s="173"/>
      <c r="H144" s="174"/>
      <c r="I144" s="175"/>
      <c r="J144" s="175"/>
      <c r="K144" s="175"/>
      <c r="L144" s="176"/>
      <c r="M144" s="176"/>
      <c r="N144" s="177"/>
      <c r="O144" s="130"/>
      <c r="P144" s="178"/>
      <c r="Q144" s="343"/>
      <c r="R144" s="179"/>
      <c r="S144" s="11"/>
      <c r="T144" s="455"/>
      <c r="U144" s="533"/>
      <c r="W144" s="455"/>
      <c r="X144" s="455"/>
    </row>
    <row r="145" spans="1:24" s="188" customFormat="1" hidden="1">
      <c r="A145" s="180" t="s">
        <v>31</v>
      </c>
      <c r="B145" s="180"/>
      <c r="C145" s="181">
        <v>0</v>
      </c>
      <c r="D145" s="181">
        <v>2</v>
      </c>
      <c r="E145" s="181">
        <v>13.25</v>
      </c>
      <c r="F145" s="181">
        <v>0</v>
      </c>
      <c r="G145" s="181"/>
      <c r="H145" s="182">
        <f>SUM(C145:F145)</f>
        <v>15.25</v>
      </c>
      <c r="I145" s="183"/>
      <c r="J145" s="183"/>
      <c r="K145" s="183"/>
      <c r="L145" s="138" t="e">
        <f>((C145*#REF!)+(D145*$D$9)+(E145*$E$9)+(F145*$F$9))</f>
        <v>#REF!</v>
      </c>
      <c r="M145" s="184">
        <v>0</v>
      </c>
      <c r="N145" s="185">
        <v>0</v>
      </c>
      <c r="O145" s="140" t="e">
        <f>#REF!</f>
        <v>#REF!</v>
      </c>
      <c r="P145" s="186" t="e">
        <f>(C145+D145+E145+F145)*O145</f>
        <v>#REF!</v>
      </c>
      <c r="Q145" s="269"/>
      <c r="R145" s="142" t="e">
        <f>(L145+M145+N145)*O145</f>
        <v>#REF!</v>
      </c>
      <c r="S145" s="171"/>
      <c r="T145" s="540"/>
      <c r="U145" s="542"/>
      <c r="W145" s="540"/>
      <c r="X145" s="540"/>
    </row>
    <row r="146" spans="1:24" s="29" customFormat="1" hidden="1">
      <c r="A146" s="165" t="s">
        <v>33</v>
      </c>
      <c r="B146" s="165"/>
      <c r="C146" s="134">
        <v>0</v>
      </c>
      <c r="D146" s="134">
        <v>0.25</v>
      </c>
      <c r="E146" s="134">
        <v>0</v>
      </c>
      <c r="F146" s="134">
        <v>0.25</v>
      </c>
      <c r="G146" s="135"/>
      <c r="H146" s="136">
        <f>SUM(C146:F146)</f>
        <v>0.5</v>
      </c>
      <c r="I146" s="137"/>
      <c r="J146" s="137"/>
      <c r="K146" s="137"/>
      <c r="L146" s="138" t="e">
        <f>((C146*#REF!)+(D146*$D$9)+(E146*$E$9)+(F146*$F$9))</f>
        <v>#REF!</v>
      </c>
      <c r="M146" s="138">
        <v>0</v>
      </c>
      <c r="N146" s="139">
        <f>O143*0.52</f>
        <v>23.66</v>
      </c>
      <c r="O146" s="140">
        <f>O143*0.5</f>
        <v>22.75</v>
      </c>
      <c r="P146" s="141">
        <f>(C146+D146+E146+F146)*O146</f>
        <v>11.375</v>
      </c>
      <c r="Q146" s="343"/>
      <c r="R146" s="142" t="e">
        <f>(L146+M146+N146)*O146</f>
        <v>#REF!</v>
      </c>
      <c r="S146" s="11"/>
      <c r="T146" s="455"/>
      <c r="U146" s="533"/>
      <c r="W146" s="455"/>
      <c r="X146" s="455"/>
    </row>
    <row r="147" spans="1:24" s="29" customFormat="1" ht="12" hidden="1" thickBot="1">
      <c r="A147" s="165" t="s">
        <v>26</v>
      </c>
      <c r="B147" s="164"/>
      <c r="C147" s="144">
        <v>0</v>
      </c>
      <c r="D147" s="144">
        <v>0.25</v>
      </c>
      <c r="E147" s="144">
        <v>0</v>
      </c>
      <c r="F147" s="144">
        <v>0.25</v>
      </c>
      <c r="G147" s="106"/>
      <c r="H147" s="136">
        <f>SUM(C147:F147)</f>
        <v>0.5</v>
      </c>
      <c r="I147" s="137"/>
      <c r="J147" s="137"/>
      <c r="K147" s="137"/>
      <c r="L147" s="138" t="e">
        <f>((C147*#REF!)+(D147*$D$9)+(E147*$E$9)+(F147*$F$9))</f>
        <v>#REF!</v>
      </c>
      <c r="M147" s="138">
        <v>0</v>
      </c>
      <c r="N147" s="139">
        <f>O147*0.52</f>
        <v>23.66</v>
      </c>
      <c r="O147" s="140">
        <f>O143</f>
        <v>45.5</v>
      </c>
      <c r="P147" s="141">
        <f>(C147+D147+E147+F147)*O147</f>
        <v>22.75</v>
      </c>
      <c r="Q147" s="343"/>
      <c r="R147" s="142" t="e">
        <f>(L147+M147+N147)*O147</f>
        <v>#REF!</v>
      </c>
      <c r="S147" s="11"/>
      <c r="T147" s="455"/>
      <c r="U147" s="533"/>
      <c r="W147" s="455"/>
      <c r="X147" s="455"/>
    </row>
    <row r="148" spans="1:24" s="29" customFormat="1" ht="12.75" hidden="1" thickTop="1" thickBot="1">
      <c r="A148" s="145" t="s">
        <v>22</v>
      </c>
      <c r="B148" s="146"/>
      <c r="C148" s="147">
        <v>0</v>
      </c>
      <c r="D148" s="147" t="s">
        <v>23</v>
      </c>
      <c r="E148" s="147" t="s">
        <v>23</v>
      </c>
      <c r="F148" s="147" t="s">
        <v>23</v>
      </c>
      <c r="G148" s="147"/>
      <c r="H148" s="147" t="s">
        <v>23</v>
      </c>
      <c r="I148" s="148"/>
      <c r="J148" s="148"/>
      <c r="K148" s="148"/>
      <c r="L148" s="149" t="s">
        <v>23</v>
      </c>
      <c r="M148" s="149">
        <v>0</v>
      </c>
      <c r="N148" s="150" t="s">
        <v>23</v>
      </c>
      <c r="O148" s="151" t="s">
        <v>23</v>
      </c>
      <c r="P148" s="152" t="e">
        <f>SUM(P143:P147)</f>
        <v>#REF!</v>
      </c>
      <c r="Q148" s="325"/>
      <c r="R148" s="153" t="e">
        <f>SUM(R143:R147)</f>
        <v>#REF!</v>
      </c>
      <c r="S148" s="11"/>
      <c r="T148" s="455"/>
      <c r="U148" s="533"/>
      <c r="W148" s="455"/>
      <c r="X148" s="455"/>
    </row>
    <row r="149" spans="1:24" s="29" customFormat="1" ht="12" hidden="1" thickTop="1">
      <c r="A149" s="154" t="s">
        <v>39</v>
      </c>
      <c r="B149" s="155"/>
      <c r="C149" s="156"/>
      <c r="D149" s="156"/>
      <c r="E149" s="156"/>
      <c r="F149" s="156"/>
      <c r="G149" s="156"/>
      <c r="H149" s="156"/>
      <c r="I149" s="157"/>
      <c r="J149" s="157"/>
      <c r="K149" s="157"/>
      <c r="L149" s="158"/>
      <c r="M149" s="158"/>
      <c r="N149" s="159"/>
      <c r="O149" s="160"/>
      <c r="P149" s="161"/>
      <c r="Q149" s="161"/>
      <c r="R149" s="162"/>
      <c r="S149" s="11"/>
      <c r="T149" s="455"/>
      <c r="U149" s="533"/>
      <c r="W149" s="455"/>
      <c r="X149" s="455"/>
    </row>
    <row r="150" spans="1:24" s="29" customFormat="1" hidden="1">
      <c r="A150" s="189" t="s">
        <v>40</v>
      </c>
      <c r="B150" s="189"/>
      <c r="C150" s="144"/>
      <c r="D150" s="144"/>
      <c r="E150" s="144"/>
      <c r="F150" s="144"/>
      <c r="G150" s="144"/>
      <c r="H150" s="144"/>
      <c r="I150" s="190"/>
      <c r="J150" s="190"/>
      <c r="K150" s="190"/>
      <c r="L150" s="128"/>
      <c r="M150" s="128"/>
      <c r="N150" s="129"/>
      <c r="O150" s="191"/>
      <c r="P150" s="192"/>
      <c r="Q150" s="192"/>
      <c r="R150" s="128"/>
      <c r="S150" s="11"/>
      <c r="T150" s="455"/>
      <c r="U150" s="533"/>
      <c r="W150" s="455"/>
      <c r="X150" s="455"/>
    </row>
    <row r="151" spans="1:24" s="29" customFormat="1" hidden="1">
      <c r="A151" s="193" t="s">
        <v>41</v>
      </c>
      <c r="B151" s="193"/>
      <c r="C151" s="144"/>
      <c r="D151" s="144"/>
      <c r="E151" s="144"/>
      <c r="F151" s="144"/>
      <c r="G151" s="144"/>
      <c r="H151" s="144"/>
      <c r="I151" s="190"/>
      <c r="J151" s="190"/>
      <c r="K151" s="190"/>
      <c r="L151" s="128"/>
      <c r="M151" s="128"/>
      <c r="N151" s="129"/>
      <c r="O151" s="191"/>
      <c r="P151" s="192"/>
      <c r="Q151" s="192"/>
      <c r="R151" s="128"/>
      <c r="S151" s="11"/>
      <c r="T151" s="455"/>
      <c r="U151" s="533"/>
      <c r="W151" s="455"/>
      <c r="X151" s="455"/>
    </row>
    <row r="152" spans="1:24" s="29" customFormat="1" hidden="1">
      <c r="A152" s="194" t="s">
        <v>42</v>
      </c>
      <c r="B152" s="194"/>
      <c r="C152" s="195">
        <v>0</v>
      </c>
      <c r="D152" s="195">
        <v>0.5</v>
      </c>
      <c r="E152" s="195">
        <v>4</v>
      </c>
      <c r="F152" s="195">
        <v>0</v>
      </c>
      <c r="G152" s="106"/>
      <c r="H152" s="136">
        <f>SUM(C152:F152)</f>
        <v>4.5</v>
      </c>
      <c r="I152" s="137"/>
      <c r="J152" s="137"/>
      <c r="K152" s="137"/>
      <c r="L152" s="138" t="e">
        <f>((C152*#REF!)+(D152*$D$9)+(E152*$E$9)+(F152*$F$9))</f>
        <v>#REF!</v>
      </c>
      <c r="M152" s="138">
        <v>0</v>
      </c>
      <c r="N152" s="139">
        <v>0</v>
      </c>
      <c r="O152" s="196" t="e">
        <f>#REF!</f>
        <v>#REF!</v>
      </c>
      <c r="P152" s="141" t="e">
        <f>(C152+D152+E152+F152)*O152</f>
        <v>#REF!</v>
      </c>
      <c r="Q152" s="343"/>
      <c r="R152" s="142" t="e">
        <f>(L152+M152+N152)*O152</f>
        <v>#REF!</v>
      </c>
      <c r="S152" s="11"/>
      <c r="T152" s="455"/>
      <c r="U152" s="533"/>
      <c r="W152" s="455"/>
      <c r="X152" s="455"/>
    </row>
    <row r="153" spans="1:24" s="29" customFormat="1" hidden="1">
      <c r="A153" s="189" t="s">
        <v>43</v>
      </c>
      <c r="B153" s="189"/>
      <c r="C153" s="144"/>
      <c r="D153" s="144"/>
      <c r="E153" s="144"/>
      <c r="F153" s="144"/>
      <c r="G153" s="144"/>
      <c r="H153" s="144"/>
      <c r="I153" s="190"/>
      <c r="J153" s="190"/>
      <c r="K153" s="190"/>
      <c r="L153" s="128"/>
      <c r="M153" s="128"/>
      <c r="N153" s="129"/>
      <c r="O153" s="191"/>
      <c r="P153" s="192"/>
      <c r="Q153" s="192"/>
      <c r="R153" s="128"/>
      <c r="S153" s="11"/>
      <c r="T153" s="455"/>
      <c r="U153" s="533"/>
      <c r="W153" s="455"/>
      <c r="X153" s="455"/>
    </row>
    <row r="154" spans="1:24" s="29" customFormat="1" hidden="1">
      <c r="A154" s="189" t="s">
        <v>44</v>
      </c>
      <c r="B154" s="189"/>
      <c r="C154" s="144"/>
      <c r="D154" s="144"/>
      <c r="E154" s="144"/>
      <c r="F154" s="144"/>
      <c r="G154" s="144"/>
      <c r="H154" s="144"/>
      <c r="I154" s="190"/>
      <c r="J154" s="190"/>
      <c r="K154" s="190"/>
      <c r="L154" s="128"/>
      <c r="M154" s="128"/>
      <c r="N154" s="129"/>
      <c r="O154" s="191"/>
      <c r="P154" s="192"/>
      <c r="Q154" s="192"/>
      <c r="R154" s="128"/>
      <c r="S154" s="11"/>
      <c r="T154" s="455"/>
      <c r="U154" s="533"/>
      <c r="W154" s="455"/>
      <c r="X154" s="455"/>
    </row>
    <row r="155" spans="1:24" s="29" customFormat="1" ht="12" hidden="1" thickBot="1">
      <c r="A155" s="189" t="s">
        <v>45</v>
      </c>
      <c r="B155" s="189"/>
      <c r="C155" s="144">
        <v>0</v>
      </c>
      <c r="D155" s="144">
        <v>0.25</v>
      </c>
      <c r="E155" s="144">
        <v>0</v>
      </c>
      <c r="F155" s="144">
        <v>0.25</v>
      </c>
      <c r="G155" s="106"/>
      <c r="H155" s="136">
        <f>SUM(C155:F155)</f>
        <v>0.5</v>
      </c>
      <c r="I155" s="137"/>
      <c r="J155" s="137"/>
      <c r="K155" s="137"/>
      <c r="L155" s="138" t="e">
        <f>((C155*#REF!)+(D155*$D$9)+(E155*$E$9)+(F155*$F$9))</f>
        <v>#REF!</v>
      </c>
      <c r="M155" s="138">
        <v>0</v>
      </c>
      <c r="N155" s="139">
        <f>O155*0.52</f>
        <v>0</v>
      </c>
      <c r="O155" s="191">
        <v>0</v>
      </c>
      <c r="P155" s="141">
        <f>(C155+D155+E155+F155)*O155</f>
        <v>0</v>
      </c>
      <c r="Q155" s="343"/>
      <c r="R155" s="142" t="e">
        <f>(L155+M155+N155)*O155</f>
        <v>#REF!</v>
      </c>
      <c r="S155" s="11"/>
      <c r="T155" s="455"/>
      <c r="U155" s="533"/>
      <c r="W155" s="455"/>
      <c r="X155" s="455"/>
    </row>
    <row r="156" spans="1:24" s="29" customFormat="1" ht="12.75" hidden="1" thickTop="1" thickBot="1">
      <c r="A156" s="145" t="s">
        <v>22</v>
      </c>
      <c r="B156" s="146"/>
      <c r="C156" s="147">
        <v>0</v>
      </c>
      <c r="D156" s="147" t="s">
        <v>23</v>
      </c>
      <c r="E156" s="147" t="s">
        <v>23</v>
      </c>
      <c r="F156" s="147" t="s">
        <v>23</v>
      </c>
      <c r="G156" s="147"/>
      <c r="H156" s="147" t="s">
        <v>23</v>
      </c>
      <c r="I156" s="148"/>
      <c r="J156" s="148"/>
      <c r="K156" s="148"/>
      <c r="L156" s="149" t="s">
        <v>23</v>
      </c>
      <c r="M156" s="149">
        <f>SUM(M152:M155)</f>
        <v>0</v>
      </c>
      <c r="N156" s="150" t="s">
        <v>23</v>
      </c>
      <c r="O156" s="151" t="s">
        <v>23</v>
      </c>
      <c r="P156" s="152" t="e">
        <f>SUM(P152:P155)</f>
        <v>#REF!</v>
      </c>
      <c r="Q156" s="325"/>
      <c r="R156" s="153" t="e">
        <f>SUM(R152:R155)</f>
        <v>#REF!</v>
      </c>
      <c r="S156" s="11"/>
      <c r="T156" s="455"/>
      <c r="U156" s="533"/>
      <c r="W156" s="455"/>
      <c r="X156" s="455"/>
    </row>
    <row r="157" spans="1:24" s="29" customFormat="1" ht="12" hidden="1" thickTop="1">
      <c r="A157" s="154" t="s">
        <v>46</v>
      </c>
      <c r="B157" s="155"/>
      <c r="C157" s="156"/>
      <c r="D157" s="156"/>
      <c r="E157" s="156"/>
      <c r="F157" s="156"/>
      <c r="G157" s="156"/>
      <c r="H157" s="156"/>
      <c r="I157" s="157"/>
      <c r="J157" s="157"/>
      <c r="K157" s="157"/>
      <c r="L157" s="158"/>
      <c r="M157" s="158"/>
      <c r="N157" s="159"/>
      <c r="O157" s="160"/>
      <c r="P157" s="161"/>
      <c r="Q157" s="161"/>
      <c r="R157" s="162"/>
      <c r="S157" s="11"/>
      <c r="T157" s="455"/>
      <c r="U157" s="533"/>
      <c r="W157" s="455"/>
      <c r="X157" s="455"/>
    </row>
    <row r="158" spans="1:24" s="29" customFormat="1" hidden="1">
      <c r="A158" s="197" t="s">
        <v>27</v>
      </c>
      <c r="B158" s="197"/>
      <c r="C158" s="198">
        <v>0</v>
      </c>
      <c r="D158" s="198">
        <v>3</v>
      </c>
      <c r="E158" s="198">
        <v>24</v>
      </c>
      <c r="F158" s="198">
        <v>0</v>
      </c>
      <c r="G158" s="106"/>
      <c r="H158" s="136">
        <f>SUM(C158:F158)</f>
        <v>27</v>
      </c>
      <c r="I158" s="137"/>
      <c r="J158" s="137"/>
      <c r="K158" s="137"/>
      <c r="L158" s="138" t="e">
        <f>((C158*#REF!)+(D158*$D$9)+(E158*$E$9)+(F158*$F$9))</f>
        <v>#REF!</v>
      </c>
      <c r="M158" s="138">
        <v>0</v>
      </c>
      <c r="N158" s="139">
        <v>0</v>
      </c>
      <c r="O158" s="199" t="e">
        <f>#REF!+#REF!</f>
        <v>#REF!</v>
      </c>
      <c r="P158" s="141" t="e">
        <f>(C158+D158+E158+F158)*O158</f>
        <v>#REF!</v>
      </c>
      <c r="Q158" s="343"/>
      <c r="R158" s="142" t="e">
        <f>(L158+M158+N158)*O158</f>
        <v>#REF!</v>
      </c>
      <c r="S158" s="11"/>
      <c r="T158" s="455"/>
      <c r="U158" s="533"/>
      <c r="W158" s="455"/>
      <c r="X158" s="455"/>
    </row>
    <row r="159" spans="1:24" s="29" customFormat="1" ht="12" hidden="1" thickBot="1">
      <c r="A159" s="200" t="s">
        <v>28</v>
      </c>
      <c r="B159" s="193"/>
      <c r="C159" s="144">
        <v>0</v>
      </c>
      <c r="D159" s="144">
        <v>0</v>
      </c>
      <c r="E159" s="144">
        <v>0</v>
      </c>
      <c r="F159" s="144">
        <v>0</v>
      </c>
      <c r="G159" s="106"/>
      <c r="H159" s="136">
        <v>2</v>
      </c>
      <c r="I159" s="137"/>
      <c r="J159" s="137"/>
      <c r="K159" s="137"/>
      <c r="L159" s="138" t="e">
        <f>((C159*#REF!)+(D159*$D$9)+(E159*$E$9)+(F159*$F$9))</f>
        <v>#REF!</v>
      </c>
      <c r="M159" s="138">
        <v>0</v>
      </c>
      <c r="N159" s="139">
        <v>0</v>
      </c>
      <c r="O159" s="199" t="e">
        <f>O158</f>
        <v>#REF!</v>
      </c>
      <c r="P159" s="141" t="e">
        <f>(C159+D159+E159+F159)*O159</f>
        <v>#REF!</v>
      </c>
      <c r="Q159" s="343"/>
      <c r="R159" s="142" t="e">
        <f>(L159+M159+N159)*O159</f>
        <v>#REF!</v>
      </c>
      <c r="S159" s="11"/>
      <c r="T159" s="455"/>
      <c r="U159" s="533"/>
      <c r="W159" s="455"/>
      <c r="X159" s="455"/>
    </row>
    <row r="160" spans="1:24" s="29" customFormat="1" ht="12.75" hidden="1" thickTop="1" thickBot="1">
      <c r="A160" s="145" t="s">
        <v>22</v>
      </c>
      <c r="B160" s="146"/>
      <c r="C160" s="147">
        <v>0</v>
      </c>
      <c r="D160" s="147" t="s">
        <v>23</v>
      </c>
      <c r="E160" s="147" t="s">
        <v>23</v>
      </c>
      <c r="F160" s="147">
        <v>0</v>
      </c>
      <c r="G160" s="147"/>
      <c r="H160" s="147" t="s">
        <v>23</v>
      </c>
      <c r="I160" s="148"/>
      <c r="J160" s="148"/>
      <c r="K160" s="148"/>
      <c r="L160" s="149" t="s">
        <v>23</v>
      </c>
      <c r="M160" s="149">
        <f>SUM(M158:M159)</f>
        <v>0</v>
      </c>
      <c r="N160" s="150">
        <f>SUM(N158:N159)</f>
        <v>0</v>
      </c>
      <c r="O160" s="151" t="e">
        <f>O158</f>
        <v>#REF!</v>
      </c>
      <c r="P160" s="152" t="e">
        <f>SUM(P158:P159)</f>
        <v>#REF!</v>
      </c>
      <c r="Q160" s="325"/>
      <c r="R160" s="153" t="e">
        <f>SUM(R158:R159)</f>
        <v>#REF!</v>
      </c>
      <c r="S160" s="11"/>
      <c r="T160" s="455"/>
      <c r="U160" s="533"/>
      <c r="W160" s="455"/>
      <c r="X160" s="455"/>
    </row>
    <row r="161" spans="1:25" s="29" customFormat="1" ht="12" thickTop="1">
      <c r="A161" s="201" t="s">
        <v>76</v>
      </c>
      <c r="B161" s="202"/>
      <c r="C161" s="203"/>
      <c r="D161" s="203"/>
      <c r="E161" s="203"/>
      <c r="F161" s="203"/>
      <c r="G161" s="203"/>
      <c r="H161" s="203"/>
      <c r="I161" s="204"/>
      <c r="J161" s="204"/>
      <c r="K161" s="204"/>
      <c r="L161" s="205"/>
      <c r="M161" s="205"/>
      <c r="N161" s="206"/>
      <c r="O161" s="207"/>
      <c r="P161" s="208"/>
      <c r="Q161" s="208"/>
      <c r="R161" s="209"/>
      <c r="S161" s="187"/>
      <c r="T161" s="455"/>
      <c r="U161" s="533"/>
      <c r="W161" s="455"/>
      <c r="X161" s="455"/>
    </row>
    <row r="162" spans="1:25" s="29" customFormat="1">
      <c r="A162" s="210"/>
      <c r="B162" s="211" t="s">
        <v>77</v>
      </c>
      <c r="C162" s="212">
        <v>0</v>
      </c>
      <c r="D162" s="212">
        <v>3</v>
      </c>
      <c r="E162" s="212">
        <v>40</v>
      </c>
      <c r="F162" s="212">
        <v>0</v>
      </c>
      <c r="G162" s="212">
        <v>0</v>
      </c>
      <c r="H162" s="212">
        <f>SUM(C162:G162)</f>
        <v>43</v>
      </c>
      <c r="I162" s="213"/>
      <c r="J162" s="213"/>
      <c r="K162" s="213"/>
      <c r="L162" s="214">
        <f>((C162*$C$9)+(D162*$D$9)+(E162*$E$9)+(F162*$F$9))</f>
        <v>2426.9120000000003</v>
      </c>
      <c r="M162" s="214">
        <v>0</v>
      </c>
      <c r="N162" s="185">
        <v>0</v>
      </c>
      <c r="O162" s="196">
        <f>O9*10%</f>
        <v>2.1333333323333337</v>
      </c>
      <c r="P162" s="75">
        <f>(C162+D162+E162+F162)*O162</f>
        <v>91.733333290333348</v>
      </c>
      <c r="Q162" s="72">
        <f>(M162+N162)*O162</f>
        <v>0</v>
      </c>
      <c r="R162" s="72">
        <f>(L162+M162+N162)*O162</f>
        <v>5177.412264239756</v>
      </c>
      <c r="S162" s="171" t="s">
        <v>254</v>
      </c>
      <c r="T162" s="536" t="str">
        <f>IF($S162="RP",O162,"")</f>
        <v/>
      </c>
      <c r="U162" s="537" t="str">
        <f>IF($S162="RP",P162,"")</f>
        <v/>
      </c>
      <c r="V162" s="521" t="str">
        <f>IF($S162="RP",Q162,"")</f>
        <v/>
      </c>
      <c r="W162" s="537">
        <f>IF($S162="RK",O162,"")</f>
        <v>2.1333333323333337</v>
      </c>
      <c r="X162" s="537">
        <f>IF($S162="RK",P162,"")</f>
        <v>91.733333290333348</v>
      </c>
      <c r="Y162" s="521">
        <f>IF($S162="RK",Q162,"")</f>
        <v>0</v>
      </c>
    </row>
    <row r="163" spans="1:25" s="29" customFormat="1">
      <c r="A163" s="228"/>
      <c r="B163" s="229" t="s">
        <v>78</v>
      </c>
      <c r="C163" s="230"/>
      <c r="D163" s="230"/>
      <c r="E163" s="230"/>
      <c r="F163" s="230"/>
      <c r="G163" s="236"/>
      <c r="H163" s="236"/>
      <c r="I163" s="271"/>
      <c r="J163" s="271"/>
      <c r="K163" s="271"/>
      <c r="L163" s="272"/>
      <c r="M163" s="272"/>
      <c r="N163" s="295"/>
      <c r="O163" s="476"/>
      <c r="P163" s="273"/>
      <c r="Q163" s="273"/>
      <c r="R163" s="272"/>
      <c r="S163" s="11"/>
      <c r="T163" s="455"/>
      <c r="U163" s="533"/>
      <c r="W163" s="455"/>
      <c r="X163" s="455"/>
    </row>
    <row r="164" spans="1:25" s="172" customFormat="1">
      <c r="A164" s="215"/>
      <c r="B164" s="296" t="s">
        <v>79</v>
      </c>
      <c r="C164" s="195">
        <v>0</v>
      </c>
      <c r="D164" s="195">
        <v>0.25</v>
      </c>
      <c r="E164" s="195">
        <v>4</v>
      </c>
      <c r="F164" s="195">
        <v>0</v>
      </c>
      <c r="G164" s="265">
        <v>0</v>
      </c>
      <c r="H164" s="166">
        <f>SUM(C164:G164)</f>
        <v>4.25</v>
      </c>
      <c r="I164" s="167"/>
      <c r="J164" s="167"/>
      <c r="K164" s="167"/>
      <c r="L164" s="168">
        <f>((C164*$C$9)+(D164*$D$9)+(E164*$E$9)+(F164*$F$9))</f>
        <v>238.87200000000004</v>
      </c>
      <c r="M164" s="168">
        <v>0</v>
      </c>
      <c r="N164" s="169">
        <v>0</v>
      </c>
      <c r="O164" s="473">
        <f>0.1*O9</f>
        <v>2.1333333323333337</v>
      </c>
      <c r="P164" s="170">
        <f>(C164+D164+E164+F164)*O164</f>
        <v>9.0666666624166687</v>
      </c>
      <c r="Q164" s="72">
        <f>(M164+N164)*O164</f>
        <v>0</v>
      </c>
      <c r="R164" s="142">
        <f>(L164+M164+N164)*O164</f>
        <v>509.59359976112819</v>
      </c>
      <c r="S164" s="171" t="s">
        <v>254</v>
      </c>
      <c r="T164" s="536" t="str">
        <f t="shared" ref="T164:V165" si="67">IF($S164="RP",O164,"")</f>
        <v/>
      </c>
      <c r="U164" s="537" t="str">
        <f t="shared" si="67"/>
        <v/>
      </c>
      <c r="V164" s="521" t="str">
        <f t="shared" si="67"/>
        <v/>
      </c>
      <c r="W164" s="537">
        <f t="shared" ref="W164:Y165" si="68">IF($S164="RK",O164,"")</f>
        <v>2.1333333323333337</v>
      </c>
      <c r="X164" s="537">
        <f t="shared" si="68"/>
        <v>9.0666666624166687</v>
      </c>
      <c r="Y164" s="521">
        <f t="shared" si="68"/>
        <v>0</v>
      </c>
    </row>
    <row r="165" spans="1:25" s="29" customFormat="1" ht="12" thickBot="1">
      <c r="A165" s="224"/>
      <c r="B165" s="219" t="s">
        <v>82</v>
      </c>
      <c r="C165" s="144">
        <v>0</v>
      </c>
      <c r="D165" s="144">
        <v>0.25</v>
      </c>
      <c r="E165" s="144">
        <v>0</v>
      </c>
      <c r="F165" s="144">
        <v>0.25</v>
      </c>
      <c r="G165" s="106">
        <v>0</v>
      </c>
      <c r="H165" s="136">
        <f>SUM(C165:G165)</f>
        <v>0.5</v>
      </c>
      <c r="I165" s="137"/>
      <c r="J165" s="137"/>
      <c r="K165" s="137"/>
      <c r="L165" s="138">
        <f>((C165*$C$9)+(D165*$D$9)+(E165*$E$9)+(F165*$F$9))</f>
        <v>26.696000000000002</v>
      </c>
      <c r="M165" s="138">
        <v>0</v>
      </c>
      <c r="N165" s="139">
        <v>0</v>
      </c>
      <c r="O165" s="191">
        <f>O164</f>
        <v>2.1333333323333337</v>
      </c>
      <c r="P165" s="141">
        <f>(C165+D165+E165+F165)*O165</f>
        <v>1.0666666661666668</v>
      </c>
      <c r="Q165" s="72">
        <f>(M165+N165)*O165</f>
        <v>0</v>
      </c>
      <c r="R165" s="142">
        <f>(L165+M165+N165)*O165</f>
        <v>56.951466639970675</v>
      </c>
      <c r="S165" s="171" t="s">
        <v>259</v>
      </c>
      <c r="T165" s="536">
        <f t="shared" si="67"/>
        <v>2.1333333323333337</v>
      </c>
      <c r="U165" s="537">
        <f t="shared" si="67"/>
        <v>1.0666666661666668</v>
      </c>
      <c r="V165" s="521">
        <f t="shared" si="67"/>
        <v>0</v>
      </c>
      <c r="W165" s="537" t="str">
        <f t="shared" si="68"/>
        <v/>
      </c>
      <c r="X165" s="537" t="str">
        <f t="shared" si="68"/>
        <v/>
      </c>
      <c r="Y165" s="521" t="str">
        <f t="shared" si="68"/>
        <v/>
      </c>
    </row>
    <row r="166" spans="1:25" s="29" customFormat="1" ht="12.75" thickTop="1" thickBot="1">
      <c r="A166" s="145" t="s">
        <v>22</v>
      </c>
      <c r="B166" s="146"/>
      <c r="C166" s="152">
        <f t="shared" ref="C166:H166" si="69">(C165+C164+C162)</f>
        <v>0</v>
      </c>
      <c r="D166" s="152">
        <f t="shared" si="69"/>
        <v>3.5</v>
      </c>
      <c r="E166" s="152">
        <f t="shared" si="69"/>
        <v>44</v>
      </c>
      <c r="F166" s="152">
        <f t="shared" si="69"/>
        <v>0.25</v>
      </c>
      <c r="G166" s="152">
        <f t="shared" si="69"/>
        <v>0</v>
      </c>
      <c r="H166" s="152">
        <f t="shared" si="69"/>
        <v>47.75</v>
      </c>
      <c r="I166" s="148"/>
      <c r="J166" s="148"/>
      <c r="K166" s="148"/>
      <c r="L166" s="225">
        <f>(L165+L164+L162)</f>
        <v>2692.4800000000005</v>
      </c>
      <c r="M166" s="225">
        <f>(M165+M164+M162)</f>
        <v>0</v>
      </c>
      <c r="N166" s="226">
        <f>(N165+N164+N162)</f>
        <v>0</v>
      </c>
      <c r="O166" s="151"/>
      <c r="P166" s="152">
        <f>(P165+P164+P162)</f>
        <v>101.86666661891668</v>
      </c>
      <c r="Q166" s="227">
        <f>(Q165+Q164+Q162)</f>
        <v>0</v>
      </c>
      <c r="R166" s="227">
        <f>(R165+R164+R162)</f>
        <v>5743.9573306408547</v>
      </c>
      <c r="S166" s="227"/>
      <c r="T166" s="545">
        <f t="shared" ref="T166:Y166" si="70">(T165+T164+T162)</f>
        <v>2.1333333323333337</v>
      </c>
      <c r="U166" s="545">
        <f t="shared" si="70"/>
        <v>1.0666666661666668</v>
      </c>
      <c r="V166" s="227">
        <f t="shared" si="70"/>
        <v>0</v>
      </c>
      <c r="W166" s="545">
        <f t="shared" si="70"/>
        <v>4.2666666646666673</v>
      </c>
      <c r="X166" s="545">
        <f t="shared" si="70"/>
        <v>100.79999995275001</v>
      </c>
      <c r="Y166" s="227">
        <f t="shared" si="70"/>
        <v>0</v>
      </c>
    </row>
    <row r="167" spans="1:25" s="29" customFormat="1" ht="12" thickTop="1">
      <c r="A167" s="201" t="s">
        <v>47</v>
      </c>
      <c r="B167" s="202"/>
      <c r="C167" s="203"/>
      <c r="D167" s="203"/>
      <c r="E167" s="203"/>
      <c r="F167" s="203"/>
      <c r="G167" s="203"/>
      <c r="H167" s="203"/>
      <c r="I167" s="204"/>
      <c r="J167" s="204"/>
      <c r="K167" s="204"/>
      <c r="L167" s="205"/>
      <c r="M167" s="205"/>
      <c r="N167" s="206"/>
      <c r="O167" s="207"/>
      <c r="P167" s="208"/>
      <c r="Q167" s="208"/>
      <c r="R167" s="209"/>
      <c r="S167" s="11"/>
      <c r="T167" s="455"/>
      <c r="U167" s="533"/>
      <c r="W167" s="455"/>
      <c r="X167" s="455"/>
    </row>
    <row r="168" spans="1:25" s="29" customFormat="1">
      <c r="A168" s="292"/>
      <c r="B168" s="211" t="s">
        <v>80</v>
      </c>
      <c r="C168" s="212">
        <v>0</v>
      </c>
      <c r="D168" s="212">
        <v>1</v>
      </c>
      <c r="E168" s="212">
        <v>4</v>
      </c>
      <c r="F168" s="212">
        <v>0</v>
      </c>
      <c r="G168" s="212">
        <v>0</v>
      </c>
      <c r="H168" s="212">
        <f>SUM(C168:G168)</f>
        <v>5</v>
      </c>
      <c r="I168" s="213"/>
      <c r="J168" s="213"/>
      <c r="K168" s="213"/>
      <c r="L168" s="214">
        <f>((C168*$C$9)+(D168*$D$9)+(E168*$E$9)+(F168*$F$9))</f>
        <v>296.16000000000003</v>
      </c>
      <c r="M168" s="214">
        <v>0</v>
      </c>
      <c r="N168" s="185">
        <v>0</v>
      </c>
      <c r="O168" s="473">
        <f>0.2*O9</f>
        <v>4.2666666646666673</v>
      </c>
      <c r="P168" s="75">
        <f>(C168+D168+E168+F168)*O168</f>
        <v>21.333333323333335</v>
      </c>
      <c r="Q168" s="72">
        <f>(M168+N168)*O168</f>
        <v>0</v>
      </c>
      <c r="R168" s="72">
        <f>(L168+M168+N168)*O168</f>
        <v>1263.6159994076802</v>
      </c>
      <c r="S168" s="528" t="s">
        <v>254</v>
      </c>
      <c r="T168" s="536" t="str">
        <f t="shared" ref="T168:V169" si="71">IF($S168="RP",O168,"")</f>
        <v/>
      </c>
      <c r="U168" s="537" t="str">
        <f t="shared" si="71"/>
        <v/>
      </c>
      <c r="V168" s="521" t="str">
        <f t="shared" si="71"/>
        <v/>
      </c>
      <c r="W168" s="537">
        <f t="shared" ref="W168:Y169" si="72">IF($S168="RK",O168,"")</f>
        <v>4.2666666646666673</v>
      </c>
      <c r="X168" s="537">
        <f t="shared" si="72"/>
        <v>21.333333323333335</v>
      </c>
      <c r="Y168" s="521">
        <f t="shared" si="72"/>
        <v>0</v>
      </c>
    </row>
    <row r="169" spans="1:25" s="29" customFormat="1" ht="12" thickBot="1">
      <c r="A169" s="234"/>
      <c r="B169" s="219" t="s">
        <v>81</v>
      </c>
      <c r="C169" s="144">
        <v>0</v>
      </c>
      <c r="D169" s="144">
        <v>0.25</v>
      </c>
      <c r="E169" s="144">
        <v>0</v>
      </c>
      <c r="F169" s="144">
        <v>0.25</v>
      </c>
      <c r="G169" s="106">
        <v>0</v>
      </c>
      <c r="H169" s="136">
        <f>SUM(C169:G169)</f>
        <v>0.5</v>
      </c>
      <c r="I169" s="137"/>
      <c r="J169" s="137"/>
      <c r="K169" s="137"/>
      <c r="L169" s="138">
        <f>((C169*$C$9)+(D169*$D$9)+(E169*$E$9)+(F169*$F$9))</f>
        <v>26.696000000000002</v>
      </c>
      <c r="M169" s="138">
        <v>0</v>
      </c>
      <c r="N169" s="139">
        <v>0</v>
      </c>
      <c r="O169" s="474">
        <f>0.2*O9</f>
        <v>4.2666666646666673</v>
      </c>
      <c r="P169" s="141">
        <f>(C169+D169+E169+F169)*O169</f>
        <v>2.1333333323333337</v>
      </c>
      <c r="Q169" s="72">
        <f>(M169+N169)*O169</f>
        <v>0</v>
      </c>
      <c r="R169" s="142">
        <f>(L169+M169+N169)*O169</f>
        <v>113.90293327994135</v>
      </c>
      <c r="S169" s="171" t="s">
        <v>259</v>
      </c>
      <c r="T169" s="536">
        <f t="shared" si="71"/>
        <v>4.2666666646666673</v>
      </c>
      <c r="U169" s="537">
        <f t="shared" si="71"/>
        <v>2.1333333323333337</v>
      </c>
      <c r="V169" s="521">
        <f t="shared" si="71"/>
        <v>0</v>
      </c>
      <c r="W169" s="537" t="str">
        <f t="shared" si="72"/>
        <v/>
      </c>
      <c r="X169" s="537" t="str">
        <f t="shared" si="72"/>
        <v/>
      </c>
      <c r="Y169" s="521" t="str">
        <f t="shared" si="72"/>
        <v/>
      </c>
    </row>
    <row r="170" spans="1:25" s="29" customFormat="1" ht="12.75" thickTop="1" thickBot="1">
      <c r="A170" s="145" t="s">
        <v>22</v>
      </c>
      <c r="B170" s="146"/>
      <c r="C170" s="147">
        <f t="shared" ref="C170:H170" si="73">(C169+C168)</f>
        <v>0</v>
      </c>
      <c r="D170" s="147">
        <f t="shared" si="73"/>
        <v>1.25</v>
      </c>
      <c r="E170" s="147">
        <f t="shared" si="73"/>
        <v>4</v>
      </c>
      <c r="F170" s="147">
        <f t="shared" si="73"/>
        <v>0.25</v>
      </c>
      <c r="G170" s="147">
        <f t="shared" si="73"/>
        <v>0</v>
      </c>
      <c r="H170" s="147">
        <f t="shared" si="73"/>
        <v>5.5</v>
      </c>
      <c r="I170" s="148"/>
      <c r="J170" s="148"/>
      <c r="K170" s="148"/>
      <c r="L170" s="149">
        <f>(L169+L168)</f>
        <v>322.85600000000005</v>
      </c>
      <c r="M170" s="149">
        <f>(M169+M168)</f>
        <v>0</v>
      </c>
      <c r="N170" s="150">
        <f>(N169+N168)</f>
        <v>0</v>
      </c>
      <c r="O170" s="220"/>
      <c r="P170" s="147">
        <f>(P169+P168)</f>
        <v>23.466666655666668</v>
      </c>
      <c r="Q170" s="153">
        <f>(Q169+Q168)</f>
        <v>0</v>
      </c>
      <c r="R170" s="153">
        <f>(R169+R168)</f>
        <v>1377.5189326876216</v>
      </c>
      <c r="S170" s="153"/>
      <c r="T170" s="543">
        <f t="shared" ref="T170:Y170" si="74">(T169+T168)</f>
        <v>4.2666666646666673</v>
      </c>
      <c r="U170" s="543">
        <f t="shared" si="74"/>
        <v>2.1333333323333337</v>
      </c>
      <c r="V170" s="153">
        <f t="shared" si="74"/>
        <v>0</v>
      </c>
      <c r="W170" s="543">
        <f t="shared" si="74"/>
        <v>4.2666666646666673</v>
      </c>
      <c r="X170" s="543">
        <f t="shared" si="74"/>
        <v>21.333333323333335</v>
      </c>
      <c r="Y170" s="153">
        <f t="shared" si="74"/>
        <v>0</v>
      </c>
    </row>
    <row r="171" spans="1:25" s="29" customFormat="1" ht="12.75" thickTop="1" thickBot="1">
      <c r="A171" s="145"/>
      <c r="B171" s="146"/>
      <c r="C171" s="297"/>
      <c r="D171" s="101"/>
      <c r="E171" s="101"/>
      <c r="F171" s="101"/>
      <c r="G171" s="101"/>
      <c r="H171" s="101"/>
      <c r="I171" s="102"/>
      <c r="J171" s="102"/>
      <c r="K171" s="102"/>
      <c r="L171" s="103"/>
      <c r="M171" s="103"/>
      <c r="N171" s="81"/>
      <c r="O171" s="244"/>
      <c r="P171" s="101"/>
      <c r="Q171" s="101"/>
      <c r="R171" s="80"/>
      <c r="S171" s="11"/>
      <c r="T171" s="455"/>
      <c r="U171" s="533"/>
      <c r="W171" s="455"/>
      <c r="X171" s="455"/>
    </row>
    <row r="172" spans="1:25" s="29" customFormat="1" ht="12.75" thickTop="1" thickBot="1">
      <c r="A172" s="245" t="s">
        <v>205</v>
      </c>
      <c r="B172" s="246"/>
      <c r="C172" s="247"/>
      <c r="D172" s="247"/>
      <c r="E172" s="247"/>
      <c r="F172" s="247"/>
      <c r="G172" s="247"/>
      <c r="H172" s="152">
        <f>SUM(H118,H128,H134,H166,H170)</f>
        <v>165.25</v>
      </c>
      <c r="I172" s="298"/>
      <c r="J172" s="298"/>
      <c r="K172" s="298"/>
      <c r="L172" s="299">
        <f>SUM(L118,L128,L134,L166,L170)</f>
        <v>9455.4000000000015</v>
      </c>
      <c r="M172" s="299">
        <f>SUM(M118,M128,M134,M166,M170)</f>
        <v>0</v>
      </c>
      <c r="N172" s="300">
        <f>SUM(N118,N128,N134,N166,N170)</f>
        <v>42</v>
      </c>
      <c r="O172" s="301"/>
      <c r="P172" s="302">
        <f>SUM(P118,P128,P134,P166,P170)</f>
        <v>1009.9999995545834</v>
      </c>
      <c r="Q172" s="303">
        <f>SUM(Q118,Q128,Q134,Q166,Q170)</f>
        <v>369.06666654366666</v>
      </c>
      <c r="R172" s="303">
        <f>SUM(R118,R128,R134,R166,R170)</f>
        <v>58090.655263342203</v>
      </c>
      <c r="S172" s="303"/>
      <c r="T172" s="549">
        <f t="shared" ref="T172:Y172" si="75">SUM(T118,T128,T134,T166,T170)</f>
        <v>25.599999988</v>
      </c>
      <c r="U172" s="549">
        <f t="shared" si="75"/>
        <v>12.799999994</v>
      </c>
      <c r="V172" s="303">
        <f t="shared" si="75"/>
        <v>262.39999987700003</v>
      </c>
      <c r="W172" s="549">
        <f t="shared" si="75"/>
        <v>50.388888870000002</v>
      </c>
      <c r="X172" s="549">
        <f t="shared" si="75"/>
        <v>997.19999956058336</v>
      </c>
      <c r="Y172" s="303">
        <f t="shared" si="75"/>
        <v>106.66666666666666</v>
      </c>
    </row>
    <row r="173" spans="1:25" s="29" customFormat="1" ht="12" thickTop="1">
      <c r="A173" s="87"/>
      <c r="B173" s="248"/>
      <c r="C173" s="249"/>
      <c r="D173" s="249"/>
      <c r="E173" s="249"/>
      <c r="F173" s="249"/>
      <c r="G173" s="249"/>
      <c r="H173" s="111"/>
      <c r="I173" s="304"/>
      <c r="J173" s="304"/>
      <c r="K173" s="304"/>
      <c r="L173" s="305"/>
      <c r="M173" s="305"/>
      <c r="N173" s="306"/>
      <c r="O173" s="307"/>
      <c r="P173" s="308"/>
      <c r="Q173" s="308"/>
      <c r="R173" s="306"/>
      <c r="S173" s="11"/>
      <c r="T173" s="455"/>
      <c r="U173" s="533"/>
      <c r="W173" s="455"/>
      <c r="X173" s="455"/>
    </row>
    <row r="174" spans="1:25" s="29" customFormat="1" ht="12" thickBot="1">
      <c r="A174" s="94"/>
      <c r="B174" s="248"/>
      <c r="C174" s="249"/>
      <c r="D174" s="249"/>
      <c r="E174" s="249"/>
      <c r="F174" s="249"/>
      <c r="G174" s="249"/>
      <c r="H174" s="111"/>
      <c r="I174" s="304"/>
      <c r="J174" s="304"/>
      <c r="K174" s="304"/>
      <c r="L174" s="305"/>
      <c r="M174" s="305"/>
      <c r="N174" s="309"/>
      <c r="O174" s="307"/>
      <c r="P174" s="308"/>
      <c r="Q174" s="308"/>
      <c r="R174" s="309"/>
      <c r="S174" s="11"/>
      <c r="T174" s="455"/>
      <c r="U174" s="533"/>
      <c r="W174" s="455"/>
      <c r="X174" s="455"/>
    </row>
    <row r="175" spans="1:25" s="114" customFormat="1" ht="12.75" thickTop="1" thickBot="1">
      <c r="A175" s="59" t="s">
        <v>48</v>
      </c>
      <c r="B175" s="60"/>
      <c r="C175" s="61"/>
      <c r="D175" s="61"/>
      <c r="E175" s="61"/>
      <c r="F175" s="61"/>
      <c r="G175" s="61"/>
      <c r="H175" s="61"/>
      <c r="I175" s="62"/>
      <c r="J175" s="62"/>
      <c r="K175" s="62"/>
      <c r="L175" s="63"/>
      <c r="M175" s="63"/>
      <c r="N175" s="64"/>
      <c r="O175" s="65"/>
      <c r="P175" s="66"/>
      <c r="Q175" s="66"/>
      <c r="R175" s="67"/>
      <c r="S175" s="67"/>
      <c r="T175" s="546"/>
      <c r="U175" s="546"/>
      <c r="V175" s="67"/>
      <c r="W175" s="546"/>
      <c r="X175" s="546"/>
      <c r="Y175" s="67"/>
    </row>
    <row r="176" spans="1:25" s="29" customFormat="1" ht="12" thickTop="1">
      <c r="A176" s="310" t="s">
        <v>83</v>
      </c>
      <c r="B176" s="311"/>
      <c r="C176" s="312"/>
      <c r="D176" s="312"/>
      <c r="E176" s="312"/>
      <c r="F176" s="312"/>
      <c r="G176" s="312"/>
      <c r="H176" s="312"/>
      <c r="I176" s="313"/>
      <c r="J176" s="313"/>
      <c r="K176" s="313"/>
      <c r="L176" s="314"/>
      <c r="M176" s="314"/>
      <c r="N176" s="315"/>
      <c r="O176" s="316"/>
      <c r="P176" s="317"/>
      <c r="Q176" s="317"/>
      <c r="R176" s="318"/>
      <c r="S176" s="566"/>
      <c r="T176" s="455"/>
      <c r="U176" s="533"/>
      <c r="W176" s="455"/>
      <c r="X176" s="455"/>
    </row>
    <row r="177" spans="1:25" s="29" customFormat="1" ht="12" thickBot="1">
      <c r="A177" s="319"/>
      <c r="B177" s="320" t="s">
        <v>84</v>
      </c>
      <c r="C177" s="198">
        <v>0</v>
      </c>
      <c r="D177" s="198">
        <v>0.75</v>
      </c>
      <c r="E177" s="198">
        <v>10</v>
      </c>
      <c r="F177" s="198">
        <v>0.25</v>
      </c>
      <c r="G177" s="265">
        <v>0</v>
      </c>
      <c r="H177" s="136">
        <f>SUM(C177:G177)</f>
        <v>11</v>
      </c>
      <c r="I177" s="137"/>
      <c r="J177" s="137"/>
      <c r="K177" s="137"/>
      <c r="L177" s="138">
        <f>((C177*$C$9)+(D177*$D$9)+(E177*$E$9)+(F177*$F$9))</f>
        <v>614.32800000000009</v>
      </c>
      <c r="M177" s="138">
        <v>0</v>
      </c>
      <c r="N177" s="139">
        <v>0</v>
      </c>
      <c r="O177" s="199">
        <v>0</v>
      </c>
      <c r="P177" s="141">
        <f>(C177+D177+E177+F177)*O177</f>
        <v>0</v>
      </c>
      <c r="Q177" s="72">
        <f>(M177+N177)*O177</f>
        <v>0</v>
      </c>
      <c r="R177" s="142">
        <f>(L177+M177+N177)*O177</f>
        <v>0</v>
      </c>
      <c r="S177" s="171" t="s">
        <v>254</v>
      </c>
      <c r="T177" s="536" t="str">
        <f>IF($S177="RP",O177,"")</f>
        <v/>
      </c>
      <c r="U177" s="537" t="str">
        <f>IF($S177="RP",P177,"")</f>
        <v/>
      </c>
      <c r="V177" s="521" t="str">
        <f>IF($S177="RP",Q177,"")</f>
        <v/>
      </c>
      <c r="W177" s="537">
        <f>IF($S177="RK",O177,"")</f>
        <v>0</v>
      </c>
      <c r="X177" s="537">
        <f>IF($S177="RK",P177,"")</f>
        <v>0</v>
      </c>
      <c r="Y177" s="521">
        <f>IF($S177="RK",Q177,"")</f>
        <v>0</v>
      </c>
    </row>
    <row r="178" spans="1:25" s="29" customFormat="1" ht="12.75" thickTop="1" thickBot="1">
      <c r="A178" s="321" t="s">
        <v>22</v>
      </c>
      <c r="B178" s="146"/>
      <c r="C178" s="297">
        <f t="shared" ref="C178:N178" si="76">SUM(C177:C177)</f>
        <v>0</v>
      </c>
      <c r="D178" s="297">
        <f t="shared" si="76"/>
        <v>0.75</v>
      </c>
      <c r="E178" s="297">
        <f t="shared" si="76"/>
        <v>10</v>
      </c>
      <c r="F178" s="297">
        <f t="shared" si="76"/>
        <v>0.25</v>
      </c>
      <c r="G178" s="297">
        <f t="shared" si="76"/>
        <v>0</v>
      </c>
      <c r="H178" s="297">
        <f t="shared" si="76"/>
        <v>11</v>
      </c>
      <c r="I178" s="322">
        <f t="shared" si="76"/>
        <v>0</v>
      </c>
      <c r="J178" s="322">
        <f t="shared" si="76"/>
        <v>0</v>
      </c>
      <c r="K178" s="322">
        <f t="shared" si="76"/>
        <v>0</v>
      </c>
      <c r="L178" s="149">
        <f t="shared" si="76"/>
        <v>614.32800000000009</v>
      </c>
      <c r="M178" s="323">
        <f t="shared" si="76"/>
        <v>0</v>
      </c>
      <c r="N178" s="150">
        <f t="shared" si="76"/>
        <v>0</v>
      </c>
      <c r="O178" s="324">
        <f>O177</f>
        <v>0</v>
      </c>
      <c r="P178" s="325">
        <f>SUM(P177:P177)</f>
        <v>0</v>
      </c>
      <c r="Q178" s="153">
        <f>SUM(Q177:Q177)</f>
        <v>0</v>
      </c>
      <c r="R178" s="153">
        <f>SUM(R177:R177)</f>
        <v>0</v>
      </c>
      <c r="S178" s="153">
        <f t="shared" ref="S178:Y178" si="77">SUM(S177:S177)</f>
        <v>0</v>
      </c>
      <c r="T178" s="543">
        <f t="shared" si="77"/>
        <v>0</v>
      </c>
      <c r="U178" s="543">
        <f t="shared" si="77"/>
        <v>0</v>
      </c>
      <c r="V178" s="153">
        <f t="shared" si="77"/>
        <v>0</v>
      </c>
      <c r="W178" s="543">
        <f t="shared" si="77"/>
        <v>0</v>
      </c>
      <c r="X178" s="543">
        <f t="shared" si="77"/>
        <v>0</v>
      </c>
      <c r="Y178" s="153">
        <f t="shared" si="77"/>
        <v>0</v>
      </c>
    </row>
    <row r="179" spans="1:25" s="29" customFormat="1" ht="12" thickTop="1">
      <c r="A179" s="201" t="s">
        <v>85</v>
      </c>
      <c r="B179" s="202"/>
      <c r="C179" s="203"/>
      <c r="D179" s="203"/>
      <c r="E179" s="203"/>
      <c r="F179" s="203"/>
      <c r="G179" s="203"/>
      <c r="H179" s="203"/>
      <c r="I179" s="204"/>
      <c r="J179" s="204"/>
      <c r="K179" s="204"/>
      <c r="L179" s="205"/>
      <c r="M179" s="205"/>
      <c r="N179" s="206"/>
      <c r="O179" s="207"/>
      <c r="P179" s="208"/>
      <c r="Q179" s="208"/>
      <c r="R179" s="209"/>
      <c r="S179" s="11"/>
      <c r="T179" s="455"/>
      <c r="U179" s="533"/>
      <c r="W179" s="455"/>
      <c r="X179" s="455"/>
    </row>
    <row r="180" spans="1:25" s="29" customFormat="1">
      <c r="A180" s="326"/>
      <c r="B180" s="327" t="s">
        <v>86</v>
      </c>
      <c r="C180" s="328"/>
      <c r="D180" s="117"/>
      <c r="E180" s="117"/>
      <c r="F180" s="117"/>
      <c r="G180" s="117"/>
      <c r="H180" s="117"/>
      <c r="I180" s="118"/>
      <c r="J180" s="118"/>
      <c r="K180" s="118"/>
      <c r="L180" s="119"/>
      <c r="M180" s="119"/>
      <c r="N180" s="120"/>
      <c r="O180" s="121"/>
      <c r="P180" s="122"/>
      <c r="Q180" s="519"/>
      <c r="R180" s="329"/>
      <c r="S180" s="529"/>
      <c r="T180" s="37"/>
      <c r="U180" s="550"/>
      <c r="V180" s="114"/>
      <c r="W180" s="37"/>
      <c r="X180" s="37"/>
      <c r="Y180" s="114"/>
    </row>
    <row r="181" spans="1:25" s="29" customFormat="1">
      <c r="A181" s="326"/>
      <c r="B181" s="330" t="s">
        <v>87</v>
      </c>
      <c r="C181" s="328"/>
      <c r="D181" s="331"/>
      <c r="E181" s="331"/>
      <c r="F181" s="331"/>
      <c r="G181" s="331"/>
      <c r="H181" s="331"/>
      <c r="I181" s="332"/>
      <c r="J181" s="332"/>
      <c r="K181" s="332"/>
      <c r="L181" s="333"/>
      <c r="M181" s="333"/>
      <c r="N181" s="334"/>
      <c r="O181" s="335"/>
      <c r="P181" s="336"/>
      <c r="Q181" s="519"/>
      <c r="R181" s="329"/>
      <c r="S181" s="187"/>
      <c r="T181" s="548"/>
      <c r="U181" s="541"/>
      <c r="V181" s="172"/>
      <c r="W181" s="548"/>
      <c r="X181" s="548"/>
      <c r="Y181" s="172"/>
    </row>
    <row r="182" spans="1:25" s="172" customFormat="1">
      <c r="A182" s="215"/>
      <c r="B182" s="296" t="s">
        <v>88</v>
      </c>
      <c r="C182" s="265">
        <v>0</v>
      </c>
      <c r="D182" s="337">
        <v>0.5</v>
      </c>
      <c r="E182" s="337">
        <v>10</v>
      </c>
      <c r="F182" s="337">
        <v>0</v>
      </c>
      <c r="G182" s="337">
        <v>0</v>
      </c>
      <c r="H182" s="166">
        <f>SUM(C182:G182)</f>
        <v>10.5</v>
      </c>
      <c r="I182" s="167"/>
      <c r="J182" s="167"/>
      <c r="K182" s="167"/>
      <c r="L182" s="168">
        <f>((C182*$C$9)+(D182*$D$9)+(E182*$E$9)+(F182*$F$9))</f>
        <v>587.63200000000006</v>
      </c>
      <c r="M182" s="168">
        <v>0</v>
      </c>
      <c r="N182" s="169">
        <v>0</v>
      </c>
      <c r="O182" s="338">
        <f>0.1*O9</f>
        <v>2.1333333323333337</v>
      </c>
      <c r="P182" s="170">
        <f>(C182+D182+E182+F182)*O182</f>
        <v>22.399999989500003</v>
      </c>
      <c r="Q182" s="72">
        <f>(M182+N182)*O182</f>
        <v>0</v>
      </c>
      <c r="R182" s="142">
        <f>(L182+M182+N182)*O182</f>
        <v>1253.6149327457017</v>
      </c>
      <c r="S182" s="171" t="s">
        <v>254</v>
      </c>
      <c r="T182" s="536" t="str">
        <f>IF($S182="RP",O182,"")</f>
        <v/>
      </c>
      <c r="U182" s="537" t="str">
        <f>IF($S182="RP",P182,"")</f>
        <v/>
      </c>
      <c r="V182" s="521" t="str">
        <f>IF($S182="RP",Q182,"")</f>
        <v/>
      </c>
      <c r="W182" s="537">
        <f>IF($S182="RK",O182,"")</f>
        <v>2.1333333323333337</v>
      </c>
      <c r="X182" s="537">
        <f>IF($S182="RK",P182,"")</f>
        <v>22.399999989500003</v>
      </c>
      <c r="Y182" s="521">
        <f>IF($S182="RK",Q182,"")</f>
        <v>0</v>
      </c>
    </row>
    <row r="183" spans="1:25" s="29" customFormat="1">
      <c r="A183" s="228"/>
      <c r="B183" s="339" t="s">
        <v>89</v>
      </c>
      <c r="C183" s="106"/>
      <c r="D183" s="340"/>
      <c r="E183" s="340"/>
      <c r="F183" s="340"/>
      <c r="G183" s="340"/>
      <c r="H183" s="340"/>
      <c r="I183" s="341"/>
      <c r="J183" s="341"/>
      <c r="K183" s="341"/>
      <c r="L183" s="342"/>
      <c r="M183" s="342"/>
      <c r="N183" s="177"/>
      <c r="O183" s="250"/>
      <c r="P183" s="343"/>
      <c r="Q183" s="343"/>
      <c r="R183" s="179"/>
      <c r="S183" s="11"/>
      <c r="T183" s="455"/>
      <c r="U183" s="533"/>
      <c r="W183" s="455"/>
      <c r="X183" s="455"/>
    </row>
    <row r="184" spans="1:25" s="172" customFormat="1">
      <c r="A184" s="215"/>
      <c r="B184" s="296" t="s">
        <v>90</v>
      </c>
      <c r="C184" s="265">
        <v>0</v>
      </c>
      <c r="D184" s="337">
        <v>1</v>
      </c>
      <c r="E184" s="337">
        <v>10</v>
      </c>
      <c r="F184" s="337">
        <v>0</v>
      </c>
      <c r="G184" s="337">
        <v>0</v>
      </c>
      <c r="H184" s="166">
        <f>SUM(C184:G184)</f>
        <v>11</v>
      </c>
      <c r="I184" s="167"/>
      <c r="J184" s="167"/>
      <c r="K184" s="167"/>
      <c r="L184" s="168">
        <f>((C184*$C$9)+(D184*$D$9)+(E184*$E$9)+(F184*$F$9))</f>
        <v>625.82400000000007</v>
      </c>
      <c r="M184" s="168">
        <v>0</v>
      </c>
      <c r="N184" s="169">
        <v>0</v>
      </c>
      <c r="O184" s="338">
        <f>O182</f>
        <v>2.1333333323333337</v>
      </c>
      <c r="P184" s="170">
        <f>(C184+D184+E184+F184)*O184</f>
        <v>23.466666655666671</v>
      </c>
      <c r="Q184" s="72">
        <f>(M184+N184)*O184</f>
        <v>0</v>
      </c>
      <c r="R184" s="142">
        <f>(L184+M184+N184)*O184</f>
        <v>1335.0911993741763</v>
      </c>
      <c r="S184" s="171" t="s">
        <v>254</v>
      </c>
      <c r="T184" s="536" t="str">
        <f>IF($S184="RP",O184,"")</f>
        <v/>
      </c>
      <c r="U184" s="537" t="str">
        <f>IF($S184="RP",P184,"")</f>
        <v/>
      </c>
      <c r="V184" s="521" t="str">
        <f>IF($S184="RP",Q184,"")</f>
        <v/>
      </c>
      <c r="W184" s="537">
        <f>IF($S184="RK",O184,"")</f>
        <v>2.1333333323333337</v>
      </c>
      <c r="X184" s="537">
        <f>IF($S184="RK",P184,"")</f>
        <v>23.466666655666671</v>
      </c>
      <c r="Y184" s="521">
        <f>IF($S184="RK",Q184,"")</f>
        <v>0</v>
      </c>
    </row>
    <row r="185" spans="1:25" s="29" customFormat="1">
      <c r="A185" s="228"/>
      <c r="B185" s="339" t="s">
        <v>200</v>
      </c>
      <c r="C185" s="106"/>
      <c r="D185" s="340"/>
      <c r="E185" s="340"/>
      <c r="F185" s="340"/>
      <c r="G185" s="340"/>
      <c r="H185" s="340"/>
      <c r="I185" s="341"/>
      <c r="J185" s="341"/>
      <c r="K185" s="341"/>
      <c r="L185" s="342"/>
      <c r="M185" s="342"/>
      <c r="N185" s="177"/>
      <c r="O185" s="250"/>
      <c r="P185" s="343"/>
      <c r="Q185" s="343"/>
      <c r="R185" s="179"/>
      <c r="S185" s="11"/>
      <c r="T185" s="455"/>
      <c r="U185" s="533"/>
      <c r="W185" s="455"/>
      <c r="X185" s="455"/>
    </row>
    <row r="186" spans="1:25" s="172" customFormat="1">
      <c r="A186" s="215"/>
      <c r="B186" s="296" t="s">
        <v>91</v>
      </c>
      <c r="C186" s="265">
        <v>0</v>
      </c>
      <c r="D186" s="337">
        <v>0.25</v>
      </c>
      <c r="E186" s="337">
        <v>0</v>
      </c>
      <c r="F186" s="337">
        <v>0.25</v>
      </c>
      <c r="G186" s="337">
        <v>0</v>
      </c>
      <c r="H186" s="166">
        <f>SUM(C186:G186)</f>
        <v>0.5</v>
      </c>
      <c r="I186" s="167"/>
      <c r="J186" s="167"/>
      <c r="K186" s="167"/>
      <c r="L186" s="168">
        <f>((C186*$C$9)+(D186*$D$9)+(E186*$E$9)+(F186*$F$9))</f>
        <v>26.696000000000002</v>
      </c>
      <c r="M186" s="168">
        <v>0</v>
      </c>
      <c r="N186" s="169">
        <v>1</v>
      </c>
      <c r="O186" s="338">
        <f>O182</f>
        <v>2.1333333323333337</v>
      </c>
      <c r="P186" s="170">
        <f>(C186+D186+E186+F186)*O186</f>
        <v>1.0666666661666668</v>
      </c>
      <c r="Q186" s="72">
        <f>(M186+N186)*O186</f>
        <v>2.1333333323333337</v>
      </c>
      <c r="R186" s="142">
        <f>(L186+M186+N186)*O186</f>
        <v>59.084799972304012</v>
      </c>
      <c r="S186" s="171" t="s">
        <v>259</v>
      </c>
      <c r="T186" s="536">
        <f>IF($S186="RP",O186,"")</f>
        <v>2.1333333323333337</v>
      </c>
      <c r="U186" s="537">
        <f>IF($S186="RP",P186,"")</f>
        <v>1.0666666661666668</v>
      </c>
      <c r="V186" s="521">
        <f>IF($S186="RP",Q186,"")</f>
        <v>2.1333333323333337</v>
      </c>
      <c r="W186" s="537" t="str">
        <f>IF($S186="RK",O186,"")</f>
        <v/>
      </c>
      <c r="X186" s="537" t="str">
        <f>IF($S186="RK",P186,"")</f>
        <v/>
      </c>
      <c r="Y186" s="521" t="str">
        <f>IF($S186="RK",Q186,"")</f>
        <v/>
      </c>
    </row>
    <row r="187" spans="1:25" s="29" customFormat="1">
      <c r="A187" s="228"/>
      <c r="B187" s="339" t="s">
        <v>92</v>
      </c>
      <c r="C187" s="106"/>
      <c r="D187" s="340"/>
      <c r="E187" s="340"/>
      <c r="F187" s="340"/>
      <c r="G187" s="340"/>
      <c r="H187" s="340"/>
      <c r="I187" s="341"/>
      <c r="J187" s="341"/>
      <c r="K187" s="341"/>
      <c r="L187" s="342"/>
      <c r="M187" s="342"/>
      <c r="N187" s="177"/>
      <c r="O187" s="250"/>
      <c r="P187" s="343"/>
      <c r="Q187" s="343"/>
      <c r="R187" s="179"/>
      <c r="S187" s="11"/>
      <c r="T187" s="455"/>
      <c r="U187" s="533"/>
      <c r="W187" s="455"/>
      <c r="X187" s="455"/>
    </row>
    <row r="188" spans="1:25" s="29" customFormat="1" ht="12" thickBot="1">
      <c r="A188" s="228"/>
      <c r="B188" s="344" t="s">
        <v>93</v>
      </c>
      <c r="C188" s="265">
        <v>0</v>
      </c>
      <c r="D188" s="337">
        <v>0.25</v>
      </c>
      <c r="E188" s="337">
        <v>0</v>
      </c>
      <c r="F188" s="337">
        <v>0.25</v>
      </c>
      <c r="G188" s="337">
        <v>0</v>
      </c>
      <c r="H188" s="166">
        <f>SUM(C188:G188)</f>
        <v>0.5</v>
      </c>
      <c r="I188" s="167"/>
      <c r="J188" s="167"/>
      <c r="K188" s="167"/>
      <c r="L188" s="168">
        <f>((C188*$C$9)+(D188*$D$9)+(E188*$E$9)+(F188*$F$9))</f>
        <v>26.696000000000002</v>
      </c>
      <c r="M188" s="168">
        <v>0</v>
      </c>
      <c r="N188" s="169">
        <v>1</v>
      </c>
      <c r="O188" s="338">
        <f>O182</f>
        <v>2.1333333323333337</v>
      </c>
      <c r="P188" s="170">
        <f>(C188+D188+E188+F188)*O188</f>
        <v>1.0666666661666668</v>
      </c>
      <c r="Q188" s="72">
        <f>(M188+N188)*O188</f>
        <v>2.1333333323333337</v>
      </c>
      <c r="R188" s="142">
        <f>(L188+M188+N188)*O188</f>
        <v>59.084799972304012</v>
      </c>
      <c r="S188" s="171" t="s">
        <v>259</v>
      </c>
      <c r="T188" s="536">
        <f>IF($S188="RP",O188,"")</f>
        <v>2.1333333323333337</v>
      </c>
      <c r="U188" s="537">
        <f>IF($S188="RP",P188,"")</f>
        <v>1.0666666661666668</v>
      </c>
      <c r="V188" s="521">
        <f>IF($S188="RP",Q188,"")</f>
        <v>2.1333333323333337</v>
      </c>
      <c r="W188" s="537" t="str">
        <f>IF($S188="RK",O188,"")</f>
        <v/>
      </c>
      <c r="X188" s="537" t="str">
        <f>IF($S188="RK",P188,"")</f>
        <v/>
      </c>
      <c r="Y188" s="521" t="str">
        <f>IF($S188="RK",Q188,"")</f>
        <v/>
      </c>
    </row>
    <row r="189" spans="1:25" s="29" customFormat="1" ht="12.75" thickTop="1" thickBot="1">
      <c r="A189" s="321" t="s">
        <v>22</v>
      </c>
      <c r="B189" s="146"/>
      <c r="C189" s="297">
        <f t="shared" ref="C189:H189" si="78">C182+C184+C186+C188</f>
        <v>0</v>
      </c>
      <c r="D189" s="297">
        <f t="shared" si="78"/>
        <v>2</v>
      </c>
      <c r="E189" s="297">
        <f t="shared" si="78"/>
        <v>20</v>
      </c>
      <c r="F189" s="297">
        <f t="shared" si="78"/>
        <v>0.5</v>
      </c>
      <c r="G189" s="297">
        <f t="shared" si="78"/>
        <v>0</v>
      </c>
      <c r="H189" s="297">
        <f t="shared" si="78"/>
        <v>22.5</v>
      </c>
      <c r="I189" s="322">
        <f>I182</f>
        <v>0</v>
      </c>
      <c r="J189" s="322">
        <f>J182</f>
        <v>0</v>
      </c>
      <c r="K189" s="322">
        <f>K182</f>
        <v>0</v>
      </c>
      <c r="L189" s="323">
        <f>L182+L184+L186+L188</f>
        <v>1266.848</v>
      </c>
      <c r="M189" s="323">
        <f>M182+M184+M186+M188</f>
        <v>0</v>
      </c>
      <c r="N189" s="150">
        <f>N182+N184+N186+N188</f>
        <v>2</v>
      </c>
      <c r="O189" s="345"/>
      <c r="P189" s="297">
        <f>P182+P184+P186+P188</f>
        <v>47.999999977500011</v>
      </c>
      <c r="Q189" s="153">
        <f>Q182+Q184+Q186+Q188</f>
        <v>4.2666666646666673</v>
      </c>
      <c r="R189" s="153">
        <f>R182+R184+R186+R188</f>
        <v>2706.8757320644863</v>
      </c>
      <c r="S189" s="153"/>
      <c r="T189" s="543">
        <f t="shared" ref="T189:Y189" si="79">T182+T184+T186+T188</f>
        <v>4.2666666646666673</v>
      </c>
      <c r="U189" s="543">
        <f t="shared" si="79"/>
        <v>2.1333333323333337</v>
      </c>
      <c r="V189" s="153">
        <f t="shared" si="79"/>
        <v>4.2666666646666673</v>
      </c>
      <c r="W189" s="543">
        <f t="shared" si="79"/>
        <v>4.2666666646666673</v>
      </c>
      <c r="X189" s="543">
        <f t="shared" si="79"/>
        <v>45.866666645166674</v>
      </c>
      <c r="Y189" s="153">
        <f t="shared" si="79"/>
        <v>0</v>
      </c>
    </row>
    <row r="190" spans="1:25" s="29" customFormat="1" ht="12" thickTop="1">
      <c r="A190" s="201" t="s">
        <v>105</v>
      </c>
      <c r="B190" s="202"/>
      <c r="C190" s="203"/>
      <c r="D190" s="203"/>
      <c r="E190" s="203"/>
      <c r="F190" s="203"/>
      <c r="G190" s="203"/>
      <c r="H190" s="203"/>
      <c r="I190" s="204"/>
      <c r="J190" s="204"/>
      <c r="K190" s="204"/>
      <c r="L190" s="205"/>
      <c r="M190" s="205"/>
      <c r="N190" s="206"/>
      <c r="O190" s="207"/>
      <c r="P190" s="208"/>
      <c r="Q190" s="208"/>
      <c r="R190" s="209"/>
      <c r="S190" s="11"/>
      <c r="T190" s="455"/>
      <c r="U190" s="533"/>
      <c r="W190" s="455"/>
      <c r="X190" s="455"/>
    </row>
    <row r="191" spans="1:25" s="29" customFormat="1" ht="12" thickBot="1">
      <c r="A191" s="346"/>
      <c r="B191" s="347" t="s">
        <v>106</v>
      </c>
      <c r="C191" s="348">
        <v>0</v>
      </c>
      <c r="D191" s="348">
        <v>1</v>
      </c>
      <c r="E191" s="348">
        <v>4</v>
      </c>
      <c r="F191" s="348">
        <v>0</v>
      </c>
      <c r="G191" s="348">
        <v>0</v>
      </c>
      <c r="H191" s="136">
        <f>SUM(C191:G191)</f>
        <v>5</v>
      </c>
      <c r="I191" s="137"/>
      <c r="J191" s="137"/>
      <c r="K191" s="137"/>
      <c r="L191" s="138">
        <f>((C191*$C$9)+(D191*$D$9)+(E191*$E$9)+(F191*$F$9))</f>
        <v>296.16000000000003</v>
      </c>
      <c r="M191" s="138">
        <v>0</v>
      </c>
      <c r="N191" s="139">
        <v>0</v>
      </c>
      <c r="O191" s="478">
        <f>39/3</f>
        <v>13</v>
      </c>
      <c r="P191" s="141">
        <f>(C191+D191+E191+F191)*O191</f>
        <v>65</v>
      </c>
      <c r="Q191" s="72">
        <f>(M191+N191)*O191</f>
        <v>0</v>
      </c>
      <c r="R191" s="142">
        <f>(L191+M191+N191)*O191</f>
        <v>3850.0800000000004</v>
      </c>
      <c r="S191" s="565" t="s">
        <v>254</v>
      </c>
      <c r="T191" s="536" t="str">
        <f>IF($S191="RP",O191,"")</f>
        <v/>
      </c>
      <c r="U191" s="537" t="str">
        <f>IF($S191="RP",P191,"")</f>
        <v/>
      </c>
      <c r="V191" s="521" t="str">
        <f>IF($S191="RP",Q191,"")</f>
        <v/>
      </c>
      <c r="W191" s="537">
        <f>IF($S191="RK",O191,"")</f>
        <v>13</v>
      </c>
      <c r="X191" s="537">
        <f>IF($S191="RK",P191,"")</f>
        <v>65</v>
      </c>
      <c r="Y191" s="521">
        <f>IF($S191="RK",Q191,"")</f>
        <v>0</v>
      </c>
    </row>
    <row r="192" spans="1:25" s="29" customFormat="1" ht="12.75" thickTop="1" thickBot="1">
      <c r="A192" s="321" t="s">
        <v>22</v>
      </c>
      <c r="B192" s="146"/>
      <c r="C192" s="297">
        <f t="shared" ref="C192:N192" si="80">C191</f>
        <v>0</v>
      </c>
      <c r="D192" s="297">
        <f t="shared" si="80"/>
        <v>1</v>
      </c>
      <c r="E192" s="297">
        <f t="shared" si="80"/>
        <v>4</v>
      </c>
      <c r="F192" s="297">
        <f t="shared" si="80"/>
        <v>0</v>
      </c>
      <c r="G192" s="297">
        <f t="shared" si="80"/>
        <v>0</v>
      </c>
      <c r="H192" s="297">
        <f t="shared" si="80"/>
        <v>5</v>
      </c>
      <c r="I192" s="322">
        <f t="shared" si="80"/>
        <v>0</v>
      </c>
      <c r="J192" s="322">
        <f t="shared" si="80"/>
        <v>0</v>
      </c>
      <c r="K192" s="322">
        <f t="shared" si="80"/>
        <v>0</v>
      </c>
      <c r="L192" s="323">
        <f t="shared" si="80"/>
        <v>296.16000000000003</v>
      </c>
      <c r="M192" s="323">
        <f t="shared" si="80"/>
        <v>0</v>
      </c>
      <c r="N192" s="150">
        <f t="shared" si="80"/>
        <v>0</v>
      </c>
      <c r="O192" s="480"/>
      <c r="P192" s="325">
        <f>P191</f>
        <v>65</v>
      </c>
      <c r="Q192" s="153">
        <f>Q191</f>
        <v>0</v>
      </c>
      <c r="R192" s="153">
        <f>R191</f>
        <v>3850.0800000000004</v>
      </c>
      <c r="S192" s="554"/>
      <c r="T192" s="543" t="str">
        <f t="shared" ref="T192:Y192" si="81">T191</f>
        <v/>
      </c>
      <c r="U192" s="543" t="str">
        <f t="shared" si="81"/>
        <v/>
      </c>
      <c r="V192" s="153" t="str">
        <f t="shared" si="81"/>
        <v/>
      </c>
      <c r="W192" s="543">
        <f t="shared" si="81"/>
        <v>13</v>
      </c>
      <c r="X192" s="543">
        <f t="shared" si="81"/>
        <v>65</v>
      </c>
      <c r="Y192" s="153">
        <f t="shared" si="81"/>
        <v>0</v>
      </c>
    </row>
    <row r="193" spans="1:25" s="29" customFormat="1" ht="12" thickTop="1">
      <c r="A193" s="201" t="s">
        <v>107</v>
      </c>
      <c r="B193" s="202"/>
      <c r="C193" s="203"/>
      <c r="D193" s="203"/>
      <c r="E193" s="203"/>
      <c r="F193" s="203"/>
      <c r="G193" s="203"/>
      <c r="H193" s="203"/>
      <c r="I193" s="204"/>
      <c r="J193" s="204"/>
      <c r="K193" s="204"/>
      <c r="L193" s="205"/>
      <c r="M193" s="205"/>
      <c r="N193" s="206"/>
      <c r="O193" s="477"/>
      <c r="P193" s="208"/>
      <c r="Q193" s="208"/>
      <c r="R193" s="209"/>
      <c r="S193" s="11"/>
      <c r="T193" s="455"/>
      <c r="U193" s="533"/>
      <c r="W193" s="455"/>
      <c r="X193" s="455"/>
    </row>
    <row r="194" spans="1:25" s="29" customFormat="1">
      <c r="A194" s="346"/>
      <c r="B194" s="350" t="s">
        <v>108</v>
      </c>
      <c r="C194" s="348">
        <v>0</v>
      </c>
      <c r="D194" s="348">
        <v>1</v>
      </c>
      <c r="E194" s="348">
        <v>4</v>
      </c>
      <c r="F194" s="348">
        <v>0</v>
      </c>
      <c r="G194" s="348">
        <v>0</v>
      </c>
      <c r="H194" s="136">
        <f>SUM(C194:G194)</f>
        <v>5</v>
      </c>
      <c r="I194" s="137"/>
      <c r="J194" s="137"/>
      <c r="K194" s="137"/>
      <c r="L194" s="138">
        <f>((C194*$C$9)+(D194*$D$9)+(E194*$E$9)+(F194*$F$9))</f>
        <v>296.16000000000003</v>
      </c>
      <c r="M194" s="138">
        <v>0</v>
      </c>
      <c r="N194" s="139">
        <v>0</v>
      </c>
      <c r="O194" s="478">
        <f>O9</f>
        <v>21.333333323333335</v>
      </c>
      <c r="P194" s="141">
        <f>(C194+D194+E194+F194)*O194</f>
        <v>106.66666661666667</v>
      </c>
      <c r="Q194" s="72">
        <f>(M194+N194)*O194</f>
        <v>0</v>
      </c>
      <c r="R194" s="142">
        <f>(L194+M194+N194)*O194</f>
        <v>6318.0799970384014</v>
      </c>
      <c r="S194" s="528" t="s">
        <v>254</v>
      </c>
      <c r="T194" s="536" t="str">
        <f>IF($S194="RP",O194,"")</f>
        <v/>
      </c>
      <c r="U194" s="537" t="str">
        <f>IF($S194="RP",P194,"")</f>
        <v/>
      </c>
      <c r="V194" s="521" t="str">
        <f>IF($S194="RP",Q194,"")</f>
        <v/>
      </c>
      <c r="W194" s="537">
        <f>IF($S194="RK",O194,"")</f>
        <v>21.333333323333335</v>
      </c>
      <c r="X194" s="537">
        <f>IF($S194="RK",P194,"")</f>
        <v>106.66666661666667</v>
      </c>
      <c r="Y194" s="521">
        <f>IF($S194="RK",Q194,"")</f>
        <v>0</v>
      </c>
    </row>
    <row r="195" spans="1:25" s="29" customFormat="1">
      <c r="A195" s="351"/>
      <c r="B195" s="352" t="s">
        <v>109</v>
      </c>
      <c r="C195" s="340"/>
      <c r="D195" s="340"/>
      <c r="E195" s="340"/>
      <c r="F195" s="340"/>
      <c r="G195" s="340"/>
      <c r="H195" s="340"/>
      <c r="I195" s="341"/>
      <c r="J195" s="341"/>
      <c r="K195" s="341"/>
      <c r="L195" s="342"/>
      <c r="M195" s="342"/>
      <c r="N195" s="177"/>
      <c r="O195" s="250"/>
      <c r="P195" s="343"/>
      <c r="Q195" s="343"/>
      <c r="R195" s="179"/>
      <c r="S195" s="11"/>
      <c r="T195" s="455"/>
      <c r="U195" s="533"/>
      <c r="W195" s="455"/>
      <c r="X195" s="455"/>
    </row>
    <row r="196" spans="1:25" s="29" customFormat="1">
      <c r="A196" s="353"/>
      <c r="B196" s="354" t="s">
        <v>110</v>
      </c>
      <c r="C196" s="348">
        <v>0</v>
      </c>
      <c r="D196" s="348">
        <v>0.5</v>
      </c>
      <c r="E196" s="348">
        <v>2</v>
      </c>
      <c r="F196" s="348">
        <v>0</v>
      </c>
      <c r="G196" s="348">
        <v>0</v>
      </c>
      <c r="H196" s="136">
        <f>SUM(C196:G196)</f>
        <v>2.5</v>
      </c>
      <c r="I196" s="137"/>
      <c r="J196" s="137"/>
      <c r="K196" s="137"/>
      <c r="L196" s="138">
        <f>((C196*$C$9)+(D196*$D$9)+(E196*$E$9)+(F196*$F$9))</f>
        <v>148.08000000000001</v>
      </c>
      <c r="M196" s="138">
        <v>0</v>
      </c>
      <c r="N196" s="139">
        <v>0</v>
      </c>
      <c r="O196" s="349">
        <v>0</v>
      </c>
      <c r="P196" s="141">
        <f>(C196+D196+E196+F196)*O196</f>
        <v>0</v>
      </c>
      <c r="Q196" s="72">
        <f>(M196+N196)*O196</f>
        <v>0</v>
      </c>
      <c r="R196" s="142">
        <f>(L196+M196+N196)*O196</f>
        <v>0</v>
      </c>
      <c r="S196" s="528" t="s">
        <v>254</v>
      </c>
      <c r="T196" s="536" t="str">
        <f>IF($S196="RP",O196,"")</f>
        <v/>
      </c>
      <c r="U196" s="537" t="str">
        <f>IF($S196="RP",P196,"")</f>
        <v/>
      </c>
      <c r="V196" s="521" t="str">
        <f>IF($S196="RP",Q196,"")</f>
        <v/>
      </c>
      <c r="W196" s="537">
        <f>IF($S196="RK",O196,"")</f>
        <v>0</v>
      </c>
      <c r="X196" s="537">
        <f>IF($S196="RK",P196,"")</f>
        <v>0</v>
      </c>
      <c r="Y196" s="521">
        <f>IF($S196="RK",Q196,"")</f>
        <v>0</v>
      </c>
    </row>
    <row r="197" spans="1:25" s="29" customFormat="1">
      <c r="A197" s="351"/>
      <c r="B197" s="352" t="s">
        <v>118</v>
      </c>
      <c r="C197" s="340"/>
      <c r="D197" s="340"/>
      <c r="E197" s="340"/>
      <c r="F197" s="340"/>
      <c r="G197" s="340"/>
      <c r="H197" s="340"/>
      <c r="I197" s="341"/>
      <c r="J197" s="341"/>
      <c r="K197" s="341"/>
      <c r="L197" s="342"/>
      <c r="M197" s="342"/>
      <c r="N197" s="177"/>
      <c r="O197" s="250"/>
      <c r="P197" s="343"/>
      <c r="Q197" s="343"/>
      <c r="R197" s="179"/>
      <c r="S197" s="11"/>
      <c r="T197" s="455"/>
      <c r="U197" s="533"/>
      <c r="W197" s="455"/>
      <c r="X197" s="455"/>
    </row>
    <row r="198" spans="1:25" s="29" customFormat="1">
      <c r="A198" s="353"/>
      <c r="B198" s="354" t="s">
        <v>111</v>
      </c>
      <c r="C198" s="348">
        <v>0</v>
      </c>
      <c r="D198" s="348">
        <v>0.5</v>
      </c>
      <c r="E198" s="348">
        <v>2</v>
      </c>
      <c r="F198" s="348">
        <v>0</v>
      </c>
      <c r="G198" s="348">
        <v>0</v>
      </c>
      <c r="H198" s="136">
        <f>SUM(C198:G198)</f>
        <v>2.5</v>
      </c>
      <c r="I198" s="137"/>
      <c r="J198" s="137"/>
      <c r="K198" s="137"/>
      <c r="L198" s="138">
        <f>((C198*$C$9)+(D198*$D$9)+(E198*$E$9)+(F198*$F$9))</f>
        <v>148.08000000000001</v>
      </c>
      <c r="M198" s="138">
        <v>0</v>
      </c>
      <c r="N198" s="139">
        <v>0</v>
      </c>
      <c r="O198" s="349">
        <v>0</v>
      </c>
      <c r="P198" s="141">
        <f>(C198+D198+E198+F198)*O198</f>
        <v>0</v>
      </c>
      <c r="Q198" s="72">
        <f>(M198+N198)*O198</f>
        <v>0</v>
      </c>
      <c r="R198" s="142">
        <f>(L198+M198+N198)*O198</f>
        <v>0</v>
      </c>
      <c r="S198" s="528" t="s">
        <v>254</v>
      </c>
      <c r="T198" s="536" t="str">
        <f>IF($S198="RP",O198,"")</f>
        <v/>
      </c>
      <c r="U198" s="537" t="str">
        <f>IF($S198="RP",P198,"")</f>
        <v/>
      </c>
      <c r="V198" s="521" t="str">
        <f>IF($S198="RP",Q198,"")</f>
        <v/>
      </c>
      <c r="W198" s="537">
        <f>IF($S198="RK",O198,"")</f>
        <v>0</v>
      </c>
      <c r="X198" s="537">
        <f>IF($S198="RK",P198,"")</f>
        <v>0</v>
      </c>
      <c r="Y198" s="521">
        <f>IF($S198="RK",Q198,"")</f>
        <v>0</v>
      </c>
    </row>
    <row r="199" spans="1:25" s="29" customFormat="1">
      <c r="A199" s="351"/>
      <c r="B199" s="352" t="s">
        <v>112</v>
      </c>
      <c r="C199" s="340"/>
      <c r="D199" s="340"/>
      <c r="E199" s="340"/>
      <c r="F199" s="340"/>
      <c r="G199" s="340"/>
      <c r="H199" s="340"/>
      <c r="I199" s="341"/>
      <c r="J199" s="341"/>
      <c r="K199" s="341"/>
      <c r="L199" s="342"/>
      <c r="M199" s="342"/>
      <c r="N199" s="177"/>
      <c r="O199" s="250"/>
      <c r="P199" s="343"/>
      <c r="Q199" s="343"/>
      <c r="R199" s="179"/>
      <c r="S199" s="11"/>
      <c r="T199" s="455"/>
      <c r="U199" s="533"/>
      <c r="W199" s="455"/>
      <c r="X199" s="455"/>
    </row>
    <row r="200" spans="1:25" s="29" customFormat="1">
      <c r="A200" s="353"/>
      <c r="B200" s="354" t="s">
        <v>113</v>
      </c>
      <c r="C200" s="348">
        <v>0</v>
      </c>
      <c r="D200" s="348">
        <v>0.5</v>
      </c>
      <c r="E200" s="348">
        <v>0</v>
      </c>
      <c r="F200" s="348">
        <v>0</v>
      </c>
      <c r="G200" s="348">
        <v>0.25</v>
      </c>
      <c r="H200" s="136">
        <f>SUM(C200:G200)</f>
        <v>0.75</v>
      </c>
      <c r="I200" s="137"/>
      <c r="J200" s="137"/>
      <c r="K200" s="137"/>
      <c r="L200" s="138">
        <f>((C200*$C$9)+(D200*$D$9)+(E200*$E$9)+(F200*$F$9))</f>
        <v>38.192</v>
      </c>
      <c r="M200" s="138">
        <v>0</v>
      </c>
      <c r="N200" s="139">
        <v>1</v>
      </c>
      <c r="O200" s="349">
        <v>0</v>
      </c>
      <c r="P200" s="141">
        <f>(C200+D200+E200+F200)*O200</f>
        <v>0</v>
      </c>
      <c r="Q200" s="72">
        <f>(M200+N200)*O200</f>
        <v>0</v>
      </c>
      <c r="R200" s="142">
        <f>(L200+M200+N200)*O200</f>
        <v>0</v>
      </c>
      <c r="S200" s="528" t="s">
        <v>259</v>
      </c>
      <c r="T200" s="536">
        <f>IF($S200="RP",O200,"")</f>
        <v>0</v>
      </c>
      <c r="U200" s="537">
        <f>IF($S200="RP",P200,"")</f>
        <v>0</v>
      </c>
      <c r="V200" s="521">
        <f>IF($S200="RP",Q200,"")</f>
        <v>0</v>
      </c>
      <c r="W200" s="537" t="str">
        <f>IF($S200="RK",O200,"")</f>
        <v/>
      </c>
      <c r="X200" s="537" t="str">
        <f>IF($S200="RK",P200,"")</f>
        <v/>
      </c>
      <c r="Y200" s="521" t="str">
        <f>IF($S200="RK",Q200,"")</f>
        <v/>
      </c>
    </row>
    <row r="201" spans="1:25" s="29" customFormat="1">
      <c r="A201" s="351"/>
      <c r="B201" s="352" t="s">
        <v>112</v>
      </c>
      <c r="C201" s="340"/>
      <c r="D201" s="340"/>
      <c r="E201" s="340"/>
      <c r="F201" s="340"/>
      <c r="G201" s="340"/>
      <c r="H201" s="340"/>
      <c r="I201" s="341"/>
      <c r="J201" s="341"/>
      <c r="K201" s="341"/>
      <c r="L201" s="342"/>
      <c r="M201" s="342"/>
      <c r="N201" s="177"/>
      <c r="O201" s="250"/>
      <c r="P201" s="343"/>
      <c r="Q201" s="343"/>
      <c r="R201" s="179"/>
      <c r="S201" s="11"/>
      <c r="T201" s="455"/>
      <c r="U201" s="533"/>
      <c r="W201" s="455"/>
      <c r="X201" s="455"/>
    </row>
    <row r="202" spans="1:25" s="29" customFormat="1" ht="12" thickBot="1">
      <c r="A202" s="351"/>
      <c r="B202" s="355" t="s">
        <v>114</v>
      </c>
      <c r="C202" s="348">
        <v>0</v>
      </c>
      <c r="D202" s="348">
        <v>0.5</v>
      </c>
      <c r="E202" s="348">
        <v>0</v>
      </c>
      <c r="F202" s="348">
        <v>0</v>
      </c>
      <c r="G202" s="348">
        <v>0.25</v>
      </c>
      <c r="H202" s="136">
        <f>SUM(C202:G202)</f>
        <v>0.75</v>
      </c>
      <c r="I202" s="137"/>
      <c r="J202" s="137"/>
      <c r="K202" s="137"/>
      <c r="L202" s="138">
        <f>((C202*$C$9)+(D202*$D$9)+(E202*$E$9)+(F202*$F$9))</f>
        <v>38.192</v>
      </c>
      <c r="M202" s="138">
        <v>0</v>
      </c>
      <c r="N202" s="139">
        <v>1</v>
      </c>
      <c r="O202" s="349">
        <v>0</v>
      </c>
      <c r="P202" s="141">
        <f>(C202+D202+E202+F202)*O202</f>
        <v>0</v>
      </c>
      <c r="Q202" s="72">
        <f>(M202+N202)*O202</f>
        <v>0</v>
      </c>
      <c r="R202" s="142">
        <f>(L202+M202+N202)*O202</f>
        <v>0</v>
      </c>
      <c r="S202" s="171" t="s">
        <v>259</v>
      </c>
      <c r="T202" s="536">
        <f>IF($S202="RP",O202,"")</f>
        <v>0</v>
      </c>
      <c r="U202" s="537">
        <f>IF($S202="RP",P202,"")</f>
        <v>0</v>
      </c>
      <c r="V202" s="521">
        <f>IF($S202="RP",Q202,"")</f>
        <v>0</v>
      </c>
      <c r="W202" s="537" t="str">
        <f>IF($S202="RK",O202,"")</f>
        <v/>
      </c>
      <c r="X202" s="537" t="str">
        <f>IF($S202="RK",P202,"")</f>
        <v/>
      </c>
      <c r="Y202" s="521" t="str">
        <f>IF($S202="RK",Q202,"")</f>
        <v/>
      </c>
    </row>
    <row r="203" spans="1:25" s="29" customFormat="1" ht="12.75" thickTop="1" thickBot="1">
      <c r="A203" s="321" t="s">
        <v>22</v>
      </c>
      <c r="B203" s="146"/>
      <c r="C203" s="297">
        <f t="shared" ref="C203:H203" si="82">C194+C196+C198+C200+C202</f>
        <v>0</v>
      </c>
      <c r="D203" s="297">
        <f t="shared" si="82"/>
        <v>3</v>
      </c>
      <c r="E203" s="297">
        <f t="shared" si="82"/>
        <v>8</v>
      </c>
      <c r="F203" s="297">
        <f t="shared" si="82"/>
        <v>0</v>
      </c>
      <c r="G203" s="297">
        <f t="shared" si="82"/>
        <v>0.5</v>
      </c>
      <c r="H203" s="297">
        <f t="shared" si="82"/>
        <v>11.5</v>
      </c>
      <c r="I203" s="322">
        <f>I194</f>
        <v>0</v>
      </c>
      <c r="J203" s="322">
        <f>J194</f>
        <v>0</v>
      </c>
      <c r="K203" s="322">
        <f>K194</f>
        <v>0</v>
      </c>
      <c r="L203" s="323">
        <f>L194+L196+L198+L200+L202</f>
        <v>668.70400000000006</v>
      </c>
      <c r="M203" s="323">
        <f>M194+M196+M198+M200+M202</f>
        <v>0</v>
      </c>
      <c r="N203" s="150">
        <f>N194+N196+N198+N200+N202</f>
        <v>2</v>
      </c>
      <c r="O203" s="244"/>
      <c r="P203" s="297">
        <f>P194+P196+P198+P200+P202</f>
        <v>106.66666661666667</v>
      </c>
      <c r="Q203" s="153">
        <f>Q194+Q196+Q198+Q200+Q202</f>
        <v>0</v>
      </c>
      <c r="R203" s="153">
        <f>R194+R196+R198+R200+R202</f>
        <v>6318.0799970384014</v>
      </c>
      <c r="S203" s="153">
        <f t="shared" ref="S203:Y203" si="83">S194+S196+S198+S200+S202</f>
        <v>0</v>
      </c>
      <c r="T203" s="543">
        <f t="shared" si="83"/>
        <v>0</v>
      </c>
      <c r="U203" s="543">
        <f t="shared" si="83"/>
        <v>0</v>
      </c>
      <c r="V203" s="153">
        <f t="shared" si="83"/>
        <v>0</v>
      </c>
      <c r="W203" s="543">
        <f t="shared" si="83"/>
        <v>21.333333323333335</v>
      </c>
      <c r="X203" s="543">
        <f t="shared" si="83"/>
        <v>106.66666661666667</v>
      </c>
      <c r="Y203" s="153">
        <f t="shared" si="83"/>
        <v>0</v>
      </c>
    </row>
    <row r="204" spans="1:25" s="29" customFormat="1" ht="12" thickTop="1">
      <c r="A204" s="201" t="s">
        <v>115</v>
      </c>
      <c r="B204" s="202"/>
      <c r="C204" s="203"/>
      <c r="D204" s="203"/>
      <c r="E204" s="203"/>
      <c r="F204" s="203"/>
      <c r="G204" s="203"/>
      <c r="H204" s="203"/>
      <c r="I204" s="204"/>
      <c r="J204" s="204"/>
      <c r="K204" s="204"/>
      <c r="L204" s="205"/>
      <c r="M204" s="205"/>
      <c r="N204" s="206"/>
      <c r="O204" s="207"/>
      <c r="P204" s="208"/>
      <c r="Q204" s="208"/>
      <c r="R204" s="209"/>
      <c r="S204" s="11"/>
      <c r="T204" s="455"/>
      <c r="U204" s="533"/>
      <c r="W204" s="455"/>
      <c r="X204" s="455"/>
    </row>
    <row r="205" spans="1:25" s="29" customFormat="1">
      <c r="A205" s="346"/>
      <c r="B205" s="350" t="s">
        <v>116</v>
      </c>
      <c r="C205" s="348">
        <v>0</v>
      </c>
      <c r="D205" s="348">
        <v>1</v>
      </c>
      <c r="E205" s="348">
        <v>4</v>
      </c>
      <c r="F205" s="348">
        <v>0</v>
      </c>
      <c r="G205" s="348">
        <v>0</v>
      </c>
      <c r="H205" s="136">
        <f>SUM(C205:G205)</f>
        <v>5</v>
      </c>
      <c r="I205" s="137"/>
      <c r="J205" s="137"/>
      <c r="K205" s="137"/>
      <c r="L205" s="138">
        <f>((C205*$C$9)+(D205*$D$9)+(E205*$E$9)+(F205*$F$9))</f>
        <v>296.16000000000003</v>
      </c>
      <c r="M205" s="138">
        <v>0</v>
      </c>
      <c r="N205" s="139">
        <v>0</v>
      </c>
      <c r="O205" s="478">
        <f>O9</f>
        <v>21.333333323333335</v>
      </c>
      <c r="P205" s="141">
        <f>(C205+D205+E205+F205)*O205</f>
        <v>106.66666661666667</v>
      </c>
      <c r="Q205" s="72">
        <f>(M205+N205)*O205</f>
        <v>0</v>
      </c>
      <c r="R205" s="142">
        <f>(L205+M205+N205)*O205</f>
        <v>6318.0799970384014</v>
      </c>
      <c r="S205" s="528" t="s">
        <v>254</v>
      </c>
      <c r="T205" s="536" t="str">
        <f t="shared" ref="T205:V206" si="84">IF($S205="RP",O205,"")</f>
        <v/>
      </c>
      <c r="U205" s="537" t="str">
        <f t="shared" si="84"/>
        <v/>
      </c>
      <c r="V205" s="521" t="str">
        <f t="shared" si="84"/>
        <v/>
      </c>
      <c r="W205" s="537">
        <f t="shared" ref="W205:Y206" si="85">IF($S205="RK",O205,"")</f>
        <v>21.333333323333335</v>
      </c>
      <c r="X205" s="537">
        <f t="shared" si="85"/>
        <v>106.66666661666667</v>
      </c>
      <c r="Y205" s="521">
        <f t="shared" si="85"/>
        <v>0</v>
      </c>
    </row>
    <row r="206" spans="1:25" s="29" customFormat="1">
      <c r="A206" s="356"/>
      <c r="B206" s="357" t="s">
        <v>117</v>
      </c>
      <c r="C206" s="348">
        <v>0</v>
      </c>
      <c r="D206" s="348">
        <v>0.25</v>
      </c>
      <c r="E206" s="348">
        <v>2</v>
      </c>
      <c r="F206" s="348">
        <v>0</v>
      </c>
      <c r="G206" s="348">
        <v>0</v>
      </c>
      <c r="H206" s="136">
        <f>SUM(C206:G206)</f>
        <v>2.25</v>
      </c>
      <c r="I206" s="137"/>
      <c r="J206" s="137"/>
      <c r="K206" s="137"/>
      <c r="L206" s="138">
        <f>((C206*$C$9)+(D206*$D$9)+(E206*$E$9)+(F206*$F$9))</f>
        <v>128.98400000000001</v>
      </c>
      <c r="M206" s="138">
        <v>0</v>
      </c>
      <c r="N206" s="139">
        <v>0</v>
      </c>
      <c r="O206" s="478">
        <f>0.1*O9</f>
        <v>2.1333333323333337</v>
      </c>
      <c r="P206" s="141">
        <f>(C206+D206+E206+F206)*O206</f>
        <v>4.7999999977500005</v>
      </c>
      <c r="Q206" s="72">
        <f>(M206+N206)*O206</f>
        <v>0</v>
      </c>
      <c r="R206" s="142">
        <f>(L206+M206+N206)*O206</f>
        <v>275.16586653768275</v>
      </c>
      <c r="S206" s="171" t="s">
        <v>254</v>
      </c>
      <c r="T206" s="536" t="str">
        <f t="shared" si="84"/>
        <v/>
      </c>
      <c r="U206" s="537" t="str">
        <f t="shared" si="84"/>
        <v/>
      </c>
      <c r="V206" s="521" t="str">
        <f t="shared" si="84"/>
        <v/>
      </c>
      <c r="W206" s="537">
        <f t="shared" si="85"/>
        <v>2.1333333323333337</v>
      </c>
      <c r="X206" s="537">
        <f t="shared" si="85"/>
        <v>4.7999999977500005</v>
      </c>
      <c r="Y206" s="521">
        <f t="shared" si="85"/>
        <v>0</v>
      </c>
    </row>
    <row r="207" spans="1:25" s="29" customFormat="1">
      <c r="A207" s="351"/>
      <c r="B207" s="352" t="s">
        <v>119</v>
      </c>
      <c r="C207" s="340"/>
      <c r="D207" s="340"/>
      <c r="E207" s="340"/>
      <c r="F207" s="340"/>
      <c r="G207" s="340"/>
      <c r="H207" s="340"/>
      <c r="I207" s="341"/>
      <c r="J207" s="341"/>
      <c r="K207" s="341"/>
      <c r="L207" s="342"/>
      <c r="M207" s="342"/>
      <c r="N207" s="177"/>
      <c r="O207" s="479"/>
      <c r="P207" s="343"/>
      <c r="Q207" s="343"/>
      <c r="R207" s="179"/>
      <c r="S207" s="11"/>
      <c r="T207" s="455"/>
      <c r="U207" s="533"/>
      <c r="W207" s="455"/>
      <c r="X207" s="455"/>
    </row>
    <row r="208" spans="1:25" s="29" customFormat="1">
      <c r="A208" s="353"/>
      <c r="B208" s="354" t="s">
        <v>120</v>
      </c>
      <c r="C208" s="348">
        <v>0</v>
      </c>
      <c r="D208" s="348">
        <v>0.25</v>
      </c>
      <c r="E208" s="348">
        <v>2</v>
      </c>
      <c r="F208" s="348">
        <v>0</v>
      </c>
      <c r="G208" s="348">
        <v>0</v>
      </c>
      <c r="H208" s="136">
        <f>SUM(C208:G208)</f>
        <v>2.25</v>
      </c>
      <c r="I208" s="137"/>
      <c r="J208" s="137"/>
      <c r="K208" s="137"/>
      <c r="L208" s="138">
        <f>((C208*$C$9)+(D208*$D$9)+(E208*$E$9)+(F208*$F$9))</f>
        <v>128.98400000000001</v>
      </c>
      <c r="M208" s="138">
        <v>0</v>
      </c>
      <c r="N208" s="139">
        <v>0</v>
      </c>
      <c r="O208" s="478">
        <v>0</v>
      </c>
      <c r="P208" s="141">
        <f>(C208+D208+E208+F208)*O208</f>
        <v>0</v>
      </c>
      <c r="Q208" s="72">
        <f>(M208+N208)*O208</f>
        <v>0</v>
      </c>
      <c r="R208" s="142">
        <f>(L208+M208+N208)*O208</f>
        <v>0</v>
      </c>
      <c r="S208" s="171" t="s">
        <v>254</v>
      </c>
      <c r="T208" s="536" t="str">
        <f>IF($S208="RP",O208,"")</f>
        <v/>
      </c>
      <c r="U208" s="537" t="str">
        <f>IF($S208="RP",P208,"")</f>
        <v/>
      </c>
      <c r="V208" s="521" t="str">
        <f>IF($S208="RP",Q208,"")</f>
        <v/>
      </c>
      <c r="W208" s="537">
        <f>IF($S208="RK",O208,"")</f>
        <v>0</v>
      </c>
      <c r="X208" s="537">
        <f>IF($S208="RK",P208,"")</f>
        <v>0</v>
      </c>
      <c r="Y208" s="521">
        <f>IF($S208="RK",Q208,"")</f>
        <v>0</v>
      </c>
    </row>
    <row r="209" spans="1:25" s="29" customFormat="1">
      <c r="A209" s="351"/>
      <c r="B209" s="352" t="s">
        <v>121</v>
      </c>
      <c r="C209" s="340"/>
      <c r="D209" s="340"/>
      <c r="E209" s="340"/>
      <c r="F209" s="340"/>
      <c r="G209" s="340"/>
      <c r="H209" s="340"/>
      <c r="I209" s="341"/>
      <c r="J209" s="341"/>
      <c r="K209" s="341"/>
      <c r="L209" s="342"/>
      <c r="M209" s="342"/>
      <c r="N209" s="177"/>
      <c r="O209" s="479"/>
      <c r="P209" s="343"/>
      <c r="Q209" s="343"/>
      <c r="R209" s="179"/>
      <c r="S209" s="11"/>
      <c r="T209" s="455"/>
      <c r="U209" s="533"/>
      <c r="W209" s="455"/>
      <c r="X209" s="455"/>
    </row>
    <row r="210" spans="1:25" s="29" customFormat="1">
      <c r="A210" s="353"/>
      <c r="B210" s="354" t="s">
        <v>122</v>
      </c>
      <c r="C210" s="348">
        <v>0</v>
      </c>
      <c r="D210" s="348">
        <v>0.25</v>
      </c>
      <c r="E210" s="348">
        <v>0</v>
      </c>
      <c r="F210" s="348">
        <v>0.25</v>
      </c>
      <c r="G210" s="348">
        <v>0</v>
      </c>
      <c r="H210" s="136">
        <f>SUM(C210:G210)</f>
        <v>0.5</v>
      </c>
      <c r="I210" s="137"/>
      <c r="J210" s="137"/>
      <c r="K210" s="137"/>
      <c r="L210" s="138">
        <f>((C210*$C$9)+(D210*$D$9)+(E210*$E$9)+(F210*$F$9))</f>
        <v>26.696000000000002</v>
      </c>
      <c r="M210" s="138">
        <v>0</v>
      </c>
      <c r="N210" s="139">
        <v>1</v>
      </c>
      <c r="O210" s="478">
        <f>0.1*O9</f>
        <v>2.1333333323333337</v>
      </c>
      <c r="P210" s="141">
        <f>(C210+D210+E210+F210)*O210</f>
        <v>1.0666666661666668</v>
      </c>
      <c r="Q210" s="72">
        <f>(M210+N210)*O210</f>
        <v>2.1333333323333337</v>
      </c>
      <c r="R210" s="142">
        <f>(L210+M210+N210)*O210</f>
        <v>59.084799972304012</v>
      </c>
      <c r="S210" s="171" t="s">
        <v>259</v>
      </c>
      <c r="T210" s="536">
        <f>IF($S210="RP",O210,"")</f>
        <v>2.1333333323333337</v>
      </c>
      <c r="U210" s="537">
        <f>IF($S210="RP",P210,"")</f>
        <v>1.0666666661666668</v>
      </c>
      <c r="V210" s="521">
        <f>IF($S210="RP",Q210,"")</f>
        <v>2.1333333323333337</v>
      </c>
      <c r="W210" s="537" t="str">
        <f>IF($S210="RK",O210,"")</f>
        <v/>
      </c>
      <c r="X210" s="537" t="str">
        <f>IF($S210="RK",P210,"")</f>
        <v/>
      </c>
      <c r="Y210" s="521" t="str">
        <f>IF($S210="RK",Q210,"")</f>
        <v/>
      </c>
    </row>
    <row r="211" spans="1:25" s="29" customFormat="1">
      <c r="A211" s="351"/>
      <c r="B211" s="352" t="s">
        <v>112</v>
      </c>
      <c r="C211" s="340"/>
      <c r="D211" s="340"/>
      <c r="E211" s="340"/>
      <c r="F211" s="340"/>
      <c r="G211" s="340"/>
      <c r="H211" s="340"/>
      <c r="I211" s="341"/>
      <c r="J211" s="341"/>
      <c r="K211" s="341"/>
      <c r="L211" s="342"/>
      <c r="M211" s="342"/>
      <c r="N211" s="177"/>
      <c r="O211" s="479"/>
      <c r="P211" s="343"/>
      <c r="Q211" s="72"/>
      <c r="R211" s="179"/>
      <c r="S211" s="11"/>
      <c r="T211" s="455"/>
      <c r="U211" s="533"/>
      <c r="W211" s="455"/>
      <c r="X211" s="455"/>
    </row>
    <row r="212" spans="1:25" s="29" customFormat="1" ht="12" thickBot="1">
      <c r="A212" s="351"/>
      <c r="B212" s="355" t="s">
        <v>123</v>
      </c>
      <c r="C212" s="348">
        <v>0</v>
      </c>
      <c r="D212" s="348">
        <v>0.25</v>
      </c>
      <c r="E212" s="348">
        <v>0</v>
      </c>
      <c r="F212" s="348">
        <v>0.25</v>
      </c>
      <c r="G212" s="348">
        <v>0</v>
      </c>
      <c r="H212" s="136">
        <f>SUM(C212:G212)</f>
        <v>0.5</v>
      </c>
      <c r="I212" s="137"/>
      <c r="J212" s="137"/>
      <c r="K212" s="137"/>
      <c r="L212" s="138">
        <f>((C212*$C$9)+(D212*$D$9)+(E212*$E$9)+(F212*$F$9))</f>
        <v>26.696000000000002</v>
      </c>
      <c r="M212" s="138">
        <v>0</v>
      </c>
      <c r="N212" s="139">
        <v>1</v>
      </c>
      <c r="O212" s="478">
        <v>0</v>
      </c>
      <c r="P212" s="141">
        <f>(C212+D212+E212+F212)*O212</f>
        <v>0</v>
      </c>
      <c r="Q212" s="72">
        <f>(M212+N212)*O212</f>
        <v>0</v>
      </c>
      <c r="R212" s="142">
        <f>(L212+M212+N212)*O212</f>
        <v>0</v>
      </c>
      <c r="S212" s="171" t="s">
        <v>259</v>
      </c>
      <c r="T212" s="536">
        <f>IF($S212="RP",O212,"")</f>
        <v>0</v>
      </c>
      <c r="U212" s="537">
        <f>IF($S212="RP",P212,"")</f>
        <v>0</v>
      </c>
      <c r="V212" s="521">
        <f>IF($S212="RP",Q212,"")</f>
        <v>0</v>
      </c>
      <c r="W212" s="537" t="str">
        <f>IF($S212="RK",O212,"")</f>
        <v/>
      </c>
      <c r="X212" s="537" t="str">
        <f>IF($S212="RK",P212,"")</f>
        <v/>
      </c>
      <c r="Y212" s="521" t="str">
        <f>IF($S212="RK",Q212,"")</f>
        <v/>
      </c>
    </row>
    <row r="213" spans="1:25" s="29" customFormat="1" ht="12.75" thickTop="1" thickBot="1">
      <c r="A213" s="321" t="s">
        <v>22</v>
      </c>
      <c r="B213" s="146"/>
      <c r="C213" s="297">
        <f t="shared" ref="C213:H213" si="86">C205+C206+C208+C210+C212</f>
        <v>0</v>
      </c>
      <c r="D213" s="297">
        <f t="shared" si="86"/>
        <v>2</v>
      </c>
      <c r="E213" s="297">
        <f t="shared" si="86"/>
        <v>8</v>
      </c>
      <c r="F213" s="297">
        <f t="shared" si="86"/>
        <v>0.5</v>
      </c>
      <c r="G213" s="297">
        <f t="shared" si="86"/>
        <v>0</v>
      </c>
      <c r="H213" s="297">
        <f t="shared" si="86"/>
        <v>10.5</v>
      </c>
      <c r="I213" s="322">
        <f>I205</f>
        <v>0</v>
      </c>
      <c r="J213" s="322">
        <f>J205</f>
        <v>0</v>
      </c>
      <c r="K213" s="322">
        <f>K205</f>
        <v>0</v>
      </c>
      <c r="L213" s="323">
        <f>L205+L206+L208+L210+L212</f>
        <v>607.5200000000001</v>
      </c>
      <c r="M213" s="323">
        <f>M205+M206+M208+M210+M212</f>
        <v>0</v>
      </c>
      <c r="N213" s="358">
        <f>N205+N206+N208+N210+N212</f>
        <v>2</v>
      </c>
      <c r="O213" s="480"/>
      <c r="P213" s="359">
        <f>P205+P206+P208+P210+P212</f>
        <v>112.53333328058335</v>
      </c>
      <c r="Q213" s="153">
        <f>Q205+Q206+Q208+Q210+Q212</f>
        <v>2.1333333323333337</v>
      </c>
      <c r="R213" s="153">
        <f>R205+R206+R208+R210+R212</f>
        <v>6652.3306635483877</v>
      </c>
      <c r="S213" s="153"/>
      <c r="T213" s="543">
        <f t="shared" ref="T213:Y213" si="87">T205+T206+T208+T210+T212</f>
        <v>2.1333333323333337</v>
      </c>
      <c r="U213" s="543">
        <f t="shared" si="87"/>
        <v>1.0666666661666668</v>
      </c>
      <c r="V213" s="153">
        <f t="shared" si="87"/>
        <v>2.1333333323333337</v>
      </c>
      <c r="W213" s="543">
        <f t="shared" si="87"/>
        <v>23.466666655666668</v>
      </c>
      <c r="X213" s="543">
        <f t="shared" si="87"/>
        <v>111.46666661441668</v>
      </c>
      <c r="Y213" s="153">
        <f t="shared" si="87"/>
        <v>0</v>
      </c>
    </row>
    <row r="214" spans="1:25" s="29" customFormat="1" ht="12" thickTop="1">
      <c r="A214" s="201" t="s">
        <v>56</v>
      </c>
      <c r="B214" s="202"/>
      <c r="C214" s="203"/>
      <c r="D214" s="203"/>
      <c r="E214" s="203"/>
      <c r="F214" s="203"/>
      <c r="G214" s="203"/>
      <c r="H214" s="203"/>
      <c r="I214" s="204"/>
      <c r="J214" s="204"/>
      <c r="K214" s="204"/>
      <c r="L214" s="205"/>
      <c r="M214" s="205"/>
      <c r="N214" s="206"/>
      <c r="O214" s="477"/>
      <c r="P214" s="208"/>
      <c r="Q214" s="208"/>
      <c r="R214" s="209"/>
      <c r="S214" s="11"/>
      <c r="T214" s="455"/>
      <c r="U214" s="533"/>
      <c r="W214" s="455"/>
      <c r="X214" s="455"/>
    </row>
    <row r="215" spans="1:25" s="29" customFormat="1" ht="12" thickBot="1">
      <c r="A215" s="346"/>
      <c r="B215" s="360" t="s">
        <v>124</v>
      </c>
      <c r="C215" s="348">
        <v>0</v>
      </c>
      <c r="D215" s="348">
        <v>1</v>
      </c>
      <c r="E215" s="348">
        <v>4</v>
      </c>
      <c r="F215" s="348">
        <v>0</v>
      </c>
      <c r="G215" s="348">
        <v>0</v>
      </c>
      <c r="H215" s="136">
        <f>SUM(C215:G215)</f>
        <v>5</v>
      </c>
      <c r="I215" s="137"/>
      <c r="J215" s="137"/>
      <c r="K215" s="137"/>
      <c r="L215" s="138">
        <f>((C215*$C$9)+(D215*$D$9)+(E215*$E$9)+(F215*$F$9))</f>
        <v>296.16000000000003</v>
      </c>
      <c r="M215" s="138">
        <v>0</v>
      </c>
      <c r="N215" s="139">
        <v>0</v>
      </c>
      <c r="O215" s="478">
        <f>O9</f>
        <v>21.333333323333335</v>
      </c>
      <c r="P215" s="141">
        <f>(C215+D215+E215+F215)*O215</f>
        <v>106.66666661666667</v>
      </c>
      <c r="Q215" s="72">
        <f>(M215+N215)*O215</f>
        <v>0</v>
      </c>
      <c r="R215" s="142">
        <f>(L215+M215+N215)*O215</f>
        <v>6318.0799970384014</v>
      </c>
      <c r="S215" s="565" t="s">
        <v>254</v>
      </c>
      <c r="T215" s="536" t="str">
        <f>IF($S215="RP",O215,"")</f>
        <v/>
      </c>
      <c r="U215" s="537" t="str">
        <f>IF($S215="RP",P215,"")</f>
        <v/>
      </c>
      <c r="V215" s="521" t="str">
        <f>IF($S215="RP",Q215,"")</f>
        <v/>
      </c>
      <c r="W215" s="537">
        <f>IF($S215="RK",O215,"")</f>
        <v>21.333333323333335</v>
      </c>
      <c r="X215" s="537">
        <f>IF($S215="RK",P215,"")</f>
        <v>106.66666661666667</v>
      </c>
      <c r="Y215" s="521">
        <f>IF($S215="RK",Q215,"")</f>
        <v>0</v>
      </c>
    </row>
    <row r="216" spans="1:25" s="29" customFormat="1" ht="12.75" thickTop="1" thickBot="1">
      <c r="A216" s="145" t="s">
        <v>22</v>
      </c>
      <c r="B216" s="146"/>
      <c r="C216" s="297">
        <f t="shared" ref="C216:N216" si="88">C215</f>
        <v>0</v>
      </c>
      <c r="D216" s="297">
        <f t="shared" si="88"/>
        <v>1</v>
      </c>
      <c r="E216" s="297">
        <f t="shared" si="88"/>
        <v>4</v>
      </c>
      <c r="F216" s="297">
        <f t="shared" si="88"/>
        <v>0</v>
      </c>
      <c r="G216" s="297">
        <f t="shared" si="88"/>
        <v>0</v>
      </c>
      <c r="H216" s="297">
        <f t="shared" si="88"/>
        <v>5</v>
      </c>
      <c r="I216" s="322">
        <f t="shared" si="88"/>
        <v>0</v>
      </c>
      <c r="J216" s="322">
        <f t="shared" si="88"/>
        <v>0</v>
      </c>
      <c r="K216" s="322">
        <f t="shared" si="88"/>
        <v>0</v>
      </c>
      <c r="L216" s="323">
        <f t="shared" si="88"/>
        <v>296.16000000000003</v>
      </c>
      <c r="M216" s="323">
        <f t="shared" si="88"/>
        <v>0</v>
      </c>
      <c r="N216" s="150">
        <f t="shared" si="88"/>
        <v>0</v>
      </c>
      <c r="O216" s="480"/>
      <c r="P216" s="325">
        <f>P215</f>
        <v>106.66666661666667</v>
      </c>
      <c r="Q216" s="153">
        <f>Q215</f>
        <v>0</v>
      </c>
      <c r="R216" s="153">
        <f>R215</f>
        <v>6318.0799970384014</v>
      </c>
      <c r="S216" s="554"/>
      <c r="T216" s="543" t="str">
        <f t="shared" ref="T216:Y216" si="89">T215</f>
        <v/>
      </c>
      <c r="U216" s="543" t="str">
        <f t="shared" si="89"/>
        <v/>
      </c>
      <c r="V216" s="153" t="str">
        <f t="shared" si="89"/>
        <v/>
      </c>
      <c r="W216" s="543">
        <f t="shared" si="89"/>
        <v>21.333333323333335</v>
      </c>
      <c r="X216" s="543">
        <f t="shared" si="89"/>
        <v>106.66666661666667</v>
      </c>
      <c r="Y216" s="153">
        <f t="shared" si="89"/>
        <v>0</v>
      </c>
    </row>
    <row r="217" spans="1:25" s="29" customFormat="1" ht="12" thickTop="1">
      <c r="A217" s="201" t="s">
        <v>125</v>
      </c>
      <c r="B217" s="202"/>
      <c r="C217" s="203"/>
      <c r="D217" s="203"/>
      <c r="E217" s="203"/>
      <c r="F217" s="203"/>
      <c r="G217" s="203"/>
      <c r="H217" s="203"/>
      <c r="I217" s="204"/>
      <c r="J217" s="204"/>
      <c r="K217" s="204"/>
      <c r="L217" s="205"/>
      <c r="M217" s="205"/>
      <c r="N217" s="206"/>
      <c r="O217" s="477"/>
      <c r="P217" s="208"/>
      <c r="Q217" s="208"/>
      <c r="R217" s="209"/>
      <c r="S217" s="11"/>
      <c r="T217" s="455"/>
      <c r="U217" s="533"/>
      <c r="W217" s="455"/>
      <c r="X217" s="455"/>
    </row>
    <row r="218" spans="1:25" s="29" customFormat="1">
      <c r="A218" s="351"/>
      <c r="B218" s="229" t="s">
        <v>126</v>
      </c>
      <c r="C218" s="361"/>
      <c r="D218" s="361"/>
      <c r="E218" s="361"/>
      <c r="F218" s="361"/>
      <c r="G218" s="361"/>
      <c r="H218" s="362"/>
      <c r="I218" s="363"/>
      <c r="J218" s="363"/>
      <c r="K218" s="363"/>
      <c r="L218" s="364"/>
      <c r="M218" s="364"/>
      <c r="N218" s="365"/>
      <c r="O218" s="481"/>
      <c r="P218" s="366"/>
      <c r="Q218" s="517"/>
      <c r="R218" s="367"/>
      <c r="S218" s="11"/>
      <c r="T218" s="455"/>
      <c r="U218" s="533"/>
      <c r="W218" s="455"/>
      <c r="X218" s="455"/>
    </row>
    <row r="219" spans="1:25" s="29" customFormat="1">
      <c r="A219" s="353"/>
      <c r="B219" s="354" t="s">
        <v>90</v>
      </c>
      <c r="C219" s="348">
        <v>0</v>
      </c>
      <c r="D219" s="348">
        <v>1</v>
      </c>
      <c r="E219" s="348">
        <v>4</v>
      </c>
      <c r="F219" s="348">
        <v>0</v>
      </c>
      <c r="G219" s="348">
        <v>0</v>
      </c>
      <c r="H219" s="136">
        <f>SUM(C219:G219)</f>
        <v>5</v>
      </c>
      <c r="I219" s="137"/>
      <c r="J219" s="137"/>
      <c r="K219" s="137"/>
      <c r="L219" s="138">
        <f>((C219*$C$9)+(D219*$D$9)+(E219*$E$9)+(F219*$F$9))</f>
        <v>296.16000000000003</v>
      </c>
      <c r="M219" s="138">
        <v>0</v>
      </c>
      <c r="N219" s="139">
        <v>0</v>
      </c>
      <c r="O219" s="478">
        <f>O9</f>
        <v>21.333333323333335</v>
      </c>
      <c r="P219" s="141">
        <f>(C219+D219+E219+F219)*O219</f>
        <v>106.66666661666667</v>
      </c>
      <c r="Q219" s="72">
        <f>(M219+N219)*O219</f>
        <v>0</v>
      </c>
      <c r="R219" s="142">
        <f>(L219+M219+N219)*O219</f>
        <v>6318.0799970384014</v>
      </c>
      <c r="S219" s="528" t="s">
        <v>254</v>
      </c>
      <c r="T219" s="536" t="str">
        <f>IF($S219="RP",O219,"")</f>
        <v/>
      </c>
      <c r="U219" s="537" t="str">
        <f>IF($S219="RP",P219,"")</f>
        <v/>
      </c>
      <c r="V219" s="521" t="str">
        <f>IF($S219="RP",Q219,"")</f>
        <v/>
      </c>
      <c r="W219" s="537">
        <f>IF($S219="RK",O219,"")</f>
        <v>21.333333323333335</v>
      </c>
      <c r="X219" s="537">
        <f>IF($S219="RK",P219,"")</f>
        <v>106.66666661666667</v>
      </c>
      <c r="Y219" s="521">
        <f>IF($S219="RK",Q219,"")</f>
        <v>0</v>
      </c>
    </row>
    <row r="220" spans="1:25" s="29" customFormat="1">
      <c r="A220" s="351"/>
      <c r="B220" s="229" t="s">
        <v>127</v>
      </c>
      <c r="C220" s="340"/>
      <c r="D220" s="340"/>
      <c r="E220" s="340"/>
      <c r="F220" s="340"/>
      <c r="G220" s="340"/>
      <c r="H220" s="340"/>
      <c r="I220" s="341"/>
      <c r="J220" s="341"/>
      <c r="K220" s="341"/>
      <c r="L220" s="342"/>
      <c r="M220" s="342"/>
      <c r="N220" s="177"/>
      <c r="O220" s="479"/>
      <c r="P220" s="343"/>
      <c r="Q220" s="343"/>
      <c r="R220" s="179"/>
      <c r="S220" s="11"/>
      <c r="T220" s="455"/>
      <c r="U220" s="533"/>
      <c r="W220" s="455"/>
      <c r="X220" s="455"/>
    </row>
    <row r="221" spans="1:25" s="29" customFormat="1">
      <c r="A221" s="353"/>
      <c r="B221" s="354" t="s">
        <v>128</v>
      </c>
      <c r="C221" s="348">
        <v>0</v>
      </c>
      <c r="D221" s="348">
        <v>0.25</v>
      </c>
      <c r="E221" s="348">
        <v>2</v>
      </c>
      <c r="F221" s="348">
        <v>0</v>
      </c>
      <c r="G221" s="348">
        <v>0</v>
      </c>
      <c r="H221" s="136">
        <f>SUM(C221:G221)</f>
        <v>2.25</v>
      </c>
      <c r="I221" s="137"/>
      <c r="J221" s="137"/>
      <c r="K221" s="137"/>
      <c r="L221" s="138">
        <f>((C221*$C$9)+(D221*$D$9)+(E221*$E$9)+(F221*$F$9))</f>
        <v>128.98400000000001</v>
      </c>
      <c r="M221" s="138">
        <v>0</v>
      </c>
      <c r="N221" s="139">
        <v>0</v>
      </c>
      <c r="O221" s="478">
        <f>0.1*O9</f>
        <v>2.1333333323333337</v>
      </c>
      <c r="P221" s="141">
        <f>(C221+D221+E221+F221)*O221</f>
        <v>4.7999999977500005</v>
      </c>
      <c r="Q221" s="72">
        <f>(M221+N221)*O221</f>
        <v>0</v>
      </c>
      <c r="R221" s="142">
        <f>(L221+M221+N221)*O221</f>
        <v>275.16586653768275</v>
      </c>
      <c r="S221" s="528" t="s">
        <v>254</v>
      </c>
      <c r="T221" s="536" t="str">
        <f>IF($S221="RP",O221,"")</f>
        <v/>
      </c>
      <c r="U221" s="537" t="str">
        <f>IF($S221="RP",P221,"")</f>
        <v/>
      </c>
      <c r="V221" s="521" t="str">
        <f>IF($S221="RP",Q221,"")</f>
        <v/>
      </c>
      <c r="W221" s="537">
        <f>IF($S221="RK",O221,"")</f>
        <v>2.1333333323333337</v>
      </c>
      <c r="X221" s="537">
        <f>IF($S221="RK",P221,"")</f>
        <v>4.7999999977500005</v>
      </c>
      <c r="Y221" s="521">
        <f>IF($S221="RK",Q221,"")</f>
        <v>0</v>
      </c>
    </row>
    <row r="222" spans="1:25" s="29" customFormat="1">
      <c r="A222" s="351"/>
      <c r="B222" s="229" t="s">
        <v>172</v>
      </c>
      <c r="C222" s="340"/>
      <c r="D222" s="340"/>
      <c r="E222" s="340"/>
      <c r="F222" s="340"/>
      <c r="G222" s="340"/>
      <c r="H222" s="340"/>
      <c r="I222" s="341"/>
      <c r="J222" s="341"/>
      <c r="K222" s="341"/>
      <c r="L222" s="342"/>
      <c r="M222" s="342"/>
      <c r="N222" s="177"/>
      <c r="O222" s="479"/>
      <c r="P222" s="343"/>
      <c r="Q222" s="343"/>
      <c r="R222" s="179"/>
      <c r="S222" s="11"/>
      <c r="T222" s="455"/>
      <c r="U222" s="533"/>
      <c r="W222" s="455"/>
      <c r="X222" s="455"/>
    </row>
    <row r="223" spans="1:25" s="29" customFormat="1">
      <c r="A223" s="353"/>
      <c r="B223" s="354" t="s">
        <v>120</v>
      </c>
      <c r="C223" s="348">
        <v>0</v>
      </c>
      <c r="D223" s="348">
        <v>0.25</v>
      </c>
      <c r="E223" s="348">
        <v>2</v>
      </c>
      <c r="F223" s="348">
        <v>0</v>
      </c>
      <c r="G223" s="348">
        <v>0</v>
      </c>
      <c r="H223" s="136">
        <f>SUM(C223:G223)</f>
        <v>2.25</v>
      </c>
      <c r="I223" s="137"/>
      <c r="J223" s="137"/>
      <c r="K223" s="137"/>
      <c r="L223" s="138">
        <f>((C223*$C$9)+(D223*$D$9)+(E223*$E$9)+(F223*$F$9))</f>
        <v>128.98400000000001</v>
      </c>
      <c r="M223" s="138">
        <v>0</v>
      </c>
      <c r="N223" s="139">
        <v>0</v>
      </c>
      <c r="O223" s="478">
        <v>0</v>
      </c>
      <c r="P223" s="141">
        <f>(C223+D223+E223+F223)*O223</f>
        <v>0</v>
      </c>
      <c r="Q223" s="72">
        <f>(M223+N223)*O223</f>
        <v>0</v>
      </c>
      <c r="R223" s="142">
        <f>(L223+M223+N223)*O223</f>
        <v>0</v>
      </c>
      <c r="S223" s="528" t="s">
        <v>254</v>
      </c>
      <c r="T223" s="536" t="str">
        <f>IF($S223="RP",O223,"")</f>
        <v/>
      </c>
      <c r="U223" s="537" t="str">
        <f>IF($S223="RP",P223,"")</f>
        <v/>
      </c>
      <c r="V223" s="521" t="str">
        <f>IF($S223="RP",Q223,"")</f>
        <v/>
      </c>
      <c r="W223" s="537">
        <f>IF($S223="RK",O223,"")</f>
        <v>0</v>
      </c>
      <c r="X223" s="537">
        <f>IF($S223="RK",P223,"")</f>
        <v>0</v>
      </c>
      <c r="Y223" s="521">
        <f>IF($S223="RK",Q223,"")</f>
        <v>0</v>
      </c>
    </row>
    <row r="224" spans="1:25" s="29" customFormat="1">
      <c r="A224" s="351"/>
      <c r="B224" s="229" t="s">
        <v>121</v>
      </c>
      <c r="C224" s="340"/>
      <c r="D224" s="340"/>
      <c r="E224" s="340"/>
      <c r="F224" s="340"/>
      <c r="G224" s="340"/>
      <c r="H224" s="340"/>
      <c r="I224" s="341"/>
      <c r="J224" s="341"/>
      <c r="K224" s="341"/>
      <c r="L224" s="342"/>
      <c r="M224" s="342"/>
      <c r="N224" s="177"/>
      <c r="O224" s="479"/>
      <c r="P224" s="343"/>
      <c r="Q224" s="343"/>
      <c r="R224" s="179"/>
      <c r="S224" s="11"/>
      <c r="T224" s="455"/>
      <c r="U224" s="533"/>
      <c r="W224" s="455"/>
      <c r="X224" s="455"/>
    </row>
    <row r="225" spans="1:25" s="29" customFormat="1">
      <c r="A225" s="353"/>
      <c r="B225" s="354" t="s">
        <v>129</v>
      </c>
      <c r="C225" s="348">
        <v>0</v>
      </c>
      <c r="D225" s="348">
        <v>0.25</v>
      </c>
      <c r="E225" s="348">
        <v>0</v>
      </c>
      <c r="F225" s="348">
        <v>0.25</v>
      </c>
      <c r="G225" s="348">
        <v>0</v>
      </c>
      <c r="H225" s="136">
        <f>SUM(C225:G225)</f>
        <v>0.5</v>
      </c>
      <c r="I225" s="137"/>
      <c r="J225" s="137"/>
      <c r="K225" s="137"/>
      <c r="L225" s="138">
        <f>((C225*$C$9)+(D225*$D$9)+(E225*$E$9)+(F225*$F$9))</f>
        <v>26.696000000000002</v>
      </c>
      <c r="M225" s="138">
        <v>0</v>
      </c>
      <c r="N225" s="139">
        <v>1</v>
      </c>
      <c r="O225" s="478">
        <f>0.1*O9</f>
        <v>2.1333333323333337</v>
      </c>
      <c r="P225" s="141">
        <f>(C225+D225+E225+F225)*O225</f>
        <v>1.0666666661666668</v>
      </c>
      <c r="Q225" s="72">
        <f>(M225+N225)*O225</f>
        <v>2.1333333323333337</v>
      </c>
      <c r="R225" s="142">
        <f>(L225+M225+N225)*O225</f>
        <v>59.084799972304012</v>
      </c>
      <c r="S225" s="528" t="s">
        <v>259</v>
      </c>
      <c r="T225" s="536">
        <f>IF($S225="RP",O225,"")</f>
        <v>2.1333333323333337</v>
      </c>
      <c r="U225" s="537">
        <f>IF($S225="RP",P225,"")</f>
        <v>1.0666666661666668</v>
      </c>
      <c r="V225" s="521">
        <f>IF($S225="RP",Q225,"")</f>
        <v>2.1333333323333337</v>
      </c>
      <c r="W225" s="537" t="str">
        <f>IF($S225="RK",O225,"")</f>
        <v/>
      </c>
      <c r="X225" s="537" t="str">
        <f>IF($S225="RK",P225,"")</f>
        <v/>
      </c>
      <c r="Y225" s="521" t="str">
        <f>IF($S225="RK",Q225,"")</f>
        <v/>
      </c>
    </row>
    <row r="226" spans="1:25" s="29" customFormat="1">
      <c r="A226" s="368"/>
      <c r="B226" s="229" t="s">
        <v>112</v>
      </c>
      <c r="C226" s="340"/>
      <c r="D226" s="340"/>
      <c r="E226" s="340"/>
      <c r="F226" s="340"/>
      <c r="G226" s="340"/>
      <c r="H226" s="340"/>
      <c r="I226" s="341"/>
      <c r="J226" s="341"/>
      <c r="K226" s="341"/>
      <c r="L226" s="342"/>
      <c r="M226" s="342"/>
      <c r="N226" s="177"/>
      <c r="O226" s="479"/>
      <c r="P226" s="343"/>
      <c r="Q226" s="343"/>
      <c r="R226" s="179"/>
      <c r="S226" s="11"/>
      <c r="T226" s="455"/>
      <c r="U226" s="533"/>
      <c r="W226" s="455"/>
      <c r="X226" s="455"/>
    </row>
    <row r="227" spans="1:25" s="29" customFormat="1" ht="12" thickBot="1">
      <c r="A227" s="369"/>
      <c r="B227" s="229" t="s">
        <v>123</v>
      </c>
      <c r="C227" s="348">
        <v>0</v>
      </c>
      <c r="D227" s="348">
        <v>0.25</v>
      </c>
      <c r="E227" s="348">
        <v>0</v>
      </c>
      <c r="F227" s="348">
        <v>0.25</v>
      </c>
      <c r="G227" s="348">
        <v>0</v>
      </c>
      <c r="H227" s="136">
        <f>SUM(C227:G227)</f>
        <v>0.5</v>
      </c>
      <c r="I227" s="137"/>
      <c r="J227" s="137"/>
      <c r="K227" s="137"/>
      <c r="L227" s="138">
        <f>((C227*$C$9)+(D227*$D$9)+(E227*$E$9)+(F227*$F$9))</f>
        <v>26.696000000000002</v>
      </c>
      <c r="M227" s="138">
        <v>0</v>
      </c>
      <c r="N227" s="139">
        <v>1</v>
      </c>
      <c r="O227" s="478">
        <v>0</v>
      </c>
      <c r="P227" s="141">
        <f>(C227+D227+E227+F227)*O227</f>
        <v>0</v>
      </c>
      <c r="Q227" s="72">
        <f>(M227+N227)*O227</f>
        <v>0</v>
      </c>
      <c r="R227" s="142">
        <f>(L227+M227+N227)*O227</f>
        <v>0</v>
      </c>
      <c r="S227" s="565" t="s">
        <v>259</v>
      </c>
      <c r="T227" s="536">
        <f>IF($S227="RP",O227,"")</f>
        <v>0</v>
      </c>
      <c r="U227" s="537">
        <f>IF($S227="RP",P227,"")</f>
        <v>0</v>
      </c>
      <c r="V227" s="521">
        <f>IF($S227="RP",Q227,"")</f>
        <v>0</v>
      </c>
      <c r="W227" s="537" t="str">
        <f>IF($S227="RK",O227,"")</f>
        <v/>
      </c>
      <c r="X227" s="537" t="str">
        <f>IF($S227="RK",P227,"")</f>
        <v/>
      </c>
      <c r="Y227" s="521" t="str">
        <f>IF($S227="RK",Q227,"")</f>
        <v/>
      </c>
    </row>
    <row r="228" spans="1:25" s="29" customFormat="1" ht="12.75" thickTop="1" thickBot="1">
      <c r="A228" s="370" t="s">
        <v>22</v>
      </c>
      <c r="B228" s="146"/>
      <c r="C228" s="297">
        <f t="shared" ref="C228:H228" si="90">C219+C221+C223+C225+C227</f>
        <v>0</v>
      </c>
      <c r="D228" s="297">
        <f t="shared" si="90"/>
        <v>2</v>
      </c>
      <c r="E228" s="297">
        <f t="shared" si="90"/>
        <v>8</v>
      </c>
      <c r="F228" s="297">
        <f t="shared" si="90"/>
        <v>0.5</v>
      </c>
      <c r="G228" s="297">
        <f t="shared" si="90"/>
        <v>0</v>
      </c>
      <c r="H228" s="297">
        <f t="shared" si="90"/>
        <v>10.5</v>
      </c>
      <c r="I228" s="322">
        <f>I218</f>
        <v>0</v>
      </c>
      <c r="J228" s="322">
        <f>J218</f>
        <v>0</v>
      </c>
      <c r="K228" s="322">
        <f>K218</f>
        <v>0</v>
      </c>
      <c r="L228" s="323">
        <f>L219+L221+L223+L225+L227</f>
        <v>607.5200000000001</v>
      </c>
      <c r="M228" s="323">
        <f>M219+M221+M223+M225+M227</f>
        <v>0</v>
      </c>
      <c r="N228" s="150">
        <f>N219+N221+N223+N225+N227</f>
        <v>2</v>
      </c>
      <c r="O228" s="480"/>
      <c r="P228" s="297">
        <f>P219+P221+P223+P225+P227</f>
        <v>112.53333328058335</v>
      </c>
      <c r="Q228" s="153">
        <f>Q219+Q221+Q223+Q225+Q227</f>
        <v>2.1333333323333337</v>
      </c>
      <c r="R228" s="153">
        <f>R219+R221+R223+R225+R227</f>
        <v>6652.3306635483877</v>
      </c>
      <c r="S228" s="554"/>
      <c r="T228" s="543">
        <f t="shared" ref="T228:Y228" si="91">T219+T221+T223+T225+T227</f>
        <v>2.1333333323333337</v>
      </c>
      <c r="U228" s="543">
        <f t="shared" si="91"/>
        <v>1.0666666661666668</v>
      </c>
      <c r="V228" s="153">
        <f t="shared" si="91"/>
        <v>2.1333333323333337</v>
      </c>
      <c r="W228" s="543">
        <f t="shared" si="91"/>
        <v>23.466666655666668</v>
      </c>
      <c r="X228" s="543">
        <f t="shared" si="91"/>
        <v>111.46666661441668</v>
      </c>
      <c r="Y228" s="153">
        <f t="shared" si="91"/>
        <v>0</v>
      </c>
    </row>
    <row r="229" spans="1:25" s="29" customFormat="1" ht="12" thickTop="1">
      <c r="A229" s="201" t="s">
        <v>239</v>
      </c>
      <c r="B229" s="202"/>
      <c r="C229" s="203"/>
      <c r="D229" s="203"/>
      <c r="E229" s="203"/>
      <c r="F229" s="203"/>
      <c r="G229" s="203"/>
      <c r="H229" s="203"/>
      <c r="I229" s="204"/>
      <c r="J229" s="204"/>
      <c r="K229" s="204"/>
      <c r="L229" s="205"/>
      <c r="M229" s="205"/>
      <c r="N229" s="206"/>
      <c r="O229" s="477"/>
      <c r="P229" s="208"/>
      <c r="Q229" s="208"/>
      <c r="R229" s="209"/>
      <c r="S229" s="11"/>
      <c r="T229" s="455"/>
      <c r="U229" s="533"/>
      <c r="W229" s="455"/>
      <c r="X229" s="455"/>
    </row>
    <row r="230" spans="1:25" s="29" customFormat="1">
      <c r="A230" s="319"/>
      <c r="B230" s="371" t="s">
        <v>130</v>
      </c>
      <c r="C230" s="348">
        <v>0</v>
      </c>
      <c r="D230" s="348">
        <v>1</v>
      </c>
      <c r="E230" s="348">
        <v>4</v>
      </c>
      <c r="F230" s="348">
        <v>0</v>
      </c>
      <c r="G230" s="348">
        <v>0</v>
      </c>
      <c r="H230" s="136">
        <f>SUM(C230:G230)</f>
        <v>5</v>
      </c>
      <c r="I230" s="137"/>
      <c r="J230" s="137"/>
      <c r="K230" s="137"/>
      <c r="L230" s="138">
        <f>((C230*$C$9)+(D230*$D$9)+(E230*$E$9)+(F230*$F$9))</f>
        <v>296.16000000000003</v>
      </c>
      <c r="M230" s="138">
        <v>0</v>
      </c>
      <c r="N230" s="139">
        <v>0</v>
      </c>
      <c r="O230" s="478">
        <f>O9</f>
        <v>21.333333323333335</v>
      </c>
      <c r="P230" s="141">
        <f>(C230+D230+E230+F230)*O230</f>
        <v>106.66666661666667</v>
      </c>
      <c r="Q230" s="72">
        <f>(M230+N230)*O230</f>
        <v>0</v>
      </c>
      <c r="R230" s="142">
        <f>(L230+M230+N230)*O230</f>
        <v>6318.0799970384014</v>
      </c>
      <c r="S230" s="528" t="s">
        <v>254</v>
      </c>
      <c r="T230" s="536" t="str">
        <f>IF($S230="RP",O230,"")</f>
        <v/>
      </c>
      <c r="U230" s="537" t="str">
        <f>IF($S230="RP",P230,"")</f>
        <v/>
      </c>
      <c r="V230" s="521" t="str">
        <f>IF($S230="RP",Q230,"")</f>
        <v/>
      </c>
      <c r="W230" s="537">
        <f>IF($S230="RK",O230,"")</f>
        <v>21.333333323333335</v>
      </c>
      <c r="X230" s="537">
        <f>IF($S230="RK",P230,"")</f>
        <v>106.66666661666667</v>
      </c>
      <c r="Y230" s="521">
        <f>IF($S230="RK",Q230,"")</f>
        <v>0</v>
      </c>
    </row>
    <row r="231" spans="1:25" s="29" customFormat="1">
      <c r="A231" s="351"/>
      <c r="B231" s="229" t="s">
        <v>109</v>
      </c>
      <c r="C231" s="340"/>
      <c r="D231" s="340"/>
      <c r="E231" s="340"/>
      <c r="F231" s="340"/>
      <c r="G231" s="340"/>
      <c r="H231" s="340"/>
      <c r="I231" s="341"/>
      <c r="J231" s="341"/>
      <c r="K231" s="341"/>
      <c r="L231" s="342"/>
      <c r="M231" s="342"/>
      <c r="N231" s="177"/>
      <c r="O231" s="479"/>
      <c r="P231" s="343"/>
      <c r="Q231" s="343"/>
      <c r="R231" s="179"/>
      <c r="S231" s="11"/>
      <c r="T231" s="455"/>
      <c r="U231" s="533"/>
      <c r="W231" s="455"/>
      <c r="X231" s="455"/>
    </row>
    <row r="232" spans="1:25" s="29" customFormat="1">
      <c r="A232" s="353"/>
      <c r="B232" s="354" t="s">
        <v>131</v>
      </c>
      <c r="C232" s="348">
        <v>0</v>
      </c>
      <c r="D232" s="348">
        <v>0.25</v>
      </c>
      <c r="E232" s="348">
        <v>2</v>
      </c>
      <c r="F232" s="348">
        <v>0</v>
      </c>
      <c r="G232" s="348">
        <v>0</v>
      </c>
      <c r="H232" s="136">
        <f>SUM(C232:G232)</f>
        <v>2.25</v>
      </c>
      <c r="I232" s="137"/>
      <c r="J232" s="137"/>
      <c r="K232" s="137"/>
      <c r="L232" s="138">
        <f>((C232*$C$9)+(D232*$D$9)+(E232*$E$9)+(F232*$F$9))</f>
        <v>128.98400000000001</v>
      </c>
      <c r="M232" s="138">
        <v>0</v>
      </c>
      <c r="N232" s="139">
        <v>0</v>
      </c>
      <c r="O232" s="478">
        <v>0</v>
      </c>
      <c r="P232" s="141">
        <f>(C232+D232+E232+F232)*O232</f>
        <v>0</v>
      </c>
      <c r="Q232" s="72">
        <f>(M232+N232)*O232</f>
        <v>0</v>
      </c>
      <c r="R232" s="142">
        <f>(L232+M232+N232)*O232</f>
        <v>0</v>
      </c>
      <c r="S232" s="528" t="s">
        <v>254</v>
      </c>
      <c r="T232" s="536" t="str">
        <f>IF($S232="RP",O232,"")</f>
        <v/>
      </c>
      <c r="U232" s="537" t="str">
        <f>IF($S232="RP",P232,"")</f>
        <v/>
      </c>
      <c r="V232" s="521" t="str">
        <f>IF($S232="RP",Q232,"")</f>
        <v/>
      </c>
      <c r="W232" s="537">
        <f>IF($S232="RK",O232,"")</f>
        <v>0</v>
      </c>
      <c r="X232" s="537">
        <f>IF($S232="RK",P232,"")</f>
        <v>0</v>
      </c>
      <c r="Y232" s="521">
        <f>IF($S232="RK",Q232,"")</f>
        <v>0</v>
      </c>
    </row>
    <row r="233" spans="1:25" s="29" customFormat="1">
      <c r="A233" s="351"/>
      <c r="B233" s="229" t="s">
        <v>172</v>
      </c>
      <c r="C233" s="340"/>
      <c r="D233" s="340"/>
      <c r="E233" s="340"/>
      <c r="F233" s="340"/>
      <c r="G233" s="340"/>
      <c r="H233" s="340"/>
      <c r="I233" s="341"/>
      <c r="J233" s="341"/>
      <c r="K233" s="341"/>
      <c r="L233" s="342"/>
      <c r="M233" s="342"/>
      <c r="N233" s="177"/>
      <c r="O233" s="479"/>
      <c r="P233" s="343"/>
      <c r="Q233" s="343"/>
      <c r="R233" s="179"/>
      <c r="S233" s="11"/>
      <c r="T233" s="455"/>
      <c r="U233" s="533"/>
      <c r="W233" s="455"/>
      <c r="X233" s="455"/>
    </row>
    <row r="234" spans="1:25" s="29" customFormat="1">
      <c r="A234" s="353"/>
      <c r="B234" s="354" t="s">
        <v>120</v>
      </c>
      <c r="C234" s="348">
        <v>0</v>
      </c>
      <c r="D234" s="348">
        <v>0.25</v>
      </c>
      <c r="E234" s="348">
        <v>2</v>
      </c>
      <c r="F234" s="348">
        <v>0</v>
      </c>
      <c r="G234" s="348">
        <v>0</v>
      </c>
      <c r="H234" s="136">
        <f>SUM(C234:G234)</f>
        <v>2.25</v>
      </c>
      <c r="I234" s="137"/>
      <c r="J234" s="137"/>
      <c r="K234" s="137"/>
      <c r="L234" s="138">
        <f>((C234*$C$9)+(D234*$D$9)+(E234*$E$9)+(F234*$F$9))</f>
        <v>128.98400000000001</v>
      </c>
      <c r="M234" s="138">
        <v>0</v>
      </c>
      <c r="N234" s="139">
        <v>0</v>
      </c>
      <c r="O234" s="478">
        <v>0</v>
      </c>
      <c r="P234" s="141">
        <f>(C234+D234+E234+F234)*O234</f>
        <v>0</v>
      </c>
      <c r="Q234" s="72">
        <f>(M234+N234)*O234</f>
        <v>0</v>
      </c>
      <c r="R234" s="142">
        <f>(L234+M234+N234)*O234</f>
        <v>0</v>
      </c>
      <c r="S234" s="528" t="s">
        <v>254</v>
      </c>
      <c r="T234" s="536" t="str">
        <f>IF($S234="RP",O234,"")</f>
        <v/>
      </c>
      <c r="U234" s="537" t="str">
        <f>IF($S234="RP",P234,"")</f>
        <v/>
      </c>
      <c r="V234" s="521" t="str">
        <f>IF($S234="RP",Q234,"")</f>
        <v/>
      </c>
      <c r="W234" s="537">
        <f>IF($S234="RK",O234,"")</f>
        <v>0</v>
      </c>
      <c r="X234" s="537">
        <f>IF($S234="RK",P234,"")</f>
        <v>0</v>
      </c>
      <c r="Y234" s="521">
        <f>IF($S234="RK",Q234,"")</f>
        <v>0</v>
      </c>
    </row>
    <row r="235" spans="1:25" s="29" customFormat="1">
      <c r="A235" s="351"/>
      <c r="B235" s="229" t="s">
        <v>112</v>
      </c>
      <c r="C235" s="340"/>
      <c r="D235" s="340"/>
      <c r="E235" s="340"/>
      <c r="F235" s="340"/>
      <c r="G235" s="340"/>
      <c r="H235" s="340"/>
      <c r="I235" s="341"/>
      <c r="J235" s="341"/>
      <c r="K235" s="341"/>
      <c r="L235" s="342"/>
      <c r="M235" s="342"/>
      <c r="N235" s="177"/>
      <c r="O235" s="479"/>
      <c r="P235" s="343"/>
      <c r="Q235" s="343"/>
      <c r="R235" s="179"/>
      <c r="S235" s="11"/>
      <c r="T235" s="455"/>
      <c r="U235" s="533"/>
      <c r="W235" s="455"/>
      <c r="X235" s="455"/>
    </row>
    <row r="236" spans="1:25" s="29" customFormat="1">
      <c r="A236" s="353"/>
      <c r="B236" s="354" t="s">
        <v>173</v>
      </c>
      <c r="C236" s="348">
        <v>0</v>
      </c>
      <c r="D236" s="348">
        <v>0.25</v>
      </c>
      <c r="E236" s="348">
        <v>0</v>
      </c>
      <c r="F236" s="348">
        <v>0.25</v>
      </c>
      <c r="G236" s="348">
        <v>0</v>
      </c>
      <c r="H236" s="136">
        <f>SUM(C236:G236)</f>
        <v>0.5</v>
      </c>
      <c r="I236" s="137"/>
      <c r="J236" s="137"/>
      <c r="K236" s="137"/>
      <c r="L236" s="138">
        <f>((C236*$C$9)+(D236*$D$9)+(E236*$E$9)+(F236*$F$9))</f>
        <v>26.696000000000002</v>
      </c>
      <c r="M236" s="138">
        <v>0</v>
      </c>
      <c r="N236" s="139">
        <v>1</v>
      </c>
      <c r="O236" s="478">
        <v>0</v>
      </c>
      <c r="P236" s="141">
        <f>(C236+D236+E236+F236)*O236</f>
        <v>0</v>
      </c>
      <c r="Q236" s="72">
        <f>(M236+N236)*O236</f>
        <v>0</v>
      </c>
      <c r="R236" s="142">
        <f>(L236+M236+N236)*O236</f>
        <v>0</v>
      </c>
      <c r="S236" s="528" t="s">
        <v>254</v>
      </c>
      <c r="T236" s="536" t="str">
        <f>IF($S236="RP",O236,"")</f>
        <v/>
      </c>
      <c r="U236" s="537" t="str">
        <f>IF($S236="RP",P236,"")</f>
        <v/>
      </c>
      <c r="V236" s="521" t="str">
        <f>IF($S236="RP",Q236,"")</f>
        <v/>
      </c>
      <c r="W236" s="537">
        <f>IF($S236="RK",O236,"")</f>
        <v>0</v>
      </c>
      <c r="X236" s="537">
        <f>IF($S236="RK",P236,"")</f>
        <v>0</v>
      </c>
      <c r="Y236" s="521">
        <f>IF($S236="RK",Q236,"")</f>
        <v>0</v>
      </c>
    </row>
    <row r="237" spans="1:25" s="29" customFormat="1">
      <c r="A237" s="368"/>
      <c r="B237" s="229" t="s">
        <v>112</v>
      </c>
      <c r="C237" s="340"/>
      <c r="D237" s="340"/>
      <c r="E237" s="340"/>
      <c r="F237" s="340"/>
      <c r="G237" s="340"/>
      <c r="H237" s="340"/>
      <c r="I237" s="341"/>
      <c r="J237" s="341"/>
      <c r="K237" s="341"/>
      <c r="L237" s="342"/>
      <c r="M237" s="342"/>
      <c r="N237" s="177"/>
      <c r="O237" s="479"/>
      <c r="P237" s="343"/>
      <c r="Q237" s="343"/>
      <c r="R237" s="179"/>
      <c r="S237" s="11"/>
      <c r="T237" s="455"/>
      <c r="U237" s="533"/>
      <c r="W237" s="455"/>
      <c r="X237" s="455"/>
    </row>
    <row r="238" spans="1:25" s="29" customFormat="1" ht="12" thickBot="1">
      <c r="A238" s="369"/>
      <c r="B238" s="229" t="s">
        <v>123</v>
      </c>
      <c r="C238" s="348">
        <v>0</v>
      </c>
      <c r="D238" s="348">
        <v>0.25</v>
      </c>
      <c r="E238" s="348">
        <v>0</v>
      </c>
      <c r="F238" s="348">
        <v>0.25</v>
      </c>
      <c r="G238" s="348">
        <v>0</v>
      </c>
      <c r="H238" s="136">
        <f>SUM(C238:G238)</f>
        <v>0.5</v>
      </c>
      <c r="I238" s="137"/>
      <c r="J238" s="137"/>
      <c r="K238" s="137"/>
      <c r="L238" s="138">
        <f>((C238*$C$9)+(D238*$D$9)+(E238*$E$9)+(F238*$F$9))</f>
        <v>26.696000000000002</v>
      </c>
      <c r="M238" s="138">
        <v>0</v>
      </c>
      <c r="N238" s="139">
        <v>1</v>
      </c>
      <c r="O238" s="478">
        <v>0</v>
      </c>
      <c r="P238" s="141">
        <f>(C238+D238+E238+F238)*O238</f>
        <v>0</v>
      </c>
      <c r="Q238" s="72">
        <f>(M238+N238)*O238</f>
        <v>0</v>
      </c>
      <c r="R238" s="142">
        <f>(L238+M238+N238)*O238</f>
        <v>0</v>
      </c>
      <c r="S238" s="565" t="s">
        <v>259</v>
      </c>
      <c r="T238" s="536">
        <f>IF($S238="RP",O238,"")</f>
        <v>0</v>
      </c>
      <c r="U238" s="537">
        <f>IF($S238="RP",P238,"")</f>
        <v>0</v>
      </c>
      <c r="V238" s="521">
        <f>IF($S238="RP",Q238,"")</f>
        <v>0</v>
      </c>
      <c r="W238" s="537" t="str">
        <f>IF($S238="RK",O238,"")</f>
        <v/>
      </c>
      <c r="X238" s="537" t="str">
        <f>IF($S238="RK",P238,"")</f>
        <v/>
      </c>
      <c r="Y238" s="521" t="str">
        <f>IF($S238="RK",Q238,"")</f>
        <v/>
      </c>
    </row>
    <row r="239" spans="1:25" s="29" customFormat="1" ht="12.75" thickTop="1" thickBot="1">
      <c r="A239" s="370" t="s">
        <v>22</v>
      </c>
      <c r="B239" s="146"/>
      <c r="C239" s="297">
        <f t="shared" ref="C239:H239" si="92">C230+C232+C234+C236+C238</f>
        <v>0</v>
      </c>
      <c r="D239" s="297">
        <f t="shared" si="92"/>
        <v>2</v>
      </c>
      <c r="E239" s="297">
        <f t="shared" si="92"/>
        <v>8</v>
      </c>
      <c r="F239" s="297">
        <f t="shared" si="92"/>
        <v>0.5</v>
      </c>
      <c r="G239" s="297">
        <f t="shared" si="92"/>
        <v>0</v>
      </c>
      <c r="H239" s="297">
        <f t="shared" si="92"/>
        <v>10.5</v>
      </c>
      <c r="I239" s="322">
        <f>I230</f>
        <v>0</v>
      </c>
      <c r="J239" s="322">
        <f>J230</f>
        <v>0</v>
      </c>
      <c r="K239" s="322">
        <f>K230</f>
        <v>0</v>
      </c>
      <c r="L239" s="323">
        <f>L230+L232+L234+L236+L238</f>
        <v>607.5200000000001</v>
      </c>
      <c r="M239" s="323">
        <f>M230+M232+M234+M236+M238</f>
        <v>0</v>
      </c>
      <c r="N239" s="150">
        <f>N230+N232+N234+N236+N238</f>
        <v>2</v>
      </c>
      <c r="O239" s="482"/>
      <c r="P239" s="297">
        <f>P230+P232+P234+P236+P238</f>
        <v>106.66666661666667</v>
      </c>
      <c r="Q239" s="153">
        <f>Q230+Q232+Q234+Q236+Q238</f>
        <v>0</v>
      </c>
      <c r="R239" s="153">
        <f>R230+R232+R234+R236+R238</f>
        <v>6318.0799970384014</v>
      </c>
      <c r="S239" s="554"/>
      <c r="T239" s="543">
        <f t="shared" ref="T239:Y239" si="93">T230+T232+T234+T236+T238</f>
        <v>0</v>
      </c>
      <c r="U239" s="543">
        <f t="shared" si="93"/>
        <v>0</v>
      </c>
      <c r="V239" s="153">
        <f t="shared" si="93"/>
        <v>0</v>
      </c>
      <c r="W239" s="543">
        <f t="shared" si="93"/>
        <v>21.333333323333335</v>
      </c>
      <c r="X239" s="543">
        <f t="shared" si="93"/>
        <v>106.66666661666667</v>
      </c>
      <c r="Y239" s="153">
        <f t="shared" si="93"/>
        <v>0</v>
      </c>
    </row>
    <row r="240" spans="1:25" s="29" customFormat="1" ht="12" hidden="1" thickTop="1">
      <c r="A240" s="351"/>
      <c r="B240" s="229"/>
      <c r="C240" s="106"/>
      <c r="D240" s="106"/>
      <c r="E240" s="106"/>
      <c r="F240" s="106"/>
      <c r="G240" s="106"/>
      <c r="H240" s="106"/>
      <c r="I240" s="107"/>
      <c r="J240" s="107"/>
      <c r="K240" s="107"/>
      <c r="L240" s="108"/>
      <c r="M240" s="108"/>
      <c r="N240" s="109"/>
      <c r="O240" s="483"/>
      <c r="P240" s="106"/>
      <c r="Q240" s="106"/>
      <c r="R240" s="112"/>
      <c r="S240" s="11"/>
      <c r="T240" s="455"/>
      <c r="U240" s="533"/>
      <c r="W240" s="455"/>
      <c r="X240" s="455"/>
    </row>
    <row r="241" spans="1:25" s="29" customFormat="1" ht="12" hidden="1" thickBot="1">
      <c r="A241" s="351"/>
      <c r="B241" s="229"/>
      <c r="C241" s="106"/>
      <c r="D241" s="106"/>
      <c r="E241" s="106"/>
      <c r="F241" s="106"/>
      <c r="G241" s="106"/>
      <c r="H241" s="106"/>
      <c r="I241" s="107"/>
      <c r="J241" s="107"/>
      <c r="K241" s="107"/>
      <c r="L241" s="108"/>
      <c r="M241" s="108"/>
      <c r="N241" s="109"/>
      <c r="O241" s="483"/>
      <c r="P241" s="106"/>
      <c r="Q241" s="106"/>
      <c r="R241" s="112"/>
      <c r="S241" s="11"/>
      <c r="T241" s="455"/>
      <c r="U241" s="533"/>
      <c r="W241" s="455"/>
      <c r="X241" s="455"/>
    </row>
    <row r="242" spans="1:25" s="29" customFormat="1" ht="12.75" thickTop="1" thickBot="1">
      <c r="A242" s="373" t="s">
        <v>94</v>
      </c>
      <c r="B242" s="146"/>
      <c r="C242" s="101"/>
      <c r="D242" s="101"/>
      <c r="E242" s="101"/>
      <c r="F242" s="101"/>
      <c r="G242" s="101"/>
      <c r="H242" s="101"/>
      <c r="I242" s="102"/>
      <c r="J242" s="102"/>
      <c r="K242" s="102"/>
      <c r="L242" s="103"/>
      <c r="M242" s="103"/>
      <c r="N242" s="81"/>
      <c r="O242" s="480"/>
      <c r="P242" s="104"/>
      <c r="Q242" s="104"/>
      <c r="R242" s="80"/>
      <c r="S242" s="11"/>
      <c r="T242" s="455"/>
      <c r="U242" s="533"/>
      <c r="W242" s="455"/>
      <c r="X242" s="455"/>
    </row>
    <row r="243" spans="1:25" s="29" customFormat="1" ht="12" thickTop="1">
      <c r="A243" s="310" t="s">
        <v>95</v>
      </c>
      <c r="B243" s="311"/>
      <c r="C243" s="374"/>
      <c r="D243" s="374"/>
      <c r="E243" s="374"/>
      <c r="F243" s="374"/>
      <c r="G243" s="374"/>
      <c r="H243" s="374"/>
      <c r="I243" s="375"/>
      <c r="J243" s="375"/>
      <c r="K243" s="375"/>
      <c r="L243" s="376"/>
      <c r="M243" s="376"/>
      <c r="N243" s="377"/>
      <c r="O243" s="484"/>
      <c r="P243" s="378"/>
      <c r="Q243" s="378"/>
      <c r="R243" s="379"/>
      <c r="S243" s="11"/>
      <c r="T243" s="455"/>
      <c r="U243" s="533"/>
      <c r="W243" s="455"/>
      <c r="X243" s="455"/>
    </row>
    <row r="244" spans="1:25" s="172" customFormat="1">
      <c r="A244" s="319"/>
      <c r="B244" s="371" t="s">
        <v>96</v>
      </c>
      <c r="C244" s="195">
        <v>0</v>
      </c>
      <c r="D244" s="195">
        <v>0.25</v>
      </c>
      <c r="E244" s="195">
        <v>10</v>
      </c>
      <c r="F244" s="195">
        <v>0</v>
      </c>
      <c r="G244" s="265">
        <v>0</v>
      </c>
      <c r="H244" s="166">
        <f>SUM(C244:G244)</f>
        <v>10.25</v>
      </c>
      <c r="I244" s="167"/>
      <c r="J244" s="167"/>
      <c r="K244" s="167"/>
      <c r="L244" s="168">
        <f>((C244*$C$9)+(D244*$D$9)+(E244*$E$9)+(F244*$F$9))</f>
        <v>568.53600000000006</v>
      </c>
      <c r="M244" s="168">
        <v>0</v>
      </c>
      <c r="N244" s="169">
        <v>0</v>
      </c>
      <c r="O244" s="484">
        <f>O9</f>
        <v>21.333333323333335</v>
      </c>
      <c r="P244" s="170">
        <f>(C244+D244+E244+F244)*O244</f>
        <v>218.66666656416669</v>
      </c>
      <c r="Q244" s="72">
        <f>(M244+N244)*O244</f>
        <v>0</v>
      </c>
      <c r="R244" s="142">
        <f>(L244+M244+N244)*O244</f>
        <v>12128.767994314641</v>
      </c>
      <c r="S244" s="528" t="s">
        <v>254</v>
      </c>
      <c r="T244" s="536" t="str">
        <f t="shared" ref="T244:V245" si="94">IF($S244="RP",O244,"")</f>
        <v/>
      </c>
      <c r="U244" s="537" t="str">
        <f t="shared" si="94"/>
        <v/>
      </c>
      <c r="V244" s="521" t="str">
        <f t="shared" si="94"/>
        <v/>
      </c>
      <c r="W244" s="537">
        <f t="shared" ref="W244:Y245" si="95">IF($S244="RK",O244,"")</f>
        <v>21.333333323333335</v>
      </c>
      <c r="X244" s="537">
        <f t="shared" si="95"/>
        <v>218.66666656416669</v>
      </c>
      <c r="Y244" s="521">
        <f t="shared" si="95"/>
        <v>0</v>
      </c>
    </row>
    <row r="245" spans="1:25" s="29" customFormat="1" ht="12" thickBot="1">
      <c r="A245" s="218"/>
      <c r="B245" s="355" t="s">
        <v>97</v>
      </c>
      <c r="C245" s="144">
        <v>0</v>
      </c>
      <c r="D245" s="144">
        <v>0.25</v>
      </c>
      <c r="E245" s="144">
        <v>0</v>
      </c>
      <c r="F245" s="144">
        <v>0.25</v>
      </c>
      <c r="G245" s="106">
        <v>0</v>
      </c>
      <c r="H245" s="136">
        <f>SUM(C245:G245)</f>
        <v>0.5</v>
      </c>
      <c r="I245" s="137"/>
      <c r="J245" s="137"/>
      <c r="K245" s="137"/>
      <c r="L245" s="138">
        <f>((C245*$C$9)+(D245*$D$9)+(E245*$E$9)+(F245*$F$9))</f>
        <v>26.696000000000002</v>
      </c>
      <c r="M245" s="138">
        <v>20</v>
      </c>
      <c r="N245" s="139">
        <v>22</v>
      </c>
      <c r="O245" s="478">
        <f>O244</f>
        <v>21.333333323333335</v>
      </c>
      <c r="P245" s="141">
        <f>(C245+D245+E245+F245)*O245</f>
        <v>10.666666661666667</v>
      </c>
      <c r="Q245" s="72">
        <f>(M245+N245)*O245</f>
        <v>895.99999958000012</v>
      </c>
      <c r="R245" s="142">
        <f>(L245+M245+N245)*O245</f>
        <v>1465.5146659797067</v>
      </c>
      <c r="S245" s="171" t="s">
        <v>259</v>
      </c>
      <c r="T245" s="536">
        <f t="shared" si="94"/>
        <v>21.333333323333335</v>
      </c>
      <c r="U245" s="537">
        <f t="shared" si="94"/>
        <v>10.666666661666667</v>
      </c>
      <c r="V245" s="521">
        <f t="shared" si="94"/>
        <v>895.99999958000012</v>
      </c>
      <c r="W245" s="537" t="str">
        <f t="shared" si="95"/>
        <v/>
      </c>
      <c r="X245" s="537" t="str">
        <f t="shared" si="95"/>
        <v/>
      </c>
      <c r="Y245" s="521" t="str">
        <f t="shared" si="95"/>
        <v/>
      </c>
    </row>
    <row r="246" spans="1:25" s="29" customFormat="1" ht="12.75" thickTop="1" thickBot="1">
      <c r="A246" s="321" t="s">
        <v>22</v>
      </c>
      <c r="B246" s="146"/>
      <c r="C246" s="297">
        <f t="shared" ref="C246:N246" si="96">SUM(C244:C245)</f>
        <v>0</v>
      </c>
      <c r="D246" s="297">
        <f t="shared" si="96"/>
        <v>0.5</v>
      </c>
      <c r="E246" s="297">
        <f t="shared" si="96"/>
        <v>10</v>
      </c>
      <c r="F246" s="297">
        <f t="shared" si="96"/>
        <v>0.25</v>
      </c>
      <c r="G246" s="297">
        <f t="shared" si="96"/>
        <v>0</v>
      </c>
      <c r="H246" s="297">
        <f t="shared" si="96"/>
        <v>10.75</v>
      </c>
      <c r="I246" s="380">
        <f t="shared" si="96"/>
        <v>0</v>
      </c>
      <c r="J246" s="380">
        <f t="shared" si="96"/>
        <v>0</v>
      </c>
      <c r="K246" s="380">
        <f t="shared" si="96"/>
        <v>0</v>
      </c>
      <c r="L246" s="323">
        <f t="shared" si="96"/>
        <v>595.23200000000008</v>
      </c>
      <c r="M246" s="323">
        <f t="shared" si="96"/>
        <v>20</v>
      </c>
      <c r="N246" s="150">
        <f t="shared" si="96"/>
        <v>22</v>
      </c>
      <c r="O246" s="482"/>
      <c r="P246" s="297">
        <f>SUM(P244:P245)</f>
        <v>229.33333322583337</v>
      </c>
      <c r="Q246" s="153">
        <f>SUM(Q244:Q245)</f>
        <v>895.99999958000012</v>
      </c>
      <c r="R246" s="153">
        <f>SUM(R244:R245)</f>
        <v>13594.282660294348</v>
      </c>
      <c r="S246" s="153"/>
      <c r="T246" s="543">
        <f t="shared" ref="T246:Y246" si="97">SUM(T244:T245)</f>
        <v>21.333333323333335</v>
      </c>
      <c r="U246" s="543">
        <f t="shared" si="97"/>
        <v>10.666666661666667</v>
      </c>
      <c r="V246" s="153">
        <f t="shared" si="97"/>
        <v>895.99999958000012</v>
      </c>
      <c r="W246" s="543">
        <f t="shared" si="97"/>
        <v>21.333333323333335</v>
      </c>
      <c r="X246" s="543">
        <f t="shared" si="97"/>
        <v>218.66666656416669</v>
      </c>
      <c r="Y246" s="153">
        <f t="shared" si="97"/>
        <v>0</v>
      </c>
    </row>
    <row r="247" spans="1:25" s="29" customFormat="1" ht="12" thickTop="1">
      <c r="A247" s="201" t="s">
        <v>98</v>
      </c>
      <c r="B247" s="202"/>
      <c r="C247" s="203"/>
      <c r="D247" s="203"/>
      <c r="E247" s="203"/>
      <c r="F247" s="203"/>
      <c r="G247" s="203"/>
      <c r="H247" s="203"/>
      <c r="I247" s="204"/>
      <c r="J247" s="204"/>
      <c r="K247" s="204"/>
      <c r="L247" s="205"/>
      <c r="M247" s="205"/>
      <c r="N247" s="206"/>
      <c r="O247" s="477"/>
      <c r="P247" s="208"/>
      <c r="Q247" s="208"/>
      <c r="R247" s="209"/>
      <c r="S247" s="11"/>
      <c r="T247" s="455"/>
      <c r="U247" s="533"/>
      <c r="W247" s="455"/>
      <c r="X247" s="455"/>
    </row>
    <row r="248" spans="1:25" s="29" customFormat="1" ht="12" thickBot="1">
      <c r="A248" s="346"/>
      <c r="B248" s="360" t="s">
        <v>99</v>
      </c>
      <c r="C248" s="348">
        <v>0</v>
      </c>
      <c r="D248" s="348">
        <v>0</v>
      </c>
      <c r="E248" s="348">
        <v>0.25</v>
      </c>
      <c r="F248" s="348">
        <v>0.1</v>
      </c>
      <c r="G248" s="348">
        <v>0</v>
      </c>
      <c r="H248" s="136">
        <f>SUM(C248:G248)</f>
        <v>0.35</v>
      </c>
      <c r="I248" s="137"/>
      <c r="J248" s="137"/>
      <c r="K248" s="137"/>
      <c r="L248" s="138">
        <f>((C248*$C$9)+(D248*$D$9)+(E248*$E$9)+(F248*$F$9))</f>
        <v>16.776000000000003</v>
      </c>
      <c r="M248" s="138">
        <v>0</v>
      </c>
      <c r="N248" s="139">
        <v>0</v>
      </c>
      <c r="O248" s="478">
        <f>O244</f>
        <v>21.333333323333335</v>
      </c>
      <c r="P248" s="141">
        <f>(C248+D248+E248+F248)*O248</f>
        <v>7.4666666631666665</v>
      </c>
      <c r="Q248" s="72">
        <f>(M248+N248)*O248</f>
        <v>0</v>
      </c>
      <c r="R248" s="142">
        <f>(L248+M248+N248)*O248</f>
        <v>357.8879998322401</v>
      </c>
      <c r="S248" s="565" t="s">
        <v>254</v>
      </c>
      <c r="T248" s="536" t="str">
        <f>IF($S248="RP",O248,"")</f>
        <v/>
      </c>
      <c r="U248" s="537" t="str">
        <f>IF($S248="RP",P248,"")</f>
        <v/>
      </c>
      <c r="V248" s="521" t="str">
        <f>IF($S248="RP",Q248,"")</f>
        <v/>
      </c>
      <c r="W248" s="537">
        <f>IF($S248="RK",O248,"")</f>
        <v>21.333333323333335</v>
      </c>
      <c r="X248" s="537">
        <f>IF($S248="RK",P248,"")</f>
        <v>7.4666666631666665</v>
      </c>
      <c r="Y248" s="521">
        <f>IF($S248="RK",Q248,"")</f>
        <v>0</v>
      </c>
    </row>
    <row r="249" spans="1:25" s="29" customFormat="1" ht="12.75" thickTop="1" thickBot="1">
      <c r="A249" s="145" t="s">
        <v>22</v>
      </c>
      <c r="B249" s="146"/>
      <c r="C249" s="297">
        <f t="shared" ref="C249:N249" si="98">C248</f>
        <v>0</v>
      </c>
      <c r="D249" s="297">
        <f t="shared" si="98"/>
        <v>0</v>
      </c>
      <c r="E249" s="297">
        <f t="shared" si="98"/>
        <v>0.25</v>
      </c>
      <c r="F249" s="297">
        <f t="shared" si="98"/>
        <v>0.1</v>
      </c>
      <c r="G249" s="297">
        <f t="shared" si="98"/>
        <v>0</v>
      </c>
      <c r="H249" s="297">
        <f t="shared" si="98"/>
        <v>0.35</v>
      </c>
      <c r="I249" s="322">
        <f t="shared" si="98"/>
        <v>0</v>
      </c>
      <c r="J249" s="322">
        <f t="shared" si="98"/>
        <v>0</v>
      </c>
      <c r="K249" s="322">
        <f t="shared" si="98"/>
        <v>0</v>
      </c>
      <c r="L249" s="323">
        <f t="shared" si="98"/>
        <v>16.776000000000003</v>
      </c>
      <c r="M249" s="323">
        <f t="shared" si="98"/>
        <v>0</v>
      </c>
      <c r="N249" s="150">
        <f t="shared" si="98"/>
        <v>0</v>
      </c>
      <c r="O249" s="480"/>
      <c r="P249" s="325">
        <f>P248</f>
        <v>7.4666666631666665</v>
      </c>
      <c r="Q249" s="153">
        <f>Q248</f>
        <v>0</v>
      </c>
      <c r="R249" s="153">
        <f>R248</f>
        <v>357.8879998322401</v>
      </c>
      <c r="S249" s="554"/>
      <c r="T249" s="543" t="str">
        <f t="shared" ref="T249:Y249" si="99">T248</f>
        <v/>
      </c>
      <c r="U249" s="543" t="str">
        <f t="shared" si="99"/>
        <v/>
      </c>
      <c r="V249" s="153" t="str">
        <f t="shared" si="99"/>
        <v/>
      </c>
      <c r="W249" s="543">
        <f t="shared" si="99"/>
        <v>21.333333323333335</v>
      </c>
      <c r="X249" s="543">
        <f t="shared" si="99"/>
        <v>7.4666666631666665</v>
      </c>
      <c r="Y249" s="153">
        <f t="shared" si="99"/>
        <v>0</v>
      </c>
    </row>
    <row r="250" spans="1:25" s="29" customFormat="1" ht="12" thickTop="1">
      <c r="A250" s="201" t="s">
        <v>100</v>
      </c>
      <c r="B250" s="202"/>
      <c r="C250" s="203"/>
      <c r="D250" s="203"/>
      <c r="E250" s="203"/>
      <c r="F250" s="203"/>
      <c r="G250" s="203"/>
      <c r="H250" s="203"/>
      <c r="I250" s="204"/>
      <c r="J250" s="204"/>
      <c r="K250" s="204"/>
      <c r="L250" s="205"/>
      <c r="M250" s="205"/>
      <c r="N250" s="206"/>
      <c r="O250" s="477"/>
      <c r="P250" s="208"/>
      <c r="Q250" s="208"/>
      <c r="R250" s="209"/>
      <c r="S250" s="11"/>
      <c r="T250" s="455"/>
      <c r="U250" s="533"/>
      <c r="W250" s="455"/>
      <c r="X250" s="455"/>
    </row>
    <row r="251" spans="1:25" s="29" customFormat="1">
      <c r="A251" s="351"/>
      <c r="B251" s="229" t="s">
        <v>101</v>
      </c>
      <c r="C251" s="340"/>
      <c r="D251" s="340"/>
      <c r="E251" s="340"/>
      <c r="F251" s="340"/>
      <c r="G251" s="340"/>
      <c r="H251" s="174"/>
      <c r="I251" s="175"/>
      <c r="J251" s="175"/>
      <c r="K251" s="175"/>
      <c r="L251" s="176"/>
      <c r="M251" s="176"/>
      <c r="N251" s="177"/>
      <c r="O251" s="479"/>
      <c r="P251" s="178"/>
      <c r="Q251" s="343"/>
      <c r="R251" s="179"/>
      <c r="S251" s="11"/>
      <c r="T251" s="455"/>
      <c r="U251" s="533"/>
      <c r="W251" s="455"/>
      <c r="X251" s="455"/>
    </row>
    <row r="252" spans="1:25" s="29" customFormat="1" ht="12" thickBot="1">
      <c r="A252" s="351"/>
      <c r="B252" s="381" t="s">
        <v>102</v>
      </c>
      <c r="C252" s="340">
        <v>0</v>
      </c>
      <c r="D252" s="340">
        <v>0.25</v>
      </c>
      <c r="E252" s="340">
        <v>1</v>
      </c>
      <c r="F252" s="340">
        <v>0</v>
      </c>
      <c r="G252" s="340">
        <v>0</v>
      </c>
      <c r="H252" s="174">
        <f>SUM(C252:G252)</f>
        <v>1.25</v>
      </c>
      <c r="I252" s="175"/>
      <c r="J252" s="175"/>
      <c r="K252" s="175"/>
      <c r="L252" s="176">
        <f>((C252*$C$9)+(D252*$D$9)+(E252*$E$9)+(F252*$F$9))</f>
        <v>74.040000000000006</v>
      </c>
      <c r="M252" s="176">
        <v>0</v>
      </c>
      <c r="N252" s="177">
        <v>0</v>
      </c>
      <c r="O252" s="479">
        <f>0.1*O9</f>
        <v>2.1333333323333337</v>
      </c>
      <c r="P252" s="178">
        <f>(C252+D252+E252+F252)*O252</f>
        <v>2.6666666654166669</v>
      </c>
      <c r="Q252" s="72">
        <f>(M252+N252)*O252</f>
        <v>0</v>
      </c>
      <c r="R252" s="179">
        <f>(L252+M252+N252)*O252</f>
        <v>157.95199992596002</v>
      </c>
      <c r="S252" s="171" t="s">
        <v>254</v>
      </c>
      <c r="T252" s="536" t="str">
        <f>IF($S252="RP",O252,"")</f>
        <v/>
      </c>
      <c r="U252" s="537" t="str">
        <f>IF($S252="RP",P252,"")</f>
        <v/>
      </c>
      <c r="V252" s="521" t="str">
        <f>IF($S252="RP",Q252,"")</f>
        <v/>
      </c>
      <c r="W252" s="537">
        <f>IF($S252="RK",O252,"")</f>
        <v>2.1333333323333337</v>
      </c>
      <c r="X252" s="537">
        <f>IF($S252="RK",P252,"")</f>
        <v>2.6666666654166669</v>
      </c>
      <c r="Y252" s="521">
        <f>IF($S252="RK",Q252,"")</f>
        <v>0</v>
      </c>
    </row>
    <row r="253" spans="1:25" s="29" customFormat="1" ht="12.75" thickTop="1" thickBot="1">
      <c r="A253" s="321" t="s">
        <v>22</v>
      </c>
      <c r="B253" s="146"/>
      <c r="C253" s="297">
        <f t="shared" ref="C253:H253" si="100">C252</f>
        <v>0</v>
      </c>
      <c r="D253" s="297">
        <f t="shared" si="100"/>
        <v>0.25</v>
      </c>
      <c r="E253" s="297">
        <f t="shared" si="100"/>
        <v>1</v>
      </c>
      <c r="F253" s="297">
        <f t="shared" si="100"/>
        <v>0</v>
      </c>
      <c r="G253" s="297">
        <f t="shared" si="100"/>
        <v>0</v>
      </c>
      <c r="H253" s="297">
        <f t="shared" si="100"/>
        <v>1.25</v>
      </c>
      <c r="I253" s="322">
        <f>I251</f>
        <v>0</v>
      </c>
      <c r="J253" s="322">
        <f>J251</f>
        <v>0</v>
      </c>
      <c r="K253" s="322">
        <f>K251</f>
        <v>0</v>
      </c>
      <c r="L253" s="323">
        <f>L252</f>
        <v>74.040000000000006</v>
      </c>
      <c r="M253" s="323">
        <f>M251</f>
        <v>0</v>
      </c>
      <c r="N253" s="150">
        <f>N251</f>
        <v>0</v>
      </c>
      <c r="O253" s="153">
        <f>O252</f>
        <v>2.1333333323333337</v>
      </c>
      <c r="P253" s="543">
        <f>P252</f>
        <v>2.6666666654166669</v>
      </c>
      <c r="Q253" s="153">
        <f>Q252</f>
        <v>0</v>
      </c>
      <c r="R253" s="153">
        <f>R252</f>
        <v>157.95199992596002</v>
      </c>
      <c r="S253" s="153"/>
      <c r="T253" s="543" t="str">
        <f t="shared" ref="T253:Y253" si="101">T252</f>
        <v/>
      </c>
      <c r="U253" s="543" t="str">
        <f t="shared" si="101"/>
        <v/>
      </c>
      <c r="V253" s="153" t="str">
        <f t="shared" si="101"/>
        <v/>
      </c>
      <c r="W253" s="543">
        <f t="shared" si="101"/>
        <v>2.1333333323333337</v>
      </c>
      <c r="X253" s="543">
        <f t="shared" si="101"/>
        <v>2.6666666654166669</v>
      </c>
      <c r="Y253" s="153">
        <f t="shared" si="101"/>
        <v>0</v>
      </c>
    </row>
    <row r="254" spans="1:25" s="29" customFormat="1" ht="12" thickTop="1">
      <c r="A254" s="201" t="s">
        <v>103</v>
      </c>
      <c r="B254" s="202"/>
      <c r="C254" s="203"/>
      <c r="D254" s="203"/>
      <c r="E254" s="203"/>
      <c r="F254" s="203"/>
      <c r="G254" s="203"/>
      <c r="H254" s="203"/>
      <c r="I254" s="204"/>
      <c r="J254" s="204"/>
      <c r="K254" s="204"/>
      <c r="L254" s="205"/>
      <c r="M254" s="205"/>
      <c r="N254" s="206"/>
      <c r="O254" s="477"/>
      <c r="P254" s="208"/>
      <c r="Q254" s="208"/>
      <c r="R254" s="209"/>
      <c r="S254" s="11"/>
      <c r="T254" s="455"/>
      <c r="U254" s="533"/>
      <c r="W254" s="455"/>
      <c r="X254" s="455"/>
    </row>
    <row r="255" spans="1:25" s="29" customFormat="1">
      <c r="A255" s="368"/>
      <c r="B255" s="382" t="s">
        <v>207</v>
      </c>
      <c r="C255" s="198">
        <v>0</v>
      </c>
      <c r="D255" s="198">
        <v>1</v>
      </c>
      <c r="E255" s="198">
        <v>10</v>
      </c>
      <c r="F255" s="198">
        <v>0</v>
      </c>
      <c r="G255" s="383">
        <v>0</v>
      </c>
      <c r="H255" s="384">
        <f>SUM(C255:G255)</f>
        <v>11</v>
      </c>
      <c r="I255" s="385"/>
      <c r="J255" s="385"/>
      <c r="K255" s="385"/>
      <c r="L255" s="386">
        <f>((C255*$C$9)+(D255*$D$9)+(E255*$E$9)+(F255*$F$9))</f>
        <v>625.82400000000007</v>
      </c>
      <c r="M255" s="386">
        <v>0</v>
      </c>
      <c r="N255" s="387">
        <v>0</v>
      </c>
      <c r="O255" s="477">
        <f>25%*O7</f>
        <v>2.6666666666666665</v>
      </c>
      <c r="P255" s="388">
        <f>(C255+D255+E255+F255)*O255</f>
        <v>29.333333333333332</v>
      </c>
      <c r="Q255" s="72">
        <f>(M255+N255)*O255</f>
        <v>0</v>
      </c>
      <c r="R255" s="243">
        <f>(L255+M255+N255)*O255</f>
        <v>1668.864</v>
      </c>
      <c r="S255" s="528" t="s">
        <v>254</v>
      </c>
      <c r="T255" s="536" t="str">
        <f t="shared" ref="T255:V257" si="102">IF($S255="RP",O255,"")</f>
        <v/>
      </c>
      <c r="U255" s="537" t="str">
        <f t="shared" si="102"/>
        <v/>
      </c>
      <c r="V255" s="521" t="str">
        <f t="shared" si="102"/>
        <v/>
      </c>
      <c r="W255" s="537">
        <f t="shared" ref="W255:Y257" si="103">IF($S255="RK",O255,"")</f>
        <v>2.6666666666666665</v>
      </c>
      <c r="X255" s="537">
        <f t="shared" si="103"/>
        <v>29.333333333333332</v>
      </c>
      <c r="Y255" s="521">
        <f t="shared" si="103"/>
        <v>0</v>
      </c>
    </row>
    <row r="256" spans="1:25" s="291" customFormat="1">
      <c r="A256" s="292"/>
      <c r="B256" s="389" t="s">
        <v>104</v>
      </c>
      <c r="C256" s="198">
        <v>0</v>
      </c>
      <c r="D256" s="198">
        <v>0.25</v>
      </c>
      <c r="E256" s="198">
        <v>0</v>
      </c>
      <c r="F256" s="198">
        <v>0.25</v>
      </c>
      <c r="G256" s="383">
        <v>0</v>
      </c>
      <c r="H256" s="384">
        <f>SUM(C256:G256)</f>
        <v>0.5</v>
      </c>
      <c r="I256" s="385"/>
      <c r="J256" s="385"/>
      <c r="K256" s="385"/>
      <c r="L256" s="386">
        <f>((C256*$C$9)+(D256*$D$9)+(E256*$E$9)+(F256*$F$9))</f>
        <v>26.696000000000002</v>
      </c>
      <c r="M256" s="386">
        <v>0</v>
      </c>
      <c r="N256" s="387">
        <v>10</v>
      </c>
      <c r="O256" s="477">
        <f>0.75*O255</f>
        <v>2</v>
      </c>
      <c r="P256" s="388">
        <f>(C256+D256+E256+F256)*O256</f>
        <v>1</v>
      </c>
      <c r="Q256" s="72">
        <f>(M256+N256)*O256</f>
        <v>20</v>
      </c>
      <c r="R256" s="243">
        <f>(L256+M256+N256)*O256</f>
        <v>73.391999999999996</v>
      </c>
      <c r="S256" s="171" t="s">
        <v>254</v>
      </c>
      <c r="T256" s="536" t="str">
        <f t="shared" si="102"/>
        <v/>
      </c>
      <c r="U256" s="537" t="str">
        <f t="shared" si="102"/>
        <v/>
      </c>
      <c r="V256" s="521" t="str">
        <f t="shared" si="102"/>
        <v/>
      </c>
      <c r="W256" s="537">
        <f t="shared" si="103"/>
        <v>2</v>
      </c>
      <c r="X256" s="537">
        <f t="shared" si="103"/>
        <v>1</v>
      </c>
      <c r="Y256" s="521">
        <f t="shared" si="103"/>
        <v>20</v>
      </c>
    </row>
    <row r="257" spans="1:25" s="29" customFormat="1" ht="12" thickBot="1">
      <c r="A257" s="218"/>
      <c r="B257" s="381" t="s">
        <v>65</v>
      </c>
      <c r="C257" s="198">
        <v>0</v>
      </c>
      <c r="D257" s="198">
        <v>0.25</v>
      </c>
      <c r="E257" s="198">
        <v>0</v>
      </c>
      <c r="F257" s="198">
        <v>0.25</v>
      </c>
      <c r="G257" s="383">
        <v>0</v>
      </c>
      <c r="H257" s="384">
        <f>SUM(C257:G257)</f>
        <v>0.5</v>
      </c>
      <c r="I257" s="385"/>
      <c r="J257" s="385"/>
      <c r="K257" s="385"/>
      <c r="L257" s="386">
        <f>((C257*$C$9)+(D257*$D$9)+(E257*$E$9)+(F257*$F$9))</f>
        <v>26.696000000000002</v>
      </c>
      <c r="M257" s="386">
        <v>0</v>
      </c>
      <c r="N257" s="387">
        <v>20</v>
      </c>
      <c r="O257" s="477">
        <f>O255</f>
        <v>2.6666666666666665</v>
      </c>
      <c r="P257" s="388">
        <f>(C257+D257+E257+F257)*O257</f>
        <v>1.3333333333333333</v>
      </c>
      <c r="Q257" s="72">
        <f>(M257+N257)*O257</f>
        <v>53.333333333333329</v>
      </c>
      <c r="R257" s="243">
        <f>(L257+M257+N257)*O257</f>
        <v>124.52266666666665</v>
      </c>
      <c r="S257" s="171" t="s">
        <v>254</v>
      </c>
      <c r="T257" s="536" t="str">
        <f t="shared" si="102"/>
        <v/>
      </c>
      <c r="U257" s="537" t="str">
        <f t="shared" si="102"/>
        <v/>
      </c>
      <c r="V257" s="521" t="str">
        <f t="shared" si="102"/>
        <v/>
      </c>
      <c r="W257" s="537">
        <f t="shared" si="103"/>
        <v>2.6666666666666665</v>
      </c>
      <c r="X257" s="537">
        <f t="shared" si="103"/>
        <v>1.3333333333333333</v>
      </c>
      <c r="Y257" s="521">
        <f t="shared" si="103"/>
        <v>53.333333333333329</v>
      </c>
    </row>
    <row r="258" spans="1:25" s="29" customFormat="1" ht="12.75" thickTop="1" thickBot="1">
      <c r="A258" s="321" t="s">
        <v>22</v>
      </c>
      <c r="B258" s="146"/>
      <c r="C258" s="297">
        <f t="shared" ref="C258:N258" si="104">SUM(C255:C257)</f>
        <v>0</v>
      </c>
      <c r="D258" s="297">
        <f t="shared" si="104"/>
        <v>1.5</v>
      </c>
      <c r="E258" s="297">
        <f t="shared" si="104"/>
        <v>10</v>
      </c>
      <c r="F258" s="297">
        <f t="shared" si="104"/>
        <v>0.5</v>
      </c>
      <c r="G258" s="297">
        <f t="shared" si="104"/>
        <v>0</v>
      </c>
      <c r="H258" s="297">
        <f t="shared" si="104"/>
        <v>12</v>
      </c>
      <c r="I258" s="380">
        <f t="shared" si="104"/>
        <v>0</v>
      </c>
      <c r="J258" s="380">
        <f t="shared" si="104"/>
        <v>0</v>
      </c>
      <c r="K258" s="380">
        <f t="shared" si="104"/>
        <v>0</v>
      </c>
      <c r="L258" s="323">
        <f t="shared" si="104"/>
        <v>679.21600000000012</v>
      </c>
      <c r="M258" s="323">
        <f t="shared" si="104"/>
        <v>0</v>
      </c>
      <c r="N258" s="150">
        <f t="shared" si="104"/>
        <v>30</v>
      </c>
      <c r="O258" s="482"/>
      <c r="P258" s="297">
        <f>SUM(P255:P257)</f>
        <v>31.666666666666664</v>
      </c>
      <c r="Q258" s="153">
        <f>SUM(Q255:Q257)</f>
        <v>73.333333333333329</v>
      </c>
      <c r="R258" s="153">
        <f>SUM(R255:R257)</f>
        <v>1866.7786666666668</v>
      </c>
      <c r="S258" s="153"/>
      <c r="T258" s="543">
        <f t="shared" ref="T258:Y258" si="105">SUM(T255:T257)</f>
        <v>0</v>
      </c>
      <c r="U258" s="543">
        <f t="shared" si="105"/>
        <v>0</v>
      </c>
      <c r="V258" s="153">
        <f t="shared" si="105"/>
        <v>0</v>
      </c>
      <c r="W258" s="543">
        <f t="shared" si="105"/>
        <v>7.3333333333333321</v>
      </c>
      <c r="X258" s="543">
        <f t="shared" si="105"/>
        <v>31.666666666666664</v>
      </c>
      <c r="Y258" s="153">
        <f t="shared" si="105"/>
        <v>73.333333333333329</v>
      </c>
    </row>
    <row r="259" spans="1:25" s="29" customFormat="1" ht="12" thickTop="1">
      <c r="A259" s="201" t="s">
        <v>170</v>
      </c>
      <c r="B259" s="202"/>
      <c r="C259" s="203"/>
      <c r="D259" s="203"/>
      <c r="E259" s="203"/>
      <c r="F259" s="203"/>
      <c r="G259" s="203"/>
      <c r="H259" s="203"/>
      <c r="I259" s="204"/>
      <c r="J259" s="204"/>
      <c r="K259" s="204"/>
      <c r="L259" s="205"/>
      <c r="M259" s="205"/>
      <c r="N259" s="206"/>
      <c r="O259" s="477"/>
      <c r="P259" s="208"/>
      <c r="Q259" s="208"/>
      <c r="R259" s="209"/>
      <c r="S259" s="11"/>
      <c r="T259" s="455"/>
      <c r="U259" s="533"/>
      <c r="W259" s="455"/>
      <c r="X259" s="455"/>
    </row>
    <row r="260" spans="1:25" s="29" customFormat="1">
      <c r="A260" s="351"/>
      <c r="B260" s="229" t="s">
        <v>171</v>
      </c>
      <c r="C260" s="340"/>
      <c r="D260" s="340"/>
      <c r="E260" s="340"/>
      <c r="F260" s="340"/>
      <c r="G260" s="340"/>
      <c r="H260" s="174"/>
      <c r="I260" s="175"/>
      <c r="J260" s="175"/>
      <c r="K260" s="175"/>
      <c r="L260" s="176"/>
      <c r="M260" s="176"/>
      <c r="N260" s="177"/>
      <c r="O260" s="479"/>
      <c r="P260" s="178"/>
      <c r="Q260" s="343"/>
      <c r="R260" s="179"/>
      <c r="S260" s="11"/>
      <c r="T260" s="455"/>
      <c r="U260" s="533"/>
      <c r="W260" s="455"/>
      <c r="X260" s="455"/>
    </row>
    <row r="261" spans="1:25" s="29" customFormat="1" ht="12" thickBot="1">
      <c r="A261" s="351"/>
      <c r="B261" s="381" t="s">
        <v>61</v>
      </c>
      <c r="C261" s="340">
        <v>0</v>
      </c>
      <c r="D261" s="340">
        <v>0.5</v>
      </c>
      <c r="E261" s="340">
        <v>5</v>
      </c>
      <c r="F261" s="340">
        <v>0</v>
      </c>
      <c r="G261" s="340">
        <v>0</v>
      </c>
      <c r="H261" s="174">
        <f>SUM(C261:G261)</f>
        <v>5.5</v>
      </c>
      <c r="I261" s="175"/>
      <c r="J261" s="175"/>
      <c r="K261" s="175"/>
      <c r="L261" s="176">
        <f>((C261*$C$9)+(D261*$D$9)+(E261*$E$9)+(F261*$F$9))</f>
        <v>312.91200000000003</v>
      </c>
      <c r="M261" s="176">
        <v>0</v>
      </c>
      <c r="N261" s="177">
        <v>0</v>
      </c>
      <c r="O261" s="479">
        <f>O9</f>
        <v>21.333333323333335</v>
      </c>
      <c r="P261" s="178">
        <f>(C261+D261+E261+F261)*O261</f>
        <v>117.33333327833334</v>
      </c>
      <c r="Q261" s="72">
        <f>(M261+N261)*O261</f>
        <v>0</v>
      </c>
      <c r="R261" s="179">
        <f>(L261+M261+N261)*O261</f>
        <v>6675.4559968708809</v>
      </c>
      <c r="S261" s="565" t="s">
        <v>254</v>
      </c>
      <c r="T261" s="536" t="str">
        <f>IF($S261="RP",O261,"")</f>
        <v/>
      </c>
      <c r="U261" s="537" t="str">
        <f>IF($S261="RP",P261,"")</f>
        <v/>
      </c>
      <c r="V261" s="521" t="str">
        <f>IF($S261="RP",Q261,"")</f>
        <v/>
      </c>
      <c r="W261" s="537">
        <f>IF($S261="RK",O261,"")</f>
        <v>21.333333323333335</v>
      </c>
      <c r="X261" s="537">
        <f>IF($S261="RK",P261,"")</f>
        <v>117.33333327833334</v>
      </c>
      <c r="Y261" s="521">
        <f>IF($S261="RK",Q261,"")</f>
        <v>0</v>
      </c>
    </row>
    <row r="262" spans="1:25" s="29" customFormat="1" ht="12.75" thickTop="1" thickBot="1">
      <c r="A262" s="321" t="s">
        <v>22</v>
      </c>
      <c r="B262" s="146"/>
      <c r="C262" s="297">
        <f t="shared" ref="C262:H262" si="106">C261</f>
        <v>0</v>
      </c>
      <c r="D262" s="297">
        <f t="shared" si="106"/>
        <v>0.5</v>
      </c>
      <c r="E262" s="297">
        <f t="shared" si="106"/>
        <v>5</v>
      </c>
      <c r="F262" s="297">
        <f t="shared" si="106"/>
        <v>0</v>
      </c>
      <c r="G262" s="297">
        <f t="shared" si="106"/>
        <v>0</v>
      </c>
      <c r="H262" s="297">
        <f t="shared" si="106"/>
        <v>5.5</v>
      </c>
      <c r="I262" s="322">
        <f>I260</f>
        <v>0</v>
      </c>
      <c r="J262" s="322">
        <f>J260</f>
        <v>0</v>
      </c>
      <c r="K262" s="322">
        <f>K260</f>
        <v>0</v>
      </c>
      <c r="L262" s="323">
        <f>L261</f>
        <v>312.91200000000003</v>
      </c>
      <c r="M262" s="323">
        <f>M260</f>
        <v>0</v>
      </c>
      <c r="N262" s="150">
        <f>N260</f>
        <v>0</v>
      </c>
      <c r="O262" s="480"/>
      <c r="P262" s="325">
        <f>P261</f>
        <v>117.33333327833334</v>
      </c>
      <c r="Q262" s="153">
        <f>Q261</f>
        <v>0</v>
      </c>
      <c r="R262" s="153">
        <f>R261</f>
        <v>6675.4559968708809</v>
      </c>
      <c r="S262" s="153"/>
      <c r="T262" s="153" t="str">
        <f t="shared" ref="T262:Y262" si="107">T261</f>
        <v/>
      </c>
      <c r="U262" s="153" t="str">
        <f t="shared" si="107"/>
        <v/>
      </c>
      <c r="V262" s="153" t="str">
        <f t="shared" si="107"/>
        <v/>
      </c>
      <c r="W262" s="153">
        <f t="shared" si="107"/>
        <v>21.333333323333335</v>
      </c>
      <c r="X262" s="153">
        <f t="shared" si="107"/>
        <v>117.33333327833334</v>
      </c>
      <c r="Y262" s="153">
        <f t="shared" si="107"/>
        <v>0</v>
      </c>
    </row>
    <row r="263" spans="1:25" s="29" customFormat="1" ht="12.75" thickTop="1" thickBot="1">
      <c r="A263" s="145"/>
      <c r="B263" s="146"/>
      <c r="C263" s="101"/>
      <c r="D263" s="101"/>
      <c r="E263" s="101"/>
      <c r="F263" s="101"/>
      <c r="G263" s="101"/>
      <c r="H263" s="101"/>
      <c r="I263" s="102"/>
      <c r="J263" s="102"/>
      <c r="K263" s="102"/>
      <c r="L263" s="103"/>
      <c r="M263" s="103"/>
      <c r="N263" s="81"/>
      <c r="O263" s="480"/>
      <c r="P263" s="104"/>
      <c r="Q263" s="104"/>
      <c r="R263" s="80"/>
      <c r="S263" s="372"/>
      <c r="T263" s="455"/>
      <c r="U263" s="533"/>
      <c r="W263" s="455"/>
      <c r="X263" s="455"/>
    </row>
    <row r="264" spans="1:25" s="29" customFormat="1" ht="12.75" thickTop="1" thickBot="1">
      <c r="A264" s="245" t="s">
        <v>208</v>
      </c>
      <c r="B264" s="246"/>
      <c r="C264" s="247"/>
      <c r="D264" s="247"/>
      <c r="E264" s="247"/>
      <c r="F264" s="247"/>
      <c r="G264" s="247"/>
      <c r="H264" s="147">
        <f>SUM(H178,H189,H192,H203,H213,H216,H228,H239,H246,H249,H253,H258,H262)</f>
        <v>116.35</v>
      </c>
      <c r="I264" s="298"/>
      <c r="J264" s="298"/>
      <c r="K264" s="298"/>
      <c r="L264" s="149">
        <f>SUM(L178,L189,L192,L203,L213,L216,L228,L239,L246,L249,L253,L258,L262)</f>
        <v>6642.9360000000006</v>
      </c>
      <c r="M264" s="149">
        <f>SUM(M178,M189,M192,M203,M213,M216,M228,M239,M246,M249,M253,M258,M262)</f>
        <v>20</v>
      </c>
      <c r="N264" s="150">
        <f>SUM(N178,N189,N192,N203,N213,N216,N228,N239,N246,N249,N253,N258,N262)</f>
        <v>62</v>
      </c>
      <c r="O264" s="475"/>
      <c r="P264" s="152">
        <f>SUM(P178,P189,P192,P203,P213,P216,P228,P239,P246,P249,P253,P258,P262)</f>
        <v>1046.5333328880834</v>
      </c>
      <c r="Q264" s="153">
        <f>SUM(Q178,Q189,Q192,Q203,Q213,Q216,Q228,Q239,Q246,Q249,Q253,Q258,Q262)</f>
        <v>977.86666624266684</v>
      </c>
      <c r="R264" s="153">
        <f>SUM(R178,R189,R192,R203,R213,R216,R228,R239,R246,R249,R253,R258,R262)</f>
        <v>61468.214373866555</v>
      </c>
      <c r="S264" s="153"/>
      <c r="T264" s="543">
        <f t="shared" ref="T264:Y264" si="108">SUM(T178,T189,T192,T203,T213,T216,T228,T239,T246,T249,T253,T258,T262)</f>
        <v>29.86666665266667</v>
      </c>
      <c r="U264" s="543">
        <f t="shared" si="108"/>
        <v>14.933333326333335</v>
      </c>
      <c r="V264" s="153">
        <f t="shared" si="108"/>
        <v>904.53333290933347</v>
      </c>
      <c r="W264" s="543">
        <f t="shared" si="108"/>
        <v>201.66666658166668</v>
      </c>
      <c r="X264" s="543">
        <f t="shared" si="108"/>
        <v>1031.5999995617501</v>
      </c>
      <c r="Y264" s="153">
        <f t="shared" si="108"/>
        <v>73.333333333333329</v>
      </c>
    </row>
    <row r="265" spans="1:25" s="29" customFormat="1" ht="12" thickTop="1">
      <c r="A265" s="87"/>
      <c r="B265" s="248"/>
      <c r="C265" s="249"/>
      <c r="D265" s="249"/>
      <c r="E265" s="249"/>
      <c r="F265" s="249"/>
      <c r="G265" s="249"/>
      <c r="H265" s="106"/>
      <c r="I265" s="304"/>
      <c r="J265" s="304"/>
      <c r="K265" s="304"/>
      <c r="L265" s="108"/>
      <c r="M265" s="108"/>
      <c r="N265" s="91"/>
      <c r="O265" s="479"/>
      <c r="P265" s="111"/>
      <c r="Q265" s="111"/>
      <c r="R265" s="91"/>
      <c r="S265" s="11"/>
      <c r="T265" s="455"/>
      <c r="U265" s="533"/>
      <c r="W265" s="455"/>
      <c r="X265" s="455"/>
    </row>
    <row r="266" spans="1:25" s="29" customFormat="1" ht="12" thickBot="1">
      <c r="A266" s="94"/>
      <c r="B266" s="248"/>
      <c r="C266" s="249"/>
      <c r="D266" s="249"/>
      <c r="E266" s="249"/>
      <c r="F266" s="249"/>
      <c r="G266" s="249"/>
      <c r="H266" s="106"/>
      <c r="I266" s="304"/>
      <c r="J266" s="304"/>
      <c r="K266" s="304"/>
      <c r="L266" s="108"/>
      <c r="M266" s="108"/>
      <c r="N266" s="98"/>
      <c r="O266" s="479"/>
      <c r="P266" s="111"/>
      <c r="Q266" s="111"/>
      <c r="R266" s="98"/>
      <c r="S266" s="11"/>
      <c r="T266" s="455"/>
      <c r="U266" s="533"/>
      <c r="W266" s="455"/>
      <c r="X266" s="455"/>
    </row>
    <row r="267" spans="1:25" s="29" customFormat="1" ht="12.75" thickTop="1" thickBot="1">
      <c r="A267" s="373" t="s">
        <v>202</v>
      </c>
      <c r="B267" s="146"/>
      <c r="C267" s="61"/>
      <c r="D267" s="61"/>
      <c r="E267" s="61"/>
      <c r="F267" s="61"/>
      <c r="G267" s="61"/>
      <c r="H267" s="61"/>
      <c r="I267" s="62"/>
      <c r="J267" s="62"/>
      <c r="K267" s="62"/>
      <c r="L267" s="63"/>
      <c r="M267" s="63"/>
      <c r="N267" s="64"/>
      <c r="O267" s="485"/>
      <c r="P267" s="66"/>
      <c r="Q267" s="66"/>
      <c r="R267" s="67"/>
      <c r="S267" s="67"/>
      <c r="T267" s="546"/>
      <c r="U267" s="546"/>
      <c r="V267" s="67"/>
      <c r="W267" s="546"/>
      <c r="X267" s="546"/>
      <c r="Y267" s="67"/>
    </row>
    <row r="268" spans="1:25" s="29" customFormat="1" ht="12" thickTop="1">
      <c r="A268" s="353" t="s">
        <v>212</v>
      </c>
      <c r="B268" s="211"/>
      <c r="C268" s="49"/>
      <c r="D268" s="49"/>
      <c r="E268" s="49"/>
      <c r="F268" s="49"/>
      <c r="G268" s="49"/>
      <c r="H268" s="49"/>
      <c r="I268" s="50"/>
      <c r="J268" s="50"/>
      <c r="K268" s="50"/>
      <c r="L268" s="51"/>
      <c r="M268" s="51"/>
      <c r="N268" s="251"/>
      <c r="O268" s="486"/>
      <c r="P268" s="53"/>
      <c r="Q268" s="53"/>
      <c r="R268" s="252"/>
      <c r="S268" s="11"/>
      <c r="T268" s="455"/>
      <c r="U268" s="533"/>
      <c r="W268" s="455"/>
      <c r="X268" s="455"/>
    </row>
    <row r="269" spans="1:25" s="29" customFormat="1">
      <c r="A269" s="390"/>
      <c r="B269" s="391" t="s">
        <v>213</v>
      </c>
      <c r="C269" s="198">
        <v>0</v>
      </c>
      <c r="D269" s="198">
        <v>2</v>
      </c>
      <c r="E269" s="198">
        <v>30</v>
      </c>
      <c r="F269" s="198">
        <v>0</v>
      </c>
      <c r="G269" s="198">
        <v>0</v>
      </c>
      <c r="H269" s="198">
        <f>SUM(C269:G269)</f>
        <v>32</v>
      </c>
      <c r="I269" s="216"/>
      <c r="J269" s="216"/>
      <c r="K269" s="216"/>
      <c r="L269" s="217">
        <f>((C269*$C$9)+(D269*$D$9)+(E269*$E$9)+(F269*$F$9))</f>
        <v>1801.0880000000004</v>
      </c>
      <c r="M269" s="217">
        <v>0</v>
      </c>
      <c r="N269" s="288">
        <v>20</v>
      </c>
      <c r="O269" s="477">
        <f>(O7+O3+O2+O1)*10%</f>
        <v>2.1333333333333333</v>
      </c>
      <c r="P269" s="392">
        <f>(C269+D269+E269+F269)*O269</f>
        <v>68.266666666666666</v>
      </c>
      <c r="Q269" s="72">
        <f>(M269+N269)*O269</f>
        <v>42.666666666666664</v>
      </c>
      <c r="R269" s="287">
        <f>(L269+M269+N269)*O269</f>
        <v>3884.9877333333343</v>
      </c>
      <c r="S269" s="528" t="s">
        <v>254</v>
      </c>
      <c r="T269" s="536" t="str">
        <f t="shared" ref="T269:V270" si="109">IF($S269="RP",O269,"")</f>
        <v/>
      </c>
      <c r="U269" s="537" t="str">
        <f t="shared" si="109"/>
        <v/>
      </c>
      <c r="V269" s="521" t="str">
        <f t="shared" si="109"/>
        <v/>
      </c>
      <c r="W269" s="537">
        <f t="shared" ref="W269:Y270" si="110">IF($S269="RK",O269,"")</f>
        <v>2.1333333333333333</v>
      </c>
      <c r="X269" s="537">
        <f t="shared" si="110"/>
        <v>68.266666666666666</v>
      </c>
      <c r="Y269" s="521">
        <f t="shared" si="110"/>
        <v>42.666666666666664</v>
      </c>
    </row>
    <row r="270" spans="1:25" s="29" customFormat="1" ht="12" thickBot="1">
      <c r="A270" s="393"/>
      <c r="B270" s="394" t="s">
        <v>214</v>
      </c>
      <c r="C270" s="236">
        <v>0</v>
      </c>
      <c r="D270" s="236">
        <v>0</v>
      </c>
      <c r="E270" s="236">
        <v>10</v>
      </c>
      <c r="F270" s="236">
        <v>0</v>
      </c>
      <c r="G270" s="236">
        <v>0</v>
      </c>
      <c r="H270" s="236">
        <f>SUM(C270:G270)</f>
        <v>10</v>
      </c>
      <c r="I270" s="271"/>
      <c r="J270" s="271"/>
      <c r="K270" s="271"/>
      <c r="L270" s="272">
        <f>((C270*$C$9)+(D270*$D$9)+(E270*$E$9)+(F270*$F$9))</f>
        <v>549.44000000000005</v>
      </c>
      <c r="M270" s="272">
        <v>0</v>
      </c>
      <c r="N270" s="277">
        <v>0</v>
      </c>
      <c r="O270" s="481">
        <f>O269</f>
        <v>2.1333333333333333</v>
      </c>
      <c r="P270" s="273">
        <f>(C270+D270+E270+F270)*O270</f>
        <v>21.333333333333332</v>
      </c>
      <c r="Q270" s="72">
        <f>(M270+N270)*O270</f>
        <v>0</v>
      </c>
      <c r="R270" s="276">
        <f>(L270+M270+N270)*O270</f>
        <v>1172.1386666666667</v>
      </c>
      <c r="S270" s="171" t="s">
        <v>254</v>
      </c>
      <c r="T270" s="536" t="str">
        <f t="shared" si="109"/>
        <v/>
      </c>
      <c r="U270" s="537" t="str">
        <f t="shared" si="109"/>
        <v/>
      </c>
      <c r="V270" s="521" t="str">
        <f t="shared" si="109"/>
        <v/>
      </c>
      <c r="W270" s="537">
        <f t="shared" si="110"/>
        <v>2.1333333333333333</v>
      </c>
      <c r="X270" s="537">
        <f t="shared" si="110"/>
        <v>21.333333333333332</v>
      </c>
      <c r="Y270" s="521">
        <f t="shared" si="110"/>
        <v>0</v>
      </c>
    </row>
    <row r="271" spans="1:25" s="29" customFormat="1" ht="12.75" thickTop="1" thickBot="1">
      <c r="A271" s="373" t="s">
        <v>22</v>
      </c>
      <c r="B271" s="146"/>
      <c r="C271" s="395">
        <f t="shared" ref="C271:N271" si="111">C270+C269</f>
        <v>0</v>
      </c>
      <c r="D271" s="84">
        <f t="shared" si="111"/>
        <v>2</v>
      </c>
      <c r="E271" s="84">
        <f t="shared" si="111"/>
        <v>40</v>
      </c>
      <c r="F271" s="84">
        <f t="shared" si="111"/>
        <v>0</v>
      </c>
      <c r="G271" s="84">
        <f t="shared" si="111"/>
        <v>0</v>
      </c>
      <c r="H271" s="84">
        <f t="shared" si="111"/>
        <v>42</v>
      </c>
      <c r="I271" s="85">
        <f t="shared" si="111"/>
        <v>0</v>
      </c>
      <c r="J271" s="85">
        <f t="shared" si="111"/>
        <v>0</v>
      </c>
      <c r="K271" s="85">
        <f t="shared" si="111"/>
        <v>0</v>
      </c>
      <c r="L271" s="86">
        <f t="shared" si="111"/>
        <v>2350.5280000000002</v>
      </c>
      <c r="M271" s="86">
        <f t="shared" si="111"/>
        <v>0</v>
      </c>
      <c r="N271" s="81">
        <f t="shared" si="111"/>
        <v>20</v>
      </c>
      <c r="O271" s="480"/>
      <c r="P271" s="83">
        <f>P270+P269</f>
        <v>89.6</v>
      </c>
      <c r="Q271" s="80">
        <f>Q270+Q269</f>
        <v>42.666666666666664</v>
      </c>
      <c r="R271" s="80">
        <f>R270+R269</f>
        <v>5057.126400000001</v>
      </c>
      <c r="S271" s="80"/>
      <c r="T271" s="79">
        <f t="shared" ref="T271:Y271" si="112">T270+T269</f>
        <v>0</v>
      </c>
      <c r="U271" s="79">
        <f t="shared" si="112"/>
        <v>0</v>
      </c>
      <c r="V271" s="80">
        <f t="shared" si="112"/>
        <v>0</v>
      </c>
      <c r="W271" s="79">
        <f t="shared" si="112"/>
        <v>4.2666666666666666</v>
      </c>
      <c r="X271" s="79">
        <f t="shared" si="112"/>
        <v>89.6</v>
      </c>
      <c r="Y271" s="80">
        <f t="shared" si="112"/>
        <v>42.666666666666664</v>
      </c>
    </row>
    <row r="272" spans="1:25" s="29" customFormat="1" ht="12" thickTop="1">
      <c r="A272" s="310" t="s">
        <v>132</v>
      </c>
      <c r="B272" s="311"/>
      <c r="C272" s="312"/>
      <c r="D272" s="312"/>
      <c r="E272" s="312"/>
      <c r="F272" s="312"/>
      <c r="G272" s="312"/>
      <c r="H272" s="312"/>
      <c r="I272" s="313"/>
      <c r="J272" s="313"/>
      <c r="K272" s="313"/>
      <c r="L272" s="314"/>
      <c r="M272" s="314"/>
      <c r="N272" s="315"/>
      <c r="O272" s="487"/>
      <c r="P272" s="317"/>
      <c r="Q272" s="317"/>
      <c r="R272" s="318"/>
      <c r="S272" s="11"/>
      <c r="T272" s="455"/>
      <c r="U272" s="533"/>
      <c r="W272" s="455"/>
      <c r="X272" s="455"/>
    </row>
    <row r="273" spans="1:25" s="172" customFormat="1">
      <c r="A273" s="319"/>
      <c r="B273" s="389" t="s">
        <v>133</v>
      </c>
      <c r="C273" s="198">
        <v>0</v>
      </c>
      <c r="D273" s="198">
        <v>0.25</v>
      </c>
      <c r="E273" s="198">
        <v>1</v>
      </c>
      <c r="F273" s="198">
        <v>0</v>
      </c>
      <c r="G273" s="265">
        <v>0</v>
      </c>
      <c r="H273" s="166">
        <f>SUM(C273:G273)</f>
        <v>1.25</v>
      </c>
      <c r="I273" s="167"/>
      <c r="J273" s="167"/>
      <c r="K273" s="167"/>
      <c r="L273" s="168">
        <f>((C273*$C$9)+(D273*$D$9)+(E273*$E$9)+(F273*$F$9))</f>
        <v>74.040000000000006</v>
      </c>
      <c r="M273" s="168">
        <v>0</v>
      </c>
      <c r="N273" s="169">
        <v>0</v>
      </c>
      <c r="O273" s="488">
        <f>0.1*O9</f>
        <v>2.1333333323333337</v>
      </c>
      <c r="P273" s="170">
        <f>(C273+D273+E273+F273)*O273</f>
        <v>2.6666666654166669</v>
      </c>
      <c r="Q273" s="72">
        <f t="shared" ref="Q273:Q278" si="113">(M273+N273)*O273</f>
        <v>0</v>
      </c>
      <c r="R273" s="142">
        <f>(L273+M273+N273)*O273</f>
        <v>157.95199992596002</v>
      </c>
      <c r="S273" s="171" t="s">
        <v>254</v>
      </c>
      <c r="T273" s="536" t="str">
        <f t="shared" ref="T273:V274" si="114">IF($S273="RP",O273,"")</f>
        <v/>
      </c>
      <c r="U273" s="537" t="str">
        <f t="shared" si="114"/>
        <v/>
      </c>
      <c r="V273" s="521" t="str">
        <f t="shared" si="114"/>
        <v/>
      </c>
      <c r="W273" s="537">
        <f t="shared" ref="W273:Y274" si="115">IF($S273="RK",O273,"")</f>
        <v>2.1333333323333337</v>
      </c>
      <c r="X273" s="537">
        <f t="shared" si="115"/>
        <v>2.6666666654166669</v>
      </c>
      <c r="Y273" s="521">
        <f t="shared" si="115"/>
        <v>0</v>
      </c>
    </row>
    <row r="274" spans="1:25" s="29" customFormat="1">
      <c r="A274" s="353"/>
      <c r="B274" s="296" t="s">
        <v>134</v>
      </c>
      <c r="C274" s="195">
        <v>0</v>
      </c>
      <c r="D274" s="195">
        <v>0.25</v>
      </c>
      <c r="E274" s="195">
        <v>10</v>
      </c>
      <c r="F274" s="195">
        <v>0</v>
      </c>
      <c r="G274" s="265">
        <v>0</v>
      </c>
      <c r="H274" s="136">
        <f>SUM(C274:G274)</f>
        <v>10.25</v>
      </c>
      <c r="I274" s="137"/>
      <c r="J274" s="137"/>
      <c r="K274" s="137"/>
      <c r="L274" s="138">
        <f>((C274*$C$9)+(D274*$D$9)+(E274*$E$9)+(F274*$F$9))</f>
        <v>568.53600000000006</v>
      </c>
      <c r="M274" s="138">
        <v>0</v>
      </c>
      <c r="N274" s="139">
        <v>0</v>
      </c>
      <c r="O274" s="473">
        <f>0.05*O9</f>
        <v>1.0666666661666668</v>
      </c>
      <c r="P274" s="141">
        <f>(C274+D274+E274+F274)*O274</f>
        <v>10.933333328208334</v>
      </c>
      <c r="Q274" s="72">
        <f t="shared" si="113"/>
        <v>0</v>
      </c>
      <c r="R274" s="142">
        <f>(L274+M274+N274)*O274</f>
        <v>606.4383997157322</v>
      </c>
      <c r="S274" s="171" t="s">
        <v>254</v>
      </c>
      <c r="T274" s="536" t="str">
        <f t="shared" si="114"/>
        <v/>
      </c>
      <c r="U274" s="537" t="str">
        <f t="shared" si="114"/>
        <v/>
      </c>
      <c r="V274" s="521" t="str">
        <f t="shared" si="114"/>
        <v/>
      </c>
      <c r="W274" s="537">
        <f t="shared" si="115"/>
        <v>1.0666666661666668</v>
      </c>
      <c r="X274" s="537">
        <f t="shared" si="115"/>
        <v>10.933333328208334</v>
      </c>
      <c r="Y274" s="521">
        <f t="shared" si="115"/>
        <v>0</v>
      </c>
    </row>
    <row r="275" spans="1:25" s="29" customFormat="1">
      <c r="A275" s="351"/>
      <c r="B275" s="339" t="s">
        <v>135</v>
      </c>
      <c r="C275" s="340"/>
      <c r="D275" s="340"/>
      <c r="E275" s="340"/>
      <c r="F275" s="340"/>
      <c r="G275" s="340"/>
      <c r="H275" s="174"/>
      <c r="I275" s="175"/>
      <c r="J275" s="175"/>
      <c r="K275" s="175"/>
      <c r="L275" s="176"/>
      <c r="M275" s="176"/>
      <c r="N275" s="177"/>
      <c r="O275" s="479"/>
      <c r="P275" s="178"/>
      <c r="Q275" s="72"/>
      <c r="R275" s="179"/>
      <c r="S275" s="11"/>
      <c r="T275" s="455"/>
      <c r="U275" s="533"/>
      <c r="W275" s="455"/>
      <c r="X275" s="455"/>
    </row>
    <row r="276" spans="1:25" s="172" customFormat="1">
      <c r="A276" s="353"/>
      <c r="B276" s="296" t="s">
        <v>136</v>
      </c>
      <c r="C276" s="195">
        <v>0</v>
      </c>
      <c r="D276" s="195">
        <v>0.25</v>
      </c>
      <c r="E276" s="195">
        <v>1</v>
      </c>
      <c r="F276" s="195">
        <v>0</v>
      </c>
      <c r="G276" s="265">
        <v>0</v>
      </c>
      <c r="H276" s="166">
        <f>SUM(C276:G276)</f>
        <v>1.25</v>
      </c>
      <c r="I276" s="167"/>
      <c r="J276" s="167"/>
      <c r="K276" s="167"/>
      <c r="L276" s="168">
        <f>((C276*$C$9)+(D276*$D$9)+(E276*$E$9)+(F276*$F$9))</f>
        <v>74.040000000000006</v>
      </c>
      <c r="M276" s="168">
        <v>0</v>
      </c>
      <c r="N276" s="169">
        <v>0</v>
      </c>
      <c r="O276" s="473">
        <f>0.05*O9</f>
        <v>1.0666666661666668</v>
      </c>
      <c r="P276" s="170">
        <f>(C276+D276+E276+F276)*O276</f>
        <v>1.3333333327083334</v>
      </c>
      <c r="Q276" s="72">
        <f t="shared" si="113"/>
        <v>0</v>
      </c>
      <c r="R276" s="142">
        <f>(L276+M276+N276)*O276</f>
        <v>78.975999962980012</v>
      </c>
      <c r="S276" s="171" t="s">
        <v>254</v>
      </c>
      <c r="T276" s="536" t="str">
        <f t="shared" ref="T276:V278" si="116">IF($S276="RP",O276,"")</f>
        <v/>
      </c>
      <c r="U276" s="537" t="str">
        <f t="shared" si="116"/>
        <v/>
      </c>
      <c r="V276" s="521" t="str">
        <f t="shared" si="116"/>
        <v/>
      </c>
      <c r="W276" s="537">
        <f t="shared" ref="W276:Y278" si="117">IF($S276="RK",O276,"")</f>
        <v>1.0666666661666668</v>
      </c>
      <c r="X276" s="537">
        <f t="shared" si="117"/>
        <v>1.3333333327083334</v>
      </c>
      <c r="Y276" s="521">
        <f t="shared" si="117"/>
        <v>0</v>
      </c>
    </row>
    <row r="277" spans="1:25" s="291" customFormat="1">
      <c r="A277" s="319"/>
      <c r="B277" s="389" t="s">
        <v>72</v>
      </c>
      <c r="C277" s="198">
        <v>0</v>
      </c>
      <c r="D277" s="198">
        <v>0.25</v>
      </c>
      <c r="E277" s="198">
        <v>0</v>
      </c>
      <c r="F277" s="198">
        <v>0.25</v>
      </c>
      <c r="G277" s="383">
        <v>0</v>
      </c>
      <c r="H277" s="384">
        <f>SUM(C277:G277)</f>
        <v>0.5</v>
      </c>
      <c r="I277" s="385"/>
      <c r="J277" s="385"/>
      <c r="K277" s="385"/>
      <c r="L277" s="386">
        <f>((C277*$C$9)+(D277*$D$9)+(E277*$E$9)+(F277*$F$9))</f>
        <v>26.696000000000002</v>
      </c>
      <c r="M277" s="386">
        <v>0</v>
      </c>
      <c r="N277" s="387">
        <v>1</v>
      </c>
      <c r="O277" s="488">
        <f>0.05*O9</f>
        <v>1.0666666661666668</v>
      </c>
      <c r="P277" s="388">
        <f>(C277+D277+E277+F277)*O277</f>
        <v>0.53333333308333342</v>
      </c>
      <c r="Q277" s="72">
        <f t="shared" si="113"/>
        <v>1.0666666661666668</v>
      </c>
      <c r="R277" s="243">
        <f>(L277+M277+N277)*O277</f>
        <v>29.542399986152006</v>
      </c>
      <c r="S277" s="171" t="s">
        <v>254</v>
      </c>
      <c r="T277" s="536" t="str">
        <f t="shared" si="116"/>
        <v/>
      </c>
      <c r="U277" s="537" t="str">
        <f t="shared" si="116"/>
        <v/>
      </c>
      <c r="V277" s="521" t="str">
        <f t="shared" si="116"/>
        <v/>
      </c>
      <c r="W277" s="537">
        <f t="shared" si="117"/>
        <v>1.0666666661666668</v>
      </c>
      <c r="X277" s="537">
        <f t="shared" si="117"/>
        <v>0.53333333308333342</v>
      </c>
      <c r="Y277" s="521">
        <f t="shared" si="117"/>
        <v>1.0666666661666668</v>
      </c>
    </row>
    <row r="278" spans="1:25" s="29" customFormat="1" ht="12" thickBot="1">
      <c r="A278" s="369"/>
      <c r="B278" s="339" t="s">
        <v>65</v>
      </c>
      <c r="C278" s="195">
        <v>0</v>
      </c>
      <c r="D278" s="195">
        <v>0.25</v>
      </c>
      <c r="E278" s="195">
        <v>0</v>
      </c>
      <c r="F278" s="195">
        <v>0.25</v>
      </c>
      <c r="G278" s="106">
        <v>0</v>
      </c>
      <c r="H278" s="136">
        <f>SUM(C278:G278)</f>
        <v>0.5</v>
      </c>
      <c r="I278" s="137"/>
      <c r="J278" s="137"/>
      <c r="K278" s="137"/>
      <c r="L278" s="138">
        <f>((C278*$C$9)+(D278*$D$9)+(E278*$E$9)+(F278*$F$9))</f>
        <v>26.696000000000002</v>
      </c>
      <c r="M278" s="138">
        <v>0</v>
      </c>
      <c r="N278" s="139">
        <v>1</v>
      </c>
      <c r="O278" s="473">
        <f>0.1*O9</f>
        <v>2.1333333323333337</v>
      </c>
      <c r="P278" s="141">
        <f>(C278+D278+E278+F278)*O278</f>
        <v>1.0666666661666668</v>
      </c>
      <c r="Q278" s="72">
        <f t="shared" si="113"/>
        <v>2.1333333323333337</v>
      </c>
      <c r="R278" s="142">
        <f>(L278+M278+N278)*O278</f>
        <v>59.084799972304012</v>
      </c>
      <c r="S278" s="171" t="s">
        <v>259</v>
      </c>
      <c r="T278" s="536">
        <f t="shared" si="116"/>
        <v>2.1333333323333337</v>
      </c>
      <c r="U278" s="537">
        <f t="shared" si="116"/>
        <v>1.0666666661666668</v>
      </c>
      <c r="V278" s="521">
        <f t="shared" si="116"/>
        <v>2.1333333323333337</v>
      </c>
      <c r="W278" s="537" t="str">
        <f t="shared" si="117"/>
        <v/>
      </c>
      <c r="X278" s="537" t="str">
        <f t="shared" si="117"/>
        <v/>
      </c>
      <c r="Y278" s="521" t="str">
        <f t="shared" si="117"/>
        <v/>
      </c>
    </row>
    <row r="279" spans="1:25" s="29" customFormat="1" ht="12.75" thickTop="1" thickBot="1">
      <c r="A279" s="396" t="s">
        <v>22</v>
      </c>
      <c r="B279" s="396"/>
      <c r="C279" s="84">
        <f>SUM(C273:C278)</f>
        <v>0</v>
      </c>
      <c r="D279" s="84">
        <f>SUM(D273:D278)</f>
        <v>1.25</v>
      </c>
      <c r="E279" s="84">
        <f>SUM(E273:E278)</f>
        <v>12</v>
      </c>
      <c r="F279" s="84">
        <f>SUM(F273:F278)</f>
        <v>0.5</v>
      </c>
      <c r="G279" s="84">
        <f>SUM(G274:G276)</f>
        <v>0</v>
      </c>
      <c r="H279" s="84">
        <f>SUM(H273:H278)</f>
        <v>13.75</v>
      </c>
      <c r="I279" s="85">
        <f>SUM(I274:I276)</f>
        <v>0</v>
      </c>
      <c r="J279" s="85">
        <f>SUM(J274:J276)</f>
        <v>0</v>
      </c>
      <c r="K279" s="85">
        <f>SUM(K274:K276)</f>
        <v>0</v>
      </c>
      <c r="L279" s="86">
        <f>SUM(L273:L278)</f>
        <v>770.00800000000004</v>
      </c>
      <c r="M279" s="86">
        <f>SUM(M273:M278)</f>
        <v>0</v>
      </c>
      <c r="N279" s="397">
        <f>SUM(N273:N278)</f>
        <v>2</v>
      </c>
      <c r="O279" s="489"/>
      <c r="P279" s="84">
        <f>SUM(P273:P278)</f>
        <v>16.533333325583335</v>
      </c>
      <c r="Q279" s="86">
        <f>SUM(Q273:Q278)</f>
        <v>3.1999999985000005</v>
      </c>
      <c r="R279" s="86">
        <f>SUM(R273:R278)</f>
        <v>931.99359956312833</v>
      </c>
      <c r="S279" s="86"/>
      <c r="T279" s="85">
        <f t="shared" ref="T279:Y279" si="118">SUM(T273:T278)</f>
        <v>2.1333333323333337</v>
      </c>
      <c r="U279" s="85">
        <f t="shared" si="118"/>
        <v>1.0666666661666668</v>
      </c>
      <c r="V279" s="86">
        <f t="shared" si="118"/>
        <v>2.1333333323333337</v>
      </c>
      <c r="W279" s="85">
        <f t="shared" si="118"/>
        <v>5.3333333308333337</v>
      </c>
      <c r="X279" s="85">
        <f t="shared" si="118"/>
        <v>15.466666659416669</v>
      </c>
      <c r="Y279" s="86">
        <f t="shared" si="118"/>
        <v>1.0666666661666668</v>
      </c>
    </row>
    <row r="280" spans="1:25" s="29" customFormat="1" ht="12" thickTop="1">
      <c r="A280" s="188" t="s">
        <v>137</v>
      </c>
      <c r="B280" s="172"/>
      <c r="C280" s="265"/>
      <c r="D280" s="265"/>
      <c r="E280" s="265"/>
      <c r="F280" s="265"/>
      <c r="G280" s="265"/>
      <c r="H280" s="265"/>
      <c r="I280" s="266"/>
      <c r="J280" s="266"/>
      <c r="K280" s="266"/>
      <c r="L280" s="267"/>
      <c r="M280" s="267"/>
      <c r="N280" s="73"/>
      <c r="O280" s="484"/>
      <c r="P280" s="269"/>
      <c r="Q280" s="269"/>
      <c r="R280" s="72"/>
      <c r="S280" s="11"/>
      <c r="T280" s="455"/>
      <c r="U280" s="533"/>
      <c r="W280" s="455"/>
      <c r="X280" s="455"/>
    </row>
    <row r="281" spans="1:25" s="29" customFormat="1">
      <c r="A281" s="218"/>
      <c r="B281" s="219" t="s">
        <v>138</v>
      </c>
      <c r="C281" s="280"/>
      <c r="D281" s="280"/>
      <c r="E281" s="280"/>
      <c r="F281" s="280"/>
      <c r="G281" s="280"/>
      <c r="H281" s="280"/>
      <c r="I281" s="281"/>
      <c r="J281" s="281"/>
      <c r="K281" s="281"/>
      <c r="L281" s="112"/>
      <c r="M281" s="112"/>
      <c r="N281" s="109"/>
      <c r="O281" s="474"/>
      <c r="P281" s="233"/>
      <c r="Q281" s="233"/>
      <c r="R281" s="112"/>
      <c r="S281" s="11"/>
      <c r="T281" s="455"/>
      <c r="U281" s="533"/>
      <c r="W281" s="455"/>
      <c r="X281" s="455"/>
    </row>
    <row r="282" spans="1:25" s="29" customFormat="1">
      <c r="A282" s="218"/>
      <c r="B282" s="219" t="s">
        <v>139</v>
      </c>
      <c r="C282" s="280"/>
      <c r="D282" s="280"/>
      <c r="E282" s="280"/>
      <c r="F282" s="280"/>
      <c r="G282" s="280"/>
      <c r="H282" s="280"/>
      <c r="I282" s="281"/>
      <c r="J282" s="281"/>
      <c r="K282" s="281"/>
      <c r="L282" s="112"/>
      <c r="M282" s="112"/>
      <c r="N282" s="109"/>
      <c r="O282" s="474"/>
      <c r="P282" s="233"/>
      <c r="Q282" s="233"/>
      <c r="R282" s="112"/>
      <c r="S282" s="11"/>
      <c r="T282" s="455"/>
      <c r="U282" s="533"/>
      <c r="W282" s="455"/>
      <c r="X282" s="455"/>
    </row>
    <row r="283" spans="1:25" s="29" customFormat="1">
      <c r="A283" s="188"/>
      <c r="B283" s="398" t="s">
        <v>140</v>
      </c>
      <c r="C283" s="348">
        <v>0</v>
      </c>
      <c r="D283" s="348">
        <v>0.5</v>
      </c>
      <c r="E283" s="348">
        <v>1</v>
      </c>
      <c r="F283" s="348">
        <v>0</v>
      </c>
      <c r="G283" s="348">
        <v>0</v>
      </c>
      <c r="H283" s="136">
        <f>SUM(C283:G283)</f>
        <v>1.5</v>
      </c>
      <c r="I283" s="137"/>
      <c r="J283" s="137"/>
      <c r="K283" s="137"/>
      <c r="L283" s="138">
        <f>((C283*$C$9)+(D283*$D$9)+(E283*$E$9)+(F283*$F$9))</f>
        <v>93.13600000000001</v>
      </c>
      <c r="M283" s="138">
        <v>0</v>
      </c>
      <c r="N283" s="139">
        <v>0</v>
      </c>
      <c r="O283" s="478">
        <f>0.25*O9</f>
        <v>5.3333333308333337</v>
      </c>
      <c r="P283" s="141">
        <f>(C283+D283+E283+F283)*O283</f>
        <v>7.9999999962500006</v>
      </c>
      <c r="Q283" s="72">
        <f>(M283+N283)*O283</f>
        <v>0</v>
      </c>
      <c r="R283" s="142">
        <f>(L283+M283+N283)*O283</f>
        <v>496.7253331004934</v>
      </c>
      <c r="S283" s="528" t="s">
        <v>254</v>
      </c>
      <c r="T283" s="536" t="str">
        <f t="shared" ref="T283:V284" si="119">IF($S283="RP",O283,"")</f>
        <v/>
      </c>
      <c r="U283" s="537" t="str">
        <f t="shared" si="119"/>
        <v/>
      </c>
      <c r="V283" s="521" t="str">
        <f t="shared" si="119"/>
        <v/>
      </c>
      <c r="W283" s="537">
        <f t="shared" ref="W283:Y284" si="120">IF($S283="RK",O283,"")</f>
        <v>5.3333333308333337</v>
      </c>
      <c r="X283" s="537">
        <f t="shared" si="120"/>
        <v>7.9999999962500006</v>
      </c>
      <c r="Y283" s="521">
        <f t="shared" si="120"/>
        <v>0</v>
      </c>
    </row>
    <row r="284" spans="1:25" s="29" customFormat="1" ht="12" thickBot="1">
      <c r="A284" s="218"/>
      <c r="B284" s="219" t="s">
        <v>65</v>
      </c>
      <c r="C284" s="348">
        <v>0</v>
      </c>
      <c r="D284" s="348">
        <v>0.25</v>
      </c>
      <c r="E284" s="348">
        <v>0</v>
      </c>
      <c r="F284" s="348">
        <v>0.25</v>
      </c>
      <c r="G284" s="348">
        <v>0</v>
      </c>
      <c r="H284" s="136">
        <f>SUM(C284:G284)</f>
        <v>0.5</v>
      </c>
      <c r="I284" s="137"/>
      <c r="J284" s="137"/>
      <c r="K284" s="137"/>
      <c r="L284" s="138">
        <f>((C284*$C$9)+(D284*$D$9)+(E284*$E$9)+(F284*$F$9))</f>
        <v>26.696000000000002</v>
      </c>
      <c r="M284" s="138">
        <v>0</v>
      </c>
      <c r="N284" s="139">
        <v>1</v>
      </c>
      <c r="O284" s="478">
        <f>0.25*O9</f>
        <v>5.3333333308333337</v>
      </c>
      <c r="P284" s="141">
        <f>(C284+D284+E284+F284)*O284</f>
        <v>2.6666666654166669</v>
      </c>
      <c r="Q284" s="72">
        <f>(M284+N284)*O284</f>
        <v>5.3333333308333337</v>
      </c>
      <c r="R284" s="142">
        <f>(L284+M284+N284)*O284</f>
        <v>147.71199993076002</v>
      </c>
      <c r="S284" s="171" t="s">
        <v>259</v>
      </c>
      <c r="T284" s="536">
        <f t="shared" si="119"/>
        <v>5.3333333308333337</v>
      </c>
      <c r="U284" s="537">
        <f t="shared" si="119"/>
        <v>2.6666666654166669</v>
      </c>
      <c r="V284" s="521">
        <f t="shared" si="119"/>
        <v>5.3333333308333337</v>
      </c>
      <c r="W284" s="537" t="str">
        <f t="shared" si="120"/>
        <v/>
      </c>
      <c r="X284" s="537" t="str">
        <f t="shared" si="120"/>
        <v/>
      </c>
      <c r="Y284" s="521" t="str">
        <f t="shared" si="120"/>
        <v/>
      </c>
    </row>
    <row r="285" spans="1:25" s="29" customFormat="1" ht="12.75" thickTop="1" thickBot="1">
      <c r="A285" s="399" t="s">
        <v>22</v>
      </c>
      <c r="B285" s="400"/>
      <c r="C285" s="78">
        <f>SUM(C283:C284)</f>
        <v>0</v>
      </c>
      <c r="D285" s="78">
        <f>SUM(D283:D284)</f>
        <v>0.75</v>
      </c>
      <c r="E285" s="78">
        <f>SUM(E283:E284)</f>
        <v>1</v>
      </c>
      <c r="F285" s="78">
        <f>SUM(F283:F284)</f>
        <v>0.25</v>
      </c>
      <c r="G285" s="78">
        <f>G281</f>
        <v>0</v>
      </c>
      <c r="H285" s="78">
        <f>SUM(H283:H284)</f>
        <v>2</v>
      </c>
      <c r="I285" s="79">
        <f>I281</f>
        <v>0</v>
      </c>
      <c r="J285" s="79">
        <f>J281</f>
        <v>0</v>
      </c>
      <c r="K285" s="79">
        <f>K281</f>
        <v>0</v>
      </c>
      <c r="L285" s="80">
        <f>SUM(L283:L284)</f>
        <v>119.83200000000001</v>
      </c>
      <c r="M285" s="80">
        <f>SUM(M283:M284)</f>
        <v>0</v>
      </c>
      <c r="N285" s="81">
        <f>SUM(N283:N284)</f>
        <v>1</v>
      </c>
      <c r="O285" s="490"/>
      <c r="P285" s="78">
        <f>SUM(P283:P284)</f>
        <v>10.666666661666667</v>
      </c>
      <c r="Q285" s="80">
        <f>SUM(Q283:Q284)</f>
        <v>5.3333333308333337</v>
      </c>
      <c r="R285" s="80">
        <f>SUM(R283:R284)</f>
        <v>644.43733303125339</v>
      </c>
      <c r="S285" s="80"/>
      <c r="T285" s="79">
        <f t="shared" ref="T285:Y285" si="121">SUM(T283:T284)</f>
        <v>5.3333333308333337</v>
      </c>
      <c r="U285" s="79">
        <f t="shared" si="121"/>
        <v>2.6666666654166669</v>
      </c>
      <c r="V285" s="80">
        <f t="shared" si="121"/>
        <v>5.3333333308333337</v>
      </c>
      <c r="W285" s="79">
        <f t="shared" si="121"/>
        <v>5.3333333308333337</v>
      </c>
      <c r="X285" s="79">
        <f t="shared" si="121"/>
        <v>7.9999999962500006</v>
      </c>
      <c r="Y285" s="80">
        <f t="shared" si="121"/>
        <v>0</v>
      </c>
    </row>
    <row r="286" spans="1:25" s="29" customFormat="1" ht="12" thickTop="1">
      <c r="A286" s="188" t="s">
        <v>142</v>
      </c>
      <c r="B286" s="172"/>
      <c r="C286" s="265"/>
      <c r="D286" s="265"/>
      <c r="E286" s="265"/>
      <c r="F286" s="265"/>
      <c r="G286" s="265"/>
      <c r="H286" s="265"/>
      <c r="I286" s="266"/>
      <c r="J286" s="266"/>
      <c r="K286" s="266"/>
      <c r="L286" s="267"/>
      <c r="M286" s="267"/>
      <c r="N286" s="73"/>
      <c r="O286" s="484"/>
      <c r="P286" s="269"/>
      <c r="Q286" s="269"/>
      <c r="R286" s="72"/>
      <c r="S286" s="11"/>
      <c r="T286" s="455"/>
      <c r="U286" s="533"/>
      <c r="W286" s="455"/>
      <c r="X286" s="455"/>
    </row>
    <row r="287" spans="1:25" s="29" customFormat="1">
      <c r="A287" s="218"/>
      <c r="B287" s="219" t="s">
        <v>143</v>
      </c>
      <c r="C287" s="280"/>
      <c r="D287" s="280"/>
      <c r="E287" s="280"/>
      <c r="F287" s="280"/>
      <c r="G287" s="280"/>
      <c r="H287" s="280"/>
      <c r="I287" s="281"/>
      <c r="J287" s="281"/>
      <c r="K287" s="281"/>
      <c r="L287" s="112"/>
      <c r="M287" s="112"/>
      <c r="N287" s="109"/>
      <c r="O287" s="474"/>
      <c r="P287" s="233"/>
      <c r="Q287" s="233"/>
      <c r="R287" s="112"/>
      <c r="S287" s="11"/>
      <c r="T287" s="455"/>
      <c r="U287" s="533"/>
      <c r="W287" s="455"/>
      <c r="X287" s="455"/>
    </row>
    <row r="288" spans="1:25" s="29" customFormat="1">
      <c r="A288" s="188"/>
      <c r="B288" s="398" t="s">
        <v>144</v>
      </c>
      <c r="C288" s="348">
        <v>0</v>
      </c>
      <c r="D288" s="348">
        <v>0.25</v>
      </c>
      <c r="E288" s="348">
        <v>1</v>
      </c>
      <c r="F288" s="348">
        <v>0</v>
      </c>
      <c r="G288" s="348">
        <v>0</v>
      </c>
      <c r="H288" s="136">
        <f>SUM(C288:G288)</f>
        <v>1.25</v>
      </c>
      <c r="I288" s="137"/>
      <c r="J288" s="137"/>
      <c r="K288" s="137"/>
      <c r="L288" s="138">
        <f>((C288*$C$9)+(D288*$D$9)+(E288*$E$9)+(F288*$F$9))</f>
        <v>74.040000000000006</v>
      </c>
      <c r="M288" s="138">
        <v>0</v>
      </c>
      <c r="N288" s="139">
        <v>0</v>
      </c>
      <c r="O288" s="478">
        <f>0.25*O9</f>
        <v>5.3333333308333337</v>
      </c>
      <c r="P288" s="141">
        <f>(C288+D288+E288+F288)*O288</f>
        <v>6.6666666635416671</v>
      </c>
      <c r="Q288" s="72">
        <f>(M288+N288)*O288</f>
        <v>0</v>
      </c>
      <c r="R288" s="142">
        <f>(L288+M288+N288)*O288</f>
        <v>394.87999981490009</v>
      </c>
      <c r="S288" s="171" t="s">
        <v>254</v>
      </c>
      <c r="T288" s="536" t="str">
        <f t="shared" ref="T288:V289" si="122">IF($S288="RP",O288,"")</f>
        <v/>
      </c>
      <c r="U288" s="537" t="str">
        <f t="shared" si="122"/>
        <v/>
      </c>
      <c r="V288" s="521" t="str">
        <f t="shared" si="122"/>
        <v/>
      </c>
      <c r="W288" s="537">
        <f t="shared" ref="W288:Y289" si="123">IF($S288="RK",O288,"")</f>
        <v>5.3333333308333337</v>
      </c>
      <c r="X288" s="537">
        <f t="shared" si="123"/>
        <v>6.6666666635416671</v>
      </c>
      <c r="Y288" s="521">
        <f t="shared" si="123"/>
        <v>0</v>
      </c>
    </row>
    <row r="289" spans="1:25" s="29" customFormat="1" ht="12" thickBot="1">
      <c r="A289" s="218"/>
      <c r="B289" s="219" t="s">
        <v>65</v>
      </c>
      <c r="C289" s="348">
        <v>0</v>
      </c>
      <c r="D289" s="348">
        <v>0.25</v>
      </c>
      <c r="E289" s="348">
        <v>0</v>
      </c>
      <c r="F289" s="348">
        <v>0.25</v>
      </c>
      <c r="G289" s="348">
        <v>0</v>
      </c>
      <c r="H289" s="136">
        <f>SUM(C289:G289)</f>
        <v>0.5</v>
      </c>
      <c r="I289" s="137"/>
      <c r="J289" s="137"/>
      <c r="K289" s="137"/>
      <c r="L289" s="138">
        <f>((C289*$C$9)+(D289*$D$9)+(E289*$E$9)+(F289*$F$9))</f>
        <v>26.696000000000002</v>
      </c>
      <c r="M289" s="138">
        <v>0</v>
      </c>
      <c r="N289" s="139">
        <v>1</v>
      </c>
      <c r="O289" s="478">
        <f>0.25*O9</f>
        <v>5.3333333308333337</v>
      </c>
      <c r="P289" s="141">
        <f>(C289+D289+E289+F289)*O289</f>
        <v>2.6666666654166669</v>
      </c>
      <c r="Q289" s="72">
        <f>(M289+N289)*O289</f>
        <v>5.3333333308333337</v>
      </c>
      <c r="R289" s="142">
        <f>(L289+M289+N289)*O289</f>
        <v>147.71199993076002</v>
      </c>
      <c r="S289" s="171" t="s">
        <v>259</v>
      </c>
      <c r="T289" s="536">
        <f t="shared" si="122"/>
        <v>5.3333333308333337</v>
      </c>
      <c r="U289" s="537">
        <f t="shared" si="122"/>
        <v>2.6666666654166669</v>
      </c>
      <c r="V289" s="521">
        <f t="shared" si="122"/>
        <v>5.3333333308333337</v>
      </c>
      <c r="W289" s="537" t="str">
        <f t="shared" si="123"/>
        <v/>
      </c>
      <c r="X289" s="537" t="str">
        <f t="shared" si="123"/>
        <v/>
      </c>
      <c r="Y289" s="521" t="str">
        <f t="shared" si="123"/>
        <v/>
      </c>
    </row>
    <row r="290" spans="1:25" s="29" customFormat="1" ht="12.75" thickTop="1" thickBot="1">
      <c r="A290" s="399" t="s">
        <v>22</v>
      </c>
      <c r="B290" s="400"/>
      <c r="C290" s="78">
        <f>SUM(C288:C289)</f>
        <v>0</v>
      </c>
      <c r="D290" s="78">
        <f>SUM(D288:D289)</f>
        <v>0.5</v>
      </c>
      <c r="E290" s="78">
        <f>SUM(E288:E289)</f>
        <v>1</v>
      </c>
      <c r="F290" s="78">
        <f>SUM(F288:F289)</f>
        <v>0.25</v>
      </c>
      <c r="G290" s="78">
        <f>G287</f>
        <v>0</v>
      </c>
      <c r="H290" s="78">
        <f>SUM(H288:H289)</f>
        <v>1.75</v>
      </c>
      <c r="I290" s="79">
        <f>I287</f>
        <v>0</v>
      </c>
      <c r="J290" s="79">
        <f>J287</f>
        <v>0</v>
      </c>
      <c r="K290" s="79">
        <f>K287</f>
        <v>0</v>
      </c>
      <c r="L290" s="80">
        <f>SUM(L288:L289)</f>
        <v>100.736</v>
      </c>
      <c r="M290" s="80">
        <f>SUM(M288:M289)</f>
        <v>0</v>
      </c>
      <c r="N290" s="81">
        <f>SUM(N288:N289)</f>
        <v>1</v>
      </c>
      <c r="O290" s="489"/>
      <c r="P290" s="78">
        <f>SUM(P288:P289)</f>
        <v>9.333333328958334</v>
      </c>
      <c r="Q290" s="80">
        <f>SUM(Q288:Q289)</f>
        <v>5.3333333308333337</v>
      </c>
      <c r="R290" s="80">
        <f>SUM(R288:R289)</f>
        <v>542.59199974566013</v>
      </c>
      <c r="S290" s="80"/>
      <c r="T290" s="79">
        <f t="shared" ref="T290:Y290" si="124">SUM(T288:T289)</f>
        <v>5.3333333308333337</v>
      </c>
      <c r="U290" s="79">
        <f t="shared" si="124"/>
        <v>2.6666666654166669</v>
      </c>
      <c r="V290" s="80">
        <f t="shared" si="124"/>
        <v>5.3333333308333337</v>
      </c>
      <c r="W290" s="79">
        <f t="shared" si="124"/>
        <v>5.3333333308333337</v>
      </c>
      <c r="X290" s="79">
        <f t="shared" si="124"/>
        <v>6.6666666635416671</v>
      </c>
      <c r="Y290" s="80">
        <f t="shared" si="124"/>
        <v>0</v>
      </c>
    </row>
    <row r="291" spans="1:25" s="29" customFormat="1" ht="12" thickTop="1">
      <c r="A291" s="188" t="s">
        <v>141</v>
      </c>
      <c r="B291" s="172"/>
      <c r="C291" s="265"/>
      <c r="D291" s="265"/>
      <c r="E291" s="265"/>
      <c r="F291" s="265"/>
      <c r="G291" s="265"/>
      <c r="H291" s="265"/>
      <c r="I291" s="266"/>
      <c r="J291" s="266"/>
      <c r="K291" s="266"/>
      <c r="L291" s="267"/>
      <c r="M291" s="267"/>
      <c r="N291" s="73"/>
      <c r="O291" s="484"/>
      <c r="P291" s="269"/>
      <c r="Q291" s="269"/>
      <c r="R291" s="72"/>
      <c r="S291" s="11"/>
      <c r="T291" s="455"/>
      <c r="U291" s="533"/>
      <c r="W291" s="455"/>
      <c r="X291" s="455"/>
    </row>
    <row r="292" spans="1:25" s="29" customFormat="1">
      <c r="A292" s="218"/>
      <c r="B292" s="219" t="s">
        <v>145</v>
      </c>
      <c r="C292" s="280"/>
      <c r="D292" s="280"/>
      <c r="E292" s="280"/>
      <c r="F292" s="280"/>
      <c r="G292" s="280"/>
      <c r="H292" s="280"/>
      <c r="I292" s="281"/>
      <c r="J292" s="281"/>
      <c r="K292" s="281"/>
      <c r="L292" s="112"/>
      <c r="M292" s="112"/>
      <c r="N292" s="109"/>
      <c r="O292" s="474"/>
      <c r="P292" s="233"/>
      <c r="Q292" s="233"/>
      <c r="R292" s="112"/>
      <c r="S292" s="11"/>
      <c r="T292" s="455"/>
      <c r="U292" s="533"/>
      <c r="W292" s="455"/>
      <c r="X292" s="455"/>
    </row>
    <row r="293" spans="1:25" s="29" customFormat="1">
      <c r="A293" s="218"/>
      <c r="B293" s="219" t="s">
        <v>146</v>
      </c>
      <c r="C293" s="195">
        <v>0</v>
      </c>
      <c r="D293" s="70">
        <v>0.5</v>
      </c>
      <c r="E293" s="70">
        <v>1</v>
      </c>
      <c r="F293" s="70">
        <v>0</v>
      </c>
      <c r="G293" s="70">
        <v>0</v>
      </c>
      <c r="H293" s="70">
        <f>SUM(C293:G293)</f>
        <v>1.5</v>
      </c>
      <c r="I293" s="71"/>
      <c r="J293" s="71"/>
      <c r="K293" s="71"/>
      <c r="L293" s="72">
        <f>((C293*$C$9)+(D293*$D$9)+(E293*$E$9)+(F293*$F$9))</f>
        <v>93.13600000000001</v>
      </c>
      <c r="M293" s="72">
        <v>0</v>
      </c>
      <c r="N293" s="73">
        <v>0</v>
      </c>
      <c r="O293" s="473">
        <f>0.1*O9</f>
        <v>2.1333333323333337</v>
      </c>
      <c r="P293" s="75">
        <f>(C293+D293+E293+F293)*O293</f>
        <v>3.1999999985000005</v>
      </c>
      <c r="Q293" s="72">
        <f>(M293+N293)*O293</f>
        <v>0</v>
      </c>
      <c r="R293" s="72">
        <f>(L293+M293+N293)*O293</f>
        <v>198.69013324019738</v>
      </c>
      <c r="S293" s="171" t="s">
        <v>254</v>
      </c>
      <c r="T293" s="536" t="str">
        <f t="shared" ref="T293:V294" si="125">IF($S293="RP",O293,"")</f>
        <v/>
      </c>
      <c r="U293" s="537" t="str">
        <f t="shared" si="125"/>
        <v/>
      </c>
      <c r="V293" s="521" t="str">
        <f t="shared" si="125"/>
        <v/>
      </c>
      <c r="W293" s="537">
        <f t="shared" ref="W293:Y294" si="126">IF($S293="RK",O293,"")</f>
        <v>2.1333333323333337</v>
      </c>
      <c r="X293" s="537">
        <f t="shared" si="126"/>
        <v>3.1999999985000005</v>
      </c>
      <c r="Y293" s="521">
        <f t="shared" si="126"/>
        <v>0</v>
      </c>
    </row>
    <row r="294" spans="1:25" s="29" customFormat="1" ht="12" thickBot="1">
      <c r="A294" s="234"/>
      <c r="B294" s="401" t="s">
        <v>65</v>
      </c>
      <c r="C294" s="348">
        <v>0</v>
      </c>
      <c r="D294" s="348">
        <v>0.25</v>
      </c>
      <c r="E294" s="348">
        <v>0</v>
      </c>
      <c r="F294" s="348">
        <v>0.25</v>
      </c>
      <c r="G294" s="348">
        <v>0</v>
      </c>
      <c r="H294" s="136">
        <f>SUM(C294:G294)</f>
        <v>0.5</v>
      </c>
      <c r="I294" s="137"/>
      <c r="J294" s="137"/>
      <c r="K294" s="137"/>
      <c r="L294" s="138">
        <f>((C294*$C$9)+(D294*$D$9)+(E294*$E$9)+(F294*$F$9))</f>
        <v>26.696000000000002</v>
      </c>
      <c r="M294" s="138">
        <v>0</v>
      </c>
      <c r="N294" s="139">
        <v>1</v>
      </c>
      <c r="O294" s="478">
        <f>0.1*O9</f>
        <v>2.1333333323333337</v>
      </c>
      <c r="P294" s="141">
        <f>(C294+D294+E294+F294)*O294</f>
        <v>1.0666666661666668</v>
      </c>
      <c r="Q294" s="72">
        <f>(M294+N294)*O294</f>
        <v>2.1333333323333337</v>
      </c>
      <c r="R294" s="142">
        <f>(L294+M294+N294)*O294</f>
        <v>59.084799972304012</v>
      </c>
      <c r="S294" s="171" t="s">
        <v>259</v>
      </c>
      <c r="T294" s="536">
        <f t="shared" si="125"/>
        <v>2.1333333323333337</v>
      </c>
      <c r="U294" s="537">
        <f t="shared" si="125"/>
        <v>1.0666666661666668</v>
      </c>
      <c r="V294" s="521">
        <f t="shared" si="125"/>
        <v>2.1333333323333337</v>
      </c>
      <c r="W294" s="537" t="str">
        <f t="shared" si="126"/>
        <v/>
      </c>
      <c r="X294" s="537" t="str">
        <f t="shared" si="126"/>
        <v/>
      </c>
      <c r="Y294" s="521" t="str">
        <f t="shared" si="126"/>
        <v/>
      </c>
    </row>
    <row r="295" spans="1:25" s="29" customFormat="1" ht="12.75" thickTop="1" thickBot="1">
      <c r="A295" s="399" t="s">
        <v>22</v>
      </c>
      <c r="B295" s="400"/>
      <c r="C295" s="78">
        <f>SUM(C293:C294)</f>
        <v>0</v>
      </c>
      <c r="D295" s="78">
        <f>SUM(D293:D294)</f>
        <v>0.75</v>
      </c>
      <c r="E295" s="78">
        <f>SUM(E293:E294)</f>
        <v>1</v>
      </c>
      <c r="F295" s="78">
        <f>SUM(F293:F294)</f>
        <v>0.25</v>
      </c>
      <c r="G295" s="78">
        <f>G292</f>
        <v>0</v>
      </c>
      <c r="H295" s="78">
        <f>SUM(H293:H294)</f>
        <v>2</v>
      </c>
      <c r="I295" s="79">
        <f>I292</f>
        <v>0</v>
      </c>
      <c r="J295" s="79">
        <f>J292</f>
        <v>0</v>
      </c>
      <c r="K295" s="79">
        <f>K292</f>
        <v>0</v>
      </c>
      <c r="L295" s="80">
        <f>SUM(L293:L294)</f>
        <v>119.83200000000001</v>
      </c>
      <c r="M295" s="86">
        <f>SUM(M293:M294)</f>
        <v>0</v>
      </c>
      <c r="N295" s="397">
        <f>SUM(N293:N294)</f>
        <v>1</v>
      </c>
      <c r="O295" s="489"/>
      <c r="P295" s="78">
        <f>SUM(P293:P294)</f>
        <v>4.2666666646666673</v>
      </c>
      <c r="Q295" s="80">
        <f>SUM(Q293:Q294)</f>
        <v>2.1333333323333337</v>
      </c>
      <c r="R295" s="80">
        <f>SUM(R293:R294)</f>
        <v>257.77493321250142</v>
      </c>
      <c r="S295" s="80"/>
      <c r="T295" s="79">
        <f t="shared" ref="T295:Y295" si="127">SUM(T293:T294)</f>
        <v>2.1333333323333337</v>
      </c>
      <c r="U295" s="79">
        <f t="shared" si="127"/>
        <v>1.0666666661666668</v>
      </c>
      <c r="V295" s="80">
        <f t="shared" si="127"/>
        <v>2.1333333323333337</v>
      </c>
      <c r="W295" s="79">
        <f t="shared" si="127"/>
        <v>2.1333333323333337</v>
      </c>
      <c r="X295" s="79">
        <f t="shared" si="127"/>
        <v>3.1999999985000005</v>
      </c>
      <c r="Y295" s="80">
        <f t="shared" si="127"/>
        <v>0</v>
      </c>
    </row>
    <row r="296" spans="1:25" s="29" customFormat="1" ht="12" hidden="1" thickTop="1">
      <c r="A296" s="292" t="s">
        <v>49</v>
      </c>
      <c r="B296" s="291"/>
      <c r="C296" s="383"/>
      <c r="D296" s="383"/>
      <c r="E296" s="383"/>
      <c r="F296" s="383"/>
      <c r="G296" s="383"/>
      <c r="H296" s="383"/>
      <c r="I296" s="402"/>
      <c r="J296" s="402"/>
      <c r="K296" s="402"/>
      <c r="L296" s="403"/>
      <c r="M296" s="403"/>
      <c r="N296" s="288"/>
      <c r="O296" s="477"/>
      <c r="P296" s="404"/>
      <c r="Q296" s="404"/>
      <c r="R296" s="287"/>
      <c r="S296" s="11"/>
      <c r="T296" s="455"/>
      <c r="U296" s="533"/>
      <c r="W296" s="455"/>
      <c r="X296" s="455"/>
    </row>
    <row r="297" spans="1:25" s="29" customFormat="1" ht="12" hidden="1" thickTop="1">
      <c r="A297" s="154" t="s">
        <v>50</v>
      </c>
      <c r="B297" s="155"/>
      <c r="C297" s="156"/>
      <c r="D297" s="156"/>
      <c r="E297" s="156"/>
      <c r="F297" s="156"/>
      <c r="G297" s="156"/>
      <c r="H297" s="156"/>
      <c r="I297" s="157"/>
      <c r="J297" s="157"/>
      <c r="K297" s="157"/>
      <c r="L297" s="158"/>
      <c r="M297" s="158"/>
      <c r="N297" s="159"/>
      <c r="O297" s="477"/>
      <c r="P297" s="161"/>
      <c r="Q297" s="161"/>
      <c r="R297" s="162"/>
      <c r="S297" s="11"/>
      <c r="T297" s="455"/>
      <c r="U297" s="533"/>
      <c r="W297" s="455"/>
      <c r="X297" s="455"/>
    </row>
    <row r="298" spans="1:25" s="29" customFormat="1" ht="12" hidden="1" thickTop="1">
      <c r="A298" s="218" t="s">
        <v>51</v>
      </c>
      <c r="B298" s="219"/>
      <c r="C298" s="144"/>
      <c r="D298" s="144"/>
      <c r="E298" s="144"/>
      <c r="F298" s="144"/>
      <c r="G298" s="144"/>
      <c r="H298" s="144"/>
      <c r="I298" s="190"/>
      <c r="J298" s="190"/>
      <c r="K298" s="190"/>
      <c r="L298" s="128"/>
      <c r="M298" s="128"/>
      <c r="N298" s="129"/>
      <c r="O298" s="474"/>
      <c r="P298" s="192"/>
      <c r="Q298" s="192"/>
      <c r="R298" s="128"/>
      <c r="S298" s="11"/>
      <c r="T298" s="455"/>
      <c r="U298" s="533"/>
      <c r="W298" s="455"/>
      <c r="X298" s="455"/>
    </row>
    <row r="299" spans="1:25" s="29" customFormat="1" ht="12" hidden="1" thickTop="1">
      <c r="A299" s="353" t="s">
        <v>52</v>
      </c>
      <c r="B299" s="296"/>
      <c r="C299" s="195">
        <v>0</v>
      </c>
      <c r="D299" s="195">
        <v>0.25</v>
      </c>
      <c r="E299" s="195">
        <v>2</v>
      </c>
      <c r="F299" s="195">
        <v>0</v>
      </c>
      <c r="G299" s="106"/>
      <c r="H299" s="136">
        <f>SUM(C299:F299)</f>
        <v>2.25</v>
      </c>
      <c r="I299" s="137"/>
      <c r="J299" s="137"/>
      <c r="K299" s="137"/>
      <c r="L299" s="138" t="e">
        <f>((C299*#REF!)+(D299*$D$9)+(E299*$E$9)+(F299*$F$9))</f>
        <v>#REF!</v>
      </c>
      <c r="M299" s="138">
        <v>0</v>
      </c>
      <c r="N299" s="139">
        <v>0</v>
      </c>
      <c r="O299" s="473" t="e">
        <f>#REF!</f>
        <v>#REF!</v>
      </c>
      <c r="P299" s="141" t="e">
        <f>(C299+D299+E299+F299)*O299</f>
        <v>#REF!</v>
      </c>
      <c r="Q299" s="343"/>
      <c r="R299" s="142" t="e">
        <f>(L299+M299+N299)*O299</f>
        <v>#REF!</v>
      </c>
      <c r="S299" s="11"/>
      <c r="T299" s="455"/>
      <c r="U299" s="533"/>
      <c r="W299" s="455"/>
      <c r="X299" s="455"/>
    </row>
    <row r="300" spans="1:25" s="29" customFormat="1" ht="12" hidden="1" thickTop="1">
      <c r="A300" s="218" t="s">
        <v>26</v>
      </c>
      <c r="B300" s="219"/>
      <c r="C300" s="144">
        <v>0</v>
      </c>
      <c r="D300" s="144">
        <v>0.25</v>
      </c>
      <c r="E300" s="144">
        <v>0</v>
      </c>
      <c r="F300" s="144">
        <v>0.25</v>
      </c>
      <c r="G300" s="106"/>
      <c r="H300" s="136">
        <f>SUM(C300:F300)</f>
        <v>0.5</v>
      </c>
      <c r="I300" s="137"/>
      <c r="J300" s="137"/>
      <c r="K300" s="137"/>
      <c r="L300" s="138" t="e">
        <f>((C300*#REF!)+(D300*$D$9)+(E300*$E$9)+(F300*$F$9))</f>
        <v>#REF!</v>
      </c>
      <c r="M300" s="138">
        <v>0</v>
      </c>
      <c r="N300" s="139" t="e">
        <f>O300*0.52</f>
        <v>#REF!</v>
      </c>
      <c r="O300" s="474" t="e">
        <f>O299</f>
        <v>#REF!</v>
      </c>
      <c r="P300" s="141" t="e">
        <f>(C300+D300+E300+F300)*O300</f>
        <v>#REF!</v>
      </c>
      <c r="Q300" s="343"/>
      <c r="R300" s="142" t="e">
        <f>(L300+M300+N300)*O300</f>
        <v>#REF!</v>
      </c>
      <c r="S300" s="11"/>
      <c r="T300" s="455"/>
      <c r="U300" s="533"/>
      <c r="W300" s="455"/>
      <c r="X300" s="455"/>
    </row>
    <row r="301" spans="1:25" s="29" customFormat="1" ht="12.75" hidden="1" thickTop="1" thickBot="1">
      <c r="A301" s="399" t="s">
        <v>22</v>
      </c>
      <c r="B301" s="400"/>
      <c r="C301" s="84">
        <v>0</v>
      </c>
      <c r="D301" s="84" t="s">
        <v>23</v>
      </c>
      <c r="E301" s="84" t="s">
        <v>23</v>
      </c>
      <c r="F301" s="84" t="s">
        <v>23</v>
      </c>
      <c r="G301" s="84"/>
      <c r="H301" s="84" t="s">
        <v>23</v>
      </c>
      <c r="I301" s="85"/>
      <c r="J301" s="85"/>
      <c r="K301" s="85"/>
      <c r="L301" s="149" t="s">
        <v>23</v>
      </c>
      <c r="M301" s="86">
        <f>SUM(M298:M300)</f>
        <v>0</v>
      </c>
      <c r="N301" s="397" t="s">
        <v>23</v>
      </c>
      <c r="O301" s="489" t="e">
        <f>O299</f>
        <v>#REF!</v>
      </c>
      <c r="P301" s="83" t="e">
        <f>SUM(P298:P300)</f>
        <v>#REF!</v>
      </c>
      <c r="Q301" s="83"/>
      <c r="R301" s="86" t="e">
        <f>SUM(R298:R300)</f>
        <v>#REF!</v>
      </c>
      <c r="S301" s="11"/>
      <c r="T301" s="455"/>
      <c r="U301" s="533"/>
      <c r="W301" s="455"/>
      <c r="X301" s="455"/>
    </row>
    <row r="302" spans="1:25" s="29" customFormat="1" ht="12" hidden="1" thickTop="1">
      <c r="A302" s="154" t="s">
        <v>53</v>
      </c>
      <c r="B302" s="155"/>
      <c r="C302" s="156"/>
      <c r="D302" s="156"/>
      <c r="E302" s="156"/>
      <c r="F302" s="156"/>
      <c r="G302" s="156"/>
      <c r="H302" s="156"/>
      <c r="I302" s="157"/>
      <c r="J302" s="157"/>
      <c r="K302" s="157"/>
      <c r="L302" s="158"/>
      <c r="M302" s="158"/>
      <c r="N302" s="159"/>
      <c r="O302" s="477"/>
      <c r="P302" s="161"/>
      <c r="Q302" s="161"/>
      <c r="R302" s="162"/>
      <c r="S302" s="11"/>
      <c r="T302" s="455"/>
      <c r="U302" s="533"/>
      <c r="W302" s="455"/>
      <c r="X302" s="455"/>
    </row>
    <row r="303" spans="1:25" s="29" customFormat="1" ht="12" hidden="1" thickTop="1">
      <c r="A303" s="218" t="s">
        <v>54</v>
      </c>
      <c r="B303" s="219"/>
      <c r="C303" s="144"/>
      <c r="D303" s="144"/>
      <c r="E303" s="144"/>
      <c r="F303" s="144"/>
      <c r="G303" s="144"/>
      <c r="H303" s="144"/>
      <c r="I303" s="190"/>
      <c r="J303" s="190"/>
      <c r="K303" s="190"/>
      <c r="L303" s="176"/>
      <c r="M303" s="128"/>
      <c r="N303" s="129"/>
      <c r="O303" s="474"/>
      <c r="P303" s="192"/>
      <c r="Q303" s="192"/>
      <c r="R303" s="128"/>
      <c r="S303" s="11"/>
      <c r="T303" s="455"/>
      <c r="U303" s="533"/>
      <c r="W303" s="455"/>
      <c r="X303" s="455"/>
    </row>
    <row r="304" spans="1:25" s="29" customFormat="1" ht="12" hidden="1" thickTop="1">
      <c r="A304" s="188" t="s">
        <v>55</v>
      </c>
      <c r="B304" s="398"/>
      <c r="C304" s="195">
        <v>0</v>
      </c>
      <c r="D304" s="195">
        <v>0.25</v>
      </c>
      <c r="E304" s="195">
        <v>2</v>
      </c>
      <c r="F304" s="195">
        <v>0</v>
      </c>
      <c r="G304" s="106"/>
      <c r="H304" s="136">
        <f>SUM(C304:F304)</f>
        <v>2.25</v>
      </c>
      <c r="I304" s="137"/>
      <c r="J304" s="137"/>
      <c r="K304" s="137"/>
      <c r="L304" s="138" t="e">
        <f>((C304*#REF!)+(D304*$D$9)+(E304*$E$9)+(F304*$F$9))</f>
        <v>#REF!</v>
      </c>
      <c r="M304" s="138">
        <v>0</v>
      </c>
      <c r="N304" s="139">
        <v>0</v>
      </c>
      <c r="O304" s="473" t="e">
        <f>#REF!</f>
        <v>#REF!</v>
      </c>
      <c r="P304" s="141" t="e">
        <f>(C304+D304+E304+F304)*O304</f>
        <v>#REF!</v>
      </c>
      <c r="Q304" s="343"/>
      <c r="R304" s="142" t="e">
        <f>(L304+M304+N304)*O304</f>
        <v>#REF!</v>
      </c>
      <c r="S304" s="11"/>
      <c r="T304" s="455"/>
      <c r="U304" s="533"/>
      <c r="W304" s="455"/>
      <c r="X304" s="455"/>
    </row>
    <row r="305" spans="1:25" s="29" customFormat="1" ht="12" hidden="1" thickTop="1">
      <c r="A305" s="351" t="s">
        <v>26</v>
      </c>
      <c r="B305" s="339"/>
      <c r="C305" s="144">
        <v>0</v>
      </c>
      <c r="D305" s="144">
        <v>0.25</v>
      </c>
      <c r="E305" s="144">
        <v>0</v>
      </c>
      <c r="F305" s="144">
        <v>0.25</v>
      </c>
      <c r="G305" s="106"/>
      <c r="H305" s="136">
        <f>SUM(C305:F305)</f>
        <v>0.5</v>
      </c>
      <c r="I305" s="137"/>
      <c r="J305" s="137"/>
      <c r="K305" s="137"/>
      <c r="L305" s="138" t="e">
        <f>((C305*#REF!)+(D305*$D$9)+(E305*$E$9)+(F305*$F$9))</f>
        <v>#REF!</v>
      </c>
      <c r="M305" s="138">
        <v>0</v>
      </c>
      <c r="N305" s="139" t="e">
        <f>O305*0.52</f>
        <v>#REF!</v>
      </c>
      <c r="O305" s="474" t="e">
        <f>O304</f>
        <v>#REF!</v>
      </c>
      <c r="P305" s="141" t="e">
        <f>(C305+D305+E305+F305)*O305</f>
        <v>#REF!</v>
      </c>
      <c r="Q305" s="343"/>
      <c r="R305" s="142" t="e">
        <f>(L305+M305+N305)*O305</f>
        <v>#REF!</v>
      </c>
      <c r="S305" s="11"/>
      <c r="T305" s="455"/>
      <c r="U305" s="533"/>
      <c r="W305" s="455"/>
      <c r="X305" s="455"/>
    </row>
    <row r="306" spans="1:25" s="29" customFormat="1" ht="12.75" hidden="1" thickTop="1" thickBot="1">
      <c r="A306" s="399" t="s">
        <v>22</v>
      </c>
      <c r="B306" s="400"/>
      <c r="C306" s="84">
        <v>0</v>
      </c>
      <c r="D306" s="84" t="s">
        <v>23</v>
      </c>
      <c r="E306" s="84" t="s">
        <v>23</v>
      </c>
      <c r="F306" s="84" t="s">
        <v>23</v>
      </c>
      <c r="G306" s="84"/>
      <c r="H306" s="84" t="s">
        <v>23</v>
      </c>
      <c r="I306" s="85"/>
      <c r="J306" s="85"/>
      <c r="K306" s="85"/>
      <c r="L306" s="149" t="s">
        <v>23</v>
      </c>
      <c r="M306" s="86">
        <f>SUM(M303:M305)</f>
        <v>0</v>
      </c>
      <c r="N306" s="397" t="s">
        <v>23</v>
      </c>
      <c r="O306" s="489" t="e">
        <f>O304</f>
        <v>#REF!</v>
      </c>
      <c r="P306" s="83" t="e">
        <f>SUM(P303:P305)</f>
        <v>#REF!</v>
      </c>
      <c r="Q306" s="83"/>
      <c r="R306" s="86" t="e">
        <f>SUM(R303:R305)</f>
        <v>#REF!</v>
      </c>
      <c r="S306" s="11"/>
      <c r="T306" s="455"/>
      <c r="U306" s="533"/>
      <c r="W306" s="455"/>
      <c r="X306" s="455"/>
    </row>
    <row r="307" spans="1:25" s="29" customFormat="1" ht="12" hidden="1" thickTop="1">
      <c r="A307" s="351" t="s">
        <v>24</v>
      </c>
      <c r="B307" s="229"/>
      <c r="C307" s="106"/>
      <c r="D307" s="106"/>
      <c r="E307" s="106"/>
      <c r="F307" s="106"/>
      <c r="G307" s="106"/>
      <c r="H307" s="106"/>
      <c r="I307" s="107"/>
      <c r="J307" s="107"/>
      <c r="K307" s="107"/>
      <c r="L307" s="108"/>
      <c r="M307" s="108"/>
      <c r="N307" s="109"/>
      <c r="O307" s="479"/>
      <c r="P307" s="111"/>
      <c r="Q307" s="111"/>
      <c r="R307" s="112"/>
      <c r="S307" s="11"/>
      <c r="T307" s="455"/>
      <c r="U307" s="533"/>
      <c r="W307" s="455"/>
      <c r="X307" s="455"/>
    </row>
    <row r="308" spans="1:25" s="29" customFormat="1" ht="12" thickTop="1">
      <c r="A308" s="115" t="s">
        <v>147</v>
      </c>
      <c r="B308" s="172"/>
      <c r="C308" s="265"/>
      <c r="D308" s="337"/>
      <c r="E308" s="337"/>
      <c r="F308" s="337"/>
      <c r="G308" s="337"/>
      <c r="H308" s="166"/>
      <c r="I308" s="167"/>
      <c r="J308" s="167"/>
      <c r="K308" s="167"/>
      <c r="L308" s="168"/>
      <c r="M308" s="168"/>
      <c r="N308" s="169"/>
      <c r="O308" s="484"/>
      <c r="P308" s="170"/>
      <c r="Q308" s="518"/>
      <c r="R308" s="142"/>
      <c r="S308" s="11"/>
      <c r="T308" s="455"/>
      <c r="U308" s="533"/>
      <c r="W308" s="455"/>
      <c r="X308" s="455"/>
    </row>
    <row r="309" spans="1:25" s="29" customFormat="1">
      <c r="A309" s="405"/>
      <c r="B309" s="406" t="s">
        <v>148</v>
      </c>
      <c r="C309" s="348">
        <v>0</v>
      </c>
      <c r="D309" s="348">
        <v>0.5</v>
      </c>
      <c r="E309" s="348">
        <v>1</v>
      </c>
      <c r="F309" s="348">
        <v>0</v>
      </c>
      <c r="G309" s="348">
        <v>0</v>
      </c>
      <c r="H309" s="136">
        <f>SUM(C309:G309)</f>
        <v>1.5</v>
      </c>
      <c r="I309" s="137"/>
      <c r="J309" s="137"/>
      <c r="K309" s="137"/>
      <c r="L309" s="138">
        <f>((C309*$C$9)+(D309*$D$9)+(E309*$E$9)+(F309*$F$9))</f>
        <v>93.13600000000001</v>
      </c>
      <c r="M309" s="138">
        <v>0</v>
      </c>
      <c r="N309" s="139">
        <v>0</v>
      </c>
      <c r="O309" s="558">
        <f>0.05*O9</f>
        <v>1.0666666661666668</v>
      </c>
      <c r="P309" s="141">
        <f>(C309+D309+E309+F309)*O309</f>
        <v>1.5999999992500002</v>
      </c>
      <c r="Q309" s="72">
        <f>(M309+N309)*O309</f>
        <v>0</v>
      </c>
      <c r="R309" s="142">
        <f>(L309+M309+N309)*O309</f>
        <v>99.345066620098692</v>
      </c>
      <c r="S309" s="171" t="s">
        <v>254</v>
      </c>
      <c r="T309" s="536" t="str">
        <f t="shared" ref="T309:V310" si="128">IF($S309="RP",O309,"")</f>
        <v/>
      </c>
      <c r="U309" s="537" t="str">
        <f t="shared" si="128"/>
        <v/>
      </c>
      <c r="V309" s="521" t="str">
        <f t="shared" si="128"/>
        <v/>
      </c>
      <c r="W309" s="537">
        <f t="shared" ref="W309:Y310" si="129">IF($S309="RK",O309,"")</f>
        <v>1.0666666661666668</v>
      </c>
      <c r="X309" s="537">
        <f t="shared" si="129"/>
        <v>1.5999999992500002</v>
      </c>
      <c r="Y309" s="521">
        <f t="shared" si="129"/>
        <v>0</v>
      </c>
    </row>
    <row r="310" spans="1:25" s="29" customFormat="1" ht="12" thickBot="1">
      <c r="A310" s="353"/>
      <c r="B310" s="296" t="s">
        <v>65</v>
      </c>
      <c r="C310" s="195">
        <v>0</v>
      </c>
      <c r="D310" s="195">
        <v>0.25</v>
      </c>
      <c r="E310" s="195">
        <v>0</v>
      </c>
      <c r="F310" s="195">
        <v>0.25</v>
      </c>
      <c r="G310" s="106">
        <v>0</v>
      </c>
      <c r="H310" s="136">
        <f>SUM(C310:G310)</f>
        <v>0.5</v>
      </c>
      <c r="I310" s="137"/>
      <c r="J310" s="137"/>
      <c r="K310" s="137"/>
      <c r="L310" s="138">
        <f>((C310*$C$9)+(D310*$D$9)+(E310*$E$9)+(F310*$F$9))</f>
        <v>26.696000000000002</v>
      </c>
      <c r="M310" s="138">
        <v>0</v>
      </c>
      <c r="N310" s="139">
        <v>1</v>
      </c>
      <c r="O310" s="556">
        <f>0.05*O9</f>
        <v>1.0666666661666668</v>
      </c>
      <c r="P310" s="407">
        <f>(C310+D310+E310+F310)*O310</f>
        <v>0.53333333308333342</v>
      </c>
      <c r="Q310" s="72">
        <f>(M310+N310)*O310</f>
        <v>1.0666666661666668</v>
      </c>
      <c r="R310" s="142">
        <f>(L310+M310+N310)*O310</f>
        <v>29.542399986152006</v>
      </c>
      <c r="S310" s="171" t="s">
        <v>259</v>
      </c>
      <c r="T310" s="536">
        <f t="shared" si="128"/>
        <v>1.0666666661666668</v>
      </c>
      <c r="U310" s="537">
        <f t="shared" si="128"/>
        <v>0.53333333308333342</v>
      </c>
      <c r="V310" s="521">
        <f t="shared" si="128"/>
        <v>1.0666666661666668</v>
      </c>
      <c r="W310" s="537" t="str">
        <f t="shared" si="129"/>
        <v/>
      </c>
      <c r="X310" s="537" t="str">
        <f t="shared" si="129"/>
        <v/>
      </c>
      <c r="Y310" s="521" t="str">
        <f t="shared" si="129"/>
        <v/>
      </c>
    </row>
    <row r="311" spans="1:25" s="29" customFormat="1" ht="12.75" thickTop="1" thickBot="1">
      <c r="A311" s="399" t="s">
        <v>22</v>
      </c>
      <c r="B311" s="400"/>
      <c r="C311" s="78">
        <f>SUM(C309:C310)</f>
        <v>0</v>
      </c>
      <c r="D311" s="78">
        <f>SUM(D309:D310)</f>
        <v>0.75</v>
      </c>
      <c r="E311" s="78">
        <f>SUM(E309:E310)</f>
        <v>1</v>
      </c>
      <c r="F311" s="78">
        <f>SUM(F309:F310)</f>
        <v>0.25</v>
      </c>
      <c r="G311" s="78">
        <f>G308</f>
        <v>0</v>
      </c>
      <c r="H311" s="78">
        <f>SUM(H309:H310)</f>
        <v>2</v>
      </c>
      <c r="I311" s="79">
        <f>I308</f>
        <v>0</v>
      </c>
      <c r="J311" s="79">
        <f>J308</f>
        <v>0</v>
      </c>
      <c r="K311" s="79">
        <f>K308</f>
        <v>0</v>
      </c>
      <c r="L311" s="80">
        <f>SUM(L309:L310)</f>
        <v>119.83200000000001</v>
      </c>
      <c r="M311" s="80">
        <f>SUM(M309:M310)</f>
        <v>0</v>
      </c>
      <c r="N311" s="81">
        <f>SUM(N309:N310)</f>
        <v>1</v>
      </c>
      <c r="O311" s="489"/>
      <c r="P311" s="78">
        <f>SUM(P309:P310)</f>
        <v>2.1333333323333337</v>
      </c>
      <c r="Q311" s="80">
        <f>SUM(Q309:Q310)</f>
        <v>1.0666666661666668</v>
      </c>
      <c r="R311" s="80">
        <f>SUM(R309:R310)</f>
        <v>128.88746660625071</v>
      </c>
      <c r="S311" s="80"/>
      <c r="T311" s="79">
        <f t="shared" ref="T311:Y311" si="130">SUM(T309:T310)</f>
        <v>1.0666666661666668</v>
      </c>
      <c r="U311" s="79">
        <f t="shared" si="130"/>
        <v>0.53333333308333342</v>
      </c>
      <c r="V311" s="80">
        <f t="shared" si="130"/>
        <v>1.0666666661666668</v>
      </c>
      <c r="W311" s="79">
        <f t="shared" si="130"/>
        <v>1.0666666661666668</v>
      </c>
      <c r="X311" s="79">
        <f t="shared" si="130"/>
        <v>1.5999999992500002</v>
      </c>
      <c r="Y311" s="80">
        <f t="shared" si="130"/>
        <v>0</v>
      </c>
    </row>
    <row r="312" spans="1:25" s="29" customFormat="1" ht="12" thickTop="1">
      <c r="A312" s="188" t="s">
        <v>149</v>
      </c>
      <c r="B312" s="172"/>
      <c r="C312" s="265"/>
      <c r="D312" s="265"/>
      <c r="E312" s="265"/>
      <c r="F312" s="265"/>
      <c r="G312" s="265"/>
      <c r="H312" s="265"/>
      <c r="I312" s="266"/>
      <c r="J312" s="266"/>
      <c r="K312" s="266"/>
      <c r="L312" s="267"/>
      <c r="M312" s="267"/>
      <c r="N312" s="73"/>
      <c r="O312" s="484"/>
      <c r="P312" s="269"/>
      <c r="Q312" s="269"/>
      <c r="R312" s="72"/>
      <c r="S312" s="11"/>
      <c r="T312" s="455"/>
      <c r="U312" s="533"/>
      <c r="W312" s="455"/>
      <c r="X312" s="455"/>
    </row>
    <row r="313" spans="1:25" s="29" customFormat="1">
      <c r="A313" s="408"/>
      <c r="B313" s="235" t="s">
        <v>150</v>
      </c>
      <c r="C313" s="409"/>
      <c r="D313" s="410"/>
      <c r="E313" s="410"/>
      <c r="F313" s="410"/>
      <c r="G313" s="410"/>
      <c r="H313" s="410"/>
      <c r="I313" s="411"/>
      <c r="J313" s="411"/>
      <c r="K313" s="411"/>
      <c r="L313" s="412"/>
      <c r="M313" s="412"/>
      <c r="N313" s="413"/>
      <c r="O313" s="491"/>
      <c r="P313" s="410"/>
      <c r="Q313" s="520"/>
      <c r="R313" s="39"/>
      <c r="S313" s="11"/>
      <c r="T313" s="455"/>
      <c r="U313" s="533"/>
      <c r="W313" s="455"/>
      <c r="X313" s="455"/>
    </row>
    <row r="314" spans="1:25" s="29" customFormat="1">
      <c r="A314" s="188"/>
      <c r="B314" s="398" t="s">
        <v>151</v>
      </c>
      <c r="C314" s="70">
        <v>0</v>
      </c>
      <c r="D314" s="70">
        <v>0.5</v>
      </c>
      <c r="E314" s="70">
        <v>1</v>
      </c>
      <c r="F314" s="70">
        <v>0</v>
      </c>
      <c r="G314" s="70">
        <v>0</v>
      </c>
      <c r="H314" s="70">
        <f>SUM(C314:G314)</f>
        <v>1.5</v>
      </c>
      <c r="I314" s="71"/>
      <c r="J314" s="71"/>
      <c r="K314" s="71"/>
      <c r="L314" s="72">
        <f>((C314*$C$9)+(D314*$D$9)+(E314*$E$9)+(F314*$F$9))</f>
        <v>93.13600000000001</v>
      </c>
      <c r="M314" s="72">
        <v>0</v>
      </c>
      <c r="N314" s="73">
        <v>0</v>
      </c>
      <c r="O314" s="556">
        <f>0.25*O9</f>
        <v>5.3333333308333337</v>
      </c>
      <c r="P314" s="75">
        <f>(C314+D314+E314+F314)*O314</f>
        <v>7.9999999962500006</v>
      </c>
      <c r="Q314" s="72">
        <f>(M314+N314)*O314</f>
        <v>0</v>
      </c>
      <c r="R314" s="72">
        <f>(L314+M314+N314)*O314</f>
        <v>496.7253331004934</v>
      </c>
      <c r="S314" s="171" t="s">
        <v>254</v>
      </c>
      <c r="T314" s="536" t="str">
        <f t="shared" ref="T314:V315" si="131">IF($S314="RP",O314,"")</f>
        <v/>
      </c>
      <c r="U314" s="537" t="str">
        <f t="shared" si="131"/>
        <v/>
      </c>
      <c r="V314" s="521" t="str">
        <f t="shared" si="131"/>
        <v/>
      </c>
      <c r="W314" s="537">
        <f t="shared" ref="W314:Y315" si="132">IF($S314="RK",O314,"")</f>
        <v>5.3333333308333337</v>
      </c>
      <c r="X314" s="537">
        <f t="shared" si="132"/>
        <v>7.9999999962500006</v>
      </c>
      <c r="Y314" s="521">
        <f t="shared" si="132"/>
        <v>0</v>
      </c>
    </row>
    <row r="315" spans="1:25" s="29" customFormat="1" ht="12" thickBot="1">
      <c r="A315" s="218"/>
      <c r="B315" s="296" t="s">
        <v>65</v>
      </c>
      <c r="C315" s="348">
        <v>0</v>
      </c>
      <c r="D315" s="348">
        <v>0.25</v>
      </c>
      <c r="E315" s="348">
        <v>0</v>
      </c>
      <c r="F315" s="348">
        <v>0.25</v>
      </c>
      <c r="G315" s="348">
        <v>0</v>
      </c>
      <c r="H315" s="136">
        <f>SUM(C315:G315)</f>
        <v>0.5</v>
      </c>
      <c r="I315" s="137"/>
      <c r="J315" s="137"/>
      <c r="K315" s="137"/>
      <c r="L315" s="138">
        <f>((C315*$C$9)+(D315*$D$9)+(E315*$E$9)+(F315*$F$9))</f>
        <v>26.696000000000002</v>
      </c>
      <c r="M315" s="138">
        <v>0</v>
      </c>
      <c r="N315" s="139">
        <v>1</v>
      </c>
      <c r="O315" s="558">
        <f>O314</f>
        <v>5.3333333308333337</v>
      </c>
      <c r="P315" s="141">
        <f>(C315+D315+E315+F315)*O315</f>
        <v>2.6666666654166669</v>
      </c>
      <c r="Q315" s="72">
        <f>(M315+N315)*O315</f>
        <v>5.3333333308333337</v>
      </c>
      <c r="R315" s="142">
        <f>(L315+M315+N315)*O315</f>
        <v>147.71199993076002</v>
      </c>
      <c r="S315" s="171" t="s">
        <v>254</v>
      </c>
      <c r="T315" s="536" t="str">
        <f t="shared" si="131"/>
        <v/>
      </c>
      <c r="U315" s="537" t="str">
        <f t="shared" si="131"/>
        <v/>
      </c>
      <c r="V315" s="521" t="str">
        <f t="shared" si="131"/>
        <v/>
      </c>
      <c r="W315" s="537">
        <f t="shared" si="132"/>
        <v>5.3333333308333337</v>
      </c>
      <c r="X315" s="537">
        <f t="shared" si="132"/>
        <v>2.6666666654166669</v>
      </c>
      <c r="Y315" s="521">
        <f t="shared" si="132"/>
        <v>5.3333333308333337</v>
      </c>
    </row>
    <row r="316" spans="1:25" s="29" customFormat="1" ht="12.75" thickTop="1" thickBot="1">
      <c r="A316" s="399" t="s">
        <v>22</v>
      </c>
      <c r="B316" s="400"/>
      <c r="C316" s="78">
        <f>SUM(C314:C315)</f>
        <v>0</v>
      </c>
      <c r="D316" s="78">
        <f>SUM(D314:D315)</f>
        <v>0.75</v>
      </c>
      <c r="E316" s="78">
        <f>SUM(E314:E315)</f>
        <v>1</v>
      </c>
      <c r="F316" s="78">
        <f>SUM(F314:F315)</f>
        <v>0.25</v>
      </c>
      <c r="G316" s="78">
        <f>G313</f>
        <v>0</v>
      </c>
      <c r="H316" s="78">
        <f>SUM(H314:H315)</f>
        <v>2</v>
      </c>
      <c r="I316" s="79">
        <f>I313</f>
        <v>0</v>
      </c>
      <c r="J316" s="79">
        <f>J313</f>
        <v>0</v>
      </c>
      <c r="K316" s="79">
        <f>K313</f>
        <v>0</v>
      </c>
      <c r="L316" s="80">
        <f>SUM(L314:L315)</f>
        <v>119.83200000000001</v>
      </c>
      <c r="M316" s="80">
        <f>SUM(M314:M315)</f>
        <v>0</v>
      </c>
      <c r="N316" s="81">
        <f>SUM(N314:N315)</f>
        <v>1</v>
      </c>
      <c r="O316" s="489"/>
      <c r="P316" s="78">
        <f>SUM(P314:P315)</f>
        <v>10.666666661666667</v>
      </c>
      <c r="Q316" s="80">
        <f>SUM(Q314:Q315)</f>
        <v>5.3333333308333337</v>
      </c>
      <c r="R316" s="80">
        <f>SUM(R314:R315)</f>
        <v>644.43733303125339</v>
      </c>
      <c r="S316" s="80"/>
      <c r="T316" s="79">
        <f t="shared" ref="T316:Y316" si="133">SUM(T314:T315)</f>
        <v>0</v>
      </c>
      <c r="U316" s="79">
        <f t="shared" si="133"/>
        <v>0</v>
      </c>
      <c r="V316" s="80">
        <f t="shared" si="133"/>
        <v>0</v>
      </c>
      <c r="W316" s="79">
        <f t="shared" si="133"/>
        <v>10.666666661666667</v>
      </c>
      <c r="X316" s="79">
        <f t="shared" si="133"/>
        <v>10.666666661666667</v>
      </c>
      <c r="Y316" s="80">
        <f t="shared" si="133"/>
        <v>5.3333333308333337</v>
      </c>
    </row>
    <row r="317" spans="1:25" s="29" customFormat="1" ht="12.75" thickTop="1" thickBot="1">
      <c r="A317" s="414" t="s">
        <v>152</v>
      </c>
      <c r="B317" s="415"/>
      <c r="C317" s="101"/>
      <c r="D317" s="101"/>
      <c r="E317" s="101"/>
      <c r="F317" s="101"/>
      <c r="G317" s="101"/>
      <c r="H317" s="101"/>
      <c r="I317" s="102"/>
      <c r="J317" s="102"/>
      <c r="K317" s="102"/>
      <c r="L317" s="103"/>
      <c r="M317" s="103"/>
      <c r="N317" s="81"/>
      <c r="O317" s="480"/>
      <c r="P317" s="104"/>
      <c r="Q317" s="104"/>
      <c r="R317" s="80"/>
      <c r="S317" s="11"/>
      <c r="T317" s="455"/>
      <c r="U317" s="533"/>
      <c r="W317" s="455"/>
      <c r="X317" s="455"/>
    </row>
    <row r="318" spans="1:25" s="29" customFormat="1" ht="12" hidden="1" thickTop="1">
      <c r="A318" s="416" t="s">
        <v>57</v>
      </c>
      <c r="B318" s="417"/>
      <c r="C318" s="418"/>
      <c r="D318" s="418"/>
      <c r="E318" s="418"/>
      <c r="F318" s="418"/>
      <c r="G318" s="418"/>
      <c r="H318" s="418"/>
      <c r="I318" s="419"/>
      <c r="J318" s="419"/>
      <c r="K318" s="419"/>
      <c r="L318" s="420"/>
      <c r="M318" s="420"/>
      <c r="N318" s="421"/>
      <c r="O318" s="484"/>
      <c r="P318" s="422"/>
      <c r="Q318" s="422"/>
      <c r="R318" s="423"/>
      <c r="S318" s="11"/>
      <c r="T318" s="455"/>
      <c r="U318" s="533"/>
      <c r="W318" s="455"/>
      <c r="X318" s="455"/>
    </row>
    <row r="319" spans="1:25" s="29" customFormat="1" ht="12" hidden="1" thickTop="1">
      <c r="A319" s="351" t="s">
        <v>58</v>
      </c>
      <c r="B319" s="339"/>
      <c r="C319" s="144"/>
      <c r="D319" s="144"/>
      <c r="E319" s="144"/>
      <c r="F319" s="144"/>
      <c r="G319" s="144"/>
      <c r="H319" s="144"/>
      <c r="I319" s="190"/>
      <c r="J319" s="190"/>
      <c r="K319" s="190"/>
      <c r="L319" s="128"/>
      <c r="M319" s="128"/>
      <c r="N319" s="129"/>
      <c r="O319" s="474"/>
      <c r="P319" s="192"/>
      <c r="Q319" s="192"/>
      <c r="R319" s="128"/>
      <c r="S319" s="11"/>
      <c r="T319" s="455"/>
      <c r="U319" s="533"/>
      <c r="W319" s="455"/>
      <c r="X319" s="455"/>
    </row>
    <row r="320" spans="1:25" s="29" customFormat="1" ht="12" hidden="1" thickTop="1">
      <c r="A320" s="188" t="s">
        <v>59</v>
      </c>
      <c r="B320" s="398"/>
      <c r="C320" s="195">
        <v>0</v>
      </c>
      <c r="D320" s="195">
        <v>1</v>
      </c>
      <c r="E320" s="195">
        <v>4</v>
      </c>
      <c r="F320" s="195">
        <v>0</v>
      </c>
      <c r="G320" s="106"/>
      <c r="H320" s="136">
        <f>SUM(C320:F320)</f>
        <v>5</v>
      </c>
      <c r="I320" s="137"/>
      <c r="J320" s="137"/>
      <c r="K320" s="137"/>
      <c r="L320" s="138" t="e">
        <f>((C320*#REF!)+(D320*$D$9)+(E320*$E$9)+(F320*$F$9))</f>
        <v>#REF!</v>
      </c>
      <c r="M320" s="138">
        <v>0</v>
      </c>
      <c r="N320" s="139">
        <v>0</v>
      </c>
      <c r="O320" s="473" t="e">
        <f>#REF!</f>
        <v>#REF!</v>
      </c>
      <c r="P320" s="141" t="e">
        <f>(C320+D320+E320+F320)*O320</f>
        <v>#REF!</v>
      </c>
      <c r="Q320" s="343"/>
      <c r="R320" s="142" t="e">
        <f>(L320+M320+N320)*O320</f>
        <v>#REF!</v>
      </c>
      <c r="S320" s="11"/>
      <c r="T320" s="455"/>
      <c r="U320" s="533"/>
      <c r="W320" s="455"/>
      <c r="X320" s="455"/>
    </row>
    <row r="321" spans="1:25" s="29" customFormat="1" ht="12" hidden="1" thickTop="1">
      <c r="A321" s="351" t="s">
        <v>26</v>
      </c>
      <c r="B321" s="339"/>
      <c r="C321" s="144">
        <v>0</v>
      </c>
      <c r="D321" s="144">
        <v>0.25</v>
      </c>
      <c r="E321" s="144">
        <v>0</v>
      </c>
      <c r="F321" s="144">
        <v>0.25</v>
      </c>
      <c r="G321" s="106"/>
      <c r="H321" s="136">
        <f>SUM(C321:F321)</f>
        <v>0.5</v>
      </c>
      <c r="I321" s="137"/>
      <c r="J321" s="137"/>
      <c r="K321" s="137"/>
      <c r="L321" s="138" t="e">
        <f>((C321*#REF!)+(D321*$D$9)+(E321*$E$9)+(F321*$F$9))</f>
        <v>#REF!</v>
      </c>
      <c r="M321" s="138">
        <v>0</v>
      </c>
      <c r="N321" s="139" t="e">
        <f>O321*0.52</f>
        <v>#REF!</v>
      </c>
      <c r="O321" s="474" t="e">
        <f>O320</f>
        <v>#REF!</v>
      </c>
      <c r="P321" s="141" t="e">
        <f>(C321+D321+E321+F321)*O321</f>
        <v>#REF!</v>
      </c>
      <c r="Q321" s="343"/>
      <c r="R321" s="142" t="e">
        <f>(L321+M321+N321)*O321</f>
        <v>#REF!</v>
      </c>
      <c r="S321" s="11"/>
      <c r="T321" s="455"/>
      <c r="U321" s="533"/>
      <c r="W321" s="455"/>
      <c r="X321" s="455"/>
    </row>
    <row r="322" spans="1:25" s="29" customFormat="1" ht="12.75" hidden="1" thickTop="1" thickBot="1">
      <c r="A322" s="399" t="s">
        <v>22</v>
      </c>
      <c r="B322" s="400"/>
      <c r="C322" s="84">
        <f>(C320)</f>
        <v>0</v>
      </c>
      <c r="D322" s="84" t="s">
        <v>23</v>
      </c>
      <c r="E322" s="84" t="s">
        <v>23</v>
      </c>
      <c r="F322" s="84" t="s">
        <v>23</v>
      </c>
      <c r="G322" s="84"/>
      <c r="H322" s="84" t="s">
        <v>23</v>
      </c>
      <c r="I322" s="85"/>
      <c r="J322" s="85"/>
      <c r="K322" s="85"/>
      <c r="L322" s="149" t="s">
        <v>23</v>
      </c>
      <c r="M322" s="86">
        <f>SUM(M320:M320)</f>
        <v>0</v>
      </c>
      <c r="N322" s="397" t="s">
        <v>23</v>
      </c>
      <c r="O322" s="489" t="e">
        <f>O320</f>
        <v>#REF!</v>
      </c>
      <c r="P322" s="83" t="e">
        <f>SUM(P320:P320)</f>
        <v>#REF!</v>
      </c>
      <c r="Q322" s="83"/>
      <c r="R322" s="86" t="e">
        <f>SUM(R320:R320)</f>
        <v>#REF!</v>
      </c>
      <c r="S322" s="11"/>
      <c r="T322" s="455"/>
      <c r="U322" s="533"/>
      <c r="W322" s="455"/>
      <c r="X322" s="455"/>
    </row>
    <row r="323" spans="1:25" s="29" customFormat="1" ht="12" thickTop="1">
      <c r="A323" s="201" t="s">
        <v>153</v>
      </c>
      <c r="B323" s="202"/>
      <c r="C323" s="203"/>
      <c r="D323" s="203"/>
      <c r="E323" s="203"/>
      <c r="F323" s="203"/>
      <c r="G323" s="203"/>
      <c r="H323" s="203"/>
      <c r="I323" s="204"/>
      <c r="J323" s="204"/>
      <c r="K323" s="204"/>
      <c r="L323" s="205"/>
      <c r="M323" s="205"/>
      <c r="N323" s="206"/>
      <c r="O323" s="477"/>
      <c r="P323" s="208"/>
      <c r="Q323" s="208"/>
      <c r="R323" s="209"/>
      <c r="S323" s="209"/>
      <c r="T323" s="552"/>
      <c r="U323" s="552"/>
      <c r="V323" s="209"/>
      <c r="W323" s="552"/>
      <c r="X323" s="552"/>
      <c r="Y323" s="209"/>
    </row>
    <row r="324" spans="1:25" s="29" customFormat="1">
      <c r="A324" s="424"/>
      <c r="B324" s="425" t="s">
        <v>203</v>
      </c>
      <c r="C324" s="410"/>
      <c r="D324" s="410"/>
      <c r="E324" s="410"/>
      <c r="F324" s="410"/>
      <c r="G324" s="410"/>
      <c r="H324" s="410"/>
      <c r="I324" s="411"/>
      <c r="J324" s="411"/>
      <c r="K324" s="411"/>
      <c r="L324" s="412"/>
      <c r="M324" s="412"/>
      <c r="N324" s="426"/>
      <c r="O324" s="492"/>
      <c r="P324" s="410"/>
      <c r="Q324" s="410"/>
      <c r="R324" s="412"/>
      <c r="S324" s="11"/>
      <c r="T324" s="455"/>
      <c r="U324" s="533"/>
      <c r="W324" s="455"/>
      <c r="X324" s="455"/>
    </row>
    <row r="325" spans="1:25" s="29" customFormat="1">
      <c r="A325" s="353"/>
      <c r="B325" s="296" t="s">
        <v>136</v>
      </c>
      <c r="C325" s="195">
        <v>0</v>
      </c>
      <c r="D325" s="195">
        <v>0.25</v>
      </c>
      <c r="E325" s="195">
        <v>5</v>
      </c>
      <c r="F325" s="195">
        <v>0</v>
      </c>
      <c r="G325" s="265">
        <v>0</v>
      </c>
      <c r="H325" s="136">
        <f>SUM(C325:G325)</f>
        <v>5.25</v>
      </c>
      <c r="I325" s="137"/>
      <c r="J325" s="137"/>
      <c r="K325" s="137"/>
      <c r="L325" s="138">
        <f>((C325*$C$9)+(D325*$D$9)+(E325*$E$9)+(F325*$F$9))</f>
        <v>293.81600000000003</v>
      </c>
      <c r="M325" s="138">
        <v>0</v>
      </c>
      <c r="N325" s="139">
        <v>0</v>
      </c>
      <c r="O325" s="556">
        <f>0.25*O9</f>
        <v>5.3333333308333337</v>
      </c>
      <c r="P325" s="141">
        <f>(C325+D325+E325+F325)*O325</f>
        <v>27.999999986875004</v>
      </c>
      <c r="Q325" s="72">
        <f>(M325+N325)*O325</f>
        <v>0</v>
      </c>
      <c r="R325" s="142">
        <f>(L325+M325+N325)*O325</f>
        <v>1567.0186659321269</v>
      </c>
      <c r="S325" s="171" t="s">
        <v>254</v>
      </c>
      <c r="T325" s="536" t="str">
        <f>IF($S325="RP",O325,"")</f>
        <v/>
      </c>
      <c r="U325" s="537" t="str">
        <f>IF($S325="RP",P325,"")</f>
        <v/>
      </c>
      <c r="V325" s="521" t="str">
        <f>IF($S325="RP",Q325,"")</f>
        <v/>
      </c>
      <c r="W325" s="537">
        <f>IF($S325="RK",O325,"")</f>
        <v>5.3333333308333337</v>
      </c>
      <c r="X325" s="537">
        <f>IF($S325="RK",P325,"")</f>
        <v>27.999999986875004</v>
      </c>
      <c r="Y325" s="521">
        <f>IF($S325="RK",Q325,"")</f>
        <v>0</v>
      </c>
    </row>
    <row r="326" spans="1:25" s="29" customFormat="1">
      <c r="A326" s="351"/>
      <c r="B326" s="339" t="s">
        <v>154</v>
      </c>
      <c r="C326" s="144"/>
      <c r="D326" s="144"/>
      <c r="E326" s="144"/>
      <c r="F326" s="144"/>
      <c r="G326" s="106"/>
      <c r="H326" s="427"/>
      <c r="I326" s="107"/>
      <c r="J326" s="107"/>
      <c r="K326" s="107"/>
      <c r="L326" s="176"/>
      <c r="M326" s="108"/>
      <c r="N326" s="428"/>
      <c r="O326" s="557"/>
      <c r="P326" s="111"/>
      <c r="Q326" s="111"/>
      <c r="R326" s="272"/>
      <c r="S326" s="11"/>
      <c r="T326" s="455"/>
      <c r="U326" s="533"/>
      <c r="W326" s="455"/>
      <c r="X326" s="455"/>
    </row>
    <row r="327" spans="1:25" s="29" customFormat="1" ht="12" thickBot="1">
      <c r="A327" s="369"/>
      <c r="B327" s="339" t="s">
        <v>155</v>
      </c>
      <c r="C327" s="348">
        <v>0</v>
      </c>
      <c r="D327" s="348">
        <v>0.25</v>
      </c>
      <c r="E327" s="348">
        <v>1</v>
      </c>
      <c r="F327" s="348">
        <v>0</v>
      </c>
      <c r="G327" s="348">
        <v>0</v>
      </c>
      <c r="H327" s="136">
        <f>SUM(C327:G327)</f>
        <v>1.25</v>
      </c>
      <c r="I327" s="137"/>
      <c r="J327" s="137"/>
      <c r="K327" s="137"/>
      <c r="L327" s="138">
        <f>((C327*$C$9)+(D327*$D$9)+(E327*$E$9)+(F327*$F$9))</f>
        <v>74.040000000000006</v>
      </c>
      <c r="M327" s="138">
        <v>0</v>
      </c>
      <c r="N327" s="139">
        <v>0</v>
      </c>
      <c r="O327" s="558">
        <f>0.1*O9</f>
        <v>2.1333333323333337</v>
      </c>
      <c r="P327" s="141">
        <f>(C327+D327+E327+F327)*O327</f>
        <v>2.6666666654166669</v>
      </c>
      <c r="Q327" s="72">
        <f>(M327+N327)*O327</f>
        <v>0</v>
      </c>
      <c r="R327" s="142">
        <f>(L327+M327+N327)*O327</f>
        <v>157.95199992596002</v>
      </c>
      <c r="S327" s="171" t="s">
        <v>254</v>
      </c>
      <c r="T327" s="536" t="str">
        <f>IF($S327="RP",O327,"")</f>
        <v/>
      </c>
      <c r="U327" s="537" t="str">
        <f>IF($S327="RP",P327,"")</f>
        <v/>
      </c>
      <c r="V327" s="521" t="str">
        <f>IF($S327="RP",Q327,"")</f>
        <v/>
      </c>
      <c r="W327" s="537">
        <f>IF($S327="RK",O327,"")</f>
        <v>2.1333333323333337</v>
      </c>
      <c r="X327" s="537">
        <f>IF($S327="RK",P327,"")</f>
        <v>2.6666666654166669</v>
      </c>
      <c r="Y327" s="521">
        <f>IF($S327="RK",Q327,"")</f>
        <v>0</v>
      </c>
    </row>
    <row r="328" spans="1:25" s="29" customFormat="1" ht="12.75" thickTop="1" thickBot="1">
      <c r="A328" s="399" t="s">
        <v>22</v>
      </c>
      <c r="B328" s="400"/>
      <c r="C328" s="78">
        <f t="shared" ref="C328:H328" si="134">SUM(C325:C327)</f>
        <v>0</v>
      </c>
      <c r="D328" s="78">
        <f t="shared" si="134"/>
        <v>0.5</v>
      </c>
      <c r="E328" s="78">
        <f t="shared" si="134"/>
        <v>6</v>
      </c>
      <c r="F328" s="78">
        <f t="shared" si="134"/>
        <v>0</v>
      </c>
      <c r="G328" s="78">
        <f t="shared" si="134"/>
        <v>0</v>
      </c>
      <c r="H328" s="78">
        <f t="shared" si="134"/>
        <v>6.5</v>
      </c>
      <c r="I328" s="79" t="e">
        <f>#REF!</f>
        <v>#REF!</v>
      </c>
      <c r="J328" s="79" t="e">
        <f>#REF!</f>
        <v>#REF!</v>
      </c>
      <c r="K328" s="79" t="e">
        <f>#REF!</f>
        <v>#REF!</v>
      </c>
      <c r="L328" s="80">
        <f>SUM(L325:L327)</f>
        <v>367.85600000000005</v>
      </c>
      <c r="M328" s="80">
        <f>SUM(M325:M327)</f>
        <v>0</v>
      </c>
      <c r="N328" s="81">
        <f>SUM(N325:N327)</f>
        <v>0</v>
      </c>
      <c r="O328" s="489"/>
      <c r="P328" s="78">
        <f>SUM(P325:P327)</f>
        <v>30.666666652291671</v>
      </c>
      <c r="Q328" s="80">
        <f>SUM(Q325:Q327)</f>
        <v>0</v>
      </c>
      <c r="R328" s="80">
        <f>SUM(R325:R327)</f>
        <v>1724.9706658580869</v>
      </c>
      <c r="S328" s="80"/>
      <c r="T328" s="79">
        <f t="shared" ref="T328:Y328" si="135">SUM(T325:T327)</f>
        <v>0</v>
      </c>
      <c r="U328" s="79">
        <f t="shared" si="135"/>
        <v>0</v>
      </c>
      <c r="V328" s="80">
        <f t="shared" si="135"/>
        <v>0</v>
      </c>
      <c r="W328" s="79">
        <f t="shared" si="135"/>
        <v>7.4666666631666674</v>
      </c>
      <c r="X328" s="79">
        <f t="shared" si="135"/>
        <v>30.666666652291671</v>
      </c>
      <c r="Y328" s="80">
        <f t="shared" si="135"/>
        <v>0</v>
      </c>
    </row>
    <row r="329" spans="1:25" s="29" customFormat="1" ht="12" thickTop="1">
      <c r="A329" s="201" t="s">
        <v>156</v>
      </c>
      <c r="B329" s="202"/>
      <c r="C329" s="203"/>
      <c r="D329" s="203"/>
      <c r="E329" s="203"/>
      <c r="F329" s="203"/>
      <c r="G329" s="203"/>
      <c r="H329" s="203"/>
      <c r="I329" s="204"/>
      <c r="J329" s="204"/>
      <c r="K329" s="204"/>
      <c r="L329" s="205"/>
      <c r="M329" s="205"/>
      <c r="N329" s="206"/>
      <c r="O329" s="477"/>
      <c r="P329" s="208"/>
      <c r="Q329" s="208"/>
      <c r="R329" s="209"/>
      <c r="S329" s="11"/>
      <c r="T329" s="455"/>
      <c r="U329" s="533"/>
      <c r="W329" s="455"/>
      <c r="X329" s="455"/>
    </row>
    <row r="330" spans="1:25" s="29" customFormat="1">
      <c r="A330" s="218"/>
      <c r="B330" s="219" t="s">
        <v>157</v>
      </c>
      <c r="C330" s="144"/>
      <c r="D330" s="144"/>
      <c r="E330" s="144"/>
      <c r="F330" s="144"/>
      <c r="G330" s="144"/>
      <c r="H330" s="144"/>
      <c r="I330" s="190"/>
      <c r="J330" s="190"/>
      <c r="K330" s="190"/>
      <c r="L330" s="128"/>
      <c r="M330" s="128"/>
      <c r="N330" s="129"/>
      <c r="O330" s="474"/>
      <c r="P330" s="192"/>
      <c r="Q330" s="192"/>
      <c r="R330" s="128"/>
      <c r="S330" s="11"/>
      <c r="T330" s="455"/>
      <c r="U330" s="533"/>
      <c r="W330" s="455"/>
      <c r="X330" s="455"/>
    </row>
    <row r="331" spans="1:25" s="29" customFormat="1">
      <c r="A331" s="188"/>
      <c r="B331" s="398" t="s">
        <v>158</v>
      </c>
      <c r="C331" s="195">
        <v>0</v>
      </c>
      <c r="D331" s="195">
        <v>0.25</v>
      </c>
      <c r="E331" s="195">
        <v>5</v>
      </c>
      <c r="F331" s="195">
        <v>0</v>
      </c>
      <c r="G331" s="265">
        <v>0</v>
      </c>
      <c r="H331" s="136">
        <f>SUM(C331:G331)</f>
        <v>5.25</v>
      </c>
      <c r="I331" s="137"/>
      <c r="J331" s="137"/>
      <c r="K331" s="137"/>
      <c r="L331" s="138">
        <f>((C331*$C$9)+(D331*$D$9)+(E331*$E$9)+(F331*$F$9))</f>
        <v>293.81600000000003</v>
      </c>
      <c r="M331" s="222">
        <v>0</v>
      </c>
      <c r="N331" s="185">
        <v>0</v>
      </c>
      <c r="O331" s="473">
        <f>O9</f>
        <v>21.333333323333335</v>
      </c>
      <c r="P331" s="141">
        <f>(C331+D331+E331+F331)*O331</f>
        <v>111.99999994750002</v>
      </c>
      <c r="Q331" s="72">
        <f>(M331+N331)*O331</f>
        <v>0</v>
      </c>
      <c r="R331" s="142">
        <f>(L331+M331+N331)*O331</f>
        <v>6268.0746637285074</v>
      </c>
      <c r="S331" s="171" t="s">
        <v>254</v>
      </c>
      <c r="T331" s="536" t="str">
        <f t="shared" ref="T331:V332" si="136">IF($S331="RP",O331,"")</f>
        <v/>
      </c>
      <c r="U331" s="537" t="str">
        <f t="shared" si="136"/>
        <v/>
      </c>
      <c r="V331" s="521" t="str">
        <f t="shared" si="136"/>
        <v/>
      </c>
      <c r="W331" s="537">
        <f t="shared" ref="W331:Y332" si="137">IF($S331="RK",O331,"")</f>
        <v>21.333333323333335</v>
      </c>
      <c r="X331" s="537">
        <f t="shared" si="137"/>
        <v>111.99999994750002</v>
      </c>
      <c r="Y331" s="521">
        <f t="shared" si="137"/>
        <v>0</v>
      </c>
    </row>
    <row r="332" spans="1:25" s="29" customFormat="1" ht="12" thickBot="1">
      <c r="A332" s="218"/>
      <c r="B332" s="219" t="s">
        <v>97</v>
      </c>
      <c r="C332" s="144">
        <v>0</v>
      </c>
      <c r="D332" s="144">
        <v>0.25</v>
      </c>
      <c r="E332" s="144">
        <v>0</v>
      </c>
      <c r="F332" s="144">
        <v>0.25</v>
      </c>
      <c r="G332" s="106">
        <v>0</v>
      </c>
      <c r="H332" s="136">
        <f>SUM(C332:G332)</f>
        <v>0.5</v>
      </c>
      <c r="I332" s="137"/>
      <c r="J332" s="137"/>
      <c r="K332" s="137"/>
      <c r="L332" s="138">
        <f>((C332*$C$9)+(D332*$D$9)+(E332*$E$9)+(F332*$F$9))</f>
        <v>26.696000000000002</v>
      </c>
      <c r="M332" s="128">
        <v>0</v>
      </c>
      <c r="N332" s="139">
        <v>1</v>
      </c>
      <c r="O332" s="474">
        <f>O9</f>
        <v>21.333333323333335</v>
      </c>
      <c r="P332" s="141">
        <f>(C332+D332+E332+F332)*O332</f>
        <v>10.666666661666667</v>
      </c>
      <c r="Q332" s="72">
        <f>(M332+N332)*O332</f>
        <v>21.333333323333335</v>
      </c>
      <c r="R332" s="142">
        <f>(L332+M332+N332)*O332</f>
        <v>590.84799972304006</v>
      </c>
      <c r="S332" s="171" t="s">
        <v>259</v>
      </c>
      <c r="T332" s="536">
        <f t="shared" si="136"/>
        <v>21.333333323333335</v>
      </c>
      <c r="U332" s="537">
        <f t="shared" si="136"/>
        <v>10.666666661666667</v>
      </c>
      <c r="V332" s="521">
        <f t="shared" si="136"/>
        <v>21.333333323333335</v>
      </c>
      <c r="W332" s="537" t="str">
        <f t="shared" si="137"/>
        <v/>
      </c>
      <c r="X332" s="537" t="str">
        <f t="shared" si="137"/>
        <v/>
      </c>
      <c r="Y332" s="521" t="str">
        <f t="shared" si="137"/>
        <v/>
      </c>
    </row>
    <row r="333" spans="1:25" s="29" customFormat="1" ht="12.75" thickTop="1" thickBot="1">
      <c r="A333" s="399" t="s">
        <v>22</v>
      </c>
      <c r="B333" s="415"/>
      <c r="C333" s="147">
        <f t="shared" ref="C333:N333" si="138">SUM(C331:C332)</f>
        <v>0</v>
      </c>
      <c r="D333" s="147">
        <f t="shared" si="138"/>
        <v>0.5</v>
      </c>
      <c r="E333" s="147">
        <f t="shared" si="138"/>
        <v>5</v>
      </c>
      <c r="F333" s="147">
        <f t="shared" si="138"/>
        <v>0.25</v>
      </c>
      <c r="G333" s="147">
        <f t="shared" si="138"/>
        <v>0</v>
      </c>
      <c r="H333" s="147">
        <f t="shared" si="138"/>
        <v>5.75</v>
      </c>
      <c r="I333" s="102">
        <f t="shared" si="138"/>
        <v>0</v>
      </c>
      <c r="J333" s="102">
        <f t="shared" si="138"/>
        <v>0</v>
      </c>
      <c r="K333" s="102">
        <f t="shared" si="138"/>
        <v>0</v>
      </c>
      <c r="L333" s="149">
        <f t="shared" si="138"/>
        <v>320.51200000000006</v>
      </c>
      <c r="M333" s="86">
        <f t="shared" si="138"/>
        <v>0</v>
      </c>
      <c r="N333" s="397">
        <f t="shared" si="138"/>
        <v>1</v>
      </c>
      <c r="O333" s="489"/>
      <c r="P333" s="83">
        <f>SUM(P331:P332)</f>
        <v>122.66666660916668</v>
      </c>
      <c r="Q333" s="86">
        <f>SUM(Q331:Q332)</f>
        <v>21.333333323333335</v>
      </c>
      <c r="R333" s="86">
        <f>SUM(R331:R332)</f>
        <v>6858.9226634515471</v>
      </c>
      <c r="S333" s="86"/>
      <c r="T333" s="85">
        <f t="shared" ref="T333:Y333" si="139">SUM(T331:T332)</f>
        <v>21.333333323333335</v>
      </c>
      <c r="U333" s="85">
        <f t="shared" si="139"/>
        <v>10.666666661666667</v>
      </c>
      <c r="V333" s="86">
        <f t="shared" si="139"/>
        <v>21.333333323333335</v>
      </c>
      <c r="W333" s="85">
        <f t="shared" si="139"/>
        <v>21.333333323333335</v>
      </c>
      <c r="X333" s="85">
        <f t="shared" si="139"/>
        <v>111.99999994750002</v>
      </c>
      <c r="Y333" s="86">
        <f t="shared" si="139"/>
        <v>0</v>
      </c>
    </row>
    <row r="334" spans="1:25" s="29" customFormat="1" ht="12.75" thickTop="1" thickBot="1">
      <c r="A334" s="373" t="s">
        <v>159</v>
      </c>
      <c r="B334" s="146"/>
      <c r="C334" s="101"/>
      <c r="D334" s="101"/>
      <c r="E334" s="101"/>
      <c r="F334" s="101"/>
      <c r="G334" s="101"/>
      <c r="H334" s="101"/>
      <c r="I334" s="102"/>
      <c r="J334" s="102"/>
      <c r="K334" s="102"/>
      <c r="L334" s="103"/>
      <c r="M334" s="103"/>
      <c r="N334" s="81"/>
      <c r="O334" s="480"/>
      <c r="P334" s="104"/>
      <c r="Q334" s="104"/>
      <c r="R334" s="80"/>
      <c r="S334" s="11"/>
      <c r="T334" s="455"/>
      <c r="U334" s="533"/>
      <c r="W334" s="455"/>
      <c r="X334" s="455"/>
    </row>
    <row r="335" spans="1:25" s="29" customFormat="1" ht="12" thickTop="1">
      <c r="A335" s="351" t="s">
        <v>160</v>
      </c>
      <c r="B335" s="211"/>
      <c r="C335" s="265"/>
      <c r="D335" s="265"/>
      <c r="E335" s="265"/>
      <c r="F335" s="265"/>
      <c r="G335" s="265"/>
      <c r="H335" s="265"/>
      <c r="I335" s="266"/>
      <c r="J335" s="266"/>
      <c r="K335" s="266"/>
      <c r="L335" s="267"/>
      <c r="M335" s="267"/>
      <c r="N335" s="73"/>
      <c r="O335" s="484"/>
      <c r="P335" s="269"/>
      <c r="Q335" s="269"/>
      <c r="R335" s="72"/>
      <c r="S335" s="11"/>
      <c r="T335" s="455"/>
      <c r="U335" s="533"/>
      <c r="W335" s="455"/>
      <c r="X335" s="455"/>
    </row>
    <row r="336" spans="1:25" s="29" customFormat="1">
      <c r="A336" s="424"/>
      <c r="B336" s="425" t="s">
        <v>161</v>
      </c>
      <c r="C336" s="236"/>
      <c r="D336" s="236"/>
      <c r="E336" s="236"/>
      <c r="F336" s="236"/>
      <c r="G336" s="236"/>
      <c r="H336" s="236"/>
      <c r="I336" s="271"/>
      <c r="J336" s="271"/>
      <c r="K336" s="271"/>
      <c r="L336" s="272"/>
      <c r="M336" s="272"/>
      <c r="N336" s="295"/>
      <c r="O336" s="476"/>
      <c r="P336" s="273"/>
      <c r="Q336" s="273"/>
      <c r="R336" s="272"/>
      <c r="S336" s="11"/>
      <c r="T336" s="455"/>
      <c r="U336" s="533"/>
      <c r="W336" s="455"/>
      <c r="X336" s="455"/>
    </row>
    <row r="337" spans="1:25" s="29" customFormat="1" ht="12" thickBot="1">
      <c r="A337" s="353"/>
      <c r="B337" s="296" t="s">
        <v>162</v>
      </c>
      <c r="C337" s="195">
        <v>0</v>
      </c>
      <c r="D337" s="195">
        <v>0</v>
      </c>
      <c r="E337" s="195">
        <v>0</v>
      </c>
      <c r="F337" s="195">
        <v>15</v>
      </c>
      <c r="G337" s="106">
        <v>0</v>
      </c>
      <c r="H337" s="136">
        <f>SUM(C337:G337)</f>
        <v>15</v>
      </c>
      <c r="I337" s="137"/>
      <c r="J337" s="137"/>
      <c r="K337" s="137"/>
      <c r="L337" s="138">
        <f>((C337*$C$9)+(D337*$D$9)+(E337*$E$9)+(F337*$F$9))</f>
        <v>456.00000000000006</v>
      </c>
      <c r="M337" s="138">
        <v>0</v>
      </c>
      <c r="N337" s="139">
        <v>0</v>
      </c>
      <c r="O337" s="473">
        <f>O9</f>
        <v>21.333333323333335</v>
      </c>
      <c r="P337" s="141">
        <f>(C337+D337+E337+F337)*O337</f>
        <v>319.99999984999999</v>
      </c>
      <c r="Q337" s="72">
        <f>(M337+N337)*O337</f>
        <v>0</v>
      </c>
      <c r="R337" s="142">
        <f>(L337+M337+N337)*O337</f>
        <v>9727.9999954400027</v>
      </c>
      <c r="S337" s="565" t="s">
        <v>254</v>
      </c>
      <c r="T337" s="536" t="str">
        <f>IF($S337="RP",O337,"")</f>
        <v/>
      </c>
      <c r="U337" s="537" t="str">
        <f>IF($S337="RP",P337,"")</f>
        <v/>
      </c>
      <c r="V337" s="521" t="str">
        <f>IF($S337="RP",Q337,"")</f>
        <v/>
      </c>
      <c r="W337" s="537">
        <f>IF($S337="RK",O337,"")</f>
        <v>21.333333323333335</v>
      </c>
      <c r="X337" s="537">
        <f>IF($S337="RK",P337,"")</f>
        <v>319.99999984999999</v>
      </c>
      <c r="Y337" s="521">
        <f>IF($S337="RK",Q337,"")</f>
        <v>0</v>
      </c>
    </row>
    <row r="338" spans="1:25" s="29" customFormat="1" ht="12.75" thickTop="1" thickBot="1">
      <c r="A338" s="145" t="s">
        <v>22</v>
      </c>
      <c r="B338" s="429"/>
      <c r="C338" s="84">
        <f t="shared" ref="C338:N338" si="140">SUM(C335:C337)</f>
        <v>0</v>
      </c>
      <c r="D338" s="84">
        <f t="shared" si="140"/>
        <v>0</v>
      </c>
      <c r="E338" s="84">
        <f t="shared" si="140"/>
        <v>0</v>
      </c>
      <c r="F338" s="84">
        <f t="shared" si="140"/>
        <v>15</v>
      </c>
      <c r="G338" s="84">
        <f t="shared" si="140"/>
        <v>0</v>
      </c>
      <c r="H338" s="84">
        <f t="shared" si="140"/>
        <v>15</v>
      </c>
      <c r="I338" s="85">
        <f t="shared" si="140"/>
        <v>0</v>
      </c>
      <c r="J338" s="85">
        <f t="shared" si="140"/>
        <v>0</v>
      </c>
      <c r="K338" s="85">
        <f t="shared" si="140"/>
        <v>0</v>
      </c>
      <c r="L338" s="86">
        <f t="shared" si="140"/>
        <v>456.00000000000006</v>
      </c>
      <c r="M338" s="86">
        <f t="shared" si="140"/>
        <v>0</v>
      </c>
      <c r="N338" s="397">
        <f t="shared" si="140"/>
        <v>0</v>
      </c>
      <c r="O338" s="489"/>
      <c r="P338" s="83">
        <f>SUM(P335:P337)</f>
        <v>319.99999984999999</v>
      </c>
      <c r="Q338" s="86">
        <f>SUM(Q335:Q337)</f>
        <v>0</v>
      </c>
      <c r="R338" s="86">
        <f>SUM(R335:R337)</f>
        <v>9727.9999954400027</v>
      </c>
      <c r="S338" s="564"/>
      <c r="T338" s="571">
        <f t="shared" ref="T338:Y338" si="141">SUM(T335:T337)</f>
        <v>0</v>
      </c>
      <c r="U338" s="571">
        <f t="shared" si="141"/>
        <v>0</v>
      </c>
      <c r="V338" s="555">
        <f t="shared" si="141"/>
        <v>0</v>
      </c>
      <c r="W338" s="571">
        <f t="shared" si="141"/>
        <v>21.333333323333335</v>
      </c>
      <c r="X338" s="571">
        <f t="shared" si="141"/>
        <v>319.99999984999999</v>
      </c>
      <c r="Y338" s="555">
        <f t="shared" si="141"/>
        <v>0</v>
      </c>
    </row>
    <row r="339" spans="1:25" s="29" customFormat="1" ht="12.75" thickTop="1" thickBot="1">
      <c r="A339" s="373" t="s">
        <v>199</v>
      </c>
      <c r="B339" s="146"/>
      <c r="C339" s="101"/>
      <c r="D339" s="101"/>
      <c r="E339" s="101"/>
      <c r="F339" s="101"/>
      <c r="G339" s="101"/>
      <c r="H339" s="101"/>
      <c r="I339" s="102"/>
      <c r="J339" s="102"/>
      <c r="K339" s="102"/>
      <c r="L339" s="103"/>
      <c r="M339" s="103"/>
      <c r="N339" s="81"/>
      <c r="O339" s="480"/>
      <c r="P339" s="104"/>
      <c r="Q339" s="104"/>
      <c r="R339" s="80"/>
      <c r="S339" s="80"/>
      <c r="T339" s="80"/>
      <c r="U339" s="80"/>
      <c r="V339" s="80"/>
      <c r="W339" s="80"/>
      <c r="X339" s="80"/>
      <c r="Y339" s="80"/>
    </row>
    <row r="340" spans="1:25" s="29" customFormat="1" ht="12" thickTop="1">
      <c r="A340" s="430" t="s">
        <v>163</v>
      </c>
      <c r="B340" s="431"/>
      <c r="C340" s="265"/>
      <c r="D340" s="265"/>
      <c r="E340" s="265"/>
      <c r="F340" s="265"/>
      <c r="G340" s="265"/>
      <c r="H340" s="265"/>
      <c r="I340" s="266"/>
      <c r="J340" s="266"/>
      <c r="K340" s="266"/>
      <c r="L340" s="267"/>
      <c r="M340" s="267"/>
      <c r="N340" s="73"/>
      <c r="O340" s="484"/>
      <c r="P340" s="269"/>
      <c r="Q340" s="269"/>
      <c r="R340" s="72"/>
      <c r="S340" s="566"/>
      <c r="T340" s="455"/>
      <c r="U340" s="533"/>
      <c r="W340" s="455"/>
      <c r="X340" s="455"/>
    </row>
    <row r="341" spans="1:25" s="29" customFormat="1" ht="12" thickBot="1">
      <c r="A341" s="351"/>
      <c r="B341" s="339" t="s">
        <v>164</v>
      </c>
      <c r="C341" s="348">
        <v>0</v>
      </c>
      <c r="D341" s="348">
        <v>1</v>
      </c>
      <c r="E341" s="348">
        <v>4</v>
      </c>
      <c r="F341" s="348">
        <v>0.25</v>
      </c>
      <c r="G341" s="348">
        <v>0</v>
      </c>
      <c r="H341" s="136">
        <f>SUM(C341:G341)</f>
        <v>5.25</v>
      </c>
      <c r="I341" s="137"/>
      <c r="J341" s="137"/>
      <c r="K341" s="137"/>
      <c r="L341" s="138">
        <f>((C341*$C$9)+(D341*$D$9)+(E341*$E$9)+(F341*$F$9))</f>
        <v>303.76000000000005</v>
      </c>
      <c r="M341" s="138">
        <v>0</v>
      </c>
      <c r="N341" s="139">
        <v>1</v>
      </c>
      <c r="O341" s="478">
        <f>0.1*O9</f>
        <v>2.1333333323333337</v>
      </c>
      <c r="P341" s="141">
        <f>(C341+D341+E341+F341)*O341</f>
        <v>11.199999994750002</v>
      </c>
      <c r="Q341" s="72">
        <f>(M341+N341)*O341</f>
        <v>2.1333333323333337</v>
      </c>
      <c r="R341" s="142">
        <f>(L341+M341+N341)*O341</f>
        <v>650.15466636190683</v>
      </c>
      <c r="S341" s="567" t="s">
        <v>254</v>
      </c>
      <c r="T341" s="568" t="str">
        <f>IF($S341="RP",O341,"")</f>
        <v/>
      </c>
      <c r="U341" s="569" t="str">
        <f>IF($S341="RP",P341,"")</f>
        <v/>
      </c>
      <c r="V341" s="570" t="str">
        <f>IF($S341="RP",Q341,"")</f>
        <v/>
      </c>
      <c r="W341" s="569">
        <f>IF($S341="RK",O341,"")</f>
        <v>2.1333333323333337</v>
      </c>
      <c r="X341" s="569">
        <f>IF($S341="RK",P341,"")</f>
        <v>11.199999994750002</v>
      </c>
      <c r="Y341" s="570">
        <f>IF($S341="RK",Q341,"")</f>
        <v>2.1333333323333337</v>
      </c>
    </row>
    <row r="342" spans="1:25" s="29" customFormat="1" ht="12.75" thickTop="1" thickBot="1">
      <c r="A342" s="145" t="s">
        <v>22</v>
      </c>
      <c r="B342" s="429"/>
      <c r="C342" s="84">
        <f t="shared" ref="C342:N342" si="142">SUM(C339:C341)</f>
        <v>0</v>
      </c>
      <c r="D342" s="84">
        <f t="shared" si="142"/>
        <v>1</v>
      </c>
      <c r="E342" s="84">
        <f t="shared" si="142"/>
        <v>4</v>
      </c>
      <c r="F342" s="84">
        <f t="shared" si="142"/>
        <v>0.25</v>
      </c>
      <c r="G342" s="84">
        <f t="shared" si="142"/>
        <v>0</v>
      </c>
      <c r="H342" s="84">
        <f t="shared" si="142"/>
        <v>5.25</v>
      </c>
      <c r="I342" s="85">
        <f t="shared" si="142"/>
        <v>0</v>
      </c>
      <c r="J342" s="85">
        <f t="shared" si="142"/>
        <v>0</v>
      </c>
      <c r="K342" s="85">
        <f t="shared" si="142"/>
        <v>0</v>
      </c>
      <c r="L342" s="86">
        <f t="shared" si="142"/>
        <v>303.76000000000005</v>
      </c>
      <c r="M342" s="86">
        <f t="shared" si="142"/>
        <v>0</v>
      </c>
      <c r="N342" s="397">
        <f t="shared" si="142"/>
        <v>1</v>
      </c>
      <c r="O342" s="489"/>
      <c r="P342" s="83">
        <f>SUM(P339:P341)</f>
        <v>11.199999994750002</v>
      </c>
      <c r="Q342" s="86">
        <f>SUM(Q339:Q341)</f>
        <v>2.1333333323333337</v>
      </c>
      <c r="R342" s="86">
        <f>SUM(R339:R341)</f>
        <v>650.15466636190683</v>
      </c>
      <c r="S342" s="555"/>
      <c r="T342" s="551">
        <f>IF($S342="RP",O342,"")</f>
        <v>0</v>
      </c>
      <c r="U342" s="85">
        <f>SUM(U339:U341)</f>
        <v>0</v>
      </c>
      <c r="V342" s="86">
        <f>SUM(V339:V341)</f>
        <v>0</v>
      </c>
      <c r="W342" s="85">
        <f>SUM(W339:W341)</f>
        <v>2.1333333323333337</v>
      </c>
      <c r="X342" s="85">
        <f>SUM(X339:X341)</f>
        <v>11.199999994750002</v>
      </c>
      <c r="Y342" s="86">
        <f>SUM(Y339:Y341)</f>
        <v>2.1333333323333337</v>
      </c>
    </row>
    <row r="343" spans="1:25" s="29" customFormat="1" ht="12.75" thickTop="1" thickBot="1">
      <c r="A343" s="373" t="s">
        <v>165</v>
      </c>
      <c r="B343" s="146"/>
      <c r="C343" s="101"/>
      <c r="D343" s="101"/>
      <c r="E343" s="101"/>
      <c r="F343" s="101"/>
      <c r="G343" s="101"/>
      <c r="H343" s="101"/>
      <c r="I343" s="102"/>
      <c r="J343" s="102"/>
      <c r="K343" s="102"/>
      <c r="L343" s="103"/>
      <c r="M343" s="103"/>
      <c r="N343" s="81"/>
      <c r="O343" s="480"/>
      <c r="P343" s="104"/>
      <c r="Q343" s="104"/>
      <c r="R343" s="80"/>
      <c r="S343" s="80"/>
      <c r="T343" s="79"/>
      <c r="U343" s="79"/>
      <c r="V343" s="80"/>
      <c r="W343" s="79"/>
      <c r="X343" s="79"/>
      <c r="Y343" s="80"/>
    </row>
    <row r="344" spans="1:25" s="29" customFormat="1" ht="12" thickTop="1">
      <c r="A344" s="218" t="s">
        <v>166</v>
      </c>
      <c r="B344" s="172"/>
      <c r="C344" s="265"/>
      <c r="D344" s="265"/>
      <c r="E344" s="265"/>
      <c r="F344" s="265"/>
      <c r="G344" s="265"/>
      <c r="H344" s="265"/>
      <c r="I344" s="266"/>
      <c r="J344" s="266"/>
      <c r="K344" s="266"/>
      <c r="L344" s="267"/>
      <c r="M344" s="267"/>
      <c r="N344" s="73"/>
      <c r="O344" s="484"/>
      <c r="P344" s="269"/>
      <c r="Q344" s="269"/>
      <c r="R344" s="72"/>
      <c r="S344" s="72"/>
      <c r="T344" s="71"/>
      <c r="U344" s="71"/>
      <c r="V344" s="72"/>
      <c r="W344" s="71"/>
      <c r="X344" s="71"/>
      <c r="Y344" s="72"/>
    </row>
    <row r="345" spans="1:25" s="29" customFormat="1">
      <c r="A345" s="319"/>
      <c r="B345" s="389" t="s">
        <v>167</v>
      </c>
      <c r="C345" s="348">
        <v>0</v>
      </c>
      <c r="D345" s="348">
        <v>0.5</v>
      </c>
      <c r="E345" s="348">
        <v>5</v>
      </c>
      <c r="F345" s="348">
        <v>0</v>
      </c>
      <c r="G345" s="348">
        <v>0</v>
      </c>
      <c r="H345" s="136">
        <f>SUM(C345:G345)</f>
        <v>5.5</v>
      </c>
      <c r="I345" s="137"/>
      <c r="J345" s="137"/>
      <c r="K345" s="137"/>
      <c r="L345" s="138">
        <f>((C345*$C$9)+(D345*$D$9)+(E345*$E$9)+(F345*$F$9))</f>
        <v>312.91200000000003</v>
      </c>
      <c r="M345" s="138">
        <v>0</v>
      </c>
      <c r="N345" s="139">
        <v>0</v>
      </c>
      <c r="O345" s="478">
        <f>O9</f>
        <v>21.333333323333335</v>
      </c>
      <c r="P345" s="141">
        <f>(C345+D345+E345+F345)*O345</f>
        <v>117.33333327833334</v>
      </c>
      <c r="Q345" s="72">
        <f>(M345+N345)*O345</f>
        <v>0</v>
      </c>
      <c r="R345" s="142">
        <f>(L345+M345+N345)*O345</f>
        <v>6675.4559968708809</v>
      </c>
      <c r="S345" s="171" t="s">
        <v>254</v>
      </c>
      <c r="T345" s="536" t="str">
        <f t="shared" ref="T345:V346" si="143">IF($S345="RP",O345,"")</f>
        <v/>
      </c>
      <c r="U345" s="537" t="str">
        <f t="shared" si="143"/>
        <v/>
      </c>
      <c r="V345" s="521" t="str">
        <f t="shared" si="143"/>
        <v/>
      </c>
      <c r="W345" s="537">
        <f t="shared" ref="W345:Y346" si="144">IF($S345="RK",O345,"")</f>
        <v>21.333333323333335</v>
      </c>
      <c r="X345" s="537">
        <f t="shared" si="144"/>
        <v>117.33333327833334</v>
      </c>
      <c r="Y345" s="521">
        <f t="shared" si="144"/>
        <v>0</v>
      </c>
    </row>
    <row r="346" spans="1:25" s="29" customFormat="1" ht="12" thickBot="1">
      <c r="A346" s="351"/>
      <c r="B346" s="219" t="s">
        <v>97</v>
      </c>
      <c r="C346" s="348">
        <v>0</v>
      </c>
      <c r="D346" s="348">
        <v>0.25</v>
      </c>
      <c r="E346" s="348">
        <v>0</v>
      </c>
      <c r="F346" s="348">
        <v>0.25</v>
      </c>
      <c r="G346" s="348">
        <v>0</v>
      </c>
      <c r="H346" s="136">
        <f>SUM(C346:G346)</f>
        <v>0.5</v>
      </c>
      <c r="I346" s="137"/>
      <c r="J346" s="137"/>
      <c r="K346" s="137"/>
      <c r="L346" s="138">
        <f>((C346*$C$9)+(D346*$D$9)+(E346*$E$9)+(F346*$F$9))</f>
        <v>26.696000000000002</v>
      </c>
      <c r="M346" s="138">
        <v>0</v>
      </c>
      <c r="N346" s="139">
        <v>1</v>
      </c>
      <c r="O346" s="478">
        <f>O9</f>
        <v>21.333333323333335</v>
      </c>
      <c r="P346" s="141">
        <f>(C346+D346+E346+F346)*O346</f>
        <v>10.666666661666667</v>
      </c>
      <c r="Q346" s="72">
        <f>(M346+N346)*O346</f>
        <v>21.333333323333335</v>
      </c>
      <c r="R346" s="142">
        <f>(L346+M346+N346)*O346</f>
        <v>590.84799972304006</v>
      </c>
      <c r="S346" s="171" t="s">
        <v>259</v>
      </c>
      <c r="T346" s="536">
        <f t="shared" si="143"/>
        <v>21.333333323333335</v>
      </c>
      <c r="U346" s="537">
        <f t="shared" si="143"/>
        <v>10.666666661666667</v>
      </c>
      <c r="V346" s="521">
        <f t="shared" si="143"/>
        <v>21.333333323333335</v>
      </c>
      <c r="W346" s="537" t="str">
        <f t="shared" si="144"/>
        <v/>
      </c>
      <c r="X346" s="537" t="str">
        <f t="shared" si="144"/>
        <v/>
      </c>
      <c r="Y346" s="521" t="str">
        <f t="shared" si="144"/>
        <v/>
      </c>
    </row>
    <row r="347" spans="1:25" s="29" customFormat="1" ht="12.75" thickTop="1" thickBot="1">
      <c r="A347" s="145" t="s">
        <v>22</v>
      </c>
      <c r="B347" s="429"/>
      <c r="C347" s="147">
        <f t="shared" ref="C347:N347" si="145">SUM(C345:C346)</f>
        <v>0</v>
      </c>
      <c r="D347" s="147">
        <f t="shared" si="145"/>
        <v>0.75</v>
      </c>
      <c r="E347" s="147">
        <f t="shared" si="145"/>
        <v>5</v>
      </c>
      <c r="F347" s="147">
        <f t="shared" si="145"/>
        <v>0.25</v>
      </c>
      <c r="G347" s="147">
        <f t="shared" si="145"/>
        <v>0</v>
      </c>
      <c r="H347" s="147">
        <f t="shared" si="145"/>
        <v>6</v>
      </c>
      <c r="I347" s="102">
        <f t="shared" si="145"/>
        <v>0</v>
      </c>
      <c r="J347" s="102">
        <f t="shared" si="145"/>
        <v>0</v>
      </c>
      <c r="K347" s="102">
        <f t="shared" si="145"/>
        <v>0</v>
      </c>
      <c r="L347" s="149">
        <f t="shared" si="145"/>
        <v>339.60800000000006</v>
      </c>
      <c r="M347" s="86">
        <f t="shared" si="145"/>
        <v>0</v>
      </c>
      <c r="N347" s="397">
        <f t="shared" si="145"/>
        <v>1</v>
      </c>
      <c r="O347" s="489"/>
      <c r="P347" s="83">
        <f>SUM(P345:P346)</f>
        <v>127.99999994000001</v>
      </c>
      <c r="Q347" s="86">
        <f>SUM(Q345:Q346)</f>
        <v>21.333333323333335</v>
      </c>
      <c r="R347" s="86">
        <f>SUM(R345:R346)</f>
        <v>7266.3039965939206</v>
      </c>
      <c r="S347" s="86"/>
      <c r="T347" s="85">
        <f t="shared" ref="T347:Y347" si="146">SUM(T345:T346)</f>
        <v>21.333333323333335</v>
      </c>
      <c r="U347" s="85">
        <f t="shared" si="146"/>
        <v>10.666666661666667</v>
      </c>
      <c r="V347" s="86">
        <f t="shared" si="146"/>
        <v>21.333333323333335</v>
      </c>
      <c r="W347" s="85">
        <f t="shared" si="146"/>
        <v>21.333333323333335</v>
      </c>
      <c r="X347" s="85">
        <f t="shared" si="146"/>
        <v>117.33333327833334</v>
      </c>
      <c r="Y347" s="86">
        <f t="shared" si="146"/>
        <v>0</v>
      </c>
    </row>
    <row r="348" spans="1:25" s="29" customFormat="1" ht="12" thickTop="1">
      <c r="A348" s="218" t="s">
        <v>60</v>
      </c>
      <c r="C348" s="383"/>
      <c r="D348" s="383"/>
      <c r="E348" s="383"/>
      <c r="F348" s="383"/>
      <c r="G348" s="383"/>
      <c r="H348" s="383"/>
      <c r="I348" s="402"/>
      <c r="J348" s="402"/>
      <c r="K348" s="402"/>
      <c r="L348" s="403"/>
      <c r="M348" s="403"/>
      <c r="N348" s="288"/>
      <c r="O348" s="477"/>
      <c r="P348" s="404"/>
      <c r="Q348" s="404"/>
      <c r="R348" s="287"/>
      <c r="S348" s="11"/>
      <c r="T348" s="455"/>
      <c r="U348" s="533"/>
      <c r="W348" s="455"/>
      <c r="X348" s="455"/>
    </row>
    <row r="349" spans="1:25" s="29" customFormat="1">
      <c r="A349" s="368"/>
      <c r="B349" s="425" t="s">
        <v>168</v>
      </c>
      <c r="C349" s="280"/>
      <c r="D349" s="280"/>
      <c r="E349" s="280"/>
      <c r="F349" s="280"/>
      <c r="G349" s="280"/>
      <c r="H349" s="280"/>
      <c r="I349" s="281"/>
      <c r="J349" s="281"/>
      <c r="K349" s="281"/>
      <c r="L349" s="112"/>
      <c r="M349" s="112"/>
      <c r="N349" s="109"/>
      <c r="O349" s="474"/>
      <c r="P349" s="233"/>
      <c r="Q349" s="233"/>
      <c r="R349" s="112"/>
      <c r="S349" s="11"/>
      <c r="T349" s="455"/>
      <c r="U349" s="533"/>
      <c r="W349" s="455"/>
      <c r="X349" s="455"/>
    </row>
    <row r="350" spans="1:25" s="29" customFormat="1">
      <c r="A350" s="353"/>
      <c r="B350" s="398" t="s">
        <v>169</v>
      </c>
      <c r="C350" s="348">
        <v>0</v>
      </c>
      <c r="D350" s="348">
        <v>1</v>
      </c>
      <c r="E350" s="348">
        <v>4</v>
      </c>
      <c r="F350" s="348">
        <v>0</v>
      </c>
      <c r="G350" s="348">
        <v>0</v>
      </c>
      <c r="H350" s="136">
        <f>SUM(C350:G350)</f>
        <v>5</v>
      </c>
      <c r="I350" s="137"/>
      <c r="J350" s="137"/>
      <c r="K350" s="137"/>
      <c r="L350" s="138">
        <f>((C350*$C$9)+(D350*$D$9)+(E350*$E$9)+(F350*$F$9))</f>
        <v>296.16000000000003</v>
      </c>
      <c r="M350" s="138">
        <v>0</v>
      </c>
      <c r="N350" s="139">
        <v>0</v>
      </c>
      <c r="O350" s="478">
        <v>0</v>
      </c>
      <c r="P350" s="141">
        <f>(C350+D350+E350+F350)*O350</f>
        <v>0</v>
      </c>
      <c r="Q350" s="72">
        <f>(M350+N350)*O350</f>
        <v>0</v>
      </c>
      <c r="R350" s="142">
        <f>(L350+M350+N350)*O350</f>
        <v>0</v>
      </c>
      <c r="S350" s="171" t="s">
        <v>254</v>
      </c>
      <c r="T350" s="536" t="str">
        <f t="shared" ref="T350:V351" si="147">IF($S350="RP",O350,"")</f>
        <v/>
      </c>
      <c r="U350" s="537" t="str">
        <f t="shared" si="147"/>
        <v/>
      </c>
      <c r="V350" s="521" t="str">
        <f t="shared" si="147"/>
        <v/>
      </c>
      <c r="W350" s="537">
        <f t="shared" ref="W350:Y351" si="148">IF($S350="RK",O350,"")</f>
        <v>0</v>
      </c>
      <c r="X350" s="537">
        <f t="shared" si="148"/>
        <v>0</v>
      </c>
      <c r="Y350" s="521">
        <f t="shared" si="148"/>
        <v>0</v>
      </c>
    </row>
    <row r="351" spans="1:25" s="29" customFormat="1" ht="12" thickBot="1">
      <c r="A351" s="351"/>
      <c r="B351" s="432" t="s">
        <v>65</v>
      </c>
      <c r="C351" s="348">
        <v>0</v>
      </c>
      <c r="D351" s="348">
        <v>0.25</v>
      </c>
      <c r="E351" s="348">
        <v>0</v>
      </c>
      <c r="F351" s="348">
        <v>0.25</v>
      </c>
      <c r="G351" s="348">
        <v>0</v>
      </c>
      <c r="H351" s="136">
        <f>SUM(C351:G351)</f>
        <v>0.5</v>
      </c>
      <c r="I351" s="137"/>
      <c r="J351" s="137"/>
      <c r="K351" s="137"/>
      <c r="L351" s="138">
        <f>((C351*$C$9)+(D351*$D$9)+(E351*$E$9)+(F351*$F$9))</f>
        <v>26.696000000000002</v>
      </c>
      <c r="M351" s="138">
        <v>0</v>
      </c>
      <c r="N351" s="139">
        <v>1</v>
      </c>
      <c r="O351" s="478">
        <v>0</v>
      </c>
      <c r="P351" s="141">
        <f>(C351+D351+E351+F351)*O351</f>
        <v>0</v>
      </c>
      <c r="Q351" s="72">
        <f>(M351+N351)*O351</f>
        <v>0</v>
      </c>
      <c r="R351" s="142">
        <f>(L351+M351+N351)*O351</f>
        <v>0</v>
      </c>
      <c r="S351" s="171" t="s">
        <v>259</v>
      </c>
      <c r="T351" s="536">
        <f t="shared" si="147"/>
        <v>0</v>
      </c>
      <c r="U351" s="537">
        <f t="shared" si="147"/>
        <v>0</v>
      </c>
      <c r="V351" s="521">
        <f t="shared" si="147"/>
        <v>0</v>
      </c>
      <c r="W351" s="537" t="str">
        <f t="shared" si="148"/>
        <v/>
      </c>
      <c r="X351" s="537" t="str">
        <f t="shared" si="148"/>
        <v/>
      </c>
      <c r="Y351" s="521" t="str">
        <f t="shared" si="148"/>
        <v/>
      </c>
    </row>
    <row r="352" spans="1:25" s="29" customFormat="1" ht="12.75" thickTop="1" thickBot="1">
      <c r="A352" s="433" t="s">
        <v>22</v>
      </c>
      <c r="B352" s="429"/>
      <c r="C352" s="147">
        <f t="shared" ref="C352:N352" si="149">SUM(C350:C351)</f>
        <v>0</v>
      </c>
      <c r="D352" s="147">
        <f t="shared" si="149"/>
        <v>1.25</v>
      </c>
      <c r="E352" s="147">
        <f t="shared" si="149"/>
        <v>4</v>
      </c>
      <c r="F352" s="147">
        <f t="shared" si="149"/>
        <v>0.25</v>
      </c>
      <c r="G352" s="147">
        <f t="shared" si="149"/>
        <v>0</v>
      </c>
      <c r="H352" s="147">
        <f t="shared" si="149"/>
        <v>5.5</v>
      </c>
      <c r="I352" s="102">
        <f t="shared" si="149"/>
        <v>0</v>
      </c>
      <c r="J352" s="102">
        <f t="shared" si="149"/>
        <v>0</v>
      </c>
      <c r="K352" s="102">
        <f t="shared" si="149"/>
        <v>0</v>
      </c>
      <c r="L352" s="149">
        <f t="shared" si="149"/>
        <v>322.85600000000005</v>
      </c>
      <c r="M352" s="86">
        <f t="shared" si="149"/>
        <v>0</v>
      </c>
      <c r="N352" s="397">
        <f t="shared" si="149"/>
        <v>1</v>
      </c>
      <c r="O352" s="489"/>
      <c r="P352" s="83">
        <f>SUM(P350:P351)</f>
        <v>0</v>
      </c>
      <c r="Q352" s="86">
        <f>SUM(Q350:Q351)</f>
        <v>0</v>
      </c>
      <c r="R352" s="86">
        <f>SUM(R350:R351)</f>
        <v>0</v>
      </c>
      <c r="S352" s="86"/>
      <c r="T352" s="85">
        <f t="shared" ref="T352:Y352" si="150">SUM(T350:T351)</f>
        <v>0</v>
      </c>
      <c r="U352" s="85">
        <f t="shared" si="150"/>
        <v>0</v>
      </c>
      <c r="V352" s="86">
        <f t="shared" si="150"/>
        <v>0</v>
      </c>
      <c r="W352" s="85">
        <f t="shared" si="150"/>
        <v>0</v>
      </c>
      <c r="X352" s="85">
        <f t="shared" si="150"/>
        <v>0</v>
      </c>
      <c r="Y352" s="86">
        <f t="shared" si="150"/>
        <v>0</v>
      </c>
    </row>
    <row r="353" spans="1:25" s="29" customFormat="1" ht="12.75" thickTop="1" thickBot="1">
      <c r="A353" s="373" t="s">
        <v>220</v>
      </c>
      <c r="B353" s="146"/>
      <c r="C353" s="101"/>
      <c r="D353" s="101"/>
      <c r="E353" s="101"/>
      <c r="F353" s="101"/>
      <c r="G353" s="101"/>
      <c r="H353" s="101"/>
      <c r="I353" s="102"/>
      <c r="J353" s="102"/>
      <c r="K353" s="102"/>
      <c r="L353" s="103"/>
      <c r="M353" s="103"/>
      <c r="N353" s="103"/>
      <c r="O353" s="493"/>
      <c r="P353" s="104"/>
      <c r="Q353" s="104"/>
      <c r="R353" s="80"/>
      <c r="S353" s="11"/>
      <c r="T353" s="455"/>
      <c r="U353" s="533"/>
      <c r="W353" s="455"/>
      <c r="X353" s="455"/>
    </row>
    <row r="354" spans="1:25" s="29" customFormat="1" ht="12" thickTop="1">
      <c r="A354" s="434" t="s">
        <v>221</v>
      </c>
      <c r="B354" s="435"/>
      <c r="C354" s="436"/>
      <c r="D354" s="436"/>
      <c r="E354" s="436"/>
      <c r="F354" s="436"/>
      <c r="G354" s="436"/>
      <c r="H354" s="436"/>
      <c r="I354" s="437"/>
      <c r="J354" s="437"/>
      <c r="K354" s="437"/>
      <c r="L354" s="438"/>
      <c r="M354" s="91"/>
      <c r="N354" s="91"/>
      <c r="O354" s="494"/>
      <c r="P354" s="93"/>
      <c r="Q354" s="93"/>
      <c r="R354" s="439"/>
      <c r="S354" s="11"/>
      <c r="T354" s="536">
        <f t="shared" ref="T354:V355" si="151">IF($S354="RP",O354,"")</f>
        <v>0</v>
      </c>
      <c r="U354" s="537">
        <f t="shared" si="151"/>
        <v>0</v>
      </c>
      <c r="V354" s="521">
        <f t="shared" si="151"/>
        <v>0</v>
      </c>
      <c r="W354" s="537">
        <f t="shared" ref="W354:Y355" si="152">IF($S354="RK",O354,"")</f>
        <v>0</v>
      </c>
      <c r="X354" s="537">
        <f t="shared" si="152"/>
        <v>0</v>
      </c>
      <c r="Y354" s="521">
        <f t="shared" si="152"/>
        <v>0</v>
      </c>
    </row>
    <row r="355" spans="1:25" s="29" customFormat="1" ht="12" thickBot="1">
      <c r="A355" s="440"/>
      <c r="B355" s="441" t="s">
        <v>223</v>
      </c>
      <c r="C355" s="442">
        <v>0</v>
      </c>
      <c r="D355" s="442">
        <v>3</v>
      </c>
      <c r="E355" s="442">
        <v>20</v>
      </c>
      <c r="F355" s="442">
        <v>2</v>
      </c>
      <c r="G355" s="442">
        <v>0</v>
      </c>
      <c r="H355" s="442">
        <f>SUM(C355:G355)</f>
        <v>25</v>
      </c>
      <c r="I355" s="443"/>
      <c r="J355" s="443"/>
      <c r="K355" s="443"/>
      <c r="L355" s="444">
        <f>((C355*$C$9)+(D355*$D$9)+(E355*$E$9)+(F355*$F$9))</f>
        <v>1388.8320000000001</v>
      </c>
      <c r="M355" s="445">
        <v>0</v>
      </c>
      <c r="N355" s="446">
        <v>1</v>
      </c>
      <c r="O355" s="495">
        <f>0.25*(SUM(O1:O5))</f>
        <v>4.9444444416666666</v>
      </c>
      <c r="P355" s="447">
        <f>(C355+D355+E355+F355)*O355</f>
        <v>123.61111104166666</v>
      </c>
      <c r="Q355" s="72">
        <f>(M355+N355)*O355</f>
        <v>4.9444444416666666</v>
      </c>
      <c r="R355" s="448">
        <f>(L355+M355+N355)*O355</f>
        <v>6871.9471072504675</v>
      </c>
      <c r="S355" s="171" t="s">
        <v>254</v>
      </c>
      <c r="T355" s="536" t="str">
        <f t="shared" si="151"/>
        <v/>
      </c>
      <c r="U355" s="537" t="str">
        <f t="shared" si="151"/>
        <v/>
      </c>
      <c r="V355" s="521" t="str">
        <f t="shared" si="151"/>
        <v/>
      </c>
      <c r="W355" s="537">
        <f t="shared" si="152"/>
        <v>4.9444444416666666</v>
      </c>
      <c r="X355" s="537">
        <f t="shared" si="152"/>
        <v>123.61111104166666</v>
      </c>
      <c r="Y355" s="521">
        <f t="shared" si="152"/>
        <v>4.9444444416666666</v>
      </c>
    </row>
    <row r="356" spans="1:25" s="29" customFormat="1" ht="12.75" thickTop="1" thickBot="1">
      <c r="A356" s="145" t="s">
        <v>22</v>
      </c>
      <c r="B356" s="146"/>
      <c r="C356" s="147">
        <f t="shared" ref="C356:N356" si="153">C354+C355</f>
        <v>0</v>
      </c>
      <c r="D356" s="147">
        <f t="shared" si="153"/>
        <v>3</v>
      </c>
      <c r="E356" s="147">
        <f t="shared" si="153"/>
        <v>20</v>
      </c>
      <c r="F356" s="147">
        <f t="shared" si="153"/>
        <v>2</v>
      </c>
      <c r="G356" s="147">
        <f t="shared" si="153"/>
        <v>0</v>
      </c>
      <c r="H356" s="147">
        <f t="shared" si="153"/>
        <v>25</v>
      </c>
      <c r="I356" s="102">
        <f t="shared" si="153"/>
        <v>0</v>
      </c>
      <c r="J356" s="102">
        <f t="shared" si="153"/>
        <v>0</v>
      </c>
      <c r="K356" s="102">
        <f t="shared" si="153"/>
        <v>0</v>
      </c>
      <c r="L356" s="149">
        <f t="shared" si="153"/>
        <v>1388.8320000000001</v>
      </c>
      <c r="M356" s="103">
        <f t="shared" si="153"/>
        <v>0</v>
      </c>
      <c r="N356" s="397">
        <f t="shared" si="153"/>
        <v>1</v>
      </c>
      <c r="O356" s="493"/>
      <c r="P356" s="147">
        <f>P354+P355</f>
        <v>123.61111104166666</v>
      </c>
      <c r="Q356" s="147">
        <f>Q354+Q355</f>
        <v>4.9444444416666666</v>
      </c>
      <c r="R356" s="147">
        <f>R354+R355</f>
        <v>6871.9471072504675</v>
      </c>
      <c r="S356" s="147"/>
      <c r="T356" s="148">
        <f t="shared" ref="T356:Y356" si="154">T354+T355</f>
        <v>0</v>
      </c>
      <c r="U356" s="148">
        <f t="shared" si="154"/>
        <v>0</v>
      </c>
      <c r="V356" s="147">
        <f t="shared" si="154"/>
        <v>0</v>
      </c>
      <c r="W356" s="148">
        <f t="shared" si="154"/>
        <v>4.9444444416666666</v>
      </c>
      <c r="X356" s="148">
        <f t="shared" si="154"/>
        <v>123.61111104166666</v>
      </c>
      <c r="Y356" s="147">
        <f t="shared" si="154"/>
        <v>4.9444444416666666</v>
      </c>
    </row>
    <row r="357" spans="1:25" s="29" customFormat="1" ht="12" thickTop="1">
      <c r="A357" s="449" t="s">
        <v>222</v>
      </c>
      <c r="B357" s="450"/>
      <c r="C357" s="436"/>
      <c r="D357" s="436"/>
      <c r="E357" s="436"/>
      <c r="F357" s="436"/>
      <c r="G357" s="436"/>
      <c r="H357" s="436"/>
      <c r="I357" s="437"/>
      <c r="J357" s="437"/>
      <c r="K357" s="437"/>
      <c r="L357" s="438"/>
      <c r="M357" s="438"/>
      <c r="N357" s="438"/>
      <c r="O357" s="496"/>
      <c r="P357" s="451"/>
      <c r="Q357" s="451"/>
      <c r="R357" s="452"/>
      <c r="S357" s="11"/>
      <c r="T357" s="455"/>
      <c r="U357" s="533"/>
      <c r="W357" s="455"/>
      <c r="X357" s="455"/>
    </row>
    <row r="358" spans="1:25" s="29" customFormat="1" ht="12" thickBot="1">
      <c r="A358" s="453"/>
      <c r="B358" s="441" t="s">
        <v>224</v>
      </c>
      <c r="C358" s="442">
        <v>0</v>
      </c>
      <c r="D358" s="442">
        <v>1</v>
      </c>
      <c r="E358" s="442">
        <v>10</v>
      </c>
      <c r="F358" s="442">
        <v>1</v>
      </c>
      <c r="G358" s="442">
        <v>0</v>
      </c>
      <c r="H358" s="442">
        <f>SUM(C358:G358)</f>
        <v>12</v>
      </c>
      <c r="I358" s="443"/>
      <c r="J358" s="443"/>
      <c r="K358" s="443"/>
      <c r="L358" s="444">
        <f>((C358*$C$9)+(D358*$D$9)+(E358*$E$9)+(F358*$F$9))</f>
        <v>656.22400000000005</v>
      </c>
      <c r="M358" s="445">
        <v>0</v>
      </c>
      <c r="N358" s="446">
        <v>1</v>
      </c>
      <c r="O358" s="495">
        <f>0.1*O6</f>
        <v>0.15555555566666668</v>
      </c>
      <c r="P358" s="447">
        <f>(C358+D358+E358+F358)*O358</f>
        <v>1.8666666680000001</v>
      </c>
      <c r="Q358" s="72">
        <f>(M358+N358)*O358</f>
        <v>0.15555555566666668</v>
      </c>
      <c r="R358" s="448">
        <f>(L358+M358+N358)*O358</f>
        <v>102.23484451746936</v>
      </c>
      <c r="S358" s="171" t="s">
        <v>254</v>
      </c>
      <c r="T358" s="536" t="str">
        <f>IF($S358="RP",O358,"")</f>
        <v/>
      </c>
      <c r="U358" s="537" t="str">
        <f>IF($S358="RP",P358,"")</f>
        <v/>
      </c>
      <c r="V358" s="521" t="str">
        <f>IF($S358="RP",Q358,"")</f>
        <v/>
      </c>
      <c r="W358" s="537">
        <f>IF($S358="RK",O358,"")</f>
        <v>0.15555555566666668</v>
      </c>
      <c r="X358" s="537">
        <f>IF($S358="RK",P358,"")</f>
        <v>1.8666666680000001</v>
      </c>
      <c r="Y358" s="521">
        <f>IF($S358="RK",Q358,"")</f>
        <v>0.15555555566666668</v>
      </c>
    </row>
    <row r="359" spans="1:25" s="29" customFormat="1" ht="12.75" thickTop="1" thickBot="1">
      <c r="A359" s="145" t="s">
        <v>22</v>
      </c>
      <c r="B359" s="146"/>
      <c r="C359" s="147">
        <f t="shared" ref="C359:N359" si="155">C357+C358</f>
        <v>0</v>
      </c>
      <c r="D359" s="147">
        <f t="shared" si="155"/>
        <v>1</v>
      </c>
      <c r="E359" s="147">
        <f t="shared" si="155"/>
        <v>10</v>
      </c>
      <c r="F359" s="147">
        <f t="shared" si="155"/>
        <v>1</v>
      </c>
      <c r="G359" s="147">
        <f t="shared" si="155"/>
        <v>0</v>
      </c>
      <c r="H359" s="147">
        <f t="shared" si="155"/>
        <v>12</v>
      </c>
      <c r="I359" s="102">
        <f t="shared" si="155"/>
        <v>0</v>
      </c>
      <c r="J359" s="102">
        <f t="shared" si="155"/>
        <v>0</v>
      </c>
      <c r="K359" s="102">
        <f t="shared" si="155"/>
        <v>0</v>
      </c>
      <c r="L359" s="149">
        <f t="shared" si="155"/>
        <v>656.22400000000005</v>
      </c>
      <c r="M359" s="103">
        <f t="shared" si="155"/>
        <v>0</v>
      </c>
      <c r="N359" s="397">
        <f t="shared" si="155"/>
        <v>1</v>
      </c>
      <c r="O359" s="493"/>
      <c r="P359" s="83">
        <f>P357+P358</f>
        <v>1.8666666680000001</v>
      </c>
      <c r="Q359" s="80">
        <f>Q357+Q358</f>
        <v>0.15555555566666668</v>
      </c>
      <c r="R359" s="80">
        <f>R357+R358</f>
        <v>102.23484451746936</v>
      </c>
      <c r="S359" s="80"/>
      <c r="T359" s="79">
        <f t="shared" ref="T359:Y359" si="156">T357+T358</f>
        <v>0</v>
      </c>
      <c r="U359" s="79">
        <f t="shared" si="156"/>
        <v>0</v>
      </c>
      <c r="V359" s="80">
        <f t="shared" si="156"/>
        <v>0</v>
      </c>
      <c r="W359" s="79">
        <f t="shared" si="156"/>
        <v>0.15555555566666668</v>
      </c>
      <c r="X359" s="79">
        <f t="shared" si="156"/>
        <v>1.8666666680000001</v>
      </c>
      <c r="Y359" s="80">
        <f t="shared" si="156"/>
        <v>0.15555555566666668</v>
      </c>
    </row>
    <row r="360" spans="1:25" s="29" customFormat="1" ht="12.75" thickTop="1" thickBot="1">
      <c r="A360" s="145"/>
      <c r="B360" s="146"/>
      <c r="C360" s="101"/>
      <c r="D360" s="101"/>
      <c r="E360" s="101"/>
      <c r="F360" s="101"/>
      <c r="G360" s="101"/>
      <c r="H360" s="101"/>
      <c r="I360" s="102"/>
      <c r="J360" s="102"/>
      <c r="K360" s="102"/>
      <c r="L360" s="103"/>
      <c r="M360" s="103"/>
      <c r="N360" s="103"/>
      <c r="O360" s="493"/>
      <c r="P360" s="104"/>
      <c r="Q360" s="104"/>
      <c r="R360" s="80"/>
      <c r="S360" s="11"/>
      <c r="T360" s="455"/>
      <c r="U360" s="533"/>
      <c r="W360" s="455"/>
      <c r="X360" s="455"/>
    </row>
    <row r="361" spans="1:25" s="29" customFormat="1" ht="12.75" thickTop="1" thickBot="1">
      <c r="A361" s="245" t="s">
        <v>209</v>
      </c>
      <c r="B361" s="246"/>
      <c r="C361" s="247"/>
      <c r="D361" s="247"/>
      <c r="E361" s="247"/>
      <c r="F361" s="247"/>
      <c r="G361" s="247"/>
      <c r="H361" s="147">
        <f>SUM(H271,H279,H285,H290,H295,H311,H316,H328,H333,H338,H342,H347,H352,H356,H359)</f>
        <v>146.5</v>
      </c>
      <c r="I361" s="148"/>
      <c r="J361" s="148"/>
      <c r="K361" s="148"/>
      <c r="L361" s="149">
        <f>SUM(L271,L279,L285,L290,L295,L311,L316,L328,L333,L338,L342,L347,L352,L356,L359)</f>
        <v>7856.2480000000005</v>
      </c>
      <c r="M361" s="149">
        <f>SUM(M271,M279,M285,M290,M295,M311,M316,M328,M333,M338,M342,M347,M352,M356,M359)</f>
        <v>0</v>
      </c>
      <c r="N361" s="358">
        <f>SUM(N271,N279,N285,N290,N295,N311,N316,N328,N333,N338,N342,N347,N352,N356,N359)</f>
        <v>33</v>
      </c>
      <c r="O361" s="475"/>
      <c r="P361" s="148">
        <f>SUM(P271,P279,P285,P290,P295,P311,P316,P328,P333,P338,P342,P347,P352,P356,P359)</f>
        <v>881.21111073074997</v>
      </c>
      <c r="Q361" s="153">
        <f>SUM(Q271,Q279,Q285,Q290,Q295,Q311,Q316,Q328,Q333,Q338,Q342,Q347,Q352,Q356,Q359)</f>
        <v>114.96666663249999</v>
      </c>
      <c r="R361" s="153">
        <f>SUM(R271,R279,R285,R290,R295,R311,R316,R328,R333,R338,R342,R347,R352,R356,R359)</f>
        <v>41409.783004663463</v>
      </c>
      <c r="S361" s="153"/>
      <c r="T361" s="543">
        <f t="shared" ref="T361:Y361" si="157">SUM(T271,T279,T285,T290,T295,T311,T316,T328,T333,T338,T342,T347,T352,T356,T359)</f>
        <v>58.666666639166671</v>
      </c>
      <c r="U361" s="148">
        <f>SUM(U271,U279,U285,U290,U295,U311,U316,U328,U333,U338,U342,U347,U352,U356,U359)</f>
        <v>29.333333319583335</v>
      </c>
      <c r="V361" s="153">
        <f t="shared" si="157"/>
        <v>58.666666639166671</v>
      </c>
      <c r="W361" s="543">
        <f t="shared" si="157"/>
        <v>112.83333328216668</v>
      </c>
      <c r="X361" s="148">
        <f>SUM(X271,X279,X285,X290,X295,X311,X316,X328,X333,X338,X342,X347,X352,X356,X359)</f>
        <v>851.87777741116668</v>
      </c>
      <c r="Y361" s="153">
        <f t="shared" si="157"/>
        <v>56.299999993333337</v>
      </c>
    </row>
    <row r="362" spans="1:25" s="29" customFormat="1" ht="12" thickTop="1">
      <c r="A362" s="248"/>
      <c r="B362" s="248"/>
      <c r="C362" s="249"/>
      <c r="D362" s="249"/>
      <c r="E362" s="249"/>
      <c r="F362" s="249"/>
      <c r="G362" s="249"/>
      <c r="H362" s="89"/>
      <c r="I362" s="90"/>
      <c r="J362" s="90"/>
      <c r="K362" s="90"/>
      <c r="L362" s="91"/>
      <c r="M362" s="91"/>
      <c r="N362" s="108"/>
      <c r="O362" s="497"/>
      <c r="P362" s="454"/>
      <c r="Q362" s="454"/>
      <c r="R362" s="91"/>
      <c r="S362" s="11"/>
      <c r="T362" s="455"/>
      <c r="U362" s="533"/>
      <c r="W362" s="455"/>
      <c r="X362" s="455"/>
    </row>
    <row r="363" spans="1:25" s="29" customFormat="1" ht="12" thickBot="1">
      <c r="A363" s="248"/>
      <c r="B363" s="248"/>
      <c r="C363" s="249"/>
      <c r="D363" s="249"/>
      <c r="E363" s="249"/>
      <c r="F363" s="249"/>
      <c r="G363" s="249"/>
      <c r="H363" s="106"/>
      <c r="I363" s="107"/>
      <c r="J363" s="107"/>
      <c r="K363" s="107"/>
      <c r="L363" s="108"/>
      <c r="M363" s="108"/>
      <c r="N363" s="108"/>
      <c r="O363" s="479"/>
      <c r="P363" s="561"/>
      <c r="Q363" s="561"/>
      <c r="R363" s="108"/>
      <c r="S363" s="11"/>
      <c r="T363" s="455"/>
      <c r="U363" s="533"/>
      <c r="W363" s="455"/>
      <c r="X363" s="455"/>
    </row>
    <row r="364" spans="1:25" ht="12" thickBot="1">
      <c r="A364" s="563" t="s">
        <v>206</v>
      </c>
      <c r="B364" s="562"/>
      <c r="C364" s="562"/>
      <c r="D364" s="562"/>
      <c r="E364" s="562"/>
      <c r="F364" s="562"/>
      <c r="G364" s="562"/>
      <c r="H364" s="562"/>
      <c r="I364" s="562"/>
      <c r="J364" s="562"/>
      <c r="K364" s="562"/>
      <c r="L364" s="562"/>
      <c r="M364" s="562"/>
      <c r="N364" s="562"/>
      <c r="O364" s="562"/>
      <c r="P364" s="583">
        <f>SUM(P21,P110,P172,P264,P361)</f>
        <v>4013.3061093939837</v>
      </c>
      <c r="Q364" s="584">
        <f>SUM(Q21,Q110,Q172,Q264,Q361)</f>
        <v>2096.9999991698337</v>
      </c>
      <c r="R364" s="584">
        <f>SUM(R21,R110,R172,R264,R361)</f>
        <v>223080.45768268884</v>
      </c>
      <c r="S364" s="585"/>
      <c r="T364" s="583">
        <f t="shared" ref="T364:Y364" si="158">SUM(T21,T110,T172,T264,T361)</f>
        <v>218.96666657116671</v>
      </c>
      <c r="U364" s="583">
        <f t="shared" si="158"/>
        <v>109.48333328558336</v>
      </c>
      <c r="V364" s="584">
        <f t="shared" si="158"/>
        <v>1839.366665853167</v>
      </c>
      <c r="W364" s="583">
        <f t="shared" si="158"/>
        <v>493.18888868083337</v>
      </c>
      <c r="X364" s="583">
        <f t="shared" si="158"/>
        <v>3903.8227761083999</v>
      </c>
      <c r="Y364" s="584">
        <f t="shared" si="158"/>
        <v>257.63333331666666</v>
      </c>
    </row>
    <row r="365" spans="1:25" ht="12" thickBot="1"/>
    <row r="366" spans="1:25" ht="12" thickBot="1">
      <c r="P366" s="586" t="s">
        <v>274</v>
      </c>
      <c r="Q366" s="587"/>
      <c r="R366" s="588">
        <f>R364+Q364</f>
        <v>225177.45768185868</v>
      </c>
    </row>
  </sheetData>
  <mergeCells count="1">
    <mergeCell ref="S13:S16"/>
  </mergeCells>
  <phoneticPr fontId="0" type="noConversion"/>
  <printOptions horizontalCentered="1"/>
  <pageMargins left="0.17" right="0.19" top="0.5" bottom="0.75" header="0.5" footer="0.5"/>
  <pageSetup paperSize="5" scale="65" orientation="landscape" horizontalDpi="1200" verticalDpi="1200" r:id="rId1"/>
  <headerFooter alignWithMargins="0">
    <oddFooter>Page &amp;P of &amp;N</oddFooter>
  </headerFooter>
  <rowBreaks count="16" manualBreakCount="16">
    <brk id="3" max="65535" man="1"/>
    <brk id="713" max="65535" man="1"/>
    <brk id="742" max="65535" man="1"/>
    <brk id="815" max="65535" man="1"/>
    <brk id="844" max="65535" man="1"/>
    <brk id="895" max="65535" man="1"/>
    <brk id="981" max="65535" man="1"/>
    <brk id="1236" max="65535" man="1"/>
    <brk id="1326" max="65535" man="1"/>
    <brk id="1393" max="65535" man="1"/>
    <brk id="1471" max="65535" man="1"/>
    <brk id="1538" max="65535" man="1"/>
    <brk id="1695" max="65535" man="1"/>
    <brk id="1728" max="65535" man="1"/>
    <brk id="1768" max="65535" man="1"/>
    <brk id="1833" max="655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syncVertical="1" syncRef="A326" transitionEvaluation="1"/>
  <dimension ref="A1:AP366"/>
  <sheetViews>
    <sheetView topLeftCell="A326" workbookViewId="0">
      <selection activeCell="R366" sqref="R366"/>
    </sheetView>
  </sheetViews>
  <sheetFormatPr defaultColWidth="9.6640625" defaultRowHeight="11.25"/>
  <cols>
    <col min="1" max="1" width="2.1640625" style="456" customWidth="1"/>
    <col min="2" max="2" width="55" style="456" customWidth="1"/>
    <col min="3" max="3" width="7.6640625" style="456" customWidth="1"/>
    <col min="4" max="6" width="8" style="456" customWidth="1"/>
    <col min="7" max="7" width="8.5" style="456" customWidth="1"/>
    <col min="8" max="8" width="10.1640625" style="456" customWidth="1"/>
    <col min="9" max="9" width="10.6640625" style="456" hidden="1" customWidth="1"/>
    <col min="10" max="10" width="11.1640625" style="456" hidden="1" customWidth="1"/>
    <col min="11" max="11" width="11" style="456" hidden="1" customWidth="1"/>
    <col min="12" max="12" width="9.5" style="456" customWidth="1"/>
    <col min="13" max="13" width="7.33203125" style="456" customWidth="1"/>
    <col min="14" max="14" width="8" style="456" customWidth="1"/>
    <col min="15" max="15" width="10.6640625" style="456" customWidth="1"/>
    <col min="16" max="17" width="9" style="456" customWidth="1"/>
    <col min="18" max="18" width="9.83203125" style="456" customWidth="1"/>
    <col min="19" max="19" width="7.6640625" style="456" customWidth="1"/>
    <col min="20" max="20" width="10.83203125" style="456" customWidth="1"/>
    <col min="21" max="21" width="9.6640625" style="456" customWidth="1"/>
    <col min="22" max="22" width="10.6640625" style="456" customWidth="1"/>
    <col min="23" max="23" width="11.33203125" style="456" customWidth="1"/>
    <col min="24" max="24" width="10" style="456" customWidth="1"/>
    <col min="25" max="25" width="11.1640625" style="456" customWidth="1"/>
    <col min="26" max="26" width="29" style="456" customWidth="1"/>
    <col min="27" max="27" width="27.5" style="456" customWidth="1"/>
    <col min="28" max="28" width="15.6640625" style="456" customWidth="1"/>
    <col min="29" max="29" width="13.33203125" style="456" customWidth="1"/>
    <col min="30" max="30" width="18.83203125" style="456" customWidth="1"/>
    <col min="31" max="31" width="27.6640625" style="456" customWidth="1"/>
    <col min="32" max="16384" width="9.6640625" style="456"/>
  </cols>
  <sheetData>
    <row r="1" spans="1:42" s="1" customFormat="1">
      <c r="B1" s="2" t="s">
        <v>0</v>
      </c>
      <c r="C1" s="3" t="s">
        <v>1</v>
      </c>
      <c r="D1" s="4" t="s">
        <v>2</v>
      </c>
      <c r="E1" s="3" t="s">
        <v>3</v>
      </c>
      <c r="F1" s="3" t="s">
        <v>4</v>
      </c>
      <c r="G1" s="3" t="s">
        <v>5</v>
      </c>
      <c r="H1" s="5"/>
      <c r="I1" s="6"/>
      <c r="J1" s="6"/>
      <c r="K1" s="6"/>
      <c r="L1" s="7"/>
      <c r="M1" s="7"/>
      <c r="N1" s="8" t="s">
        <v>225</v>
      </c>
      <c r="O1" s="8">
        <f>26/3*2</f>
        <v>17.333333333333332</v>
      </c>
      <c r="P1" s="9"/>
      <c r="Q1" s="9"/>
      <c r="R1" s="10"/>
      <c r="S1" s="11"/>
      <c r="T1" s="12"/>
      <c r="U1" s="13"/>
      <c r="X1" s="14"/>
    </row>
    <row r="2" spans="1:42" s="1" customFormat="1">
      <c r="B2" s="15" t="s">
        <v>246</v>
      </c>
      <c r="C2" s="5">
        <v>93.97</v>
      </c>
      <c r="D2" s="5">
        <v>71.489999999999995</v>
      </c>
      <c r="E2" s="5">
        <v>55</v>
      </c>
      <c r="F2" s="5">
        <v>26.48</v>
      </c>
      <c r="G2" s="5"/>
      <c r="H2" s="5"/>
      <c r="I2" s="6"/>
      <c r="J2" s="6"/>
      <c r="K2" s="6"/>
      <c r="L2" s="7"/>
      <c r="M2" s="7"/>
      <c r="N2" s="8" t="s">
        <v>226</v>
      </c>
      <c r="O2" s="8">
        <f>4.66666667/3*2</f>
        <v>3.1111111133333331</v>
      </c>
      <c r="P2" s="9"/>
      <c r="Q2" s="9"/>
      <c r="R2" s="7"/>
      <c r="S2" s="11"/>
      <c r="T2" s="11"/>
      <c r="U2" s="13"/>
      <c r="X2" s="14"/>
    </row>
    <row r="3" spans="1:42" s="1" customFormat="1">
      <c r="B3" s="16" t="s">
        <v>6</v>
      </c>
      <c r="C3" s="5">
        <v>1.0820000000000001</v>
      </c>
      <c r="D3" s="5">
        <v>1.0820000000000001</v>
      </c>
      <c r="E3" s="5">
        <v>1.0820000000000001</v>
      </c>
      <c r="F3" s="5">
        <v>1.0820000000000001</v>
      </c>
      <c r="G3" s="5"/>
      <c r="H3" s="5"/>
      <c r="I3" s="6"/>
      <c r="J3" s="6"/>
      <c r="K3" s="6"/>
      <c r="L3" s="7"/>
      <c r="M3" s="7"/>
      <c r="N3" s="8" t="s">
        <v>227</v>
      </c>
      <c r="O3" s="8">
        <f>1.33333333/3*2</f>
        <v>0.88888888666666677</v>
      </c>
      <c r="P3" s="9"/>
      <c r="Q3" s="9"/>
      <c r="R3" s="10"/>
      <c r="S3" s="11"/>
      <c r="T3" s="11"/>
      <c r="U3" s="13"/>
      <c r="X3" s="14"/>
    </row>
    <row r="4" spans="1:42" s="1" customFormat="1">
      <c r="B4" s="16" t="s">
        <v>7</v>
      </c>
      <c r="C4" s="5">
        <v>101.67554000000001</v>
      </c>
      <c r="D4" s="5">
        <v>77.352180000000004</v>
      </c>
      <c r="E4" s="5">
        <v>59.51</v>
      </c>
      <c r="F4" s="5">
        <v>28.651360000000004</v>
      </c>
      <c r="G4" s="5"/>
      <c r="H4" s="5"/>
      <c r="I4" s="6"/>
      <c r="J4" s="6"/>
      <c r="K4" s="6"/>
      <c r="L4" s="7"/>
      <c r="M4" s="7"/>
      <c r="N4" s="8" t="s">
        <v>228</v>
      </c>
      <c r="O4" s="8">
        <f>25/3*2</f>
        <v>16.666666666666668</v>
      </c>
      <c r="P4" s="9"/>
      <c r="Q4" s="9"/>
      <c r="R4" s="7"/>
      <c r="S4" s="11"/>
      <c r="T4" s="11"/>
      <c r="U4" s="13"/>
      <c r="X4" s="14"/>
    </row>
    <row r="5" spans="1:42" s="1" customFormat="1">
      <c r="B5" s="17" t="s">
        <v>247</v>
      </c>
      <c r="C5" s="5">
        <v>125.647716</v>
      </c>
      <c r="D5" s="5">
        <v>95.593332000000018</v>
      </c>
      <c r="E5" s="5">
        <v>73.540152000000006</v>
      </c>
      <c r="F5" s="5">
        <v>35.40699</v>
      </c>
      <c r="G5" s="5">
        <v>95.593332000000018</v>
      </c>
      <c r="H5" s="5"/>
      <c r="I5" s="6"/>
      <c r="J5" s="6"/>
      <c r="K5" s="6"/>
      <c r="L5" s="7"/>
      <c r="M5" s="7"/>
      <c r="N5" s="8" t="s">
        <v>229</v>
      </c>
      <c r="O5" s="8">
        <f>2.33333333/3*2</f>
        <v>1.5555555533333332</v>
      </c>
      <c r="P5" s="9"/>
      <c r="Q5" s="9"/>
      <c r="R5" s="7"/>
      <c r="S5" s="11"/>
      <c r="T5" s="11"/>
      <c r="U5" s="13"/>
      <c r="X5" s="14"/>
    </row>
    <row r="6" spans="1:42" s="1" customFormat="1">
      <c r="B6" s="16" t="s">
        <v>8</v>
      </c>
      <c r="C6" s="3" t="s">
        <v>1</v>
      </c>
      <c r="D6" s="3" t="s">
        <v>2</v>
      </c>
      <c r="E6" s="3" t="s">
        <v>3</v>
      </c>
      <c r="F6" s="3" t="s">
        <v>4</v>
      </c>
      <c r="G6" s="3"/>
      <c r="H6" s="5"/>
      <c r="I6" s="6"/>
      <c r="J6" s="6"/>
      <c r="K6" s="6"/>
      <c r="L6" s="7"/>
      <c r="M6" s="7"/>
      <c r="N6" s="8" t="s">
        <v>230</v>
      </c>
      <c r="O6" s="8">
        <f>4.666667/3*2</f>
        <v>3.1111113333333336</v>
      </c>
      <c r="P6" s="9"/>
      <c r="Q6" s="9"/>
      <c r="R6" s="7"/>
      <c r="S6" s="11"/>
      <c r="T6" s="11"/>
      <c r="U6" s="13"/>
      <c r="X6" s="14"/>
    </row>
    <row r="7" spans="1:42" s="1" customFormat="1">
      <c r="B7" s="16" t="s">
        <v>9</v>
      </c>
      <c r="C7" s="498">
        <v>55.69</v>
      </c>
      <c r="D7" s="498">
        <v>47.74</v>
      </c>
      <c r="E7" s="498">
        <v>34.340000000000003</v>
      </c>
      <c r="F7" s="498">
        <v>19</v>
      </c>
      <c r="G7" s="5"/>
      <c r="H7" s="5"/>
      <c r="I7" s="6"/>
      <c r="J7" s="6"/>
      <c r="K7" s="6"/>
      <c r="L7" s="7"/>
      <c r="M7" s="7"/>
      <c r="N7" s="8" t="s">
        <v>231</v>
      </c>
      <c r="O7" s="8">
        <f>32/3*2</f>
        <v>21.333333333333332</v>
      </c>
      <c r="P7" s="9"/>
      <c r="Q7" s="9"/>
      <c r="R7" s="7"/>
      <c r="S7" s="11"/>
      <c r="T7" s="11"/>
      <c r="U7" s="13"/>
      <c r="X7" s="14"/>
      <c r="AP7" s="18" t="s">
        <v>10</v>
      </c>
    </row>
    <row r="8" spans="1:42" s="1" customFormat="1">
      <c r="B8" s="16" t="s">
        <v>6</v>
      </c>
      <c r="C8" s="5">
        <v>1.6</v>
      </c>
      <c r="D8" s="5">
        <v>1.6</v>
      </c>
      <c r="E8" s="5">
        <v>1.6</v>
      </c>
      <c r="F8" s="5">
        <v>1.6</v>
      </c>
      <c r="G8" s="5"/>
      <c r="H8" s="5"/>
      <c r="I8" s="6"/>
      <c r="J8" s="6"/>
      <c r="K8" s="6"/>
      <c r="L8" s="7"/>
      <c r="M8" s="7"/>
      <c r="N8" s="7"/>
      <c r="O8" s="8"/>
      <c r="P8" s="9"/>
      <c r="Q8" s="9"/>
      <c r="R8" s="7"/>
      <c r="S8" s="11"/>
      <c r="T8" s="11"/>
      <c r="U8" s="13"/>
      <c r="X8" s="14"/>
    </row>
    <row r="9" spans="1:42" s="1" customFormat="1">
      <c r="B9" s="16" t="s">
        <v>11</v>
      </c>
      <c r="C9" s="19">
        <f>C8*C7</f>
        <v>89.103999999999999</v>
      </c>
      <c r="D9" s="19">
        <f>D8*D7</f>
        <v>76.384</v>
      </c>
      <c r="E9" s="19">
        <f>E8*E7</f>
        <v>54.94400000000001</v>
      </c>
      <c r="F9" s="19">
        <f>F8*F7</f>
        <v>30.400000000000002</v>
      </c>
      <c r="G9" s="19">
        <f>D9</f>
        <v>76.384</v>
      </c>
      <c r="H9" s="5"/>
      <c r="I9" s="6"/>
      <c r="J9" s="6"/>
      <c r="K9" s="6"/>
      <c r="L9" s="7"/>
      <c r="M9" s="7"/>
      <c r="N9" s="7"/>
      <c r="O9" s="8">
        <f>SUM(O1:O6)</f>
        <v>42.666666886666668</v>
      </c>
      <c r="P9" s="9"/>
      <c r="Q9" s="9"/>
      <c r="R9" s="7"/>
      <c r="S9" s="11"/>
      <c r="T9" s="11"/>
      <c r="U9" s="13"/>
      <c r="X9" s="14"/>
    </row>
    <row r="10" spans="1:42" s="1" customFormat="1">
      <c r="C10" s="5"/>
      <c r="D10" s="5"/>
      <c r="E10" s="5"/>
      <c r="F10" s="5"/>
      <c r="G10" s="5"/>
      <c r="H10" s="20"/>
      <c r="I10" s="21"/>
      <c r="J10" s="21"/>
      <c r="K10" s="21"/>
      <c r="L10" s="7"/>
      <c r="M10" s="7"/>
      <c r="N10" s="7"/>
      <c r="O10" s="8"/>
      <c r="P10" s="9"/>
      <c r="Q10" s="9"/>
      <c r="R10" s="7"/>
      <c r="S10" s="11"/>
      <c r="T10" s="11"/>
      <c r="U10" s="13"/>
      <c r="X10" s="14"/>
    </row>
    <row r="11" spans="1:42" s="29" customFormat="1" ht="12.75">
      <c r="A11" s="22" t="s">
        <v>258</v>
      </c>
      <c r="B11" s="23"/>
      <c r="C11" s="24"/>
      <c r="D11" s="24"/>
      <c r="E11" s="24"/>
      <c r="F11" s="24"/>
      <c r="G11" s="24"/>
      <c r="H11" s="24"/>
      <c r="I11" s="25"/>
      <c r="J11" s="25"/>
      <c r="K11" s="25"/>
      <c r="L11" s="26"/>
      <c r="M11" s="26"/>
      <c r="N11" s="26"/>
      <c r="O11" s="27"/>
      <c r="P11" s="28"/>
      <c r="Q11" s="28"/>
      <c r="R11" s="26"/>
      <c r="S11" s="11"/>
      <c r="T11" s="11"/>
      <c r="U11" s="13"/>
      <c r="X11" s="30"/>
      <c r="AA11" s="572" t="s">
        <v>267</v>
      </c>
      <c r="AB11" s="573"/>
      <c r="AC11" s="573"/>
      <c r="AD11" s="573"/>
      <c r="AE11" s="573"/>
      <c r="AF11" s="574"/>
    </row>
    <row r="12" spans="1:42" s="29" customFormat="1">
      <c r="A12" s="1"/>
      <c r="B12" s="1"/>
      <c r="C12" s="31"/>
      <c r="D12" s="31"/>
      <c r="E12" s="32" t="s">
        <v>12</v>
      </c>
      <c r="F12" s="31"/>
      <c r="G12" s="31"/>
      <c r="H12" s="31"/>
      <c r="I12" s="33"/>
      <c r="J12" s="33"/>
      <c r="K12" s="33"/>
      <c r="L12" s="34"/>
      <c r="M12" s="34"/>
      <c r="N12" s="34"/>
      <c r="O12" s="8"/>
      <c r="P12" s="35" t="s">
        <v>13</v>
      </c>
      <c r="Q12" s="35"/>
      <c r="R12" s="7"/>
      <c r="S12" s="11"/>
      <c r="T12" s="11"/>
      <c r="U12" s="13"/>
      <c r="X12" s="30"/>
      <c r="AA12" s="573"/>
      <c r="AB12" s="573"/>
      <c r="AC12" s="573"/>
      <c r="AD12" s="573"/>
      <c r="AE12" s="573"/>
      <c r="AF12" s="574"/>
    </row>
    <row r="13" spans="1:42" s="29" customFormat="1" ht="35.25" customHeight="1">
      <c r="A13" s="1"/>
      <c r="B13" s="1"/>
      <c r="C13" s="457" t="s">
        <v>245</v>
      </c>
      <c r="D13" s="458"/>
      <c r="E13" s="458"/>
      <c r="F13" s="458"/>
      <c r="G13" s="458"/>
      <c r="H13" s="36"/>
      <c r="I13" s="37"/>
      <c r="J13" s="37"/>
      <c r="K13" s="37"/>
      <c r="L13" s="38"/>
      <c r="M13" s="38"/>
      <c r="N13" s="39"/>
      <c r="O13" s="40"/>
      <c r="P13" s="41"/>
      <c r="Q13" s="41"/>
      <c r="R13" s="39"/>
      <c r="S13" s="589" t="s">
        <v>248</v>
      </c>
      <c r="T13" s="500" t="s">
        <v>249</v>
      </c>
      <c r="U13" s="501"/>
      <c r="V13" s="501"/>
      <c r="W13" s="501"/>
      <c r="X13" s="501"/>
      <c r="Y13" s="502"/>
      <c r="AA13" s="575"/>
      <c r="AB13" s="575" t="s">
        <v>260</v>
      </c>
      <c r="AC13" s="575" t="s">
        <v>261</v>
      </c>
      <c r="AD13" s="575" t="s">
        <v>262</v>
      </c>
      <c r="AE13" s="575" t="s">
        <v>263</v>
      </c>
      <c r="AF13" s="574"/>
    </row>
    <row r="14" spans="1:42" s="29" customFormat="1">
      <c r="A14" s="1"/>
      <c r="B14" s="1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14</v>
      </c>
      <c r="I14" s="42"/>
      <c r="J14" s="42"/>
      <c r="K14" s="42"/>
      <c r="L14" s="43" t="s">
        <v>15</v>
      </c>
      <c r="M14" s="43" t="s">
        <v>16</v>
      </c>
      <c r="N14" s="43" t="s">
        <v>19</v>
      </c>
      <c r="O14" s="44" t="s">
        <v>25</v>
      </c>
      <c r="P14" s="35" t="s">
        <v>14</v>
      </c>
      <c r="Q14" s="35" t="s">
        <v>255</v>
      </c>
      <c r="R14" s="43" t="s">
        <v>14</v>
      </c>
      <c r="S14" s="590"/>
      <c r="T14" s="503" t="s">
        <v>250</v>
      </c>
      <c r="U14" s="503"/>
      <c r="V14" s="503"/>
      <c r="W14" s="503" t="s">
        <v>251</v>
      </c>
      <c r="X14" s="503"/>
      <c r="Y14" s="503"/>
      <c r="AA14" s="576" t="s">
        <v>268</v>
      </c>
      <c r="AB14" s="580">
        <f>AC14/AF14</f>
        <v>0.5</v>
      </c>
      <c r="AC14" s="577">
        <f>U364</f>
        <v>218.96666771716667</v>
      </c>
      <c r="AD14" s="578">
        <f>AE14/AF14</f>
        <v>8.4002131228074717</v>
      </c>
      <c r="AE14" s="578">
        <f>V364</f>
        <v>3678.7333512303335</v>
      </c>
      <c r="AF14" s="579">
        <f>T364</f>
        <v>437.93333543433334</v>
      </c>
    </row>
    <row r="15" spans="1:42" s="29" customFormat="1" ht="14.25" customHeight="1">
      <c r="A15" s="1"/>
      <c r="B15" s="1"/>
      <c r="C15" s="45">
        <f>C9</f>
        <v>89.103999999999999</v>
      </c>
      <c r="D15" s="45">
        <f>D9</f>
        <v>76.384</v>
      </c>
      <c r="E15" s="45">
        <f>E9</f>
        <v>54.94400000000001</v>
      </c>
      <c r="F15" s="45">
        <f>F9</f>
        <v>30.400000000000002</v>
      </c>
      <c r="G15" s="45">
        <f>G9</f>
        <v>76.384</v>
      </c>
      <c r="H15" s="3" t="s">
        <v>201</v>
      </c>
      <c r="I15" s="42"/>
      <c r="J15" s="42"/>
      <c r="K15" s="42"/>
      <c r="L15" s="43" t="s">
        <v>17</v>
      </c>
      <c r="M15" s="43" t="s">
        <v>18</v>
      </c>
      <c r="N15" s="46" t="s">
        <v>17</v>
      </c>
      <c r="O15" s="47" t="s">
        <v>244</v>
      </c>
      <c r="P15" s="35" t="s">
        <v>241</v>
      </c>
      <c r="Q15" s="35" t="s">
        <v>256</v>
      </c>
      <c r="R15" s="43" t="s">
        <v>17</v>
      </c>
      <c r="S15" s="590"/>
      <c r="T15" s="504"/>
      <c r="U15" s="504"/>
      <c r="V15" s="504"/>
      <c r="W15" s="504"/>
      <c r="X15" s="504"/>
      <c r="Y15" s="504"/>
      <c r="AA15" s="576" t="s">
        <v>269</v>
      </c>
      <c r="AB15" s="580">
        <f>AC15/AF15</f>
        <v>7.9154718729528293</v>
      </c>
      <c r="AC15" s="577">
        <f>X364</f>
        <v>7807.6455939962007</v>
      </c>
      <c r="AD15" s="578">
        <f>AE15/AF15</f>
        <v>0.522382677412498</v>
      </c>
      <c r="AE15" s="578">
        <f>Y364</f>
        <v>515.26666699633336</v>
      </c>
      <c r="AF15" s="579">
        <f>W364</f>
        <v>986.37778256466663</v>
      </c>
    </row>
    <row r="16" spans="1:42" s="29" customFormat="1" ht="28.5" customHeight="1">
      <c r="A16" s="54" t="s">
        <v>20</v>
      </c>
      <c r="B16" s="54"/>
      <c r="C16" s="55" t="s">
        <v>240</v>
      </c>
      <c r="D16" s="55" t="s">
        <v>240</v>
      </c>
      <c r="E16" s="55" t="s">
        <v>240</v>
      </c>
      <c r="F16" s="55" t="s">
        <v>240</v>
      </c>
      <c r="G16" s="55" t="s">
        <v>240</v>
      </c>
      <c r="H16" s="55" t="s">
        <v>242</v>
      </c>
      <c r="I16" s="56"/>
      <c r="J16" s="56"/>
      <c r="K16" s="56"/>
      <c r="L16" s="46" t="s">
        <v>243</v>
      </c>
      <c r="M16" s="46" t="s">
        <v>243</v>
      </c>
      <c r="N16" s="46" t="s">
        <v>243</v>
      </c>
      <c r="O16" s="57" t="s">
        <v>21</v>
      </c>
      <c r="P16" s="58" t="s">
        <v>242</v>
      </c>
      <c r="Q16" s="46" t="s">
        <v>243</v>
      </c>
      <c r="R16" s="46" t="s">
        <v>243</v>
      </c>
      <c r="S16" s="591"/>
      <c r="T16" s="505" t="s">
        <v>252</v>
      </c>
      <c r="U16" s="505" t="s">
        <v>253</v>
      </c>
      <c r="V16" s="505" t="s">
        <v>266</v>
      </c>
      <c r="W16" s="505" t="s">
        <v>252</v>
      </c>
      <c r="X16" s="505" t="s">
        <v>253</v>
      </c>
      <c r="Y16" s="505" t="s">
        <v>266</v>
      </c>
      <c r="AA16" s="576" t="s">
        <v>264</v>
      </c>
      <c r="AB16" s="580"/>
      <c r="AC16" s="577"/>
      <c r="AD16" s="578"/>
      <c r="AE16" s="578"/>
      <c r="AF16" s="574"/>
    </row>
    <row r="17" spans="1:32" s="29" customFormat="1" ht="12" thickBot="1">
      <c r="A17" s="54"/>
      <c r="B17" s="54"/>
      <c r="C17" s="55"/>
      <c r="D17" s="55"/>
      <c r="E17" s="55"/>
      <c r="F17" s="55"/>
      <c r="G17" s="55"/>
      <c r="H17" s="55"/>
      <c r="I17" s="56"/>
      <c r="J17" s="56"/>
      <c r="K17" s="56"/>
      <c r="L17" s="46"/>
      <c r="M17" s="46"/>
      <c r="N17" s="46"/>
      <c r="O17" s="57"/>
      <c r="P17" s="58"/>
      <c r="Q17" s="58"/>
      <c r="R17" s="46"/>
      <c r="S17" s="506"/>
      <c r="T17" s="527"/>
      <c r="U17" s="507"/>
      <c r="V17" s="508"/>
      <c r="W17" s="508"/>
      <c r="X17" s="508"/>
      <c r="Y17" s="508"/>
      <c r="AA17" s="576" t="s">
        <v>270</v>
      </c>
      <c r="AB17" s="580">
        <f>AC17/AF17</f>
        <v>5.6354346745462962</v>
      </c>
      <c r="AC17" s="581">
        <f>SUM(AC14:AC16)</f>
        <v>8026.6122617133669</v>
      </c>
      <c r="AD17" s="578">
        <f>AE17/AF17</f>
        <v>2.944581394631514</v>
      </c>
      <c r="AE17" s="582">
        <f>SUM(AE14:AE16)</f>
        <v>4194.0000182266667</v>
      </c>
      <c r="AF17" s="579">
        <f>SUM(AF15,AF14)</f>
        <v>1424.3111179990001</v>
      </c>
    </row>
    <row r="18" spans="1:32" s="29" customFormat="1" ht="12.75" thickTop="1" thickBot="1">
      <c r="A18" s="59" t="s">
        <v>219</v>
      </c>
      <c r="B18" s="60"/>
      <c r="C18" s="61"/>
      <c r="D18" s="61"/>
      <c r="E18" s="61"/>
      <c r="F18" s="61"/>
      <c r="G18" s="61"/>
      <c r="H18" s="61"/>
      <c r="I18" s="62"/>
      <c r="J18" s="62"/>
      <c r="K18" s="62"/>
      <c r="L18" s="63"/>
      <c r="M18" s="63"/>
      <c r="N18" s="64"/>
      <c r="O18" s="65"/>
      <c r="P18" s="66"/>
      <c r="Q18" s="66"/>
      <c r="R18" s="67"/>
      <c r="S18" s="522"/>
      <c r="T18" s="509"/>
      <c r="U18" s="509"/>
      <c r="V18" s="510"/>
      <c r="W18" s="511"/>
      <c r="X18" s="511"/>
      <c r="Y18" s="510"/>
    </row>
    <row r="19" spans="1:32" s="29" customFormat="1" ht="12.75" thickTop="1" thickBot="1">
      <c r="A19" s="68" t="s">
        <v>217</v>
      </c>
      <c r="B19" s="69"/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f>SUM(C19:G19)</f>
        <v>0</v>
      </c>
      <c r="I19" s="71"/>
      <c r="J19" s="71"/>
      <c r="K19" s="71"/>
      <c r="L19" s="72">
        <f>((C19*$C$9)+(D19*$D$9)+(E19*$E$9)+(F19*$F$9))</f>
        <v>0</v>
      </c>
      <c r="M19" s="72">
        <v>0</v>
      </c>
      <c r="N19" s="73">
        <v>0</v>
      </c>
      <c r="O19" s="74">
        <v>0</v>
      </c>
      <c r="P19" s="75">
        <f>(C19+D19+E19+F19)*O19</f>
        <v>0</v>
      </c>
      <c r="Q19" s="72">
        <f>(M19+N19)*O19</f>
        <v>0</v>
      </c>
      <c r="R19" s="72">
        <f>(L19+M19+N19)*O19</f>
        <v>0</v>
      </c>
      <c r="S19" s="523"/>
      <c r="T19" s="530">
        <f t="shared" ref="T19:V20" si="0">IF($S19="RP",O19,"")</f>
        <v>0</v>
      </c>
      <c r="U19" s="531">
        <f t="shared" si="0"/>
        <v>0</v>
      </c>
      <c r="V19" s="512">
        <f t="shared" si="0"/>
        <v>0</v>
      </c>
      <c r="W19" s="531">
        <f t="shared" ref="W19:Y20" si="1">IF($S19="RK",O19,"")</f>
        <v>0</v>
      </c>
      <c r="X19" s="531">
        <f t="shared" si="1"/>
        <v>0</v>
      </c>
      <c r="Y19" s="512">
        <f t="shared" si="1"/>
        <v>0</v>
      </c>
    </row>
    <row r="20" spans="1:32" s="29" customFormat="1" ht="12.75" thickTop="1" thickBot="1">
      <c r="A20" s="76" t="s">
        <v>22</v>
      </c>
      <c r="B20" s="77"/>
      <c r="C20" s="78">
        <f t="shared" ref="C20:N20" si="2">SUM(C19:C19)</f>
        <v>0</v>
      </c>
      <c r="D20" s="78">
        <f t="shared" si="2"/>
        <v>0</v>
      </c>
      <c r="E20" s="78">
        <f t="shared" si="2"/>
        <v>0</v>
      </c>
      <c r="F20" s="78">
        <f t="shared" si="2"/>
        <v>0</v>
      </c>
      <c r="G20" s="78">
        <f t="shared" si="2"/>
        <v>0</v>
      </c>
      <c r="H20" s="78">
        <f t="shared" si="2"/>
        <v>0</v>
      </c>
      <c r="I20" s="79">
        <f t="shared" si="2"/>
        <v>0</v>
      </c>
      <c r="J20" s="79">
        <f t="shared" si="2"/>
        <v>0</v>
      </c>
      <c r="K20" s="79">
        <f t="shared" si="2"/>
        <v>0</v>
      </c>
      <c r="L20" s="80">
        <f t="shared" si="2"/>
        <v>0</v>
      </c>
      <c r="M20" s="80">
        <f t="shared" si="2"/>
        <v>0</v>
      </c>
      <c r="N20" s="81">
        <f t="shared" si="2"/>
        <v>0</v>
      </c>
      <c r="O20" s="82"/>
      <c r="P20" s="83">
        <f>SUM(P19:P19)</f>
        <v>0</v>
      </c>
      <c r="Q20" s="72">
        <f>(M20+N20)*O20</f>
        <v>0</v>
      </c>
      <c r="R20" s="80">
        <f>SUM(R19:R19)</f>
        <v>0</v>
      </c>
      <c r="S20" s="530"/>
      <c r="T20" s="530">
        <f t="shared" si="0"/>
        <v>0</v>
      </c>
      <c r="U20" s="531">
        <f t="shared" si="0"/>
        <v>0</v>
      </c>
      <c r="V20" s="512">
        <f t="shared" si="0"/>
        <v>0</v>
      </c>
      <c r="W20" s="531">
        <f t="shared" si="1"/>
        <v>0</v>
      </c>
      <c r="X20" s="531">
        <f t="shared" si="1"/>
        <v>0</v>
      </c>
      <c r="Y20" s="512">
        <f t="shared" si="1"/>
        <v>0</v>
      </c>
    </row>
    <row r="21" spans="1:32" s="29" customFormat="1" ht="12.75" thickTop="1" thickBot="1">
      <c r="A21" s="59" t="s">
        <v>218</v>
      </c>
      <c r="B21" s="60"/>
      <c r="C21" s="84"/>
      <c r="D21" s="84"/>
      <c r="E21" s="84"/>
      <c r="F21" s="84"/>
      <c r="G21" s="84"/>
      <c r="H21" s="84">
        <f>H20</f>
        <v>0</v>
      </c>
      <c r="I21" s="85"/>
      <c r="J21" s="85"/>
      <c r="K21" s="85"/>
      <c r="L21" s="86">
        <f>L20</f>
        <v>0</v>
      </c>
      <c r="M21" s="86">
        <f>M20</f>
        <v>0</v>
      </c>
      <c r="N21" s="81">
        <f>N20</f>
        <v>0</v>
      </c>
      <c r="O21" s="82"/>
      <c r="P21" s="83">
        <f>P20</f>
        <v>0</v>
      </c>
      <c r="Q21" s="72">
        <f>(M21+N21)*O21</f>
        <v>0</v>
      </c>
      <c r="R21" s="80">
        <f>R20</f>
        <v>0</v>
      </c>
      <c r="S21" s="523"/>
      <c r="T21" s="85">
        <f t="shared" ref="T21:Y21" si="3">T20</f>
        <v>0</v>
      </c>
      <c r="U21" s="79">
        <f t="shared" si="3"/>
        <v>0</v>
      </c>
      <c r="V21" s="80">
        <f t="shared" si="3"/>
        <v>0</v>
      </c>
      <c r="W21" s="79">
        <f t="shared" si="3"/>
        <v>0</v>
      </c>
      <c r="X21" s="79">
        <f t="shared" si="3"/>
        <v>0</v>
      </c>
      <c r="Y21" s="80">
        <f t="shared" si="3"/>
        <v>0</v>
      </c>
    </row>
    <row r="22" spans="1:32" s="29" customFormat="1" ht="12" thickTop="1">
      <c r="A22" s="87"/>
      <c r="B22" s="88"/>
      <c r="C22" s="89"/>
      <c r="D22" s="89"/>
      <c r="E22" s="89"/>
      <c r="F22" s="89"/>
      <c r="G22" s="89"/>
      <c r="H22" s="89"/>
      <c r="I22" s="90"/>
      <c r="J22" s="90"/>
      <c r="K22" s="90"/>
      <c r="L22" s="91"/>
      <c r="M22" s="91"/>
      <c r="N22" s="91"/>
      <c r="O22" s="92"/>
      <c r="P22" s="93"/>
      <c r="Q22" s="93"/>
      <c r="R22" s="91"/>
      <c r="S22" s="11"/>
      <c r="T22" s="532"/>
      <c r="U22" s="533"/>
      <c r="W22" s="455"/>
      <c r="X22" s="455"/>
    </row>
    <row r="23" spans="1:32" s="29" customFormat="1" ht="12" thickBot="1">
      <c r="A23" s="94"/>
      <c r="B23" s="95"/>
      <c r="C23" s="96"/>
      <c r="D23" s="96"/>
      <c r="E23" s="96"/>
      <c r="F23" s="96"/>
      <c r="G23" s="96"/>
      <c r="H23" s="96"/>
      <c r="I23" s="97"/>
      <c r="J23" s="97"/>
      <c r="K23" s="97"/>
      <c r="L23" s="98"/>
      <c r="M23" s="98"/>
      <c r="N23" s="98"/>
      <c r="O23" s="99"/>
      <c r="P23" s="100"/>
      <c r="Q23" s="100"/>
      <c r="R23" s="98"/>
      <c r="S23" s="11"/>
      <c r="T23" s="532"/>
      <c r="U23" s="533"/>
      <c r="W23" s="455"/>
      <c r="X23" s="455"/>
    </row>
    <row r="24" spans="1:32" s="29" customFormat="1" ht="12.75" thickTop="1" thickBot="1">
      <c r="A24" s="59" t="s">
        <v>174</v>
      </c>
      <c r="B24" s="60"/>
      <c r="C24" s="101"/>
      <c r="D24" s="101"/>
      <c r="E24" s="101"/>
      <c r="F24" s="101"/>
      <c r="G24" s="101"/>
      <c r="H24" s="101"/>
      <c r="I24" s="102"/>
      <c r="J24" s="102"/>
      <c r="K24" s="102"/>
      <c r="L24" s="103"/>
      <c r="M24" s="103"/>
      <c r="N24" s="81"/>
      <c r="O24" s="82"/>
      <c r="P24" s="104"/>
      <c r="Q24" s="104"/>
      <c r="R24" s="80"/>
      <c r="S24" s="103"/>
      <c r="T24" s="85"/>
      <c r="U24" s="79"/>
      <c r="V24" s="80"/>
      <c r="W24" s="79"/>
      <c r="X24" s="79"/>
      <c r="Y24" s="80"/>
    </row>
    <row r="25" spans="1:32" s="114" customFormat="1" ht="12" thickTop="1">
      <c r="A25" s="105" t="s">
        <v>232</v>
      </c>
      <c r="B25" s="54"/>
      <c r="C25" s="106"/>
      <c r="D25" s="106"/>
      <c r="E25" s="106"/>
      <c r="F25" s="106"/>
      <c r="G25" s="106"/>
      <c r="H25" s="106"/>
      <c r="I25" s="107"/>
      <c r="J25" s="107"/>
      <c r="K25" s="107"/>
      <c r="L25" s="108"/>
      <c r="M25" s="108"/>
      <c r="N25" s="109"/>
      <c r="O25" s="110"/>
      <c r="P25" s="111"/>
      <c r="Q25" s="111"/>
      <c r="R25" s="112"/>
      <c r="S25" s="524"/>
      <c r="T25" s="534"/>
      <c r="U25" s="535"/>
      <c r="V25" s="452"/>
      <c r="W25" s="535"/>
      <c r="X25" s="535"/>
      <c r="Y25" s="452"/>
    </row>
    <row r="26" spans="1:32" s="29" customFormat="1">
      <c r="A26" s="115"/>
      <c r="B26" s="116" t="s">
        <v>175</v>
      </c>
      <c r="C26" s="117"/>
      <c r="D26" s="117"/>
      <c r="E26" s="117"/>
      <c r="F26" s="117"/>
      <c r="G26" s="117"/>
      <c r="H26" s="117"/>
      <c r="I26" s="118"/>
      <c r="J26" s="118"/>
      <c r="K26" s="118"/>
      <c r="L26" s="119"/>
      <c r="M26" s="119"/>
      <c r="N26" s="120"/>
      <c r="O26" s="121"/>
      <c r="P26" s="122"/>
      <c r="Q26" s="122"/>
      <c r="R26" s="119"/>
      <c r="S26" s="11"/>
      <c r="T26" s="532"/>
      <c r="U26" s="533"/>
      <c r="W26" s="455"/>
      <c r="X26" s="455"/>
    </row>
    <row r="27" spans="1:32" s="29" customFormat="1" ht="12" thickBot="1">
      <c r="A27" s="123"/>
      <c r="B27" s="124" t="s">
        <v>176</v>
      </c>
      <c r="C27" s="125"/>
      <c r="D27" s="125"/>
      <c r="E27" s="125"/>
      <c r="F27" s="125"/>
      <c r="G27" s="125"/>
      <c r="H27" s="125"/>
      <c r="I27" s="126"/>
      <c r="J27" s="126"/>
      <c r="K27" s="126"/>
      <c r="L27" s="127"/>
      <c r="M27" s="128"/>
      <c r="N27" s="129"/>
      <c r="O27" s="130"/>
      <c r="P27" s="131"/>
      <c r="Q27" s="131"/>
      <c r="R27" s="128"/>
      <c r="S27" s="11"/>
      <c r="T27" s="532"/>
      <c r="U27" s="533"/>
      <c r="W27" s="455"/>
      <c r="X27" s="455"/>
    </row>
    <row r="28" spans="1:32" s="29" customFormat="1" ht="12" thickBot="1">
      <c r="A28" s="132"/>
      <c r="B28" s="133" t="s">
        <v>177</v>
      </c>
      <c r="C28" s="134">
        <v>0</v>
      </c>
      <c r="D28" s="134">
        <v>0.5</v>
      </c>
      <c r="E28" s="134">
        <v>2</v>
      </c>
      <c r="F28" s="134">
        <v>0</v>
      </c>
      <c r="G28" s="135">
        <v>0</v>
      </c>
      <c r="H28" s="136">
        <f>SUM(C28:G28)</f>
        <v>2.5</v>
      </c>
      <c r="I28" s="137"/>
      <c r="J28" s="137"/>
      <c r="K28" s="137"/>
      <c r="L28" s="138">
        <f>((C28*$C$9)+(D28*$D$9)+(E28*$E$9)+(F28*$F$9))</f>
        <v>148.08000000000001</v>
      </c>
      <c r="M28" s="138">
        <v>0</v>
      </c>
      <c r="N28" s="139">
        <v>0</v>
      </c>
      <c r="O28" s="140">
        <f>0.05*O9</f>
        <v>2.1333333443333333</v>
      </c>
      <c r="P28" s="459">
        <f>(C28+D28+E28+F28)*O28</f>
        <v>5.3333333608333335</v>
      </c>
      <c r="Q28" s="72">
        <f>(M28+N28)*O28</f>
        <v>0</v>
      </c>
      <c r="R28" s="460">
        <f>(L28+M28+N28)*O28</f>
        <v>315.90400162888005</v>
      </c>
      <c r="S28" s="11" t="s">
        <v>254</v>
      </c>
      <c r="T28" s="530" t="str">
        <f t="shared" ref="T28:V29" si="4">IF($S28="RP",O28,"")</f>
        <v/>
      </c>
      <c r="U28" s="531" t="str">
        <f t="shared" si="4"/>
        <v/>
      </c>
      <c r="V28" s="512" t="str">
        <f t="shared" si="4"/>
        <v/>
      </c>
      <c r="W28" s="531">
        <f t="shared" ref="W28:Y29" si="5">IF($S28="RK",O28,"")</f>
        <v>2.1333333443333333</v>
      </c>
      <c r="X28" s="531">
        <f t="shared" si="5"/>
        <v>5.3333333608333335</v>
      </c>
      <c r="Y28" s="512">
        <f t="shared" si="5"/>
        <v>0</v>
      </c>
    </row>
    <row r="29" spans="1:32" s="29" customFormat="1" ht="12" thickBot="1">
      <c r="A29" s="143"/>
      <c r="B29" s="124" t="s">
        <v>97</v>
      </c>
      <c r="C29" s="144">
        <v>0</v>
      </c>
      <c r="D29" s="144">
        <v>0.25</v>
      </c>
      <c r="E29" s="144">
        <v>0</v>
      </c>
      <c r="F29" s="144">
        <v>0.25</v>
      </c>
      <c r="G29" s="106">
        <v>0</v>
      </c>
      <c r="H29" s="136">
        <f>SUM(C29:G29)</f>
        <v>0.5</v>
      </c>
      <c r="I29" s="137"/>
      <c r="J29" s="137"/>
      <c r="K29" s="137"/>
      <c r="L29" s="138">
        <f>((C29*$C$9)+(D29*$D$9)+(E29*$E$9)+(F29*$F$9))</f>
        <v>26.696000000000002</v>
      </c>
      <c r="M29" s="138">
        <v>0</v>
      </c>
      <c r="N29" s="139">
        <v>1</v>
      </c>
      <c r="O29" s="130">
        <f>0.05*O9</f>
        <v>2.1333333443333333</v>
      </c>
      <c r="P29" s="459">
        <f>(C29+D29+E29+F29)*O29</f>
        <v>1.0666666721666667</v>
      </c>
      <c r="Q29" s="72">
        <f>(M29+N29)*O29</f>
        <v>2.1333333443333333</v>
      </c>
      <c r="R29" s="460">
        <f>(L29+M29+N29)*O29</f>
        <v>59.084800304656</v>
      </c>
      <c r="S29" s="11" t="s">
        <v>259</v>
      </c>
      <c r="T29" s="530">
        <f t="shared" si="4"/>
        <v>2.1333333443333333</v>
      </c>
      <c r="U29" s="531">
        <f t="shared" si="4"/>
        <v>1.0666666721666667</v>
      </c>
      <c r="V29" s="512">
        <f t="shared" si="4"/>
        <v>2.1333333443333333</v>
      </c>
      <c r="W29" s="531" t="str">
        <f t="shared" si="5"/>
        <v/>
      </c>
      <c r="X29" s="531" t="str">
        <f t="shared" si="5"/>
        <v/>
      </c>
      <c r="Y29" s="512" t="str">
        <f t="shared" si="5"/>
        <v/>
      </c>
    </row>
    <row r="30" spans="1:32" s="29" customFormat="1" ht="12.75" thickTop="1" thickBot="1">
      <c r="A30" s="145" t="s">
        <v>22</v>
      </c>
      <c r="B30" s="146"/>
      <c r="C30" s="147">
        <f t="shared" ref="C30:N30" si="6">SUM(C28:C29)</f>
        <v>0</v>
      </c>
      <c r="D30" s="147">
        <f t="shared" si="6"/>
        <v>0.75</v>
      </c>
      <c r="E30" s="147">
        <f t="shared" si="6"/>
        <v>2</v>
      </c>
      <c r="F30" s="147">
        <f t="shared" si="6"/>
        <v>0.25</v>
      </c>
      <c r="G30" s="147">
        <f t="shared" si="6"/>
        <v>0</v>
      </c>
      <c r="H30" s="147">
        <f t="shared" si="6"/>
        <v>3</v>
      </c>
      <c r="I30" s="148">
        <f t="shared" si="6"/>
        <v>0</v>
      </c>
      <c r="J30" s="148">
        <f t="shared" si="6"/>
        <v>0</v>
      </c>
      <c r="K30" s="148">
        <f t="shared" si="6"/>
        <v>0</v>
      </c>
      <c r="L30" s="149">
        <f t="shared" si="6"/>
        <v>174.77600000000001</v>
      </c>
      <c r="M30" s="149">
        <f t="shared" si="6"/>
        <v>0</v>
      </c>
      <c r="N30" s="150">
        <f t="shared" si="6"/>
        <v>1</v>
      </c>
      <c r="O30" s="151"/>
      <c r="P30" s="461">
        <f t="shared" ref="P30:Y30" si="7">SUM(P28:P29)</f>
        <v>6.4000000330000004</v>
      </c>
      <c r="Q30" s="462">
        <f t="shared" si="7"/>
        <v>2.1333333443333333</v>
      </c>
      <c r="R30" s="462">
        <f t="shared" si="7"/>
        <v>374.98880193353602</v>
      </c>
      <c r="S30" s="525">
        <f t="shared" si="7"/>
        <v>0</v>
      </c>
      <c r="T30" s="538">
        <f t="shared" si="7"/>
        <v>2.1333333443333333</v>
      </c>
      <c r="U30" s="539">
        <f t="shared" si="7"/>
        <v>1.0666666721666667</v>
      </c>
      <c r="V30" s="462">
        <f t="shared" si="7"/>
        <v>2.1333333443333333</v>
      </c>
      <c r="W30" s="539">
        <f t="shared" si="7"/>
        <v>2.1333333443333333</v>
      </c>
      <c r="X30" s="539">
        <f t="shared" si="7"/>
        <v>5.3333333608333335</v>
      </c>
      <c r="Y30" s="462">
        <f t="shared" si="7"/>
        <v>0</v>
      </c>
    </row>
    <row r="31" spans="1:32" s="29" customFormat="1" ht="12" hidden="1" thickTop="1">
      <c r="A31" s="154" t="s">
        <v>29</v>
      </c>
      <c r="B31" s="155"/>
      <c r="C31" s="156"/>
      <c r="D31" s="156"/>
      <c r="E31" s="156"/>
      <c r="F31" s="156"/>
      <c r="G31" s="156"/>
      <c r="H31" s="156"/>
      <c r="I31" s="157"/>
      <c r="J31" s="157"/>
      <c r="K31" s="157"/>
      <c r="L31" s="158"/>
      <c r="M31" s="158"/>
      <c r="N31" s="159"/>
      <c r="O31" s="160"/>
      <c r="P31" s="463"/>
      <c r="Q31" s="463"/>
      <c r="R31" s="464"/>
      <c r="S31" s="11"/>
      <c r="T31" s="532"/>
      <c r="U31" s="533"/>
      <c r="W31" s="455"/>
      <c r="X31" s="455"/>
    </row>
    <row r="32" spans="1:32" s="29" customFormat="1" ht="12" hidden="1" thickTop="1">
      <c r="A32" s="163" t="s">
        <v>35</v>
      </c>
      <c r="B32" s="163"/>
      <c r="C32" s="125"/>
      <c r="D32" s="125"/>
      <c r="E32" s="125"/>
      <c r="F32" s="125"/>
      <c r="G32" s="125"/>
      <c r="H32" s="125"/>
      <c r="I32" s="126"/>
      <c r="J32" s="126"/>
      <c r="K32" s="126"/>
      <c r="L32" s="127"/>
      <c r="M32" s="128"/>
      <c r="N32" s="129"/>
      <c r="O32" s="130"/>
      <c r="P32" s="465"/>
      <c r="Q32" s="465"/>
      <c r="R32" s="466"/>
      <c r="S32" s="11"/>
      <c r="T32" s="532"/>
      <c r="U32" s="533"/>
      <c r="W32" s="455"/>
      <c r="X32" s="455"/>
    </row>
    <row r="33" spans="1:24" s="29" customFormat="1" ht="12" hidden="1" thickTop="1">
      <c r="A33" s="164" t="s">
        <v>36</v>
      </c>
      <c r="B33" s="164"/>
      <c r="C33" s="125"/>
      <c r="D33" s="125"/>
      <c r="E33" s="125"/>
      <c r="F33" s="125"/>
      <c r="G33" s="125"/>
      <c r="H33" s="125"/>
      <c r="I33" s="126"/>
      <c r="J33" s="126"/>
      <c r="K33" s="126"/>
      <c r="L33" s="127"/>
      <c r="M33" s="128"/>
      <c r="N33" s="129"/>
      <c r="O33" s="130"/>
      <c r="P33" s="465"/>
      <c r="Q33" s="465"/>
      <c r="R33" s="466"/>
      <c r="S33" s="11"/>
      <c r="T33" s="532"/>
      <c r="U33" s="533"/>
      <c r="W33" s="455"/>
      <c r="X33" s="455"/>
    </row>
    <row r="34" spans="1:24" s="29" customFormat="1" ht="12" hidden="1" thickTop="1">
      <c r="A34" s="165" t="s">
        <v>37</v>
      </c>
      <c r="B34" s="165"/>
      <c r="C34" s="134">
        <v>0</v>
      </c>
      <c r="D34" s="134">
        <v>0</v>
      </c>
      <c r="E34" s="134">
        <v>0.25</v>
      </c>
      <c r="F34" s="134">
        <v>0.1</v>
      </c>
      <c r="G34" s="135"/>
      <c r="H34" s="136">
        <f>SUM(C34:F34)</f>
        <v>0.35</v>
      </c>
      <c r="I34" s="137"/>
      <c r="J34" s="137"/>
      <c r="K34" s="137"/>
      <c r="L34" s="138" t="e">
        <f>((C34*#REF!)+(D34*$D$9)+(E34*$E$9)+(F34*$F$9))</f>
        <v>#REF!</v>
      </c>
      <c r="M34" s="138">
        <v>0</v>
      </c>
      <c r="N34" s="139">
        <v>0</v>
      </c>
      <c r="O34" s="140" t="e">
        <f>#REF!+#REF!</f>
        <v>#REF!</v>
      </c>
      <c r="P34" s="459" t="e">
        <f>(C34+D34+E34+F34)*O34</f>
        <v>#REF!</v>
      </c>
      <c r="Q34" s="513"/>
      <c r="R34" s="460" t="e">
        <f>(L34+M34+N34)*O34</f>
        <v>#REF!</v>
      </c>
      <c r="S34" s="11"/>
      <c r="T34" s="532"/>
      <c r="U34" s="533"/>
      <c r="W34" s="455"/>
      <c r="X34" s="455"/>
    </row>
    <row r="35" spans="1:24" s="29" customFormat="1" ht="12" hidden="1" thickTop="1">
      <c r="A35" s="164" t="s">
        <v>26</v>
      </c>
      <c r="B35" s="164"/>
      <c r="C35" s="144">
        <v>0</v>
      </c>
      <c r="D35" s="144">
        <v>0.25</v>
      </c>
      <c r="E35" s="144">
        <v>0</v>
      </c>
      <c r="F35" s="144">
        <v>0.25</v>
      </c>
      <c r="G35" s="106"/>
      <c r="H35" s="136">
        <f>SUM(C35:F35)</f>
        <v>0.5</v>
      </c>
      <c r="I35" s="137"/>
      <c r="J35" s="137"/>
      <c r="K35" s="137"/>
      <c r="L35" s="138" t="e">
        <f>((C35*#REF!)+(D35*$D$9)+(E35*$E$9)+(F35*$F$9))</f>
        <v>#REF!</v>
      </c>
      <c r="M35" s="138">
        <v>0</v>
      </c>
      <c r="N35" s="139" t="e">
        <f>O35*0.52</f>
        <v>#REF!</v>
      </c>
      <c r="O35" s="130" t="e">
        <f>O34</f>
        <v>#REF!</v>
      </c>
      <c r="P35" s="459" t="e">
        <f>(C35+D35+E35+F35)*O35</f>
        <v>#REF!</v>
      </c>
      <c r="Q35" s="513"/>
      <c r="R35" s="460" t="e">
        <f>(L35+M35+N35)*O35</f>
        <v>#REF!</v>
      </c>
      <c r="S35" s="11"/>
      <c r="T35" s="532"/>
      <c r="U35" s="533"/>
      <c r="W35" s="455"/>
      <c r="X35" s="455"/>
    </row>
    <row r="36" spans="1:24" s="29" customFormat="1" ht="12.75" hidden="1" thickTop="1" thickBot="1">
      <c r="A36" s="145" t="s">
        <v>22</v>
      </c>
      <c r="B36" s="146"/>
      <c r="C36" s="147">
        <v>0</v>
      </c>
      <c r="D36" s="147" t="s">
        <v>23</v>
      </c>
      <c r="E36" s="147" t="s">
        <v>23</v>
      </c>
      <c r="F36" s="147" t="s">
        <v>23</v>
      </c>
      <c r="G36" s="147"/>
      <c r="H36" s="147" t="s">
        <v>23</v>
      </c>
      <c r="I36" s="148"/>
      <c r="J36" s="148"/>
      <c r="K36" s="148"/>
      <c r="L36" s="149" t="s">
        <v>23</v>
      </c>
      <c r="M36" s="149">
        <v>0</v>
      </c>
      <c r="N36" s="150" t="s">
        <v>23</v>
      </c>
      <c r="O36" s="151" t="e">
        <f>O34</f>
        <v>#REF!</v>
      </c>
      <c r="P36" s="461" t="e">
        <f>SUM(P34:P35)</f>
        <v>#REF!</v>
      </c>
      <c r="Q36" s="514"/>
      <c r="R36" s="462" t="e">
        <f>SUM(R34:R35)</f>
        <v>#REF!</v>
      </c>
      <c r="S36" s="11"/>
      <c r="T36" s="532"/>
      <c r="U36" s="533"/>
      <c r="W36" s="455"/>
      <c r="X36" s="455"/>
    </row>
    <row r="37" spans="1:24" s="29" customFormat="1" ht="12" hidden="1" thickTop="1">
      <c r="A37" s="154" t="s">
        <v>38</v>
      </c>
      <c r="B37" s="155"/>
      <c r="C37" s="156"/>
      <c r="D37" s="156"/>
      <c r="E37" s="156"/>
      <c r="F37" s="156"/>
      <c r="G37" s="156"/>
      <c r="H37" s="156"/>
      <c r="I37" s="157"/>
      <c r="J37" s="157"/>
      <c r="K37" s="157"/>
      <c r="L37" s="158"/>
      <c r="M37" s="158"/>
      <c r="N37" s="159"/>
      <c r="O37" s="160"/>
      <c r="P37" s="463"/>
      <c r="Q37" s="463"/>
      <c r="R37" s="464"/>
      <c r="S37" s="11"/>
      <c r="T37" s="532"/>
      <c r="U37" s="533"/>
      <c r="W37" s="455"/>
      <c r="X37" s="455"/>
    </row>
    <row r="38" spans="1:24" s="29" customFormat="1" ht="12" hidden="1" thickTop="1">
      <c r="A38" s="163" t="s">
        <v>30</v>
      </c>
      <c r="B38" s="163"/>
      <c r="C38" s="125"/>
      <c r="D38" s="125"/>
      <c r="E38" s="125"/>
      <c r="F38" s="125"/>
      <c r="G38" s="125"/>
      <c r="H38" s="125"/>
      <c r="I38" s="126"/>
      <c r="J38" s="126"/>
      <c r="K38" s="126"/>
      <c r="L38" s="127"/>
      <c r="M38" s="128"/>
      <c r="N38" s="129"/>
      <c r="O38" s="130"/>
      <c r="P38" s="465"/>
      <c r="Q38" s="465"/>
      <c r="R38" s="466"/>
      <c r="S38" s="11"/>
      <c r="T38" s="532"/>
      <c r="U38" s="533"/>
      <c r="W38" s="455"/>
      <c r="X38" s="455"/>
    </row>
    <row r="39" spans="1:24" s="172" customFormat="1" ht="12" hidden="1" thickTop="1">
      <c r="A39" s="165" t="s">
        <v>31</v>
      </c>
      <c r="B39" s="165"/>
      <c r="C39" s="134">
        <v>0</v>
      </c>
      <c r="D39" s="134">
        <v>5</v>
      </c>
      <c r="E39" s="134">
        <v>40</v>
      </c>
      <c r="F39" s="134">
        <v>0</v>
      </c>
      <c r="G39" s="135"/>
      <c r="H39" s="166">
        <f>SUM(C39:F39)</f>
        <v>45</v>
      </c>
      <c r="I39" s="167"/>
      <c r="J39" s="167"/>
      <c r="K39" s="167"/>
      <c r="L39" s="138" t="e">
        <f>((C39*#REF!)+(D39*$D$9)+(E39*$E$9)+(F39*$F$9))</f>
        <v>#REF!</v>
      </c>
      <c r="M39" s="168">
        <v>0</v>
      </c>
      <c r="N39" s="169">
        <v>0</v>
      </c>
      <c r="O39" s="140">
        <v>45.5</v>
      </c>
      <c r="P39" s="467">
        <f>(C39+D39+E39+F39)*O39</f>
        <v>2047.5</v>
      </c>
      <c r="Q39" s="515"/>
      <c r="R39" s="460" t="e">
        <f>(L39+M39+N39)*O39</f>
        <v>#REF!</v>
      </c>
      <c r="S39" s="171"/>
      <c r="T39" s="540"/>
      <c r="U39" s="541"/>
      <c r="W39" s="548"/>
      <c r="X39" s="548"/>
    </row>
    <row r="40" spans="1:24" s="29" customFormat="1" ht="12" hidden="1" thickTop="1">
      <c r="A40" s="164" t="s">
        <v>32</v>
      </c>
      <c r="B40" s="164"/>
      <c r="C40" s="125"/>
      <c r="D40" s="125"/>
      <c r="E40" s="125"/>
      <c r="F40" s="125"/>
      <c r="G40" s="173"/>
      <c r="H40" s="174"/>
      <c r="I40" s="175"/>
      <c r="J40" s="175"/>
      <c r="K40" s="175"/>
      <c r="L40" s="176"/>
      <c r="M40" s="176"/>
      <c r="N40" s="177"/>
      <c r="O40" s="130"/>
      <c r="P40" s="468"/>
      <c r="Q40" s="513"/>
      <c r="R40" s="469"/>
      <c r="S40" s="11"/>
      <c r="T40" s="532"/>
      <c r="U40" s="533"/>
      <c r="W40" s="455"/>
      <c r="X40" s="455"/>
    </row>
    <row r="41" spans="1:24" s="188" customFormat="1" ht="12" hidden="1" thickTop="1">
      <c r="A41" s="180" t="s">
        <v>31</v>
      </c>
      <c r="B41" s="180"/>
      <c r="C41" s="181">
        <v>0</v>
      </c>
      <c r="D41" s="181">
        <v>2</v>
      </c>
      <c r="E41" s="181">
        <v>13.25</v>
      </c>
      <c r="F41" s="181">
        <v>0</v>
      </c>
      <c r="G41" s="181"/>
      <c r="H41" s="182">
        <f>SUM(C41:F41)</f>
        <v>15.25</v>
      </c>
      <c r="I41" s="183"/>
      <c r="J41" s="183"/>
      <c r="K41" s="183"/>
      <c r="L41" s="138" t="e">
        <f>((C41*#REF!)+(D41*$D$9)+(E41*$E$9)+(F41*$F$9))</f>
        <v>#REF!</v>
      </c>
      <c r="M41" s="184">
        <v>0</v>
      </c>
      <c r="N41" s="185">
        <v>0</v>
      </c>
      <c r="O41" s="140" t="e">
        <f>#REF!</f>
        <v>#REF!</v>
      </c>
      <c r="P41" s="470" t="e">
        <f>(C41+D41+E41+F41)*O41</f>
        <v>#REF!</v>
      </c>
      <c r="Q41" s="516"/>
      <c r="R41" s="460" t="e">
        <f>(L41+M41+N41)*O41</f>
        <v>#REF!</v>
      </c>
      <c r="S41" s="171"/>
      <c r="T41" s="540"/>
      <c r="U41" s="542"/>
      <c r="W41" s="540"/>
      <c r="X41" s="540"/>
    </row>
    <row r="42" spans="1:24" s="29" customFormat="1" ht="12" hidden="1" thickTop="1">
      <c r="A42" s="165" t="s">
        <v>33</v>
      </c>
      <c r="B42" s="165"/>
      <c r="C42" s="134">
        <v>0</v>
      </c>
      <c r="D42" s="134">
        <v>0.25</v>
      </c>
      <c r="E42" s="134">
        <v>0</v>
      </c>
      <c r="F42" s="134">
        <v>0.25</v>
      </c>
      <c r="G42" s="135"/>
      <c r="H42" s="136">
        <f>SUM(C42:F42)</f>
        <v>0.5</v>
      </c>
      <c r="I42" s="137"/>
      <c r="J42" s="137"/>
      <c r="K42" s="137"/>
      <c r="L42" s="138" t="e">
        <f>((C42*#REF!)+(D42*$D$9)+(E42*$E$9)+(F42*$F$9))</f>
        <v>#REF!</v>
      </c>
      <c r="M42" s="138">
        <v>0</v>
      </c>
      <c r="N42" s="139">
        <f>O39*0.52</f>
        <v>23.66</v>
      </c>
      <c r="O42" s="140">
        <f>O39*0.5</f>
        <v>22.75</v>
      </c>
      <c r="P42" s="459">
        <f>(C42+D42+E42+F42)*O42</f>
        <v>11.375</v>
      </c>
      <c r="Q42" s="513"/>
      <c r="R42" s="460" t="e">
        <f>(L42+M42+N42)*O42</f>
        <v>#REF!</v>
      </c>
      <c r="S42" s="11"/>
      <c r="T42" s="532"/>
      <c r="U42" s="533"/>
      <c r="W42" s="455"/>
      <c r="X42" s="455"/>
    </row>
    <row r="43" spans="1:24" s="29" customFormat="1" ht="12" hidden="1" thickTop="1">
      <c r="A43" s="165" t="s">
        <v>26</v>
      </c>
      <c r="B43" s="164"/>
      <c r="C43" s="144">
        <v>0</v>
      </c>
      <c r="D43" s="144">
        <v>0.25</v>
      </c>
      <c r="E43" s="144">
        <v>0</v>
      </c>
      <c r="F43" s="144">
        <v>0.25</v>
      </c>
      <c r="G43" s="106"/>
      <c r="H43" s="136">
        <f>SUM(C43:F43)</f>
        <v>0.5</v>
      </c>
      <c r="I43" s="137"/>
      <c r="J43" s="137"/>
      <c r="K43" s="137"/>
      <c r="L43" s="138" t="e">
        <f>((C43*#REF!)+(D43*$D$9)+(E43*$E$9)+(F43*$F$9))</f>
        <v>#REF!</v>
      </c>
      <c r="M43" s="138">
        <v>0</v>
      </c>
      <c r="N43" s="139">
        <f>O43*0.52</f>
        <v>23.66</v>
      </c>
      <c r="O43" s="140">
        <f>O39</f>
        <v>45.5</v>
      </c>
      <c r="P43" s="459">
        <f>(C43+D43+E43+F43)*O43</f>
        <v>22.75</v>
      </c>
      <c r="Q43" s="513"/>
      <c r="R43" s="460" t="e">
        <f>(L43+M43+N43)*O43</f>
        <v>#REF!</v>
      </c>
      <c r="S43" s="11"/>
      <c r="T43" s="532"/>
      <c r="U43" s="533"/>
      <c r="W43" s="455"/>
      <c r="X43" s="455"/>
    </row>
    <row r="44" spans="1:24" s="29" customFormat="1" ht="12.75" hidden="1" thickTop="1" thickBot="1">
      <c r="A44" s="145" t="s">
        <v>22</v>
      </c>
      <c r="B44" s="146"/>
      <c r="C44" s="147">
        <v>0</v>
      </c>
      <c r="D44" s="147" t="s">
        <v>23</v>
      </c>
      <c r="E44" s="147" t="s">
        <v>23</v>
      </c>
      <c r="F44" s="147" t="s">
        <v>23</v>
      </c>
      <c r="G44" s="147"/>
      <c r="H44" s="147" t="s">
        <v>23</v>
      </c>
      <c r="I44" s="148"/>
      <c r="J44" s="148"/>
      <c r="K44" s="148"/>
      <c r="L44" s="149" t="s">
        <v>23</v>
      </c>
      <c r="M44" s="149">
        <v>0</v>
      </c>
      <c r="N44" s="150" t="s">
        <v>23</v>
      </c>
      <c r="O44" s="151" t="s">
        <v>23</v>
      </c>
      <c r="P44" s="461" t="e">
        <f>SUM(P39:P43)</f>
        <v>#REF!</v>
      </c>
      <c r="Q44" s="514"/>
      <c r="R44" s="462" t="e">
        <f>SUM(R39:R43)</f>
        <v>#REF!</v>
      </c>
      <c r="S44" s="11"/>
      <c r="T44" s="532"/>
      <c r="U44" s="533"/>
      <c r="W44" s="455"/>
      <c r="X44" s="455"/>
    </row>
    <row r="45" spans="1:24" s="29" customFormat="1" ht="12" hidden="1" thickTop="1">
      <c r="A45" s="154" t="s">
        <v>39</v>
      </c>
      <c r="B45" s="155"/>
      <c r="C45" s="156"/>
      <c r="D45" s="156"/>
      <c r="E45" s="156"/>
      <c r="F45" s="156"/>
      <c r="G45" s="156"/>
      <c r="H45" s="156"/>
      <c r="I45" s="157"/>
      <c r="J45" s="157"/>
      <c r="K45" s="157"/>
      <c r="L45" s="158"/>
      <c r="M45" s="158"/>
      <c r="N45" s="159"/>
      <c r="O45" s="160"/>
      <c r="P45" s="463"/>
      <c r="Q45" s="463"/>
      <c r="R45" s="464"/>
      <c r="S45" s="11"/>
      <c r="T45" s="532"/>
      <c r="U45" s="533"/>
      <c r="W45" s="455"/>
      <c r="X45" s="455"/>
    </row>
    <row r="46" spans="1:24" s="29" customFormat="1" ht="12" hidden="1" thickTop="1">
      <c r="A46" s="189" t="s">
        <v>40</v>
      </c>
      <c r="B46" s="189"/>
      <c r="C46" s="144"/>
      <c r="D46" s="144"/>
      <c r="E46" s="144"/>
      <c r="F46" s="144"/>
      <c r="G46" s="144"/>
      <c r="H46" s="144"/>
      <c r="I46" s="190"/>
      <c r="J46" s="190"/>
      <c r="K46" s="190"/>
      <c r="L46" s="128"/>
      <c r="M46" s="128"/>
      <c r="N46" s="129"/>
      <c r="O46" s="191"/>
      <c r="P46" s="465"/>
      <c r="Q46" s="465"/>
      <c r="R46" s="466"/>
      <c r="S46" s="11"/>
      <c r="T46" s="532"/>
      <c r="U46" s="533"/>
      <c r="W46" s="455"/>
      <c r="X46" s="455"/>
    </row>
    <row r="47" spans="1:24" s="29" customFormat="1" ht="12" hidden="1" thickTop="1">
      <c r="A47" s="193" t="s">
        <v>41</v>
      </c>
      <c r="B47" s="193"/>
      <c r="C47" s="144"/>
      <c r="D47" s="144"/>
      <c r="E47" s="144"/>
      <c r="F47" s="144"/>
      <c r="G47" s="144"/>
      <c r="H47" s="144"/>
      <c r="I47" s="190"/>
      <c r="J47" s="190"/>
      <c r="K47" s="190"/>
      <c r="L47" s="128"/>
      <c r="M47" s="128"/>
      <c r="N47" s="129"/>
      <c r="O47" s="191"/>
      <c r="P47" s="465"/>
      <c r="Q47" s="465"/>
      <c r="R47" s="466"/>
      <c r="S47" s="11"/>
      <c r="T47" s="532"/>
      <c r="U47" s="533"/>
      <c r="W47" s="455"/>
      <c r="X47" s="455"/>
    </row>
    <row r="48" spans="1:24" s="29" customFormat="1" ht="12" hidden="1" thickTop="1">
      <c r="A48" s="194" t="s">
        <v>42</v>
      </c>
      <c r="B48" s="194"/>
      <c r="C48" s="195">
        <v>0</v>
      </c>
      <c r="D48" s="195">
        <v>0.5</v>
      </c>
      <c r="E48" s="195">
        <v>4</v>
      </c>
      <c r="F48" s="195">
        <v>0</v>
      </c>
      <c r="G48" s="106"/>
      <c r="H48" s="136">
        <f>SUM(C48:F48)</f>
        <v>4.5</v>
      </c>
      <c r="I48" s="137"/>
      <c r="J48" s="137"/>
      <c r="K48" s="137"/>
      <c r="L48" s="138" t="e">
        <f>((C48*#REF!)+(D48*$D$9)+(E48*$E$9)+(F48*$F$9))</f>
        <v>#REF!</v>
      </c>
      <c r="M48" s="138">
        <v>0</v>
      </c>
      <c r="N48" s="139">
        <v>0</v>
      </c>
      <c r="O48" s="196" t="e">
        <f>#REF!</f>
        <v>#REF!</v>
      </c>
      <c r="P48" s="459" t="e">
        <f>(C48+D48+E48+F48)*O48</f>
        <v>#REF!</v>
      </c>
      <c r="Q48" s="513"/>
      <c r="R48" s="460" t="e">
        <f>(L48+M48+N48)*O48</f>
        <v>#REF!</v>
      </c>
      <c r="S48" s="11"/>
      <c r="T48" s="532"/>
      <c r="U48" s="533"/>
      <c r="W48" s="455"/>
      <c r="X48" s="455"/>
    </row>
    <row r="49" spans="1:25" s="29" customFormat="1" ht="12" hidden="1" thickTop="1">
      <c r="A49" s="189" t="s">
        <v>43</v>
      </c>
      <c r="B49" s="189"/>
      <c r="C49" s="144"/>
      <c r="D49" s="144"/>
      <c r="E49" s="144"/>
      <c r="F49" s="144"/>
      <c r="G49" s="144"/>
      <c r="H49" s="144"/>
      <c r="I49" s="190"/>
      <c r="J49" s="190"/>
      <c r="K49" s="190"/>
      <c r="L49" s="128"/>
      <c r="M49" s="128"/>
      <c r="N49" s="129"/>
      <c r="O49" s="191"/>
      <c r="P49" s="465"/>
      <c r="Q49" s="465"/>
      <c r="R49" s="466"/>
      <c r="S49" s="11"/>
      <c r="T49" s="532"/>
      <c r="U49" s="533"/>
      <c r="W49" s="455"/>
      <c r="X49" s="455"/>
    </row>
    <row r="50" spans="1:25" s="29" customFormat="1" ht="12" hidden="1" thickTop="1">
      <c r="A50" s="189" t="s">
        <v>44</v>
      </c>
      <c r="B50" s="189"/>
      <c r="C50" s="144"/>
      <c r="D50" s="144"/>
      <c r="E50" s="144"/>
      <c r="F50" s="144"/>
      <c r="G50" s="144"/>
      <c r="H50" s="144"/>
      <c r="I50" s="190"/>
      <c r="J50" s="190"/>
      <c r="K50" s="190"/>
      <c r="L50" s="128"/>
      <c r="M50" s="128"/>
      <c r="N50" s="129"/>
      <c r="O50" s="191"/>
      <c r="P50" s="465"/>
      <c r="Q50" s="465"/>
      <c r="R50" s="466"/>
      <c r="S50" s="11"/>
      <c r="T50" s="532"/>
      <c r="U50" s="533"/>
      <c r="W50" s="455"/>
      <c r="X50" s="455"/>
    </row>
    <row r="51" spans="1:25" s="29" customFormat="1" ht="12" hidden="1" thickTop="1">
      <c r="A51" s="189" t="s">
        <v>45</v>
      </c>
      <c r="B51" s="189"/>
      <c r="C51" s="144">
        <v>0</v>
      </c>
      <c r="D51" s="144">
        <v>0.25</v>
      </c>
      <c r="E51" s="144">
        <v>0</v>
      </c>
      <c r="F51" s="144">
        <v>0.25</v>
      </c>
      <c r="G51" s="106"/>
      <c r="H51" s="136">
        <f>SUM(C51:F51)</f>
        <v>0.5</v>
      </c>
      <c r="I51" s="137"/>
      <c r="J51" s="137"/>
      <c r="K51" s="137"/>
      <c r="L51" s="138" t="e">
        <f>((C51*#REF!)+(D51*$D$9)+(E51*$E$9)+(F51*$F$9))</f>
        <v>#REF!</v>
      </c>
      <c r="M51" s="138">
        <v>0</v>
      </c>
      <c r="N51" s="139">
        <f>O51*0.52</f>
        <v>0</v>
      </c>
      <c r="O51" s="191">
        <v>0</v>
      </c>
      <c r="P51" s="459">
        <f>(C51+D51+E51+F51)*O51</f>
        <v>0</v>
      </c>
      <c r="Q51" s="513"/>
      <c r="R51" s="460" t="e">
        <f>(L51+M51+N51)*O51</f>
        <v>#REF!</v>
      </c>
      <c r="S51" s="11"/>
      <c r="T51" s="532"/>
      <c r="U51" s="533"/>
      <c r="W51" s="455"/>
      <c r="X51" s="455"/>
    </row>
    <row r="52" spans="1:25" s="29" customFormat="1" ht="12.75" hidden="1" thickTop="1" thickBot="1">
      <c r="A52" s="145" t="s">
        <v>22</v>
      </c>
      <c r="B52" s="146"/>
      <c r="C52" s="147">
        <v>0</v>
      </c>
      <c r="D52" s="147" t="s">
        <v>23</v>
      </c>
      <c r="E52" s="147" t="s">
        <v>23</v>
      </c>
      <c r="F52" s="147" t="s">
        <v>23</v>
      </c>
      <c r="G52" s="147"/>
      <c r="H52" s="147" t="s">
        <v>23</v>
      </c>
      <c r="I52" s="148"/>
      <c r="J52" s="148"/>
      <c r="K52" s="148"/>
      <c r="L52" s="149" t="s">
        <v>23</v>
      </c>
      <c r="M52" s="149">
        <f>SUM(M48:M51)</f>
        <v>0</v>
      </c>
      <c r="N52" s="150" t="s">
        <v>23</v>
      </c>
      <c r="O52" s="151" t="s">
        <v>23</v>
      </c>
      <c r="P52" s="461" t="e">
        <f>SUM(P48:P51)</f>
        <v>#REF!</v>
      </c>
      <c r="Q52" s="514"/>
      <c r="R52" s="462" t="e">
        <f>SUM(R48:R51)</f>
        <v>#REF!</v>
      </c>
      <c r="S52" s="11"/>
      <c r="T52" s="532"/>
      <c r="U52" s="533"/>
      <c r="W52" s="455"/>
      <c r="X52" s="455"/>
    </row>
    <row r="53" spans="1:25" s="29" customFormat="1" ht="12" hidden="1" thickTop="1">
      <c r="A53" s="154" t="s">
        <v>46</v>
      </c>
      <c r="B53" s="155"/>
      <c r="C53" s="156"/>
      <c r="D53" s="156"/>
      <c r="E53" s="156"/>
      <c r="F53" s="156"/>
      <c r="G53" s="156"/>
      <c r="H53" s="156"/>
      <c r="I53" s="157"/>
      <c r="J53" s="157"/>
      <c r="K53" s="157"/>
      <c r="L53" s="158"/>
      <c r="M53" s="158"/>
      <c r="N53" s="159"/>
      <c r="O53" s="160"/>
      <c r="P53" s="463"/>
      <c r="Q53" s="463"/>
      <c r="R53" s="464"/>
      <c r="S53" s="11"/>
      <c r="T53" s="532"/>
      <c r="U53" s="533"/>
      <c r="W53" s="455"/>
      <c r="X53" s="455"/>
    </row>
    <row r="54" spans="1:25" s="29" customFormat="1" ht="12" hidden="1" thickTop="1">
      <c r="A54" s="197" t="s">
        <v>27</v>
      </c>
      <c r="B54" s="197"/>
      <c r="C54" s="198">
        <v>0</v>
      </c>
      <c r="D54" s="198">
        <v>3</v>
      </c>
      <c r="E54" s="198">
        <v>24</v>
      </c>
      <c r="F54" s="198">
        <v>0</v>
      </c>
      <c r="G54" s="106"/>
      <c r="H54" s="136">
        <f>SUM(C54:F54)</f>
        <v>27</v>
      </c>
      <c r="I54" s="137"/>
      <c r="J54" s="137"/>
      <c r="K54" s="137"/>
      <c r="L54" s="138" t="e">
        <f>((C54*#REF!)+(D54*$D$9)+(E54*$E$9)+(F54*$F$9))</f>
        <v>#REF!</v>
      </c>
      <c r="M54" s="138">
        <v>0</v>
      </c>
      <c r="N54" s="139">
        <v>0</v>
      </c>
      <c r="O54" s="199" t="e">
        <f>#REF!+#REF!</f>
        <v>#REF!</v>
      </c>
      <c r="P54" s="459" t="e">
        <f>(C54+D54+E54+F54)*O54</f>
        <v>#REF!</v>
      </c>
      <c r="Q54" s="513"/>
      <c r="R54" s="460" t="e">
        <f>(L54+M54+N54)*O54</f>
        <v>#REF!</v>
      </c>
      <c r="S54" s="11"/>
      <c r="T54" s="532"/>
      <c r="U54" s="533"/>
      <c r="W54" s="455"/>
      <c r="X54" s="455"/>
    </row>
    <row r="55" spans="1:25" s="29" customFormat="1" ht="12" hidden="1" thickTop="1">
      <c r="A55" s="200" t="s">
        <v>28</v>
      </c>
      <c r="B55" s="193"/>
      <c r="C55" s="144">
        <v>0</v>
      </c>
      <c r="D55" s="144">
        <v>0</v>
      </c>
      <c r="E55" s="144">
        <v>0</v>
      </c>
      <c r="F55" s="144">
        <v>0</v>
      </c>
      <c r="G55" s="106"/>
      <c r="H55" s="136">
        <v>2</v>
      </c>
      <c r="I55" s="137"/>
      <c r="J55" s="137"/>
      <c r="K55" s="137"/>
      <c r="L55" s="138" t="e">
        <f>((C55*#REF!)+(D55*$D$9)+(E55*$E$9)+(F55*$F$9))</f>
        <v>#REF!</v>
      </c>
      <c r="M55" s="138">
        <v>0</v>
      </c>
      <c r="N55" s="139">
        <v>0</v>
      </c>
      <c r="O55" s="199" t="e">
        <f>O54</f>
        <v>#REF!</v>
      </c>
      <c r="P55" s="459" t="e">
        <f>(C55+D55+E55+F55)*O55</f>
        <v>#REF!</v>
      </c>
      <c r="Q55" s="513"/>
      <c r="R55" s="460" t="e">
        <f>(L55+M55+N55)*O55</f>
        <v>#REF!</v>
      </c>
      <c r="S55" s="11"/>
      <c r="T55" s="532"/>
      <c r="U55" s="533"/>
      <c r="W55" s="455"/>
      <c r="X55" s="455"/>
    </row>
    <row r="56" spans="1:25" s="29" customFormat="1" ht="12.75" hidden="1" thickTop="1" thickBot="1">
      <c r="A56" s="145" t="s">
        <v>22</v>
      </c>
      <c r="B56" s="146"/>
      <c r="C56" s="147">
        <v>0</v>
      </c>
      <c r="D56" s="147" t="s">
        <v>23</v>
      </c>
      <c r="E56" s="147" t="s">
        <v>23</v>
      </c>
      <c r="F56" s="147">
        <v>0</v>
      </c>
      <c r="G56" s="147"/>
      <c r="H56" s="147" t="s">
        <v>23</v>
      </c>
      <c r="I56" s="148"/>
      <c r="J56" s="148"/>
      <c r="K56" s="148"/>
      <c r="L56" s="149" t="s">
        <v>23</v>
      </c>
      <c r="M56" s="149">
        <f>SUM(M54:M55)</f>
        <v>0</v>
      </c>
      <c r="N56" s="150">
        <f>SUM(N54:N55)</f>
        <v>0</v>
      </c>
      <c r="O56" s="151" t="e">
        <f>O54</f>
        <v>#REF!</v>
      </c>
      <c r="P56" s="461" t="e">
        <f>SUM(P54:P55)</f>
        <v>#REF!</v>
      </c>
      <c r="Q56" s="514"/>
      <c r="R56" s="462" t="e">
        <f>SUM(R54:R55)</f>
        <v>#REF!</v>
      </c>
      <c r="S56" s="11"/>
      <c r="T56" s="532"/>
      <c r="U56" s="533"/>
      <c r="W56" s="455"/>
      <c r="X56" s="455"/>
    </row>
    <row r="57" spans="1:25" s="29" customFormat="1" ht="12" thickTop="1">
      <c r="A57" s="201" t="s">
        <v>178</v>
      </c>
      <c r="B57" s="202"/>
      <c r="C57" s="203"/>
      <c r="D57" s="203"/>
      <c r="E57" s="203"/>
      <c r="F57" s="203"/>
      <c r="G57" s="203"/>
      <c r="H57" s="203"/>
      <c r="I57" s="204"/>
      <c r="J57" s="204"/>
      <c r="K57" s="204"/>
      <c r="L57" s="205"/>
      <c r="M57" s="205"/>
      <c r="N57" s="206"/>
      <c r="O57" s="207"/>
      <c r="P57" s="463"/>
      <c r="Q57" s="463"/>
      <c r="R57" s="464"/>
      <c r="S57" s="11"/>
      <c r="T57" s="532"/>
      <c r="U57" s="533"/>
      <c r="W57" s="455"/>
      <c r="X57" s="455"/>
    </row>
    <row r="58" spans="1:25" s="29" customFormat="1">
      <c r="A58" s="210"/>
      <c r="B58" s="211" t="s">
        <v>179</v>
      </c>
      <c r="C58" s="212">
        <v>0</v>
      </c>
      <c r="D58" s="212">
        <v>0.5</v>
      </c>
      <c r="E58" s="212">
        <v>4</v>
      </c>
      <c r="F58" s="212">
        <v>0</v>
      </c>
      <c r="G58" s="212">
        <v>0</v>
      </c>
      <c r="H58" s="212">
        <f>SUM(C58:G58)</f>
        <v>4.5</v>
      </c>
      <c r="I58" s="213"/>
      <c r="J58" s="213"/>
      <c r="K58" s="213"/>
      <c r="L58" s="214">
        <f>((C58*$C$9)+(D58*$D$9)+(E58*$E$9)+(F58*$F$9))</f>
        <v>257.96800000000002</v>
      </c>
      <c r="M58" s="214">
        <v>0</v>
      </c>
      <c r="N58" s="185">
        <v>0</v>
      </c>
      <c r="O58" s="196">
        <f>0.2*O9</f>
        <v>8.5333333773333333</v>
      </c>
      <c r="P58" s="471">
        <f>(C58+D58+E58+F58)*O58</f>
        <v>38.400000198000001</v>
      </c>
      <c r="Q58" s="72">
        <f>(M58+N58)*O58</f>
        <v>0</v>
      </c>
      <c r="R58" s="472">
        <f>(L58+M58+N58)*O58</f>
        <v>2201.3269446839254</v>
      </c>
      <c r="S58" s="11" t="s">
        <v>254</v>
      </c>
      <c r="T58" s="536" t="str">
        <f t="shared" ref="T58:V60" si="8">IF($S58="RP",O58,"")</f>
        <v/>
      </c>
      <c r="U58" s="537" t="str">
        <f t="shared" si="8"/>
        <v/>
      </c>
      <c r="V58" s="521" t="str">
        <f t="shared" si="8"/>
        <v/>
      </c>
      <c r="W58" s="537">
        <f t="shared" ref="W58:Y60" si="9">IF($S58="RK",O58,"")</f>
        <v>8.5333333773333333</v>
      </c>
      <c r="X58" s="537">
        <f t="shared" si="9"/>
        <v>38.400000198000001</v>
      </c>
      <c r="Y58" s="521">
        <f t="shared" si="9"/>
        <v>0</v>
      </c>
    </row>
    <row r="59" spans="1:25" s="172" customFormat="1">
      <c r="A59" s="215"/>
      <c r="B59" s="211" t="s">
        <v>180</v>
      </c>
      <c r="C59" s="212">
        <v>0</v>
      </c>
      <c r="D59" s="212">
        <v>0.5</v>
      </c>
      <c r="E59" s="212">
        <v>1</v>
      </c>
      <c r="F59" s="198">
        <v>0</v>
      </c>
      <c r="G59" s="198">
        <v>0</v>
      </c>
      <c r="H59" s="198">
        <f>SUM(C59:G59)</f>
        <v>1.5</v>
      </c>
      <c r="I59" s="216"/>
      <c r="J59" s="216"/>
      <c r="K59" s="216"/>
      <c r="L59" s="217">
        <f>((C59*$C$9)+(D59*$D$9)+(E59*$E$9)+(F59*$F$9))</f>
        <v>93.13600000000001</v>
      </c>
      <c r="M59" s="217">
        <v>0</v>
      </c>
      <c r="N59" s="73">
        <v>0</v>
      </c>
      <c r="O59" s="196">
        <f>0.1*O9</f>
        <v>4.2666666886666667</v>
      </c>
      <c r="P59" s="471">
        <f>(C59+D59+E59+F59)*O59</f>
        <v>6.4000000329999995</v>
      </c>
      <c r="Q59" s="72">
        <f>(M59+N59)*O59</f>
        <v>0</v>
      </c>
      <c r="R59" s="472">
        <f>(L59+M59+N59)*O59</f>
        <v>397.3802687156587</v>
      </c>
      <c r="S59" s="171" t="s">
        <v>254</v>
      </c>
      <c r="T59" s="536" t="str">
        <f t="shared" si="8"/>
        <v/>
      </c>
      <c r="U59" s="537" t="str">
        <f t="shared" si="8"/>
        <v/>
      </c>
      <c r="V59" s="521" t="str">
        <f t="shared" si="8"/>
        <v/>
      </c>
      <c r="W59" s="537">
        <f t="shared" si="9"/>
        <v>4.2666666886666667</v>
      </c>
      <c r="X59" s="537">
        <f t="shared" si="9"/>
        <v>6.4000000329999995</v>
      </c>
      <c r="Y59" s="521">
        <f t="shared" si="9"/>
        <v>0</v>
      </c>
    </row>
    <row r="60" spans="1:25" s="29" customFormat="1" ht="12" thickBot="1">
      <c r="A60" s="218"/>
      <c r="B60" s="219" t="s">
        <v>97</v>
      </c>
      <c r="C60" s="144">
        <v>0</v>
      </c>
      <c r="D60" s="144">
        <v>0.25</v>
      </c>
      <c r="E60" s="144">
        <v>0</v>
      </c>
      <c r="F60" s="144">
        <v>0.25</v>
      </c>
      <c r="G60" s="106">
        <v>0</v>
      </c>
      <c r="H60" s="136">
        <f>SUM(C60:G60)</f>
        <v>0.5</v>
      </c>
      <c r="I60" s="137"/>
      <c r="J60" s="137"/>
      <c r="K60" s="137"/>
      <c r="L60" s="138">
        <f>((C60*$C$9)+(D60*$D$9)+(E60*$E$9)+(F60*$F$9))</f>
        <v>26.696000000000002</v>
      </c>
      <c r="M60" s="138">
        <v>0</v>
      </c>
      <c r="N60" s="139">
        <v>5</v>
      </c>
      <c r="O60" s="191">
        <f>0.2*O9</f>
        <v>8.5333333773333333</v>
      </c>
      <c r="P60" s="141">
        <f>(C60+D60+E60+F60)*O60</f>
        <v>4.2666666886666667</v>
      </c>
      <c r="Q60" s="72">
        <f>(M60+N60)*O60</f>
        <v>42.666666886666668</v>
      </c>
      <c r="R60" s="142">
        <f>(L60+M60+N60)*O60</f>
        <v>270.47253472795734</v>
      </c>
      <c r="S60" s="11" t="s">
        <v>259</v>
      </c>
      <c r="T60" s="536">
        <f t="shared" si="8"/>
        <v>8.5333333773333333</v>
      </c>
      <c r="U60" s="537">
        <f t="shared" si="8"/>
        <v>4.2666666886666667</v>
      </c>
      <c r="V60" s="521">
        <f t="shared" si="8"/>
        <v>42.666666886666668</v>
      </c>
      <c r="W60" s="537" t="str">
        <f t="shared" si="9"/>
        <v/>
      </c>
      <c r="X60" s="537" t="str">
        <f t="shared" si="9"/>
        <v/>
      </c>
      <c r="Y60" s="521" t="str">
        <f t="shared" si="9"/>
        <v/>
      </c>
    </row>
    <row r="61" spans="1:25" s="29" customFormat="1" ht="12.75" thickTop="1" thickBot="1">
      <c r="A61" s="145" t="s">
        <v>22</v>
      </c>
      <c r="B61" s="146"/>
      <c r="C61" s="147">
        <f t="shared" ref="C61:H61" si="10">(SUM(C60,C59,C58))</f>
        <v>0</v>
      </c>
      <c r="D61" s="147">
        <f t="shared" si="10"/>
        <v>1.25</v>
      </c>
      <c r="E61" s="147">
        <f t="shared" si="10"/>
        <v>5</v>
      </c>
      <c r="F61" s="147">
        <f t="shared" si="10"/>
        <v>0.25</v>
      </c>
      <c r="G61" s="147">
        <f t="shared" si="10"/>
        <v>0</v>
      </c>
      <c r="H61" s="147">
        <f t="shared" si="10"/>
        <v>6.5</v>
      </c>
      <c r="I61" s="148"/>
      <c r="J61" s="148"/>
      <c r="K61" s="148"/>
      <c r="L61" s="149">
        <f>(SUM(L60,L59,L58))</f>
        <v>377.8</v>
      </c>
      <c r="M61" s="149">
        <f>(SUM(M60,M59,M58))</f>
        <v>0</v>
      </c>
      <c r="N61" s="150">
        <f>(SUM(N60,N59,N58))</f>
        <v>5</v>
      </c>
      <c r="O61" s="220"/>
      <c r="P61" s="147">
        <f t="shared" ref="P61:Y61" si="11">(SUM(P60,P59,P58))</f>
        <v>49.066666919666666</v>
      </c>
      <c r="Q61" s="153">
        <f t="shared" si="11"/>
        <v>42.666666886666668</v>
      </c>
      <c r="R61" s="153">
        <f t="shared" si="11"/>
        <v>2869.1797481275416</v>
      </c>
      <c r="S61" s="323">
        <f t="shared" si="11"/>
        <v>0</v>
      </c>
      <c r="T61" s="85">
        <f t="shared" si="11"/>
        <v>8.5333333773333333</v>
      </c>
      <c r="U61" s="543">
        <f t="shared" si="11"/>
        <v>4.2666666886666667</v>
      </c>
      <c r="V61" s="153">
        <f t="shared" si="11"/>
        <v>42.666666886666668</v>
      </c>
      <c r="W61" s="543">
        <f t="shared" si="11"/>
        <v>12.800000065999999</v>
      </c>
      <c r="X61" s="543">
        <f t="shared" si="11"/>
        <v>44.800000230999999</v>
      </c>
      <c r="Y61" s="153">
        <f t="shared" si="11"/>
        <v>0</v>
      </c>
    </row>
    <row r="62" spans="1:25" s="29" customFormat="1" ht="12" thickTop="1">
      <c r="A62" s="201" t="s">
        <v>233</v>
      </c>
      <c r="B62" s="202"/>
      <c r="C62" s="203"/>
      <c r="D62" s="203"/>
      <c r="E62" s="203"/>
      <c r="F62" s="203"/>
      <c r="G62" s="203"/>
      <c r="H62" s="203"/>
      <c r="I62" s="204"/>
      <c r="J62" s="204"/>
      <c r="K62" s="204"/>
      <c r="L62" s="205"/>
      <c r="M62" s="205"/>
      <c r="N62" s="206"/>
      <c r="O62" s="207"/>
      <c r="P62" s="208"/>
      <c r="Q62" s="208"/>
      <c r="R62" s="209"/>
      <c r="S62" s="11"/>
      <c r="T62" s="532"/>
      <c r="U62" s="533"/>
      <c r="W62" s="455"/>
      <c r="X62" s="455"/>
    </row>
    <row r="63" spans="1:25" s="172" customFormat="1">
      <c r="A63" s="215"/>
      <c r="B63" s="211" t="s">
        <v>234</v>
      </c>
      <c r="C63" s="212">
        <v>0</v>
      </c>
      <c r="D63" s="212">
        <v>3</v>
      </c>
      <c r="E63" s="212">
        <v>5</v>
      </c>
      <c r="F63" s="212">
        <v>0</v>
      </c>
      <c r="G63" s="195">
        <v>0</v>
      </c>
      <c r="H63" s="195">
        <f>SUM(C63:G63)</f>
        <v>8</v>
      </c>
      <c r="I63" s="221"/>
      <c r="J63" s="221"/>
      <c r="K63" s="221"/>
      <c r="L63" s="222">
        <f>((C63*$C$9)+(D63*$D$9)+(E63*$E$9)+(F63*$F$9))</f>
        <v>503.87200000000001</v>
      </c>
      <c r="M63" s="222">
        <v>0</v>
      </c>
      <c r="N63" s="185">
        <v>0</v>
      </c>
      <c r="O63" s="196">
        <f>0.75*O9</f>
        <v>32.000000165000003</v>
      </c>
      <c r="P63" s="223">
        <f>(C63+D63+E63+F63)*O63</f>
        <v>256.00000132000002</v>
      </c>
      <c r="Q63" s="72">
        <f>(M63+N63)*O63</f>
        <v>0</v>
      </c>
      <c r="R63" s="72">
        <f>(L63+M63+N63)*O63</f>
        <v>16123.904083138881</v>
      </c>
      <c r="S63" s="171" t="s">
        <v>254</v>
      </c>
      <c r="T63" s="536" t="str">
        <f t="shared" ref="T63:V64" si="12">IF($S63="RP",O63,"")</f>
        <v/>
      </c>
      <c r="U63" s="537" t="str">
        <f t="shared" si="12"/>
        <v/>
      </c>
      <c r="V63" s="521" t="str">
        <f t="shared" si="12"/>
        <v/>
      </c>
      <c r="W63" s="537">
        <f t="shared" ref="W63:Y64" si="13">IF($S63="RK",O63,"")</f>
        <v>32.000000165000003</v>
      </c>
      <c r="X63" s="537">
        <f t="shared" si="13"/>
        <v>256.00000132000002</v>
      </c>
      <c r="Y63" s="521">
        <f t="shared" si="13"/>
        <v>0</v>
      </c>
    </row>
    <row r="64" spans="1:25" s="29" customFormat="1" ht="12" thickBot="1">
      <c r="A64" s="224"/>
      <c r="B64" s="219" t="s">
        <v>97</v>
      </c>
      <c r="C64" s="144">
        <v>0</v>
      </c>
      <c r="D64" s="144">
        <v>0.25</v>
      </c>
      <c r="E64" s="144">
        <v>0</v>
      </c>
      <c r="F64" s="144">
        <v>0.25</v>
      </c>
      <c r="G64" s="106">
        <v>0</v>
      </c>
      <c r="H64" s="136">
        <f>SUM(C64:G64)</f>
        <v>0.5</v>
      </c>
      <c r="I64" s="137"/>
      <c r="J64" s="137"/>
      <c r="K64" s="137"/>
      <c r="L64" s="138">
        <f>((C64*$C$9)+(D64*$D$9)+(E64*$E$9)+(F64*$F$9))</f>
        <v>26.696000000000002</v>
      </c>
      <c r="M64" s="138">
        <v>0</v>
      </c>
      <c r="N64" s="139">
        <v>1</v>
      </c>
      <c r="O64" s="191">
        <f>0.75*O9</f>
        <v>32.000000165000003</v>
      </c>
      <c r="P64" s="141">
        <f>(C64+D64+E64+F64)*O64</f>
        <v>16.000000082500001</v>
      </c>
      <c r="Q64" s="72">
        <f>(M64+N64)*O64</f>
        <v>32.000000165000003</v>
      </c>
      <c r="R64" s="142">
        <f>(L64+M64+N64)*O64</f>
        <v>886.27200456984008</v>
      </c>
      <c r="S64" s="11" t="s">
        <v>259</v>
      </c>
      <c r="T64" s="536">
        <f t="shared" si="12"/>
        <v>32.000000165000003</v>
      </c>
      <c r="U64" s="537">
        <f t="shared" si="12"/>
        <v>16.000000082500001</v>
      </c>
      <c r="V64" s="521">
        <f t="shared" si="12"/>
        <v>32.000000165000003</v>
      </c>
      <c r="W64" s="537" t="str">
        <f t="shared" si="13"/>
        <v/>
      </c>
      <c r="X64" s="537" t="str">
        <f t="shared" si="13"/>
        <v/>
      </c>
      <c r="Y64" s="521" t="str">
        <f t="shared" si="13"/>
        <v/>
      </c>
    </row>
    <row r="65" spans="1:25" s="29" customFormat="1" ht="12.75" thickTop="1" thickBot="1">
      <c r="A65" s="145" t="s">
        <v>22</v>
      </c>
      <c r="B65" s="146"/>
      <c r="C65" s="152">
        <f t="shared" ref="C65:H65" si="14">C63+C64</f>
        <v>0</v>
      </c>
      <c r="D65" s="152">
        <f t="shared" si="14"/>
        <v>3.25</v>
      </c>
      <c r="E65" s="152">
        <f t="shared" si="14"/>
        <v>5</v>
      </c>
      <c r="F65" s="152">
        <f t="shared" si="14"/>
        <v>0.25</v>
      </c>
      <c r="G65" s="152">
        <f t="shared" si="14"/>
        <v>0</v>
      </c>
      <c r="H65" s="152">
        <f t="shared" si="14"/>
        <v>8.5</v>
      </c>
      <c r="I65" s="148"/>
      <c r="J65" s="148"/>
      <c r="K65" s="148"/>
      <c r="L65" s="225">
        <f>L63+L64</f>
        <v>530.56799999999998</v>
      </c>
      <c r="M65" s="225">
        <f>M63+M64</f>
        <v>0</v>
      </c>
      <c r="N65" s="226">
        <f>N63+N64</f>
        <v>1</v>
      </c>
      <c r="O65" s="151"/>
      <c r="P65" s="152">
        <f t="shared" ref="P65:Y65" si="15">P63+P64</f>
        <v>272.0000014025</v>
      </c>
      <c r="Q65" s="227">
        <f t="shared" si="15"/>
        <v>32.000000165000003</v>
      </c>
      <c r="R65" s="227">
        <f t="shared" si="15"/>
        <v>17010.176087708722</v>
      </c>
      <c r="S65" s="526">
        <f t="shared" si="15"/>
        <v>0</v>
      </c>
      <c r="T65" s="544">
        <f t="shared" si="15"/>
        <v>32.000000165000003</v>
      </c>
      <c r="U65" s="545">
        <f t="shared" si="15"/>
        <v>16.000000082500001</v>
      </c>
      <c r="V65" s="227">
        <f t="shared" si="15"/>
        <v>32.000000165000003</v>
      </c>
      <c r="W65" s="545">
        <f t="shared" si="15"/>
        <v>32.000000165000003</v>
      </c>
      <c r="X65" s="545">
        <f t="shared" si="15"/>
        <v>256.00000132000002</v>
      </c>
      <c r="Y65" s="227">
        <f t="shared" si="15"/>
        <v>0</v>
      </c>
    </row>
    <row r="66" spans="1:25" s="29" customFormat="1" ht="12" thickTop="1">
      <c r="A66" s="201" t="s">
        <v>235</v>
      </c>
      <c r="B66" s="202"/>
      <c r="C66" s="203"/>
      <c r="D66" s="203"/>
      <c r="E66" s="203"/>
      <c r="F66" s="203"/>
      <c r="G66" s="203"/>
      <c r="H66" s="203"/>
      <c r="I66" s="204"/>
      <c r="J66" s="204"/>
      <c r="K66" s="204"/>
      <c r="L66" s="205"/>
      <c r="M66" s="205"/>
      <c r="N66" s="206"/>
      <c r="O66" s="207"/>
      <c r="P66" s="208"/>
      <c r="Q66" s="208"/>
      <c r="R66" s="209"/>
      <c r="S66" s="11"/>
      <c r="T66" s="532"/>
      <c r="U66" s="533"/>
      <c r="W66" s="455"/>
      <c r="X66" s="455"/>
    </row>
    <row r="67" spans="1:25" s="172" customFormat="1">
      <c r="A67" s="215"/>
      <c r="B67" s="211" t="s">
        <v>236</v>
      </c>
      <c r="C67" s="212">
        <v>0</v>
      </c>
      <c r="D67" s="212">
        <v>0.25</v>
      </c>
      <c r="E67" s="212">
        <v>2</v>
      </c>
      <c r="F67" s="212">
        <v>0</v>
      </c>
      <c r="G67" s="195">
        <v>0</v>
      </c>
      <c r="H67" s="195">
        <f>SUM(C67:G67)</f>
        <v>2.25</v>
      </c>
      <c r="I67" s="221"/>
      <c r="J67" s="221"/>
      <c r="K67" s="221"/>
      <c r="L67" s="222">
        <f>((C67*$C$9)+(D67*$D$9)+(E67*$E$9)+(F67*$F$9))</f>
        <v>128.98400000000001</v>
      </c>
      <c r="M67" s="222">
        <v>0</v>
      </c>
      <c r="N67" s="185">
        <v>0</v>
      </c>
      <c r="O67" s="196">
        <f>O9</f>
        <v>42.666666886666668</v>
      </c>
      <c r="P67" s="223">
        <f>(C67+D67+E67+F67)*O67</f>
        <v>96.000000495000009</v>
      </c>
      <c r="Q67" s="72">
        <f>(M67+N67)*O67</f>
        <v>0</v>
      </c>
      <c r="R67" s="72">
        <f>(L67+M67+N67)*O67</f>
        <v>5503.3173617098137</v>
      </c>
      <c r="S67" s="171" t="s">
        <v>254</v>
      </c>
      <c r="T67" s="536" t="str">
        <f t="shared" ref="T67:V68" si="16">IF($S67="RP",O67,"")</f>
        <v/>
      </c>
      <c r="U67" s="537" t="str">
        <f t="shared" si="16"/>
        <v/>
      </c>
      <c r="V67" s="521" t="str">
        <f t="shared" si="16"/>
        <v/>
      </c>
      <c r="W67" s="537">
        <f t="shared" ref="W67:Y68" si="17">IF($S67="RK",O67,"")</f>
        <v>42.666666886666668</v>
      </c>
      <c r="X67" s="537">
        <f t="shared" si="17"/>
        <v>96.000000495000009</v>
      </c>
      <c r="Y67" s="521">
        <f t="shared" si="17"/>
        <v>0</v>
      </c>
    </row>
    <row r="68" spans="1:25" s="29" customFormat="1" ht="12" thickBot="1">
      <c r="A68" s="224"/>
      <c r="B68" s="219" t="s">
        <v>97</v>
      </c>
      <c r="C68" s="144">
        <v>0</v>
      </c>
      <c r="D68" s="144">
        <v>0.25</v>
      </c>
      <c r="E68" s="144">
        <v>0</v>
      </c>
      <c r="F68" s="144">
        <v>0.25</v>
      </c>
      <c r="G68" s="106">
        <v>0</v>
      </c>
      <c r="H68" s="136">
        <f>SUM(C68:G68)</f>
        <v>0.5</v>
      </c>
      <c r="I68" s="137"/>
      <c r="J68" s="137"/>
      <c r="K68" s="137"/>
      <c r="L68" s="138">
        <f>((C68*$C$9)+(D68*$D$9)+(E68*$E$9)+(F68*$F$9))</f>
        <v>26.696000000000002</v>
      </c>
      <c r="M68" s="138">
        <v>0</v>
      </c>
      <c r="N68" s="139">
        <v>1</v>
      </c>
      <c r="O68" s="191">
        <f>O9</f>
        <v>42.666666886666668</v>
      </c>
      <c r="P68" s="141">
        <f>(C68+D68+E68+F68)*O68</f>
        <v>21.333333443333334</v>
      </c>
      <c r="Q68" s="72">
        <f>(M68+N68)*O68</f>
        <v>42.666666886666668</v>
      </c>
      <c r="R68" s="142">
        <f>(L68+M68+N68)*O68</f>
        <v>1181.6960060931201</v>
      </c>
      <c r="S68" s="11" t="s">
        <v>259</v>
      </c>
      <c r="T68" s="536">
        <f t="shared" si="16"/>
        <v>42.666666886666668</v>
      </c>
      <c r="U68" s="537">
        <f t="shared" si="16"/>
        <v>21.333333443333334</v>
      </c>
      <c r="V68" s="521">
        <f t="shared" si="16"/>
        <v>42.666666886666668</v>
      </c>
      <c r="W68" s="537" t="str">
        <f t="shared" si="17"/>
        <v/>
      </c>
      <c r="X68" s="537" t="str">
        <f t="shared" si="17"/>
        <v/>
      </c>
      <c r="Y68" s="521" t="str">
        <f t="shared" si="17"/>
        <v/>
      </c>
    </row>
    <row r="69" spans="1:25" s="29" customFormat="1" ht="12.75" thickTop="1" thickBot="1">
      <c r="A69" s="145" t="s">
        <v>22</v>
      </c>
      <c r="B69" s="146"/>
      <c r="C69" s="152">
        <f t="shared" ref="C69:H69" si="18">C67+C68</f>
        <v>0</v>
      </c>
      <c r="D69" s="152">
        <f t="shared" si="18"/>
        <v>0.5</v>
      </c>
      <c r="E69" s="152">
        <f t="shared" si="18"/>
        <v>2</v>
      </c>
      <c r="F69" s="152">
        <f t="shared" si="18"/>
        <v>0.25</v>
      </c>
      <c r="G69" s="152">
        <f t="shared" si="18"/>
        <v>0</v>
      </c>
      <c r="H69" s="152">
        <f t="shared" si="18"/>
        <v>2.75</v>
      </c>
      <c r="I69" s="148"/>
      <c r="J69" s="148"/>
      <c r="K69" s="148"/>
      <c r="L69" s="225">
        <f>L67+L68</f>
        <v>155.68</v>
      </c>
      <c r="M69" s="225">
        <f>M67+M68</f>
        <v>0</v>
      </c>
      <c r="N69" s="226">
        <f>N67+N68</f>
        <v>1</v>
      </c>
      <c r="O69" s="151"/>
      <c r="P69" s="152">
        <f t="shared" ref="P69:Y69" si="19">P67+P68</f>
        <v>117.33333393833334</v>
      </c>
      <c r="Q69" s="227">
        <f t="shared" si="19"/>
        <v>42.666666886666668</v>
      </c>
      <c r="R69" s="227">
        <f t="shared" si="19"/>
        <v>6685.0133678029342</v>
      </c>
      <c r="S69" s="526">
        <f t="shared" si="19"/>
        <v>0</v>
      </c>
      <c r="T69" s="544">
        <f t="shared" si="19"/>
        <v>42.666666886666668</v>
      </c>
      <c r="U69" s="545">
        <f t="shared" si="19"/>
        <v>21.333333443333334</v>
      </c>
      <c r="V69" s="227">
        <f t="shared" si="19"/>
        <v>42.666666886666668</v>
      </c>
      <c r="W69" s="545">
        <f t="shared" si="19"/>
        <v>42.666666886666668</v>
      </c>
      <c r="X69" s="545">
        <f t="shared" si="19"/>
        <v>96.000000495000009</v>
      </c>
      <c r="Y69" s="227">
        <f t="shared" si="19"/>
        <v>0</v>
      </c>
    </row>
    <row r="70" spans="1:25" s="29" customFormat="1" ht="12" thickTop="1">
      <c r="A70" s="201" t="s">
        <v>181</v>
      </c>
      <c r="B70" s="202"/>
      <c r="C70" s="203"/>
      <c r="D70" s="203"/>
      <c r="E70" s="203"/>
      <c r="F70" s="203"/>
      <c r="G70" s="203"/>
      <c r="H70" s="203"/>
      <c r="I70" s="204"/>
      <c r="J70" s="204"/>
      <c r="K70" s="204"/>
      <c r="L70" s="205"/>
      <c r="M70" s="205"/>
      <c r="N70" s="206"/>
      <c r="O70" s="207"/>
      <c r="P70" s="208"/>
      <c r="Q70" s="208"/>
      <c r="R70" s="209"/>
      <c r="S70" s="11"/>
      <c r="T70" s="532"/>
      <c r="U70" s="533"/>
      <c r="W70" s="455"/>
      <c r="X70" s="455"/>
    </row>
    <row r="71" spans="1:25" s="29" customFormat="1">
      <c r="A71" s="228"/>
      <c r="B71" s="229" t="s">
        <v>182</v>
      </c>
      <c r="C71" s="230"/>
      <c r="D71" s="230"/>
      <c r="E71" s="230"/>
      <c r="F71" s="230"/>
      <c r="G71" s="230"/>
      <c r="H71" s="230"/>
      <c r="I71" s="231"/>
      <c r="J71" s="231"/>
      <c r="K71" s="231"/>
      <c r="L71" s="232"/>
      <c r="M71" s="232"/>
      <c r="N71" s="129"/>
      <c r="O71" s="191"/>
      <c r="P71" s="233"/>
      <c r="Q71" s="233"/>
      <c r="R71" s="112"/>
      <c r="S71" s="11"/>
      <c r="T71" s="532"/>
      <c r="U71" s="533"/>
      <c r="W71" s="455"/>
      <c r="X71" s="455"/>
    </row>
    <row r="72" spans="1:25" s="172" customFormat="1">
      <c r="A72" s="215"/>
      <c r="B72" s="211" t="s">
        <v>183</v>
      </c>
      <c r="C72" s="212">
        <v>0</v>
      </c>
      <c r="D72" s="212">
        <v>3</v>
      </c>
      <c r="E72" s="212">
        <v>15</v>
      </c>
      <c r="F72" s="212">
        <v>0</v>
      </c>
      <c r="G72" s="195">
        <v>0</v>
      </c>
      <c r="H72" s="195">
        <f>SUM(C72:G72)</f>
        <v>18</v>
      </c>
      <c r="I72" s="221"/>
      <c r="J72" s="221"/>
      <c r="K72" s="221"/>
      <c r="L72" s="222">
        <f>((C72*$C$9)+(D72*$D$9)+(E72*$E$9)+(F72*$F$9))</f>
        <v>1053.3120000000001</v>
      </c>
      <c r="M72" s="222">
        <v>0</v>
      </c>
      <c r="N72" s="185">
        <v>0</v>
      </c>
      <c r="O72" s="196">
        <f>0.5*O9</f>
        <v>21.333333443333334</v>
      </c>
      <c r="P72" s="223">
        <f>(C72+D72+E72+F72)*O72</f>
        <v>384.00000198000004</v>
      </c>
      <c r="Q72" s="72">
        <f>(M72+N72)*O72</f>
        <v>0</v>
      </c>
      <c r="R72" s="72">
        <f>(L72+M72+N72)*O72</f>
        <v>22470.656115864324</v>
      </c>
      <c r="S72" s="171" t="s">
        <v>254</v>
      </c>
      <c r="T72" s="536" t="str">
        <f t="shared" ref="T72:V73" si="20">IF($S72="RP",O72,"")</f>
        <v/>
      </c>
      <c r="U72" s="537" t="str">
        <f t="shared" si="20"/>
        <v/>
      </c>
      <c r="V72" s="521" t="str">
        <f t="shared" si="20"/>
        <v/>
      </c>
      <c r="W72" s="537">
        <f t="shared" ref="W72:Y73" si="21">IF($S72="RK",O72,"")</f>
        <v>21.333333443333334</v>
      </c>
      <c r="X72" s="537">
        <f t="shared" si="21"/>
        <v>384.00000198000004</v>
      </c>
      <c r="Y72" s="521">
        <f t="shared" si="21"/>
        <v>0</v>
      </c>
    </row>
    <row r="73" spans="1:25" s="29" customFormat="1" ht="12" thickBot="1">
      <c r="A73" s="224"/>
      <c r="B73" s="219" t="s">
        <v>97</v>
      </c>
      <c r="C73" s="144">
        <v>0</v>
      </c>
      <c r="D73" s="144">
        <v>0.25</v>
      </c>
      <c r="E73" s="144">
        <v>0</v>
      </c>
      <c r="F73" s="144">
        <v>0.25</v>
      </c>
      <c r="G73" s="106">
        <v>0</v>
      </c>
      <c r="H73" s="136">
        <f>SUM(C73:G73)</f>
        <v>0.5</v>
      </c>
      <c r="I73" s="137"/>
      <c r="J73" s="137"/>
      <c r="K73" s="137"/>
      <c r="L73" s="138">
        <f>((C73*$C$9)+(D73*$D$9)+(E73*$E$9)+(F73*$F$9))</f>
        <v>26.696000000000002</v>
      </c>
      <c r="M73" s="138">
        <v>0</v>
      </c>
      <c r="N73" s="139">
        <v>1</v>
      </c>
      <c r="O73" s="191">
        <f>0.5*O9</f>
        <v>21.333333443333334</v>
      </c>
      <c r="P73" s="141">
        <f>(C73+D73+E73+F73)*O73</f>
        <v>10.666666721666667</v>
      </c>
      <c r="Q73" s="72">
        <f>(M73+N73)*O73</f>
        <v>21.333333443333334</v>
      </c>
      <c r="R73" s="142">
        <f>(L73+M73+N73)*O73</f>
        <v>590.84800304656005</v>
      </c>
      <c r="S73" s="11" t="s">
        <v>259</v>
      </c>
      <c r="T73" s="536">
        <f t="shared" si="20"/>
        <v>21.333333443333334</v>
      </c>
      <c r="U73" s="537">
        <f t="shared" si="20"/>
        <v>10.666666721666667</v>
      </c>
      <c r="V73" s="521">
        <f t="shared" si="20"/>
        <v>21.333333443333334</v>
      </c>
      <c r="W73" s="537" t="str">
        <f t="shared" si="21"/>
        <v/>
      </c>
      <c r="X73" s="537" t="str">
        <f t="shared" si="21"/>
        <v/>
      </c>
      <c r="Y73" s="521" t="str">
        <f t="shared" si="21"/>
        <v/>
      </c>
    </row>
    <row r="74" spans="1:25" s="29" customFormat="1" ht="12.75" thickTop="1" thickBot="1">
      <c r="A74" s="145" t="s">
        <v>22</v>
      </c>
      <c r="B74" s="146"/>
      <c r="C74" s="152">
        <f t="shared" ref="C74:H74" si="22">C72+C73</f>
        <v>0</v>
      </c>
      <c r="D74" s="152">
        <f t="shared" si="22"/>
        <v>3.25</v>
      </c>
      <c r="E74" s="152">
        <f t="shared" si="22"/>
        <v>15</v>
      </c>
      <c r="F74" s="152">
        <f t="shared" si="22"/>
        <v>0.25</v>
      </c>
      <c r="G74" s="152">
        <f t="shared" si="22"/>
        <v>0</v>
      </c>
      <c r="H74" s="152">
        <f t="shared" si="22"/>
        <v>18.5</v>
      </c>
      <c r="I74" s="148"/>
      <c r="J74" s="148"/>
      <c r="K74" s="148"/>
      <c r="L74" s="225">
        <f>L72+L73</f>
        <v>1080.008</v>
      </c>
      <c r="M74" s="225">
        <f>M72+M73</f>
        <v>0</v>
      </c>
      <c r="N74" s="226">
        <f>N72+N73</f>
        <v>1</v>
      </c>
      <c r="O74" s="151"/>
      <c r="P74" s="152">
        <f t="shared" ref="P74:Y74" si="23">P72+P73</f>
        <v>394.66666870166671</v>
      </c>
      <c r="Q74" s="227">
        <f t="shared" si="23"/>
        <v>21.333333443333334</v>
      </c>
      <c r="R74" s="227">
        <f t="shared" si="23"/>
        <v>23061.504118910885</v>
      </c>
      <c r="S74" s="526">
        <f t="shared" si="23"/>
        <v>0</v>
      </c>
      <c r="T74" s="544">
        <f t="shared" si="23"/>
        <v>21.333333443333334</v>
      </c>
      <c r="U74" s="545">
        <f t="shared" si="23"/>
        <v>10.666666721666667</v>
      </c>
      <c r="V74" s="227">
        <f t="shared" si="23"/>
        <v>21.333333443333334</v>
      </c>
      <c r="W74" s="545">
        <f t="shared" si="23"/>
        <v>21.333333443333334</v>
      </c>
      <c r="X74" s="545">
        <f t="shared" si="23"/>
        <v>384.00000198000004</v>
      </c>
      <c r="Y74" s="227">
        <f t="shared" si="23"/>
        <v>0</v>
      </c>
    </row>
    <row r="75" spans="1:25" s="29" customFormat="1" ht="12" thickTop="1">
      <c r="A75" s="201" t="s">
        <v>184</v>
      </c>
      <c r="B75" s="202"/>
      <c r="C75" s="203"/>
      <c r="D75" s="203"/>
      <c r="E75" s="203"/>
      <c r="F75" s="203"/>
      <c r="G75" s="203"/>
      <c r="H75" s="203"/>
      <c r="I75" s="204"/>
      <c r="J75" s="204"/>
      <c r="K75" s="204"/>
      <c r="L75" s="205"/>
      <c r="M75" s="205"/>
      <c r="N75" s="206"/>
      <c r="O75" s="207"/>
      <c r="P75" s="208"/>
      <c r="Q75" s="208"/>
      <c r="R75" s="209"/>
      <c r="S75" s="11"/>
      <c r="T75" s="532"/>
      <c r="U75" s="533"/>
      <c r="W75" s="455"/>
      <c r="X75" s="455"/>
    </row>
    <row r="76" spans="1:25" s="29" customFormat="1">
      <c r="A76" s="210"/>
      <c r="B76" s="211" t="s">
        <v>185</v>
      </c>
      <c r="C76" s="212">
        <v>0</v>
      </c>
      <c r="D76" s="212">
        <v>0.25</v>
      </c>
      <c r="E76" s="212">
        <v>10</v>
      </c>
      <c r="F76" s="212">
        <v>0</v>
      </c>
      <c r="G76" s="212">
        <v>0</v>
      </c>
      <c r="H76" s="212">
        <f>SUM(C76:G76)</f>
        <v>10.25</v>
      </c>
      <c r="I76" s="213"/>
      <c r="J76" s="213"/>
      <c r="K76" s="213"/>
      <c r="L76" s="214">
        <f>((C76*$C$9)+(D76*$D$9)+(E76*$E$9)+(F76*$F$9))</f>
        <v>568.53600000000006</v>
      </c>
      <c r="M76" s="214">
        <v>0</v>
      </c>
      <c r="N76" s="185">
        <v>0</v>
      </c>
      <c r="O76" s="196">
        <f>13*2/3</f>
        <v>8.6666666666666661</v>
      </c>
      <c r="P76" s="75">
        <f>(C76+D76+E76+F76)*O76</f>
        <v>88.833333333333329</v>
      </c>
      <c r="Q76" s="72">
        <f>(M76+N76)*O76</f>
        <v>0</v>
      </c>
      <c r="R76" s="72">
        <f>(L76+M76+N76)*O76</f>
        <v>4927.3119999999999</v>
      </c>
      <c r="S76" s="11" t="s">
        <v>254</v>
      </c>
      <c r="T76" s="536" t="str">
        <f t="shared" ref="T76:V77" si="24">IF($S76="RP",O76,"")</f>
        <v/>
      </c>
      <c r="U76" s="537" t="str">
        <f t="shared" si="24"/>
        <v/>
      </c>
      <c r="V76" s="521" t="str">
        <f t="shared" si="24"/>
        <v/>
      </c>
      <c r="W76" s="537">
        <f t="shared" ref="W76:Y77" si="25">IF($S76="RK",O76,"")</f>
        <v>8.6666666666666661</v>
      </c>
      <c r="X76" s="537">
        <f t="shared" si="25"/>
        <v>88.833333333333329</v>
      </c>
      <c r="Y76" s="521">
        <f t="shared" si="25"/>
        <v>0</v>
      </c>
    </row>
    <row r="77" spans="1:25" s="29" customFormat="1" ht="12" thickBot="1">
      <c r="A77" s="218"/>
      <c r="B77" s="219" t="s">
        <v>186</v>
      </c>
      <c r="C77" s="144">
        <v>0</v>
      </c>
      <c r="D77" s="144">
        <v>0.25</v>
      </c>
      <c r="E77" s="144">
        <v>0</v>
      </c>
      <c r="F77" s="144">
        <v>0.25</v>
      </c>
      <c r="G77" s="106">
        <v>0</v>
      </c>
      <c r="H77" s="136">
        <f>SUM(C77:G77)</f>
        <v>0.5</v>
      </c>
      <c r="I77" s="137"/>
      <c r="J77" s="137"/>
      <c r="K77" s="137"/>
      <c r="L77" s="138">
        <f>((C77*$C$9)+(D77*$D$9)+(E77*$E$9)+(F77*$F$9))</f>
        <v>26.696000000000002</v>
      </c>
      <c r="M77" s="138">
        <v>0</v>
      </c>
      <c r="N77" s="139">
        <v>1</v>
      </c>
      <c r="O77" s="191">
        <f>O76</f>
        <v>8.6666666666666661</v>
      </c>
      <c r="P77" s="141">
        <f>(C77+D77+E77+F77)*O77</f>
        <v>4.333333333333333</v>
      </c>
      <c r="Q77" s="72">
        <f>(M77+N77)*O77</f>
        <v>8.6666666666666661</v>
      </c>
      <c r="R77" s="142">
        <f>(L77+M77+N77)*O77</f>
        <v>240.03200000000001</v>
      </c>
      <c r="S77" s="11" t="s">
        <v>259</v>
      </c>
      <c r="T77" s="536">
        <f t="shared" si="24"/>
        <v>8.6666666666666661</v>
      </c>
      <c r="U77" s="537">
        <f t="shared" si="24"/>
        <v>4.333333333333333</v>
      </c>
      <c r="V77" s="521">
        <f t="shared" si="24"/>
        <v>8.6666666666666661</v>
      </c>
      <c r="W77" s="537" t="str">
        <f t="shared" si="25"/>
        <v/>
      </c>
      <c r="X77" s="537" t="str">
        <f t="shared" si="25"/>
        <v/>
      </c>
      <c r="Y77" s="521" t="str">
        <f t="shared" si="25"/>
        <v/>
      </c>
    </row>
    <row r="78" spans="1:25" s="29" customFormat="1" ht="12.75" thickTop="1" thickBot="1">
      <c r="A78" s="145" t="s">
        <v>22</v>
      </c>
      <c r="B78" s="146"/>
      <c r="C78" s="147">
        <f t="shared" ref="C78:H78" si="26">(C76+C77)</f>
        <v>0</v>
      </c>
      <c r="D78" s="147">
        <f t="shared" si="26"/>
        <v>0.5</v>
      </c>
      <c r="E78" s="147">
        <f t="shared" si="26"/>
        <v>10</v>
      </c>
      <c r="F78" s="147">
        <f t="shared" si="26"/>
        <v>0.25</v>
      </c>
      <c r="G78" s="147">
        <f t="shared" si="26"/>
        <v>0</v>
      </c>
      <c r="H78" s="147">
        <f t="shared" si="26"/>
        <v>10.75</v>
      </c>
      <c r="I78" s="148"/>
      <c r="J78" s="148"/>
      <c r="K78" s="148"/>
      <c r="L78" s="149">
        <f>(L76+L77)</f>
        <v>595.23200000000008</v>
      </c>
      <c r="M78" s="149">
        <f>(M76+M77)</f>
        <v>0</v>
      </c>
      <c r="N78" s="150">
        <f>(N76+N77)</f>
        <v>1</v>
      </c>
      <c r="O78" s="220"/>
      <c r="P78" s="147">
        <f t="shared" ref="P78:Y78" si="27">(P76+P77)</f>
        <v>93.166666666666657</v>
      </c>
      <c r="Q78" s="153">
        <f t="shared" si="27"/>
        <v>8.6666666666666661</v>
      </c>
      <c r="R78" s="153">
        <f t="shared" si="27"/>
        <v>5167.3440000000001</v>
      </c>
      <c r="S78" s="323">
        <f t="shared" si="27"/>
        <v>0</v>
      </c>
      <c r="T78" s="85">
        <f t="shared" si="27"/>
        <v>8.6666666666666661</v>
      </c>
      <c r="U78" s="543">
        <f t="shared" si="27"/>
        <v>4.333333333333333</v>
      </c>
      <c r="V78" s="153">
        <f t="shared" si="27"/>
        <v>8.6666666666666661</v>
      </c>
      <c r="W78" s="543">
        <f t="shared" si="27"/>
        <v>8.6666666666666661</v>
      </c>
      <c r="X78" s="543">
        <f t="shared" si="27"/>
        <v>88.833333333333329</v>
      </c>
      <c r="Y78" s="153">
        <f t="shared" si="27"/>
        <v>0</v>
      </c>
    </row>
    <row r="79" spans="1:25" s="29" customFormat="1" ht="12" thickTop="1">
      <c r="A79" s="201" t="s">
        <v>215</v>
      </c>
      <c r="B79" s="202"/>
      <c r="C79" s="203"/>
      <c r="D79" s="203"/>
      <c r="E79" s="203"/>
      <c r="F79" s="203"/>
      <c r="G79" s="203"/>
      <c r="H79" s="203"/>
      <c r="I79" s="204"/>
      <c r="J79" s="204"/>
      <c r="K79" s="204"/>
      <c r="L79" s="205"/>
      <c r="M79" s="205"/>
      <c r="N79" s="206"/>
      <c r="O79" s="207"/>
      <c r="P79" s="208"/>
      <c r="Q79" s="208"/>
      <c r="R79" s="209"/>
      <c r="S79" s="11"/>
      <c r="T79" s="532"/>
      <c r="U79" s="533"/>
      <c r="W79" s="455"/>
      <c r="X79" s="455"/>
    </row>
    <row r="80" spans="1:25" s="29" customFormat="1">
      <c r="A80" s="228"/>
      <c r="B80" s="229" t="s">
        <v>187</v>
      </c>
      <c r="C80" s="230"/>
      <c r="D80" s="230"/>
      <c r="E80" s="230"/>
      <c r="F80" s="230"/>
      <c r="G80" s="230"/>
      <c r="H80" s="230"/>
      <c r="I80" s="231"/>
      <c r="J80" s="231"/>
      <c r="K80" s="231"/>
      <c r="L80" s="232"/>
      <c r="M80" s="232"/>
      <c r="N80" s="129"/>
      <c r="O80" s="191"/>
      <c r="P80" s="233"/>
      <c r="Q80" s="233"/>
      <c r="R80" s="112"/>
      <c r="S80" s="11"/>
      <c r="T80" s="532"/>
      <c r="U80" s="533"/>
      <c r="W80" s="455"/>
      <c r="X80" s="455"/>
    </row>
    <row r="81" spans="1:25" s="172" customFormat="1">
      <c r="A81" s="215"/>
      <c r="B81" s="211" t="s">
        <v>216</v>
      </c>
      <c r="C81" s="212">
        <v>0</v>
      </c>
      <c r="D81" s="212">
        <v>0.5</v>
      </c>
      <c r="E81" s="212">
        <v>15</v>
      </c>
      <c r="F81" s="212">
        <v>0</v>
      </c>
      <c r="G81" s="195">
        <v>0</v>
      </c>
      <c r="H81" s="195">
        <f>SUM(C81:F81)</f>
        <v>15.5</v>
      </c>
      <c r="I81" s="221"/>
      <c r="J81" s="221"/>
      <c r="K81" s="221"/>
      <c r="L81" s="222">
        <f>((C81*$C$9)+(D81*$D$9)+(E81*$E$9)+(F81*$F$9))</f>
        <v>862.3520000000002</v>
      </c>
      <c r="M81" s="222"/>
      <c r="N81" s="73"/>
      <c r="O81" s="473">
        <f>0.1*O9</f>
        <v>4.2666666886666667</v>
      </c>
      <c r="P81" s="75">
        <f>(C81+D81+E81+F81)*O81</f>
        <v>66.133333674333329</v>
      </c>
      <c r="Q81" s="72">
        <f>(M81+N81)*O81</f>
        <v>0</v>
      </c>
      <c r="R81" s="72">
        <f>(L81+M81+N81)*O81</f>
        <v>3679.3685523050781</v>
      </c>
      <c r="S81" s="171" t="s">
        <v>254</v>
      </c>
      <c r="T81" s="536" t="str">
        <f t="shared" ref="T81:V82" si="28">IF($S81="RP",O81,"")</f>
        <v/>
      </c>
      <c r="U81" s="537" t="str">
        <f t="shared" si="28"/>
        <v/>
      </c>
      <c r="V81" s="521" t="str">
        <f t="shared" si="28"/>
        <v/>
      </c>
      <c r="W81" s="537">
        <f t="shared" ref="W81:Y82" si="29">IF($S81="RK",O81,"")</f>
        <v>4.2666666886666667</v>
      </c>
      <c r="X81" s="537">
        <f t="shared" si="29"/>
        <v>66.133333674333329</v>
      </c>
      <c r="Y81" s="521">
        <f t="shared" si="29"/>
        <v>0</v>
      </c>
    </row>
    <row r="82" spans="1:25" s="29" customFormat="1" ht="12" thickBot="1">
      <c r="A82" s="224"/>
      <c r="B82" s="219" t="s">
        <v>186</v>
      </c>
      <c r="C82" s="144">
        <v>0</v>
      </c>
      <c r="D82" s="144">
        <v>0.25</v>
      </c>
      <c r="E82" s="144">
        <v>0</v>
      </c>
      <c r="F82" s="144">
        <v>0.25</v>
      </c>
      <c r="G82" s="106">
        <v>0</v>
      </c>
      <c r="H82" s="136">
        <f>SUM(C82:G82)</f>
        <v>0.5</v>
      </c>
      <c r="I82" s="137"/>
      <c r="J82" s="137"/>
      <c r="K82" s="137"/>
      <c r="L82" s="138">
        <f>((C82*$C$9)+(D82*$D$9)+(E82*$E$9)+(F82*$F$9))</f>
        <v>26.696000000000002</v>
      </c>
      <c r="M82" s="138">
        <v>0</v>
      </c>
      <c r="N82" s="139">
        <v>0</v>
      </c>
      <c r="O82" s="474">
        <f>0.1*O9</f>
        <v>4.2666666886666667</v>
      </c>
      <c r="P82" s="141">
        <f>(C82+D82+E82+F82)*O82</f>
        <v>2.1333333443333333</v>
      </c>
      <c r="Q82" s="72">
        <f>(M82+N82)*O82</f>
        <v>0</v>
      </c>
      <c r="R82" s="142">
        <f>(L82+M82+N82)*O82</f>
        <v>113.90293392064534</v>
      </c>
      <c r="S82" s="11" t="s">
        <v>259</v>
      </c>
      <c r="T82" s="536">
        <f t="shared" si="28"/>
        <v>4.2666666886666667</v>
      </c>
      <c r="U82" s="537">
        <f t="shared" si="28"/>
        <v>2.1333333443333333</v>
      </c>
      <c r="V82" s="521">
        <f t="shared" si="28"/>
        <v>0</v>
      </c>
      <c r="W82" s="537" t="str">
        <f t="shared" si="29"/>
        <v/>
      </c>
      <c r="X82" s="537" t="str">
        <f t="shared" si="29"/>
        <v/>
      </c>
      <c r="Y82" s="521" t="str">
        <f t="shared" si="29"/>
        <v/>
      </c>
    </row>
    <row r="83" spans="1:25" s="29" customFormat="1" ht="12.75" thickTop="1" thickBot="1">
      <c r="A83" s="145" t="s">
        <v>22</v>
      </c>
      <c r="B83" s="146"/>
      <c r="C83" s="147">
        <f t="shared" ref="C83:H83" si="30">(C81+C82)</f>
        <v>0</v>
      </c>
      <c r="D83" s="147">
        <f t="shared" si="30"/>
        <v>0.75</v>
      </c>
      <c r="E83" s="147">
        <f t="shared" si="30"/>
        <v>15</v>
      </c>
      <c r="F83" s="147">
        <f t="shared" si="30"/>
        <v>0.25</v>
      </c>
      <c r="G83" s="147">
        <f t="shared" si="30"/>
        <v>0</v>
      </c>
      <c r="H83" s="147">
        <f t="shared" si="30"/>
        <v>16</v>
      </c>
      <c r="I83" s="148"/>
      <c r="J83" s="148"/>
      <c r="K83" s="148"/>
      <c r="L83" s="149">
        <f>(L81+L82)</f>
        <v>889.04800000000023</v>
      </c>
      <c r="M83" s="149">
        <f>(M81+M82)</f>
        <v>0</v>
      </c>
      <c r="N83" s="150">
        <f>(N81+N82)</f>
        <v>0</v>
      </c>
      <c r="O83" s="151"/>
      <c r="P83" s="147">
        <f>(P81+P82)</f>
        <v>68.266667018666666</v>
      </c>
      <c r="Q83" s="153">
        <f>(Q81+Q82)</f>
        <v>0</v>
      </c>
      <c r="R83" s="153">
        <f>(R81+R82)</f>
        <v>3793.2714862257235</v>
      </c>
      <c r="S83" s="323"/>
      <c r="T83" s="85">
        <f t="shared" ref="T83:Y83" si="31">(T81+T82)</f>
        <v>4.2666666886666667</v>
      </c>
      <c r="U83" s="543">
        <f t="shared" si="31"/>
        <v>2.1333333443333333</v>
      </c>
      <c r="V83" s="153">
        <f t="shared" si="31"/>
        <v>0</v>
      </c>
      <c r="W83" s="543">
        <f t="shared" si="31"/>
        <v>4.2666666886666667</v>
      </c>
      <c r="X83" s="543">
        <f t="shared" si="31"/>
        <v>66.133333674333329</v>
      </c>
      <c r="Y83" s="153">
        <f t="shared" si="31"/>
        <v>0</v>
      </c>
    </row>
    <row r="84" spans="1:25" s="29" customFormat="1" ht="12" thickTop="1">
      <c r="A84" s="201" t="s">
        <v>188</v>
      </c>
      <c r="B84" s="202"/>
      <c r="C84" s="203"/>
      <c r="D84" s="203"/>
      <c r="E84" s="203"/>
      <c r="F84" s="203"/>
      <c r="G84" s="203"/>
      <c r="H84" s="203"/>
      <c r="I84" s="204"/>
      <c r="J84" s="204"/>
      <c r="K84" s="204"/>
      <c r="L84" s="205"/>
      <c r="M84" s="205"/>
      <c r="N84" s="206"/>
      <c r="O84" s="207"/>
      <c r="P84" s="208"/>
      <c r="Q84" s="208"/>
      <c r="R84" s="209"/>
      <c r="S84" s="11"/>
      <c r="T84" s="455"/>
      <c r="U84" s="533"/>
      <c r="W84" s="455"/>
      <c r="X84" s="455"/>
    </row>
    <row r="85" spans="1:25" s="29" customFormat="1">
      <c r="A85" s="228"/>
      <c r="B85" s="229" t="s">
        <v>210</v>
      </c>
      <c r="C85" s="230"/>
      <c r="D85" s="230"/>
      <c r="E85" s="230"/>
      <c r="F85" s="230"/>
      <c r="G85" s="230"/>
      <c r="H85" s="230"/>
      <c r="I85" s="231"/>
      <c r="J85" s="231"/>
      <c r="K85" s="231"/>
      <c r="L85" s="232"/>
      <c r="M85" s="232"/>
      <c r="N85" s="129"/>
      <c r="O85" s="191"/>
      <c r="P85" s="233"/>
      <c r="Q85" s="233"/>
      <c r="R85" s="112"/>
      <c r="S85" s="11"/>
      <c r="T85" s="536"/>
      <c r="U85" s="537"/>
      <c r="V85" s="521"/>
      <c r="W85" s="537"/>
      <c r="X85" s="537"/>
      <c r="Y85" s="521"/>
    </row>
    <row r="86" spans="1:25" s="172" customFormat="1" ht="12" thickBot="1">
      <c r="A86" s="215"/>
      <c r="B86" s="211" t="s">
        <v>211</v>
      </c>
      <c r="C86" s="230">
        <v>0</v>
      </c>
      <c r="D86" s="230">
        <v>0.5</v>
      </c>
      <c r="E86" s="230">
        <v>5</v>
      </c>
      <c r="F86" s="230">
        <v>0</v>
      </c>
      <c r="G86" s="230">
        <v>0</v>
      </c>
      <c r="H86" s="230">
        <f>SUM(C86:G86)</f>
        <v>5.5</v>
      </c>
      <c r="I86" s="231"/>
      <c r="J86" s="231"/>
      <c r="K86" s="231"/>
      <c r="L86" s="232">
        <f>((C86*$C$9)+(D86*$D$9)+(E86*$E$9)+(F86*$F$9))</f>
        <v>312.91200000000003</v>
      </c>
      <c r="M86" s="232">
        <v>0</v>
      </c>
      <c r="N86" s="129">
        <v>1</v>
      </c>
      <c r="O86" s="191">
        <f>O9</f>
        <v>42.666666886666668</v>
      </c>
      <c r="P86" s="233">
        <f>(C86+D86+E86+F86)*O86</f>
        <v>234.66666787666668</v>
      </c>
      <c r="Q86" s="72">
        <f>(M86+N86)*O86</f>
        <v>42.666666886666668</v>
      </c>
      <c r="R86" s="112">
        <f>(L86+M86+N86)*O86</f>
        <v>13393.578735727309</v>
      </c>
      <c r="S86" s="171" t="s">
        <v>254</v>
      </c>
      <c r="T86" s="536" t="str">
        <f>IF($S86="RP",O86,"")</f>
        <v/>
      </c>
      <c r="U86" s="537" t="str">
        <f>IF($S86="RP",P86,"")</f>
        <v/>
      </c>
      <c r="V86" s="521" t="str">
        <f>IF($S86="RP",Q86,"")</f>
        <v/>
      </c>
      <c r="W86" s="537">
        <f>IF($S86="RK",O86,"")</f>
        <v>42.666666886666668</v>
      </c>
      <c r="X86" s="537">
        <f>IF($S86="RK",P86,"")</f>
        <v>234.66666787666668</v>
      </c>
      <c r="Y86" s="521">
        <f>IF($S86="RK",Q86,"")</f>
        <v>42.666666886666668</v>
      </c>
    </row>
    <row r="87" spans="1:25" s="29" customFormat="1" ht="12.75" thickTop="1" thickBot="1">
      <c r="A87" s="145" t="s">
        <v>22</v>
      </c>
      <c r="B87" s="146"/>
      <c r="C87" s="147">
        <f t="shared" ref="C87:H87" si="32">(C86)</f>
        <v>0</v>
      </c>
      <c r="D87" s="147">
        <f t="shared" si="32"/>
        <v>0.5</v>
      </c>
      <c r="E87" s="147">
        <f t="shared" si="32"/>
        <v>5</v>
      </c>
      <c r="F87" s="147">
        <f t="shared" si="32"/>
        <v>0</v>
      </c>
      <c r="G87" s="147">
        <f t="shared" si="32"/>
        <v>0</v>
      </c>
      <c r="H87" s="147">
        <f t="shared" si="32"/>
        <v>5.5</v>
      </c>
      <c r="I87" s="148"/>
      <c r="J87" s="148"/>
      <c r="K87" s="148"/>
      <c r="L87" s="149">
        <f>(L86)</f>
        <v>312.91200000000003</v>
      </c>
      <c r="M87" s="149">
        <f>(M86)</f>
        <v>0</v>
      </c>
      <c r="N87" s="150">
        <f>(N86)</f>
        <v>1</v>
      </c>
      <c r="O87" s="151"/>
      <c r="P87" s="147">
        <f>(P86)</f>
        <v>234.66666787666668</v>
      </c>
      <c r="Q87" s="153">
        <f>(Q86)</f>
        <v>42.666666886666668</v>
      </c>
      <c r="R87" s="153">
        <f>(R86)</f>
        <v>13393.578735727309</v>
      </c>
      <c r="S87" s="153"/>
      <c r="T87" s="543" t="str">
        <f t="shared" ref="T87:Y87" si="33">(T86)</f>
        <v/>
      </c>
      <c r="U87" s="543" t="str">
        <f t="shared" si="33"/>
        <v/>
      </c>
      <c r="V87" s="153" t="str">
        <f t="shared" si="33"/>
        <v/>
      </c>
      <c r="W87" s="543">
        <f t="shared" si="33"/>
        <v>42.666666886666668</v>
      </c>
      <c r="X87" s="543">
        <f t="shared" si="33"/>
        <v>234.66666787666668</v>
      </c>
      <c r="Y87" s="153">
        <f t="shared" si="33"/>
        <v>42.666666886666668</v>
      </c>
    </row>
    <row r="88" spans="1:25" s="29" customFormat="1" ht="12" thickTop="1">
      <c r="A88" s="201" t="s">
        <v>189</v>
      </c>
      <c r="B88" s="202"/>
      <c r="C88" s="203"/>
      <c r="D88" s="203"/>
      <c r="E88" s="203"/>
      <c r="F88" s="203"/>
      <c r="G88" s="203"/>
      <c r="H88" s="203"/>
      <c r="I88" s="204"/>
      <c r="J88" s="204"/>
      <c r="K88" s="204"/>
      <c r="L88" s="205"/>
      <c r="M88" s="205"/>
      <c r="N88" s="206"/>
      <c r="O88" s="207"/>
      <c r="P88" s="208"/>
      <c r="Q88" s="208"/>
      <c r="R88" s="209"/>
      <c r="S88" s="11"/>
      <c r="T88" s="455"/>
      <c r="U88" s="533"/>
      <c r="W88" s="455"/>
      <c r="X88" s="455"/>
    </row>
    <row r="89" spans="1:25" s="172" customFormat="1">
      <c r="A89" s="215"/>
      <c r="B89" s="211" t="s">
        <v>190</v>
      </c>
      <c r="C89" s="212">
        <v>0</v>
      </c>
      <c r="D89" s="212">
        <v>0.25</v>
      </c>
      <c r="E89" s="212">
        <v>5</v>
      </c>
      <c r="F89" s="212">
        <v>0.1</v>
      </c>
      <c r="G89" s="212">
        <v>0</v>
      </c>
      <c r="H89" s="212">
        <f>SUM(C89:G89)</f>
        <v>5.35</v>
      </c>
      <c r="I89" s="213"/>
      <c r="J89" s="213"/>
      <c r="K89" s="213"/>
      <c r="L89" s="214">
        <f>((C89*$C$9)+(D89*$D$9)+(E89*$E$9)+(F89*$F$9))</f>
        <v>296.85600000000005</v>
      </c>
      <c r="M89" s="214">
        <v>0</v>
      </c>
      <c r="N89" s="185">
        <v>0</v>
      </c>
      <c r="O89" s="473">
        <f>0.1*O9</f>
        <v>4.2666666886666667</v>
      </c>
      <c r="P89" s="75">
        <f>(C89+D89+E89+F89)*O89</f>
        <v>22.826666784366665</v>
      </c>
      <c r="Q89" s="72">
        <f>(M89+N89)*O89</f>
        <v>0</v>
      </c>
      <c r="R89" s="72">
        <f>(L89+M89+N89)*O89</f>
        <v>1266.5856065308321</v>
      </c>
      <c r="S89" s="171" t="s">
        <v>254</v>
      </c>
      <c r="T89" s="536" t="str">
        <f t="shared" ref="T89:V90" si="34">IF($S89="RP",O89,"")</f>
        <v/>
      </c>
      <c r="U89" s="537" t="str">
        <f t="shared" si="34"/>
        <v/>
      </c>
      <c r="V89" s="521" t="str">
        <f t="shared" si="34"/>
        <v/>
      </c>
      <c r="W89" s="537">
        <f t="shared" ref="W89:Y90" si="35">IF($S89="RK",O89,"")</f>
        <v>4.2666666886666667</v>
      </c>
      <c r="X89" s="537">
        <f t="shared" si="35"/>
        <v>22.826666784366665</v>
      </c>
      <c r="Y89" s="521">
        <f t="shared" si="35"/>
        <v>0</v>
      </c>
    </row>
    <row r="90" spans="1:25" s="172" customFormat="1" ht="12" thickBot="1">
      <c r="A90" s="215"/>
      <c r="B90" s="211" t="s">
        <v>97</v>
      </c>
      <c r="C90" s="212">
        <v>0</v>
      </c>
      <c r="D90" s="212">
        <v>0.25</v>
      </c>
      <c r="E90" s="212">
        <v>0</v>
      </c>
      <c r="F90" s="212">
        <v>0.25</v>
      </c>
      <c r="G90" s="212">
        <v>0</v>
      </c>
      <c r="H90" s="212">
        <f>SUM(C90:G90)</f>
        <v>0.5</v>
      </c>
      <c r="I90" s="213"/>
      <c r="J90" s="213"/>
      <c r="K90" s="213"/>
      <c r="L90" s="214">
        <f>((C90*$C$9)+(D90*$D$9)+(E90*$E$9)+(F90*$F$9))</f>
        <v>26.696000000000002</v>
      </c>
      <c r="M90" s="214">
        <v>0</v>
      </c>
      <c r="N90" s="185">
        <v>1</v>
      </c>
      <c r="O90" s="473">
        <f>0.1*O9</f>
        <v>4.2666666886666667</v>
      </c>
      <c r="P90" s="75">
        <f>(C90+D90+E90+F90)*O90</f>
        <v>2.1333333443333333</v>
      </c>
      <c r="Q90" s="72">
        <f>(M90+N90)*O90</f>
        <v>4.2666666886666667</v>
      </c>
      <c r="R90" s="72">
        <f>(L90+M90+N90)*O90</f>
        <v>118.169600609312</v>
      </c>
      <c r="S90" s="171" t="s">
        <v>259</v>
      </c>
      <c r="T90" s="536">
        <f t="shared" si="34"/>
        <v>4.2666666886666667</v>
      </c>
      <c r="U90" s="537">
        <f t="shared" si="34"/>
        <v>2.1333333443333333</v>
      </c>
      <c r="V90" s="521">
        <f t="shared" si="34"/>
        <v>4.2666666886666667</v>
      </c>
      <c r="W90" s="537" t="str">
        <f t="shared" si="35"/>
        <v/>
      </c>
      <c r="X90" s="537" t="str">
        <f t="shared" si="35"/>
        <v/>
      </c>
      <c r="Y90" s="521" t="str">
        <f t="shared" si="35"/>
        <v/>
      </c>
    </row>
    <row r="91" spans="1:25" s="29" customFormat="1" ht="12.75" thickTop="1" thickBot="1">
      <c r="A91" s="145" t="s">
        <v>22</v>
      </c>
      <c r="B91" s="146"/>
      <c r="C91" s="147">
        <f t="shared" ref="C91:H91" si="36">(C89+C90)</f>
        <v>0</v>
      </c>
      <c r="D91" s="147">
        <f t="shared" si="36"/>
        <v>0.5</v>
      </c>
      <c r="E91" s="147">
        <f t="shared" si="36"/>
        <v>5</v>
      </c>
      <c r="F91" s="147">
        <f t="shared" si="36"/>
        <v>0.35</v>
      </c>
      <c r="G91" s="147">
        <f t="shared" si="36"/>
        <v>0</v>
      </c>
      <c r="H91" s="147">
        <f t="shared" si="36"/>
        <v>5.85</v>
      </c>
      <c r="I91" s="148"/>
      <c r="J91" s="148"/>
      <c r="K91" s="148"/>
      <c r="L91" s="149">
        <f>(L89+L90)</f>
        <v>323.55200000000008</v>
      </c>
      <c r="M91" s="149">
        <f>(M89+M90)</f>
        <v>0</v>
      </c>
      <c r="N91" s="150">
        <f>(N89+N90)</f>
        <v>1</v>
      </c>
      <c r="O91" s="475"/>
      <c r="P91" s="147">
        <f t="shared" ref="P91:Y91" si="37">(P89+P90)</f>
        <v>24.960000128699999</v>
      </c>
      <c r="Q91" s="153">
        <f t="shared" si="37"/>
        <v>4.2666666886666667</v>
      </c>
      <c r="R91" s="153">
        <f t="shared" si="37"/>
        <v>1384.7552071401442</v>
      </c>
      <c r="S91" s="153">
        <f t="shared" si="37"/>
        <v>0</v>
      </c>
      <c r="T91" s="543">
        <f t="shared" si="37"/>
        <v>4.2666666886666667</v>
      </c>
      <c r="U91" s="543">
        <f t="shared" si="37"/>
        <v>2.1333333443333333</v>
      </c>
      <c r="V91" s="153">
        <f t="shared" si="37"/>
        <v>4.2666666886666667</v>
      </c>
      <c r="W91" s="543">
        <f t="shared" si="37"/>
        <v>4.2666666886666667</v>
      </c>
      <c r="X91" s="543">
        <f t="shared" si="37"/>
        <v>22.826666784366665</v>
      </c>
      <c r="Y91" s="153">
        <f t="shared" si="37"/>
        <v>0</v>
      </c>
    </row>
    <row r="92" spans="1:25" s="29" customFormat="1" ht="12" thickTop="1">
      <c r="A92" s="201" t="s">
        <v>191</v>
      </c>
      <c r="B92" s="202"/>
      <c r="C92" s="203"/>
      <c r="D92" s="203"/>
      <c r="E92" s="203"/>
      <c r="F92" s="203"/>
      <c r="G92" s="203"/>
      <c r="H92" s="203"/>
      <c r="I92" s="204"/>
      <c r="J92" s="204"/>
      <c r="K92" s="204"/>
      <c r="L92" s="205"/>
      <c r="M92" s="205"/>
      <c r="N92" s="206"/>
      <c r="O92" s="207"/>
      <c r="P92" s="208"/>
      <c r="Q92" s="208"/>
      <c r="R92" s="209"/>
      <c r="S92" s="11"/>
      <c r="T92" s="455"/>
      <c r="U92" s="533"/>
      <c r="W92" s="455"/>
      <c r="X92" s="455"/>
    </row>
    <row r="93" spans="1:25" s="172" customFormat="1">
      <c r="A93" s="215"/>
      <c r="B93" s="211" t="s">
        <v>192</v>
      </c>
      <c r="C93" s="212">
        <v>0</v>
      </c>
      <c r="D93" s="212">
        <v>0.25</v>
      </c>
      <c r="E93" s="212">
        <v>5</v>
      </c>
      <c r="F93" s="212">
        <v>0.1</v>
      </c>
      <c r="G93" s="212">
        <v>0</v>
      </c>
      <c r="H93" s="212">
        <f>SUM(C93:G93)</f>
        <v>5.35</v>
      </c>
      <c r="I93" s="213"/>
      <c r="J93" s="213"/>
      <c r="K93" s="213"/>
      <c r="L93" s="214">
        <f>((C93*$C$9)+(D93*$D$9)+(E93*$E$9)+(F93*$F$9))</f>
        <v>296.85600000000005</v>
      </c>
      <c r="M93" s="214">
        <v>0</v>
      </c>
      <c r="N93" s="185">
        <v>0</v>
      </c>
      <c r="O93" s="196">
        <f>18.7/3*2</f>
        <v>12.466666666666667</v>
      </c>
      <c r="P93" s="75">
        <f>(C93+D93+E93+F93)*O93</f>
        <v>66.696666666666658</v>
      </c>
      <c r="Q93" s="72">
        <f>(M93+N93)*O93</f>
        <v>0</v>
      </c>
      <c r="R93" s="72">
        <f>(L93+M93+N93)*O93</f>
        <v>3700.8048000000008</v>
      </c>
      <c r="S93" s="171" t="s">
        <v>254</v>
      </c>
      <c r="T93" s="536" t="str">
        <f t="shared" ref="T93:V94" si="38">IF($S93="RP",O93,"")</f>
        <v/>
      </c>
      <c r="U93" s="537" t="str">
        <f t="shared" si="38"/>
        <v/>
      </c>
      <c r="V93" s="521" t="str">
        <f t="shared" si="38"/>
        <v/>
      </c>
      <c r="W93" s="537">
        <f t="shared" ref="W93:Y94" si="39">IF($S93="RK",O93,"")</f>
        <v>12.466666666666667</v>
      </c>
      <c r="X93" s="537">
        <f t="shared" si="39"/>
        <v>66.696666666666658</v>
      </c>
      <c r="Y93" s="521">
        <f t="shared" si="39"/>
        <v>0</v>
      </c>
    </row>
    <row r="94" spans="1:25" s="172" customFormat="1" ht="12" thickBot="1">
      <c r="A94" s="215"/>
      <c r="B94" s="211" t="s">
        <v>97</v>
      </c>
      <c r="C94" s="212">
        <v>0</v>
      </c>
      <c r="D94" s="212">
        <v>0.25</v>
      </c>
      <c r="E94" s="212">
        <v>0</v>
      </c>
      <c r="F94" s="212">
        <v>0.25</v>
      </c>
      <c r="G94" s="212">
        <v>0</v>
      </c>
      <c r="H94" s="212">
        <f>SUM(C94:G94)</f>
        <v>0.5</v>
      </c>
      <c r="I94" s="213"/>
      <c r="J94" s="213"/>
      <c r="K94" s="213"/>
      <c r="L94" s="214">
        <f>((C94*$C$9)+(D94*$D$9)+(E94*$E$9)+(F94*$F$9))</f>
        <v>26.696000000000002</v>
      </c>
      <c r="M94" s="214">
        <v>0</v>
      </c>
      <c r="N94" s="185">
        <v>1</v>
      </c>
      <c r="O94" s="196">
        <f>18.7/3*2</f>
        <v>12.466666666666667</v>
      </c>
      <c r="P94" s="75">
        <f>(C94+D94+E94+F94)*O94</f>
        <v>6.2333333333333334</v>
      </c>
      <c r="Q94" s="72">
        <f>(M94+N94)*O94</f>
        <v>12.466666666666667</v>
      </c>
      <c r="R94" s="72">
        <f>(L94+M94+N94)*O94</f>
        <v>345.27680000000004</v>
      </c>
      <c r="S94" s="171" t="s">
        <v>259</v>
      </c>
      <c r="T94" s="536">
        <f t="shared" si="38"/>
        <v>12.466666666666667</v>
      </c>
      <c r="U94" s="537">
        <f t="shared" si="38"/>
        <v>6.2333333333333334</v>
      </c>
      <c r="V94" s="521">
        <f t="shared" si="38"/>
        <v>12.466666666666667</v>
      </c>
      <c r="W94" s="537" t="str">
        <f t="shared" si="39"/>
        <v/>
      </c>
      <c r="X94" s="537" t="str">
        <f t="shared" si="39"/>
        <v/>
      </c>
      <c r="Y94" s="521" t="str">
        <f t="shared" si="39"/>
        <v/>
      </c>
    </row>
    <row r="95" spans="1:25" s="29" customFormat="1" ht="12.75" thickTop="1" thickBot="1">
      <c r="A95" s="145" t="s">
        <v>22</v>
      </c>
      <c r="B95" s="146"/>
      <c r="C95" s="147">
        <f t="shared" ref="C95:H95" si="40">(C93+C94)</f>
        <v>0</v>
      </c>
      <c r="D95" s="147">
        <f t="shared" si="40"/>
        <v>0.5</v>
      </c>
      <c r="E95" s="147">
        <f t="shared" si="40"/>
        <v>5</v>
      </c>
      <c r="F95" s="147">
        <f t="shared" si="40"/>
        <v>0.35</v>
      </c>
      <c r="G95" s="147">
        <f t="shared" si="40"/>
        <v>0</v>
      </c>
      <c r="H95" s="147">
        <f t="shared" si="40"/>
        <v>5.85</v>
      </c>
      <c r="I95" s="148"/>
      <c r="J95" s="148"/>
      <c r="K95" s="148"/>
      <c r="L95" s="149">
        <f>(L93+L94)</f>
        <v>323.55200000000008</v>
      </c>
      <c r="M95" s="149">
        <f>(M93+M94)</f>
        <v>0</v>
      </c>
      <c r="N95" s="150">
        <f>(N93+N94)</f>
        <v>1</v>
      </c>
      <c r="O95" s="151"/>
      <c r="P95" s="147">
        <f t="shared" ref="P95:Y95" si="41">(P93+P94)</f>
        <v>72.929999999999993</v>
      </c>
      <c r="Q95" s="153">
        <f t="shared" si="41"/>
        <v>12.466666666666667</v>
      </c>
      <c r="R95" s="153">
        <f t="shared" si="41"/>
        <v>4046.0816000000009</v>
      </c>
      <c r="S95" s="153">
        <f t="shared" si="41"/>
        <v>0</v>
      </c>
      <c r="T95" s="543">
        <f t="shared" si="41"/>
        <v>12.466666666666667</v>
      </c>
      <c r="U95" s="543">
        <f t="shared" si="41"/>
        <v>6.2333333333333334</v>
      </c>
      <c r="V95" s="153">
        <f t="shared" si="41"/>
        <v>12.466666666666667</v>
      </c>
      <c r="W95" s="543">
        <f t="shared" si="41"/>
        <v>12.466666666666667</v>
      </c>
      <c r="X95" s="543">
        <f t="shared" si="41"/>
        <v>66.696666666666658</v>
      </c>
      <c r="Y95" s="153">
        <f t="shared" si="41"/>
        <v>0</v>
      </c>
    </row>
    <row r="96" spans="1:25" s="29" customFormat="1" ht="12" thickTop="1">
      <c r="A96" s="201" t="s">
        <v>193</v>
      </c>
      <c r="B96" s="202"/>
      <c r="C96" s="203"/>
      <c r="D96" s="203"/>
      <c r="E96" s="203"/>
      <c r="F96" s="203"/>
      <c r="G96" s="203"/>
      <c r="H96" s="203"/>
      <c r="I96" s="204"/>
      <c r="J96" s="204"/>
      <c r="K96" s="204"/>
      <c r="L96" s="205"/>
      <c r="M96" s="205"/>
      <c r="N96" s="206"/>
      <c r="O96" s="207"/>
      <c r="P96" s="208"/>
      <c r="Q96" s="208"/>
      <c r="R96" s="209"/>
      <c r="S96" s="11"/>
      <c r="T96" s="455"/>
      <c r="U96" s="533"/>
      <c r="W96" s="455"/>
      <c r="X96" s="455"/>
    </row>
    <row r="97" spans="1:25" s="29" customFormat="1">
      <c r="A97" s="228"/>
      <c r="B97" s="229" t="s">
        <v>194</v>
      </c>
      <c r="C97" s="230"/>
      <c r="D97" s="230"/>
      <c r="E97" s="230"/>
      <c r="F97" s="230"/>
      <c r="G97" s="230"/>
      <c r="H97" s="230"/>
      <c r="I97" s="231"/>
      <c r="J97" s="231"/>
      <c r="K97" s="231"/>
      <c r="L97" s="232"/>
      <c r="M97" s="232"/>
      <c r="N97" s="129"/>
      <c r="O97" s="191"/>
      <c r="P97" s="233"/>
      <c r="Q97" s="233"/>
      <c r="R97" s="112"/>
      <c r="S97" s="11"/>
      <c r="T97" s="455"/>
      <c r="U97" s="533"/>
      <c r="W97" s="455"/>
      <c r="X97" s="455"/>
    </row>
    <row r="98" spans="1:25" s="29" customFormat="1">
      <c r="A98" s="228"/>
      <c r="B98" s="229" t="s">
        <v>195</v>
      </c>
      <c r="C98" s="230">
        <v>0</v>
      </c>
      <c r="D98" s="230">
        <v>0.5</v>
      </c>
      <c r="E98" s="230">
        <v>2</v>
      </c>
      <c r="F98" s="230">
        <v>0</v>
      </c>
      <c r="G98" s="230">
        <v>0</v>
      </c>
      <c r="H98" s="230">
        <f>SUM(C98:G98)</f>
        <v>2.5</v>
      </c>
      <c r="I98" s="231"/>
      <c r="J98" s="231"/>
      <c r="K98" s="231"/>
      <c r="L98" s="232">
        <f>((C98*$C$9)+(D98*$D$9)+(E98*$E$9)+(F98*$F$9))</f>
        <v>148.08000000000001</v>
      </c>
      <c r="M98" s="232">
        <v>0</v>
      </c>
      <c r="N98" s="129">
        <v>0</v>
      </c>
      <c r="O98" s="474">
        <f>O9*50%</f>
        <v>21.333333443333334</v>
      </c>
      <c r="P98" s="233">
        <f>(C98+D98+E98+F98)*O98</f>
        <v>53.333333608333334</v>
      </c>
      <c r="Q98" s="72">
        <f>(M98+N98)*O98</f>
        <v>0</v>
      </c>
      <c r="R98" s="112">
        <f>(L98+M98+N98)*O98</f>
        <v>3159.0400162888004</v>
      </c>
      <c r="S98" s="11" t="s">
        <v>254</v>
      </c>
      <c r="T98" s="536" t="str">
        <f t="shared" ref="T98:V99" si="42">IF($S98="RP",O98,"")</f>
        <v/>
      </c>
      <c r="U98" s="537" t="str">
        <f t="shared" si="42"/>
        <v/>
      </c>
      <c r="V98" s="521" t="str">
        <f t="shared" si="42"/>
        <v/>
      </c>
      <c r="W98" s="537">
        <f t="shared" ref="W98:Y99" si="43">IF($S98="RK",O98,"")</f>
        <v>21.333333443333334</v>
      </c>
      <c r="X98" s="537">
        <f t="shared" si="43"/>
        <v>53.333333608333334</v>
      </c>
      <c r="Y98" s="521">
        <f t="shared" si="43"/>
        <v>0</v>
      </c>
    </row>
    <row r="99" spans="1:25" s="114" customFormat="1" ht="12" thickBot="1">
      <c r="A99" s="234"/>
      <c r="B99" s="235" t="s">
        <v>186</v>
      </c>
      <c r="C99" s="236">
        <v>0</v>
      </c>
      <c r="D99" s="236">
        <v>0.25</v>
      </c>
      <c r="E99" s="236">
        <v>0</v>
      </c>
      <c r="F99" s="236">
        <v>0.25</v>
      </c>
      <c r="G99" s="237">
        <v>0</v>
      </c>
      <c r="H99" s="238">
        <f>SUM(C99:G99)</f>
        <v>0.5</v>
      </c>
      <c r="I99" s="239"/>
      <c r="J99" s="239"/>
      <c r="K99" s="239"/>
      <c r="L99" s="240">
        <f>((C99*$C$9)+(D99*$D$9)+(E99*$E$9)+(F99*$F$9))</f>
        <v>26.696000000000002</v>
      </c>
      <c r="M99" s="240">
        <v>0</v>
      </c>
      <c r="N99" s="241">
        <v>1</v>
      </c>
      <c r="O99" s="476">
        <f>O98</f>
        <v>21.333333443333334</v>
      </c>
      <c r="P99" s="242">
        <f>(C99+D99+E99+F99)*O99</f>
        <v>10.666666721666667</v>
      </c>
      <c r="Q99" s="72">
        <f>(M99+N99)*O99</f>
        <v>21.333333443333334</v>
      </c>
      <c r="R99" s="243">
        <f>(L99+M99+N99)*O99</f>
        <v>590.84800304656005</v>
      </c>
      <c r="S99" s="113" t="s">
        <v>259</v>
      </c>
      <c r="T99" s="536">
        <f t="shared" si="42"/>
        <v>21.333333443333334</v>
      </c>
      <c r="U99" s="537">
        <f t="shared" si="42"/>
        <v>10.666666721666667</v>
      </c>
      <c r="V99" s="521">
        <f t="shared" si="42"/>
        <v>21.333333443333334</v>
      </c>
      <c r="W99" s="537" t="str">
        <f t="shared" si="43"/>
        <v/>
      </c>
      <c r="X99" s="537" t="str">
        <f t="shared" si="43"/>
        <v/>
      </c>
      <c r="Y99" s="521" t="str">
        <f t="shared" si="43"/>
        <v/>
      </c>
    </row>
    <row r="100" spans="1:25" s="29" customFormat="1" ht="12.75" thickTop="1" thickBot="1">
      <c r="A100" s="145" t="s">
        <v>22</v>
      </c>
      <c r="B100" s="146"/>
      <c r="C100" s="147">
        <f t="shared" ref="C100:H100" si="44">(C98+C99)</f>
        <v>0</v>
      </c>
      <c r="D100" s="147">
        <f t="shared" si="44"/>
        <v>0.75</v>
      </c>
      <c r="E100" s="147">
        <f t="shared" si="44"/>
        <v>2</v>
      </c>
      <c r="F100" s="147">
        <f t="shared" si="44"/>
        <v>0.25</v>
      </c>
      <c r="G100" s="147">
        <f t="shared" si="44"/>
        <v>0</v>
      </c>
      <c r="H100" s="147">
        <f t="shared" si="44"/>
        <v>3</v>
      </c>
      <c r="I100" s="148"/>
      <c r="J100" s="148"/>
      <c r="K100" s="148"/>
      <c r="L100" s="149">
        <f>(L98+L99)</f>
        <v>174.77600000000001</v>
      </c>
      <c r="M100" s="149">
        <f>(M98+M99)</f>
        <v>0</v>
      </c>
      <c r="N100" s="150">
        <f>(N98+N99)</f>
        <v>1</v>
      </c>
      <c r="O100" s="475"/>
      <c r="P100" s="147">
        <f t="shared" ref="P100:Y100" si="45">(P98+P99)</f>
        <v>64.000000330000006</v>
      </c>
      <c r="Q100" s="153">
        <f t="shared" si="45"/>
        <v>21.333333443333334</v>
      </c>
      <c r="R100" s="153">
        <f t="shared" si="45"/>
        <v>3749.8880193353607</v>
      </c>
      <c r="S100" s="153">
        <f t="shared" si="45"/>
        <v>0</v>
      </c>
      <c r="T100" s="543">
        <f t="shared" si="45"/>
        <v>21.333333443333334</v>
      </c>
      <c r="U100" s="543">
        <f t="shared" si="45"/>
        <v>10.666666721666667</v>
      </c>
      <c r="V100" s="153">
        <f t="shared" si="45"/>
        <v>21.333333443333334</v>
      </c>
      <c r="W100" s="543">
        <f t="shared" si="45"/>
        <v>21.333333443333334</v>
      </c>
      <c r="X100" s="543">
        <f t="shared" si="45"/>
        <v>53.333333608333334</v>
      </c>
      <c r="Y100" s="153">
        <f t="shared" si="45"/>
        <v>0</v>
      </c>
    </row>
    <row r="101" spans="1:25" s="29" customFormat="1" ht="12" thickTop="1">
      <c r="A101" s="201" t="s">
        <v>196</v>
      </c>
      <c r="B101" s="202"/>
      <c r="C101" s="203"/>
      <c r="D101" s="203"/>
      <c r="E101" s="203"/>
      <c r="F101" s="203"/>
      <c r="G101" s="203"/>
      <c r="H101" s="203"/>
      <c r="I101" s="204"/>
      <c r="J101" s="204"/>
      <c r="K101" s="204"/>
      <c r="L101" s="205"/>
      <c r="M101" s="205"/>
      <c r="N101" s="206"/>
      <c r="O101" s="477"/>
      <c r="P101" s="208"/>
      <c r="Q101" s="208"/>
      <c r="R101" s="209"/>
      <c r="S101" s="11"/>
      <c r="T101" s="455"/>
      <c r="U101" s="533"/>
      <c r="W101" s="455"/>
      <c r="X101" s="455"/>
    </row>
    <row r="102" spans="1:25" s="172" customFormat="1">
      <c r="A102" s="215"/>
      <c r="B102" s="211" t="s">
        <v>197</v>
      </c>
      <c r="C102" s="212">
        <v>0</v>
      </c>
      <c r="D102" s="212">
        <v>0.25</v>
      </c>
      <c r="E102" s="212">
        <v>15</v>
      </c>
      <c r="F102" s="212">
        <v>0</v>
      </c>
      <c r="G102" s="212">
        <v>0</v>
      </c>
      <c r="H102" s="212">
        <f>SUM(C102:G102)</f>
        <v>15.25</v>
      </c>
      <c r="I102" s="213"/>
      <c r="J102" s="213"/>
      <c r="K102" s="213"/>
      <c r="L102" s="214">
        <f>((C102*$C$9)+(D102*$D$9)+(E102*$E$9)+(F102*$F$9))</f>
        <v>843.2560000000002</v>
      </c>
      <c r="M102" s="214">
        <v>0</v>
      </c>
      <c r="N102" s="185">
        <v>0</v>
      </c>
      <c r="O102" s="473">
        <f>O9</f>
        <v>42.666666886666668</v>
      </c>
      <c r="P102" s="75">
        <f>(C102+D102+E102+F102)*O102</f>
        <v>650.66667002166673</v>
      </c>
      <c r="Q102" s="72">
        <f>(M102+N102)*O102</f>
        <v>0</v>
      </c>
      <c r="R102" s="72">
        <f>(L102+M102+N102)*O102</f>
        <v>35978.922852182994</v>
      </c>
      <c r="S102" s="171" t="s">
        <v>254</v>
      </c>
      <c r="T102" s="536" t="str">
        <f t="shared" ref="T102:V103" si="46">IF($S102="RP",O102,"")</f>
        <v/>
      </c>
      <c r="U102" s="537" t="str">
        <f t="shared" si="46"/>
        <v/>
      </c>
      <c r="V102" s="521" t="str">
        <f t="shared" si="46"/>
        <v/>
      </c>
      <c r="W102" s="537">
        <f t="shared" ref="W102:Y103" si="47">IF($S102="RK",O102,"")</f>
        <v>42.666666886666668</v>
      </c>
      <c r="X102" s="537">
        <f t="shared" si="47"/>
        <v>650.66667002166673</v>
      </c>
      <c r="Y102" s="521">
        <f t="shared" si="47"/>
        <v>0</v>
      </c>
    </row>
    <row r="103" spans="1:25" s="172" customFormat="1" ht="12" thickBot="1">
      <c r="A103" s="215"/>
      <c r="B103" s="211" t="s">
        <v>97</v>
      </c>
      <c r="C103" s="230">
        <v>0</v>
      </c>
      <c r="D103" s="230">
        <v>0.25</v>
      </c>
      <c r="E103" s="230">
        <v>0</v>
      </c>
      <c r="F103" s="230">
        <v>0.25</v>
      </c>
      <c r="G103" s="230">
        <v>0</v>
      </c>
      <c r="H103" s="230">
        <f>SUM(C103:G103)</f>
        <v>0.5</v>
      </c>
      <c r="I103" s="231"/>
      <c r="J103" s="231"/>
      <c r="K103" s="231"/>
      <c r="L103" s="232">
        <f>((C103*$C$9)+(D103*$D$9)+(E103*$E$9)+(F103*$F$9))</f>
        <v>26.696000000000002</v>
      </c>
      <c r="M103" s="232">
        <v>0</v>
      </c>
      <c r="N103" s="129">
        <v>20</v>
      </c>
      <c r="O103" s="474">
        <f>O9</f>
        <v>42.666666886666668</v>
      </c>
      <c r="P103" s="233">
        <f>(C103+D103+E103+F103)*O103</f>
        <v>21.333333443333334</v>
      </c>
      <c r="Q103" s="72">
        <f>(M103+N103)*O103</f>
        <v>853.33333773333334</v>
      </c>
      <c r="R103" s="112">
        <f>(L103+M103+N103)*O103</f>
        <v>1992.3626769397868</v>
      </c>
      <c r="S103" s="171" t="s">
        <v>259</v>
      </c>
      <c r="T103" s="536">
        <f t="shared" si="46"/>
        <v>42.666666886666668</v>
      </c>
      <c r="U103" s="537">
        <f t="shared" si="46"/>
        <v>21.333333443333334</v>
      </c>
      <c r="V103" s="521">
        <f t="shared" si="46"/>
        <v>853.33333773333334</v>
      </c>
      <c r="W103" s="537" t="str">
        <f t="shared" si="47"/>
        <v/>
      </c>
      <c r="X103" s="537" t="str">
        <f t="shared" si="47"/>
        <v/>
      </c>
      <c r="Y103" s="521" t="str">
        <f t="shared" si="47"/>
        <v/>
      </c>
    </row>
    <row r="104" spans="1:25" s="29" customFormat="1" ht="12.75" thickTop="1" thickBot="1">
      <c r="A104" s="145" t="s">
        <v>22</v>
      </c>
      <c r="B104" s="146"/>
      <c r="C104" s="147">
        <f t="shared" ref="C104:H104" si="48">(C103+C102)</f>
        <v>0</v>
      </c>
      <c r="D104" s="147">
        <f t="shared" si="48"/>
        <v>0.5</v>
      </c>
      <c r="E104" s="147">
        <f t="shared" si="48"/>
        <v>15</v>
      </c>
      <c r="F104" s="147">
        <f t="shared" si="48"/>
        <v>0.25</v>
      </c>
      <c r="G104" s="147">
        <f t="shared" si="48"/>
        <v>0</v>
      </c>
      <c r="H104" s="147">
        <f t="shared" si="48"/>
        <v>15.75</v>
      </c>
      <c r="I104" s="148"/>
      <c r="J104" s="148"/>
      <c r="K104" s="148"/>
      <c r="L104" s="149">
        <f>(L103+L102)</f>
        <v>869.95200000000023</v>
      </c>
      <c r="M104" s="149">
        <f>(M103+M102)</f>
        <v>0</v>
      </c>
      <c r="N104" s="150">
        <f>(N103+N102)</f>
        <v>20</v>
      </c>
      <c r="O104" s="220"/>
      <c r="P104" s="147">
        <f t="shared" ref="P104:Y104" si="49">(P103+P102)</f>
        <v>672.00000346500008</v>
      </c>
      <c r="Q104" s="153">
        <f t="shared" si="49"/>
        <v>853.33333773333334</v>
      </c>
      <c r="R104" s="153">
        <f t="shared" si="49"/>
        <v>37971.285529122782</v>
      </c>
      <c r="S104" s="153">
        <f t="shared" si="49"/>
        <v>0</v>
      </c>
      <c r="T104" s="543">
        <f t="shared" si="49"/>
        <v>42.666666886666668</v>
      </c>
      <c r="U104" s="543">
        <f t="shared" si="49"/>
        <v>21.333333443333334</v>
      </c>
      <c r="V104" s="153">
        <f t="shared" si="49"/>
        <v>853.33333773333334</v>
      </c>
      <c r="W104" s="543">
        <f t="shared" si="49"/>
        <v>42.666666886666668</v>
      </c>
      <c r="X104" s="543">
        <f t="shared" si="49"/>
        <v>650.66667002166673</v>
      </c>
      <c r="Y104" s="153">
        <f t="shared" si="49"/>
        <v>0</v>
      </c>
    </row>
    <row r="105" spans="1:25" s="29" customFormat="1" ht="12" thickTop="1">
      <c r="A105" s="201" t="s">
        <v>237</v>
      </c>
      <c r="B105" s="202"/>
      <c r="C105" s="203"/>
      <c r="D105" s="203"/>
      <c r="E105" s="203"/>
      <c r="F105" s="203"/>
      <c r="G105" s="203"/>
      <c r="H105" s="203"/>
      <c r="I105" s="204"/>
      <c r="J105" s="204"/>
      <c r="K105" s="204"/>
      <c r="L105" s="205"/>
      <c r="M105" s="205"/>
      <c r="N105" s="206"/>
      <c r="O105" s="207"/>
      <c r="P105" s="208"/>
      <c r="Q105" s="208"/>
      <c r="R105" s="209"/>
      <c r="S105" s="11"/>
      <c r="T105" s="455"/>
      <c r="U105" s="533"/>
      <c r="W105" s="455"/>
      <c r="X105" s="455"/>
    </row>
    <row r="106" spans="1:25" s="172" customFormat="1">
      <c r="A106" s="215"/>
      <c r="B106" s="211" t="s">
        <v>238</v>
      </c>
      <c r="C106" s="212">
        <v>0</v>
      </c>
      <c r="D106" s="212">
        <v>0.25</v>
      </c>
      <c r="E106" s="212">
        <v>8</v>
      </c>
      <c r="F106" s="212">
        <v>0</v>
      </c>
      <c r="G106" s="212">
        <v>0</v>
      </c>
      <c r="H106" s="212">
        <f>SUM(C106:G106)</f>
        <v>8.25</v>
      </c>
      <c r="I106" s="213"/>
      <c r="J106" s="213"/>
      <c r="K106" s="213"/>
      <c r="L106" s="214">
        <f>((C106*$C$9)+(D106*$D$9)+(E106*$E$9)+(F106*$F$9))</f>
        <v>458.64800000000008</v>
      </c>
      <c r="M106" s="214">
        <v>0</v>
      </c>
      <c r="N106" s="185">
        <v>0</v>
      </c>
      <c r="O106" s="473">
        <f>14/3*2</f>
        <v>9.3333333333333339</v>
      </c>
      <c r="P106" s="75">
        <f>(C106+D106+E106+F106)*O106</f>
        <v>77</v>
      </c>
      <c r="Q106" s="72">
        <f>(M106+N106)*O106</f>
        <v>0</v>
      </c>
      <c r="R106" s="72">
        <f>(L106+M106+N106)*O106</f>
        <v>4280.7146666666677</v>
      </c>
      <c r="S106" s="171" t="s">
        <v>254</v>
      </c>
      <c r="T106" s="536" t="str">
        <f t="shared" ref="T106:V107" si="50">IF($S106="RP",O106,"")</f>
        <v/>
      </c>
      <c r="U106" s="537" t="str">
        <f t="shared" si="50"/>
        <v/>
      </c>
      <c r="V106" s="521" t="str">
        <f t="shared" si="50"/>
        <v/>
      </c>
      <c r="W106" s="537">
        <f t="shared" ref="W106:Y107" si="51">IF($S106="RK",O106,"")</f>
        <v>9.3333333333333339</v>
      </c>
      <c r="X106" s="537">
        <f t="shared" si="51"/>
        <v>77</v>
      </c>
      <c r="Y106" s="521">
        <f t="shared" si="51"/>
        <v>0</v>
      </c>
    </row>
    <row r="107" spans="1:25" s="172" customFormat="1" ht="12" thickBot="1">
      <c r="A107" s="215"/>
      <c r="B107" s="211" t="s">
        <v>97</v>
      </c>
      <c r="C107" s="230">
        <v>0</v>
      </c>
      <c r="D107" s="230">
        <v>0.25</v>
      </c>
      <c r="E107" s="230">
        <v>0</v>
      </c>
      <c r="F107" s="230">
        <v>0.25</v>
      </c>
      <c r="G107" s="230">
        <v>0</v>
      </c>
      <c r="H107" s="230">
        <f>SUM(C107:G107)</f>
        <v>0.5</v>
      </c>
      <c r="I107" s="231"/>
      <c r="J107" s="231"/>
      <c r="K107" s="231"/>
      <c r="L107" s="232">
        <f>((C107*$C$9)+(D107*$D$9)+(E107*$E$9)+(F107*$F$9))</f>
        <v>26.696000000000002</v>
      </c>
      <c r="M107" s="232">
        <v>0</v>
      </c>
      <c r="N107" s="129">
        <v>20</v>
      </c>
      <c r="O107" s="473">
        <f>14/3*2</f>
        <v>9.3333333333333339</v>
      </c>
      <c r="P107" s="233">
        <f>(C107+D107+E107+F107)*O107</f>
        <v>4.666666666666667</v>
      </c>
      <c r="Q107" s="72">
        <f>(M107+N107)*O107</f>
        <v>186.66666666666669</v>
      </c>
      <c r="R107" s="112">
        <f>(L107+M107+N107)*O107</f>
        <v>435.82933333333335</v>
      </c>
      <c r="S107" s="171" t="s">
        <v>259</v>
      </c>
      <c r="T107" s="536">
        <f t="shared" si="50"/>
        <v>9.3333333333333339</v>
      </c>
      <c r="U107" s="537">
        <f t="shared" si="50"/>
        <v>4.666666666666667</v>
      </c>
      <c r="V107" s="521">
        <f t="shared" si="50"/>
        <v>186.66666666666669</v>
      </c>
      <c r="W107" s="537" t="str">
        <f t="shared" si="51"/>
        <v/>
      </c>
      <c r="X107" s="537" t="str">
        <f t="shared" si="51"/>
        <v/>
      </c>
      <c r="Y107" s="521" t="str">
        <f t="shared" si="51"/>
        <v/>
      </c>
    </row>
    <row r="108" spans="1:25" s="29" customFormat="1" ht="12.75" thickTop="1" thickBot="1">
      <c r="A108" s="145" t="s">
        <v>22</v>
      </c>
      <c r="B108" s="146"/>
      <c r="C108" s="147">
        <f t="shared" ref="C108:H108" si="52">(C107+C106)</f>
        <v>0</v>
      </c>
      <c r="D108" s="147">
        <f t="shared" si="52"/>
        <v>0.5</v>
      </c>
      <c r="E108" s="147">
        <f t="shared" si="52"/>
        <v>8</v>
      </c>
      <c r="F108" s="147">
        <f t="shared" si="52"/>
        <v>0.25</v>
      </c>
      <c r="G108" s="147">
        <f t="shared" si="52"/>
        <v>0</v>
      </c>
      <c r="H108" s="147">
        <f t="shared" si="52"/>
        <v>8.75</v>
      </c>
      <c r="I108" s="148"/>
      <c r="J108" s="148"/>
      <c r="K108" s="148"/>
      <c r="L108" s="149">
        <f>(L107+L106)</f>
        <v>485.34400000000011</v>
      </c>
      <c r="M108" s="149">
        <f>(M107+M106)</f>
        <v>0</v>
      </c>
      <c r="N108" s="150">
        <f>(N107+N106)</f>
        <v>20</v>
      </c>
      <c r="O108" s="220"/>
      <c r="P108" s="147">
        <f t="shared" ref="P108:Y108" si="53">(P107+P106)</f>
        <v>81.666666666666671</v>
      </c>
      <c r="Q108" s="153">
        <f t="shared" si="53"/>
        <v>186.66666666666669</v>
      </c>
      <c r="R108" s="153">
        <f t="shared" si="53"/>
        <v>4716.5440000000008</v>
      </c>
      <c r="S108" s="153">
        <f t="shared" si="53"/>
        <v>0</v>
      </c>
      <c r="T108" s="543">
        <f t="shared" si="53"/>
        <v>9.3333333333333339</v>
      </c>
      <c r="U108" s="543">
        <f t="shared" si="53"/>
        <v>4.666666666666667</v>
      </c>
      <c r="V108" s="153">
        <f t="shared" si="53"/>
        <v>186.66666666666669</v>
      </c>
      <c r="W108" s="543">
        <f t="shared" si="53"/>
        <v>9.3333333333333339</v>
      </c>
      <c r="X108" s="543">
        <f t="shared" si="53"/>
        <v>77</v>
      </c>
      <c r="Y108" s="153">
        <f t="shared" si="53"/>
        <v>0</v>
      </c>
    </row>
    <row r="109" spans="1:25" s="29" customFormat="1" ht="12.75" thickTop="1" thickBot="1">
      <c r="A109" s="145"/>
      <c r="B109" s="146"/>
      <c r="C109" s="101"/>
      <c r="D109" s="101"/>
      <c r="E109" s="101"/>
      <c r="F109" s="101"/>
      <c r="G109" s="101"/>
      <c r="H109" s="101"/>
      <c r="I109" s="102"/>
      <c r="J109" s="102"/>
      <c r="K109" s="102"/>
      <c r="L109" s="103"/>
      <c r="M109" s="103"/>
      <c r="N109" s="81"/>
      <c r="O109" s="244"/>
      <c r="P109" s="101"/>
      <c r="Q109" s="101"/>
      <c r="R109" s="80"/>
      <c r="S109" s="80"/>
      <c r="T109" s="79"/>
      <c r="U109" s="79"/>
      <c r="V109" s="80"/>
      <c r="W109" s="79"/>
      <c r="X109" s="79"/>
      <c r="Y109" s="80"/>
    </row>
    <row r="110" spans="1:25" s="29" customFormat="1" ht="12.75" thickTop="1" thickBot="1">
      <c r="A110" s="245" t="s">
        <v>204</v>
      </c>
      <c r="B110" s="246"/>
      <c r="C110" s="247"/>
      <c r="D110" s="247"/>
      <c r="E110" s="247"/>
      <c r="F110" s="247"/>
      <c r="G110" s="247"/>
      <c r="H110" s="147">
        <f>SUM(H108,H104,H100,H95,H91,H87,H83,H78,H74,H69,H65,H61,H30)</f>
        <v>110.7</v>
      </c>
      <c r="I110" s="148"/>
      <c r="J110" s="148"/>
      <c r="K110" s="148"/>
      <c r="L110" s="149">
        <f>SUM(L108,L104,L100,L95,L91,L87,L83,L78,L74,L69,L65,L61,L30)</f>
        <v>6293.2000000000016</v>
      </c>
      <c r="M110" s="149">
        <f>SUM(M108,M104,M100,M95,M91,M87,M83,M78,M74,M69,M65,M61,M30)</f>
        <v>0</v>
      </c>
      <c r="N110" s="150">
        <f>SUM(N108,N104,N100,N95,N91,N87,N83,N78,N74,N69,N65,N61,N30)</f>
        <v>54</v>
      </c>
      <c r="O110" s="151"/>
      <c r="P110" s="559">
        <f t="shared" ref="P110:Y110" si="54">SUM(P108,P104,P100,P95,P91,P87,P83,P78,P74,P69,P65,P61,P30)</f>
        <v>2151.1233431475339</v>
      </c>
      <c r="Q110" s="153">
        <f t="shared" si="54"/>
        <v>1270.2000054780001</v>
      </c>
      <c r="R110" s="153">
        <f t="shared" si="54"/>
        <v>124223.61070203494</v>
      </c>
      <c r="S110" s="153">
        <f t="shared" si="54"/>
        <v>0</v>
      </c>
      <c r="T110" s="543">
        <f t="shared" si="54"/>
        <v>209.66666759066666</v>
      </c>
      <c r="U110" s="559">
        <f t="shared" si="54"/>
        <v>104.83333379533333</v>
      </c>
      <c r="V110" s="153">
        <f t="shared" si="54"/>
        <v>1227.5333385913334</v>
      </c>
      <c r="W110" s="543">
        <f t="shared" si="54"/>
        <v>256.60000116599997</v>
      </c>
      <c r="X110" s="559">
        <f t="shared" si="54"/>
        <v>2046.2900093522003</v>
      </c>
      <c r="Y110" s="153">
        <f t="shared" si="54"/>
        <v>42.666666886666668</v>
      </c>
    </row>
    <row r="111" spans="1:25" s="29" customFormat="1" ht="12" thickTop="1">
      <c r="A111" s="87"/>
      <c r="B111" s="248"/>
      <c r="C111" s="249"/>
      <c r="D111" s="249"/>
      <c r="E111" s="249"/>
      <c r="F111" s="249"/>
      <c r="G111" s="249"/>
      <c r="H111" s="106"/>
      <c r="I111" s="107"/>
      <c r="J111" s="107"/>
      <c r="K111" s="107"/>
      <c r="L111" s="108"/>
      <c r="M111" s="108"/>
      <c r="N111" s="91"/>
      <c r="O111" s="250"/>
      <c r="P111" s="106"/>
      <c r="Q111" s="106"/>
      <c r="R111" s="91"/>
      <c r="S111" s="11"/>
      <c r="T111" s="455"/>
      <c r="U111" s="533"/>
      <c r="W111" s="455"/>
      <c r="X111" s="455"/>
    </row>
    <row r="112" spans="1:25" s="29" customFormat="1" ht="12" thickBot="1">
      <c r="A112" s="94"/>
      <c r="B112" s="248"/>
      <c r="C112" s="249"/>
      <c r="D112" s="249"/>
      <c r="E112" s="249"/>
      <c r="F112" s="249"/>
      <c r="G112" s="249"/>
      <c r="H112" s="106"/>
      <c r="I112" s="107"/>
      <c r="J112" s="107"/>
      <c r="K112" s="107"/>
      <c r="L112" s="108"/>
      <c r="M112" s="108"/>
      <c r="N112" s="98"/>
      <c r="O112" s="250"/>
      <c r="P112" s="106"/>
      <c r="Q112" s="106"/>
      <c r="R112" s="98"/>
      <c r="S112" s="11"/>
      <c r="T112" s="455"/>
      <c r="U112" s="533"/>
      <c r="W112" s="455"/>
      <c r="X112" s="455"/>
    </row>
    <row r="113" spans="1:25" s="114" customFormat="1" ht="12.75" thickTop="1" thickBot="1">
      <c r="A113" s="59" t="s">
        <v>198</v>
      </c>
      <c r="B113" s="60"/>
      <c r="C113" s="61"/>
      <c r="D113" s="61"/>
      <c r="E113" s="61"/>
      <c r="F113" s="61"/>
      <c r="G113" s="61"/>
      <c r="H113" s="61"/>
      <c r="I113" s="62"/>
      <c r="J113" s="62"/>
      <c r="K113" s="62"/>
      <c r="L113" s="63"/>
      <c r="M113" s="63"/>
      <c r="N113" s="64"/>
      <c r="O113" s="65"/>
      <c r="P113" s="66"/>
      <c r="Q113" s="66"/>
      <c r="R113" s="67"/>
      <c r="S113" s="67"/>
      <c r="T113" s="546"/>
      <c r="U113" s="546"/>
      <c r="V113" s="67"/>
      <c r="W113" s="546"/>
      <c r="X113" s="546"/>
      <c r="Y113" s="67"/>
    </row>
    <row r="114" spans="1:25" s="29" customFormat="1" ht="12" thickTop="1">
      <c r="A114" s="68" t="s">
        <v>62</v>
      </c>
      <c r="B114" s="48"/>
      <c r="C114" s="49"/>
      <c r="D114" s="49"/>
      <c r="E114" s="49"/>
      <c r="F114" s="49"/>
      <c r="G114" s="49"/>
      <c r="H114" s="49"/>
      <c r="I114" s="50"/>
      <c r="J114" s="50"/>
      <c r="K114" s="50"/>
      <c r="L114" s="51"/>
      <c r="M114" s="51"/>
      <c r="N114" s="251"/>
      <c r="O114" s="52"/>
      <c r="P114" s="53"/>
      <c r="Q114" s="53"/>
      <c r="R114" s="252"/>
      <c r="S114" s="252"/>
      <c r="T114" s="547"/>
      <c r="U114" s="547"/>
      <c r="V114" s="252"/>
      <c r="W114" s="547"/>
      <c r="X114" s="547"/>
      <c r="Y114" s="252"/>
    </row>
    <row r="115" spans="1:25" s="29" customFormat="1">
      <c r="A115" s="253"/>
      <c r="B115" s="254" t="s">
        <v>63</v>
      </c>
      <c r="C115" s="255"/>
      <c r="D115" s="255"/>
      <c r="E115" s="255"/>
      <c r="F115" s="255"/>
      <c r="G115" s="255"/>
      <c r="H115" s="255"/>
      <c r="I115" s="256"/>
      <c r="J115" s="256"/>
      <c r="K115" s="256"/>
      <c r="L115" s="257"/>
      <c r="M115" s="257"/>
      <c r="N115" s="258"/>
      <c r="O115" s="259"/>
      <c r="P115" s="260"/>
      <c r="Q115" s="260"/>
      <c r="R115" s="257"/>
      <c r="S115" s="11"/>
      <c r="T115" s="455"/>
      <c r="U115" s="533"/>
      <c r="W115" s="455"/>
      <c r="X115" s="455"/>
    </row>
    <row r="116" spans="1:25" s="29" customFormat="1">
      <c r="A116" s="68"/>
      <c r="B116" s="69" t="s">
        <v>64</v>
      </c>
      <c r="C116" s="70">
        <v>0</v>
      </c>
      <c r="D116" s="70">
        <v>2</v>
      </c>
      <c r="E116" s="70">
        <v>20</v>
      </c>
      <c r="F116" s="70">
        <v>0</v>
      </c>
      <c r="G116" s="70">
        <v>0</v>
      </c>
      <c r="H116" s="70">
        <f>SUM(C116:G116)</f>
        <v>22</v>
      </c>
      <c r="I116" s="71"/>
      <c r="J116" s="71"/>
      <c r="K116" s="71"/>
      <c r="L116" s="72">
        <f>((C116*$C$9)+(D116*$D$9)+(E116*$E$9)+(F116*$F$9))</f>
        <v>1251.6480000000001</v>
      </c>
      <c r="M116" s="72">
        <v>0</v>
      </c>
      <c r="N116" s="73">
        <v>0</v>
      </c>
      <c r="O116" s="74">
        <f>0.1*O9</f>
        <v>4.2666666886666667</v>
      </c>
      <c r="P116" s="75">
        <f>(C116+D116+E116+F116)*O116</f>
        <v>93.866667150666672</v>
      </c>
      <c r="Q116" s="72">
        <f>(M116+N116)*O116</f>
        <v>0</v>
      </c>
      <c r="R116" s="72">
        <f>(L116+M116+N116)*O116</f>
        <v>5340.3648275362566</v>
      </c>
      <c r="S116" s="171" t="s">
        <v>254</v>
      </c>
      <c r="T116" s="536" t="str">
        <f t="shared" ref="T116:V117" si="55">IF($S116="RP",O116,"")</f>
        <v/>
      </c>
      <c r="U116" s="537" t="str">
        <f t="shared" si="55"/>
        <v/>
      </c>
      <c r="V116" s="521" t="str">
        <f t="shared" si="55"/>
        <v/>
      </c>
      <c r="W116" s="537">
        <f t="shared" ref="W116:Y117" si="56">IF($S116="RK",O116,"")</f>
        <v>4.2666666886666667</v>
      </c>
      <c r="X116" s="537">
        <f t="shared" si="56"/>
        <v>93.866667150666672</v>
      </c>
      <c r="Y116" s="521">
        <f t="shared" si="56"/>
        <v>0</v>
      </c>
    </row>
    <row r="117" spans="1:25" s="29" customFormat="1" ht="12" thickBot="1">
      <c r="A117" s="261"/>
      <c r="B117" s="69" t="s">
        <v>65</v>
      </c>
      <c r="C117" s="70">
        <v>0</v>
      </c>
      <c r="D117" s="70">
        <v>0.25</v>
      </c>
      <c r="E117" s="70">
        <v>0</v>
      </c>
      <c r="F117" s="70">
        <v>0.25</v>
      </c>
      <c r="G117" s="70">
        <v>0</v>
      </c>
      <c r="H117" s="70">
        <f>SUM(C117:G117)</f>
        <v>0.5</v>
      </c>
      <c r="I117" s="71"/>
      <c r="J117" s="71"/>
      <c r="K117" s="71"/>
      <c r="L117" s="72">
        <f>((C117*$C$9)+(D117*$D$9)+(E117*$E$9)+(F117*$F$9))</f>
        <v>26.696000000000002</v>
      </c>
      <c r="M117" s="72">
        <v>0</v>
      </c>
      <c r="N117" s="73">
        <v>1</v>
      </c>
      <c r="O117" s="74">
        <f>0.1*O9</f>
        <v>4.2666666886666667</v>
      </c>
      <c r="P117" s="75">
        <f>(C117+D117+E117+F117)*O117</f>
        <v>2.1333333443333333</v>
      </c>
      <c r="Q117" s="72">
        <f>(M117+N117)*O117</f>
        <v>4.2666666886666667</v>
      </c>
      <c r="R117" s="72">
        <f>(L117+M117+N117)*O117</f>
        <v>118.169600609312</v>
      </c>
      <c r="S117" s="171" t="s">
        <v>259</v>
      </c>
      <c r="T117" s="536">
        <f t="shared" si="55"/>
        <v>4.2666666886666667</v>
      </c>
      <c r="U117" s="537">
        <f t="shared" si="55"/>
        <v>2.1333333443333333</v>
      </c>
      <c r="V117" s="521">
        <f t="shared" si="55"/>
        <v>4.2666666886666667</v>
      </c>
      <c r="W117" s="537" t="str">
        <f t="shared" si="56"/>
        <v/>
      </c>
      <c r="X117" s="537" t="str">
        <f t="shared" si="56"/>
        <v/>
      </c>
      <c r="Y117" s="521" t="str">
        <f t="shared" si="56"/>
        <v/>
      </c>
    </row>
    <row r="118" spans="1:25" s="29" customFormat="1" ht="12.75" thickTop="1" thickBot="1">
      <c r="A118" s="262" t="s">
        <v>22</v>
      </c>
      <c r="B118" s="77"/>
      <c r="C118" s="78">
        <f t="shared" ref="C118:N118" si="57">SUM(C116:C117)</f>
        <v>0</v>
      </c>
      <c r="D118" s="78">
        <f t="shared" si="57"/>
        <v>2.25</v>
      </c>
      <c r="E118" s="78">
        <f t="shared" si="57"/>
        <v>20</v>
      </c>
      <c r="F118" s="78">
        <f t="shared" si="57"/>
        <v>0.25</v>
      </c>
      <c r="G118" s="78">
        <f t="shared" si="57"/>
        <v>0</v>
      </c>
      <c r="H118" s="78">
        <f t="shared" si="57"/>
        <v>22.5</v>
      </c>
      <c r="I118" s="79">
        <f t="shared" si="57"/>
        <v>0</v>
      </c>
      <c r="J118" s="79">
        <f t="shared" si="57"/>
        <v>0</v>
      </c>
      <c r="K118" s="79">
        <f t="shared" si="57"/>
        <v>0</v>
      </c>
      <c r="L118" s="80">
        <f t="shared" si="57"/>
        <v>1278.3440000000001</v>
      </c>
      <c r="M118" s="80">
        <f t="shared" si="57"/>
        <v>0</v>
      </c>
      <c r="N118" s="81">
        <f t="shared" si="57"/>
        <v>1</v>
      </c>
      <c r="O118" s="263"/>
      <c r="P118" s="264">
        <f>SUM(P116:P117)</f>
        <v>96.000000495000009</v>
      </c>
      <c r="Q118" s="80">
        <f>SUM(Q116:Q117)</f>
        <v>4.2666666886666667</v>
      </c>
      <c r="R118" s="80">
        <f>SUM(R116:R117)</f>
        <v>5458.5344281455682</v>
      </c>
      <c r="S118" s="80"/>
      <c r="T118" s="79">
        <f t="shared" ref="T118:Y118" si="58">SUM(T116:T117)</f>
        <v>4.2666666886666667</v>
      </c>
      <c r="U118" s="79">
        <f t="shared" si="58"/>
        <v>2.1333333443333333</v>
      </c>
      <c r="V118" s="80">
        <f t="shared" si="58"/>
        <v>4.2666666886666667</v>
      </c>
      <c r="W118" s="79">
        <f t="shared" si="58"/>
        <v>4.2666666886666667</v>
      </c>
      <c r="X118" s="79">
        <f t="shared" si="58"/>
        <v>93.866667150666672</v>
      </c>
      <c r="Y118" s="80">
        <f t="shared" si="58"/>
        <v>0</v>
      </c>
    </row>
    <row r="119" spans="1:25" s="29" customFormat="1" ht="12" thickTop="1">
      <c r="A119" s="68" t="s">
        <v>66</v>
      </c>
      <c r="B119" s="48"/>
      <c r="C119" s="265"/>
      <c r="D119" s="265"/>
      <c r="E119" s="265"/>
      <c r="F119" s="265"/>
      <c r="G119" s="265"/>
      <c r="H119" s="265"/>
      <c r="I119" s="266"/>
      <c r="J119" s="266"/>
      <c r="K119" s="266"/>
      <c r="L119" s="267"/>
      <c r="M119" s="267"/>
      <c r="N119" s="73"/>
      <c r="O119" s="268"/>
      <c r="P119" s="269"/>
      <c r="Q119" s="269"/>
      <c r="R119" s="72"/>
      <c r="S119" s="11"/>
      <c r="T119" s="455"/>
      <c r="U119" s="533"/>
      <c r="W119" s="455"/>
      <c r="X119" s="455"/>
    </row>
    <row r="120" spans="1:25" s="29" customFormat="1">
      <c r="A120" s="105"/>
      <c r="B120" s="270" t="s">
        <v>67</v>
      </c>
      <c r="C120" s="106"/>
      <c r="D120" s="236"/>
      <c r="E120" s="236"/>
      <c r="F120" s="236"/>
      <c r="G120" s="236"/>
      <c r="H120" s="236"/>
      <c r="I120" s="271"/>
      <c r="J120" s="271"/>
      <c r="K120" s="271"/>
      <c r="L120" s="272"/>
      <c r="M120" s="272"/>
      <c r="N120" s="109"/>
      <c r="O120" s="110"/>
      <c r="P120" s="273"/>
      <c r="Q120" s="233"/>
      <c r="R120" s="112"/>
      <c r="S120" s="11"/>
      <c r="T120" s="455"/>
      <c r="U120" s="533"/>
      <c r="W120" s="455"/>
      <c r="X120" s="455"/>
    </row>
    <row r="121" spans="1:25" s="29" customFormat="1">
      <c r="A121" s="68"/>
      <c r="B121" s="69" t="s">
        <v>68</v>
      </c>
      <c r="C121" s="70">
        <v>0</v>
      </c>
      <c r="D121" s="70">
        <v>0.25</v>
      </c>
      <c r="E121" s="70">
        <v>0.25</v>
      </c>
      <c r="F121" s="70">
        <v>0</v>
      </c>
      <c r="G121" s="70">
        <v>0</v>
      </c>
      <c r="H121" s="70">
        <f>SUM(C121:G121)</f>
        <v>0.5</v>
      </c>
      <c r="I121" s="71"/>
      <c r="J121" s="71"/>
      <c r="K121" s="71"/>
      <c r="L121" s="72">
        <f>((C121*$C$9)+(D121*$D$9)+(E121*$E$9)+(F121*$F$9))</f>
        <v>32.832000000000001</v>
      </c>
      <c r="M121" s="72">
        <v>0</v>
      </c>
      <c r="N121" s="73">
        <v>0</v>
      </c>
      <c r="O121" s="74">
        <f>O9*60%</f>
        <v>25.600000132000002</v>
      </c>
      <c r="P121" s="75">
        <f>(C121+D121+E121+F121)*O121</f>
        <v>12.800000066000001</v>
      </c>
      <c r="Q121" s="72">
        <f>(M121+N121)*O121</f>
        <v>0</v>
      </c>
      <c r="R121" s="72">
        <f>(L121+M121+N121)*O121</f>
        <v>840.49920433382408</v>
      </c>
      <c r="S121" s="528" t="s">
        <v>254</v>
      </c>
      <c r="T121" s="536" t="str">
        <f>IF($S121="RP",O121,"")</f>
        <v/>
      </c>
      <c r="U121" s="537" t="str">
        <f>IF($S121="RP",P121,"")</f>
        <v/>
      </c>
      <c r="V121" s="521" t="str">
        <f>IF($S121="RP",Q121,"")</f>
        <v/>
      </c>
      <c r="W121" s="537">
        <f>IF($S121="RK",O121,"")</f>
        <v>25.600000132000002</v>
      </c>
      <c r="X121" s="537">
        <f>IF($S121="RK",P121,"")</f>
        <v>12.800000066000001</v>
      </c>
      <c r="Y121" s="521">
        <f>IF($S121="RK",Q121,"")</f>
        <v>0</v>
      </c>
    </row>
    <row r="122" spans="1:25" s="29" customFormat="1">
      <c r="A122" s="105"/>
      <c r="B122" s="254" t="s">
        <v>69</v>
      </c>
      <c r="C122" s="236"/>
      <c r="D122" s="274"/>
      <c r="E122" s="274"/>
      <c r="F122" s="274"/>
      <c r="G122" s="274"/>
      <c r="H122" s="274"/>
      <c r="I122" s="275"/>
      <c r="J122" s="275"/>
      <c r="K122" s="275"/>
      <c r="L122" s="276"/>
      <c r="M122" s="276"/>
      <c r="N122" s="277"/>
      <c r="O122" s="278"/>
      <c r="P122" s="279"/>
      <c r="Q122" s="279"/>
      <c r="R122" s="276"/>
      <c r="S122" s="11"/>
      <c r="T122" s="532"/>
      <c r="U122" s="533"/>
      <c r="W122" s="455"/>
      <c r="X122" s="455"/>
    </row>
    <row r="123" spans="1:25" s="29" customFormat="1">
      <c r="A123" s="105"/>
      <c r="B123" s="254" t="s">
        <v>68</v>
      </c>
      <c r="C123" s="280">
        <v>0</v>
      </c>
      <c r="D123" s="280">
        <v>0.25</v>
      </c>
      <c r="E123" s="280">
        <v>0.25</v>
      </c>
      <c r="F123" s="280">
        <v>0</v>
      </c>
      <c r="G123" s="280">
        <v>0</v>
      </c>
      <c r="H123" s="280">
        <f>SUM(C123:G123)</f>
        <v>0.5</v>
      </c>
      <c r="I123" s="281"/>
      <c r="J123" s="281"/>
      <c r="K123" s="281"/>
      <c r="L123" s="112">
        <f>((C123*$C$9)+(D123*$D$9)+(E123*$E$9)+(F123*$F$9))</f>
        <v>32.832000000000001</v>
      </c>
      <c r="M123" s="112">
        <v>0</v>
      </c>
      <c r="N123" s="109">
        <v>0</v>
      </c>
      <c r="O123" s="282">
        <f>0.1*O9</f>
        <v>4.2666666886666667</v>
      </c>
      <c r="P123" s="233">
        <f>(C123+D123+E123+F123)*O123</f>
        <v>2.1333333443333333</v>
      </c>
      <c r="Q123" s="72">
        <f>(M123+N123)*O123</f>
        <v>0</v>
      </c>
      <c r="R123" s="112">
        <f>(L123+M123+N123)*O123</f>
        <v>140.08320072230401</v>
      </c>
      <c r="S123" s="171" t="s">
        <v>254</v>
      </c>
      <c r="T123" s="536" t="str">
        <f t="shared" ref="T123:V127" si="59">IF($S123="RP",O123,"")</f>
        <v/>
      </c>
      <c r="U123" s="537" t="str">
        <f t="shared" si="59"/>
        <v/>
      </c>
      <c r="V123" s="521" t="str">
        <f t="shared" si="59"/>
        <v/>
      </c>
      <c r="W123" s="537">
        <f t="shared" ref="W123:Y127" si="60">IF($S123="RK",O123,"")</f>
        <v>4.2666666886666667</v>
      </c>
      <c r="X123" s="537">
        <f t="shared" si="60"/>
        <v>2.1333333443333333</v>
      </c>
      <c r="Y123" s="521">
        <f t="shared" si="60"/>
        <v>0</v>
      </c>
    </row>
    <row r="124" spans="1:25" s="291" customFormat="1">
      <c r="A124" s="283"/>
      <c r="B124" s="284" t="s">
        <v>70</v>
      </c>
      <c r="C124" s="285">
        <v>0</v>
      </c>
      <c r="D124" s="285">
        <v>5</v>
      </c>
      <c r="E124" s="285">
        <v>50</v>
      </c>
      <c r="F124" s="285">
        <v>0</v>
      </c>
      <c r="G124" s="285">
        <v>0</v>
      </c>
      <c r="H124" s="198">
        <f>SUM(C124:G124)</f>
        <v>55</v>
      </c>
      <c r="I124" s="286"/>
      <c r="J124" s="286"/>
      <c r="K124" s="286"/>
      <c r="L124" s="287">
        <f>((C124*$C$9)+(D124*$D$9)+(E124*$E$9)+(F124*$F$9))</f>
        <v>3129.1200000000003</v>
      </c>
      <c r="M124" s="287">
        <v>0</v>
      </c>
      <c r="N124" s="288">
        <v>0</v>
      </c>
      <c r="O124" s="289">
        <f>O9*60%</f>
        <v>25.600000132000002</v>
      </c>
      <c r="P124" s="290">
        <f>(C124+D124+E124+F124)*O124</f>
        <v>1408.0000072600001</v>
      </c>
      <c r="Q124" s="72">
        <f>(M124+N124)*O124</f>
        <v>0</v>
      </c>
      <c r="R124" s="287">
        <f>(L124+M124+N124)*O124</f>
        <v>80105.472413043855</v>
      </c>
      <c r="S124" s="171" t="s">
        <v>254</v>
      </c>
      <c r="T124" s="536" t="str">
        <f t="shared" si="59"/>
        <v/>
      </c>
      <c r="U124" s="537" t="str">
        <f t="shared" si="59"/>
        <v/>
      </c>
      <c r="V124" s="521" t="str">
        <f t="shared" si="59"/>
        <v/>
      </c>
      <c r="W124" s="537">
        <f t="shared" si="60"/>
        <v>25.600000132000002</v>
      </c>
      <c r="X124" s="537">
        <f t="shared" si="60"/>
        <v>1408.0000072600001</v>
      </c>
      <c r="Y124" s="521">
        <f t="shared" si="60"/>
        <v>0</v>
      </c>
    </row>
    <row r="125" spans="1:25" s="291" customFormat="1">
      <c r="A125" s="283"/>
      <c r="B125" s="284" t="s">
        <v>71</v>
      </c>
      <c r="C125" s="285">
        <v>0</v>
      </c>
      <c r="D125" s="285">
        <v>2</v>
      </c>
      <c r="E125" s="285">
        <v>10</v>
      </c>
      <c r="F125" s="285">
        <v>0</v>
      </c>
      <c r="G125" s="285">
        <v>0</v>
      </c>
      <c r="H125" s="198">
        <f>SUM(C125:G125)</f>
        <v>12</v>
      </c>
      <c r="I125" s="286"/>
      <c r="J125" s="286"/>
      <c r="K125" s="286"/>
      <c r="L125" s="287">
        <f>((C125*$C$9)+(D125*$D$9)+(E125*$E$9)+(F125*$F$9))</f>
        <v>702.20800000000008</v>
      </c>
      <c r="M125" s="287">
        <v>0</v>
      </c>
      <c r="N125" s="288">
        <v>0</v>
      </c>
      <c r="O125" s="499">
        <f>O6+0.1*O4</f>
        <v>4.7777780000000005</v>
      </c>
      <c r="P125" s="290">
        <f>(C125+D125+E125+F125)*O125</f>
        <v>57.333336000000003</v>
      </c>
      <c r="Q125" s="72">
        <f>(M125+N125)*O125</f>
        <v>0</v>
      </c>
      <c r="R125" s="287">
        <f>(L125+M125+N125)*O125</f>
        <v>3354.9939338240006</v>
      </c>
      <c r="S125" s="171" t="s">
        <v>254</v>
      </c>
      <c r="T125" s="536" t="str">
        <f t="shared" si="59"/>
        <v/>
      </c>
      <c r="U125" s="537" t="str">
        <f t="shared" si="59"/>
        <v/>
      </c>
      <c r="V125" s="521" t="str">
        <f t="shared" si="59"/>
        <v/>
      </c>
      <c r="W125" s="537">
        <f t="shared" si="60"/>
        <v>4.7777780000000005</v>
      </c>
      <c r="X125" s="537">
        <f t="shared" si="60"/>
        <v>57.333336000000003</v>
      </c>
      <c r="Y125" s="521">
        <f t="shared" si="60"/>
        <v>0</v>
      </c>
    </row>
    <row r="126" spans="1:25" s="291" customFormat="1">
      <c r="A126" s="292"/>
      <c r="B126" s="284" t="s">
        <v>72</v>
      </c>
      <c r="C126" s="285">
        <v>0</v>
      </c>
      <c r="D126" s="285">
        <v>0.25</v>
      </c>
      <c r="E126" s="285">
        <v>0</v>
      </c>
      <c r="F126" s="285">
        <v>0.25</v>
      </c>
      <c r="G126" s="285">
        <v>0</v>
      </c>
      <c r="H126" s="285">
        <f>SUM(C126:G126)</f>
        <v>0.5</v>
      </c>
      <c r="I126" s="286"/>
      <c r="J126" s="286"/>
      <c r="K126" s="286"/>
      <c r="L126" s="287">
        <f>((C126*$C$9)+(D126*$D$9)+(E126*$E$9)+(F126*$F$9))</f>
        <v>26.696000000000002</v>
      </c>
      <c r="M126" s="287">
        <v>0</v>
      </c>
      <c r="N126" s="288">
        <v>20</v>
      </c>
      <c r="O126" s="289">
        <f>0.5*O7</f>
        <v>10.666666666666666</v>
      </c>
      <c r="P126" s="290">
        <f>(C126+D126+E126+F126)*O126</f>
        <v>5.333333333333333</v>
      </c>
      <c r="Q126" s="72">
        <f>(M126+N126)*O126</f>
        <v>213.33333333333331</v>
      </c>
      <c r="R126" s="287">
        <f>(L126+M126+N126)*O126</f>
        <v>498.09066666666661</v>
      </c>
      <c r="S126" s="171" t="s">
        <v>254</v>
      </c>
      <c r="T126" s="536" t="str">
        <f t="shared" si="59"/>
        <v/>
      </c>
      <c r="U126" s="537" t="str">
        <f t="shared" si="59"/>
        <v/>
      </c>
      <c r="V126" s="521" t="str">
        <f t="shared" si="59"/>
        <v/>
      </c>
      <c r="W126" s="537">
        <f t="shared" si="60"/>
        <v>10.666666666666666</v>
      </c>
      <c r="X126" s="537">
        <f t="shared" si="60"/>
        <v>5.333333333333333</v>
      </c>
      <c r="Y126" s="521">
        <f t="shared" si="60"/>
        <v>213.33333333333331</v>
      </c>
    </row>
    <row r="127" spans="1:25" s="29" customFormat="1" ht="12" thickBot="1">
      <c r="A127" s="218"/>
      <c r="B127" s="293" t="s">
        <v>65</v>
      </c>
      <c r="C127" s="280">
        <v>0</v>
      </c>
      <c r="D127" s="280">
        <v>0.25</v>
      </c>
      <c r="E127" s="280">
        <v>0</v>
      </c>
      <c r="F127" s="280">
        <v>0.25</v>
      </c>
      <c r="G127" s="280">
        <v>0</v>
      </c>
      <c r="H127" s="280">
        <f>SUM(C127:G127)</f>
        <v>0.5</v>
      </c>
      <c r="I127" s="281"/>
      <c r="J127" s="281"/>
      <c r="K127" s="281"/>
      <c r="L127" s="112">
        <f>((C127*$C$9)+(D127*$D$9)+(E127*$E$9)+(F127*$F$9))</f>
        <v>26.696000000000002</v>
      </c>
      <c r="M127" s="112">
        <v>0</v>
      </c>
      <c r="N127" s="109">
        <v>20</v>
      </c>
      <c r="O127" s="282">
        <f>O9*60%</f>
        <v>25.600000132000002</v>
      </c>
      <c r="P127" s="233">
        <f>(C127+D127+E127+F127)*O127</f>
        <v>12.800000066000001</v>
      </c>
      <c r="Q127" s="72">
        <f>(M127+N127)*O127</f>
        <v>512.00000264000005</v>
      </c>
      <c r="R127" s="112">
        <f>(L127+M127+N127)*O127</f>
        <v>1195.4176061638721</v>
      </c>
      <c r="S127" s="171" t="s">
        <v>259</v>
      </c>
      <c r="T127" s="536">
        <f t="shared" si="59"/>
        <v>25.600000132000002</v>
      </c>
      <c r="U127" s="537">
        <f t="shared" si="59"/>
        <v>12.800000066000001</v>
      </c>
      <c r="V127" s="521">
        <f t="shared" si="59"/>
        <v>512.00000264000005</v>
      </c>
      <c r="W127" s="537" t="str">
        <f t="shared" si="60"/>
        <v/>
      </c>
      <c r="X127" s="537" t="str">
        <f t="shared" si="60"/>
        <v/>
      </c>
      <c r="Y127" s="521" t="str">
        <f t="shared" si="60"/>
        <v/>
      </c>
    </row>
    <row r="128" spans="1:25" s="29" customFormat="1" ht="12.75" thickTop="1" thickBot="1">
      <c r="A128" s="262" t="s">
        <v>22</v>
      </c>
      <c r="B128" s="77"/>
      <c r="C128" s="78">
        <f t="shared" ref="C128:N128" si="61">SUM(C121:C127)</f>
        <v>0</v>
      </c>
      <c r="D128" s="78">
        <f t="shared" si="61"/>
        <v>8</v>
      </c>
      <c r="E128" s="78">
        <f t="shared" si="61"/>
        <v>60.5</v>
      </c>
      <c r="F128" s="78">
        <f t="shared" si="61"/>
        <v>0.5</v>
      </c>
      <c r="G128" s="78">
        <f t="shared" si="61"/>
        <v>0</v>
      </c>
      <c r="H128" s="78">
        <f t="shared" si="61"/>
        <v>69</v>
      </c>
      <c r="I128" s="79">
        <f t="shared" si="61"/>
        <v>0</v>
      </c>
      <c r="J128" s="79">
        <f t="shared" si="61"/>
        <v>0</v>
      </c>
      <c r="K128" s="79">
        <f t="shared" si="61"/>
        <v>0</v>
      </c>
      <c r="L128" s="80">
        <f t="shared" si="61"/>
        <v>3950.3840000000005</v>
      </c>
      <c r="M128" s="80">
        <f t="shared" si="61"/>
        <v>0</v>
      </c>
      <c r="N128" s="81">
        <f t="shared" si="61"/>
        <v>40</v>
      </c>
      <c r="O128" s="82"/>
      <c r="P128" s="553">
        <f>SUM(P121:P127)</f>
        <v>1498.4000100696665</v>
      </c>
      <c r="Q128" s="80">
        <f>SUM(Q121:Q127)</f>
        <v>725.33333597333331</v>
      </c>
      <c r="R128" s="80">
        <f>SUM(R121:R127)</f>
        <v>86134.55702475454</v>
      </c>
      <c r="S128" s="80"/>
      <c r="T128" s="79">
        <f t="shared" ref="T128:Y128" si="62">SUM(T121:T127)</f>
        <v>25.600000132000002</v>
      </c>
      <c r="U128" s="79">
        <f t="shared" si="62"/>
        <v>12.800000066000001</v>
      </c>
      <c r="V128" s="80">
        <f t="shared" si="62"/>
        <v>512.00000264000005</v>
      </c>
      <c r="W128" s="79">
        <f t="shared" si="62"/>
        <v>70.91111161933334</v>
      </c>
      <c r="X128" s="79">
        <f t="shared" si="62"/>
        <v>1485.6000100036665</v>
      </c>
      <c r="Y128" s="80">
        <f t="shared" si="62"/>
        <v>213.33333333333331</v>
      </c>
    </row>
    <row r="129" spans="1:25" s="29" customFormat="1" ht="12" thickTop="1">
      <c r="A129" s="201" t="s">
        <v>34</v>
      </c>
      <c r="B129" s="202"/>
      <c r="C129" s="203"/>
      <c r="D129" s="203"/>
      <c r="E129" s="203"/>
      <c r="F129" s="203"/>
      <c r="G129" s="203"/>
      <c r="H129" s="203"/>
      <c r="I129" s="204"/>
      <c r="J129" s="204"/>
      <c r="K129" s="204"/>
      <c r="L129" s="205"/>
      <c r="M129" s="205"/>
      <c r="N129" s="206"/>
      <c r="O129" s="207"/>
      <c r="P129" s="208"/>
      <c r="Q129" s="208"/>
      <c r="R129" s="209"/>
      <c r="S129" s="11"/>
      <c r="T129" s="455"/>
      <c r="U129" s="533"/>
      <c r="W129" s="455"/>
      <c r="X129" s="455"/>
    </row>
    <row r="130" spans="1:25" s="29" customFormat="1">
      <c r="A130" s="294"/>
      <c r="B130" s="124" t="s">
        <v>73</v>
      </c>
      <c r="C130" s="125"/>
      <c r="D130" s="125"/>
      <c r="E130" s="125"/>
      <c r="F130" s="125"/>
      <c r="G130" s="125"/>
      <c r="H130" s="125"/>
      <c r="I130" s="126"/>
      <c r="J130" s="126"/>
      <c r="K130" s="126"/>
      <c r="L130" s="127"/>
      <c r="M130" s="128"/>
      <c r="N130" s="129"/>
      <c r="O130" s="130"/>
      <c r="P130" s="131"/>
      <c r="Q130" s="131"/>
      <c r="R130" s="128"/>
      <c r="S130" s="11"/>
      <c r="T130" s="455"/>
      <c r="U130" s="533"/>
      <c r="W130" s="455"/>
      <c r="X130" s="455"/>
    </row>
    <row r="131" spans="1:25" s="29" customFormat="1">
      <c r="A131" s="123"/>
      <c r="B131" s="124" t="s">
        <v>74</v>
      </c>
      <c r="C131" s="125"/>
      <c r="D131" s="125"/>
      <c r="E131" s="125"/>
      <c r="F131" s="125"/>
      <c r="G131" s="173"/>
      <c r="H131" s="174"/>
      <c r="I131" s="175"/>
      <c r="J131" s="175"/>
      <c r="K131" s="175"/>
      <c r="L131" s="176"/>
      <c r="M131" s="176"/>
      <c r="N131" s="177"/>
      <c r="O131" s="130"/>
      <c r="P131" s="178"/>
      <c r="Q131" s="343"/>
      <c r="R131" s="179"/>
      <c r="S131" s="11"/>
      <c r="T131" s="455"/>
      <c r="U131" s="533"/>
      <c r="W131" s="455"/>
      <c r="X131" s="455"/>
    </row>
    <row r="132" spans="1:25" s="172" customFormat="1">
      <c r="A132" s="132"/>
      <c r="B132" s="133" t="s">
        <v>75</v>
      </c>
      <c r="C132" s="134">
        <v>0</v>
      </c>
      <c r="D132" s="134">
        <v>4</v>
      </c>
      <c r="E132" s="134">
        <v>16</v>
      </c>
      <c r="F132" s="134">
        <v>0</v>
      </c>
      <c r="G132" s="135">
        <v>0</v>
      </c>
      <c r="H132" s="166">
        <f>SUM(C132:G132)</f>
        <v>20</v>
      </c>
      <c r="I132" s="167"/>
      <c r="J132" s="167"/>
      <c r="K132" s="167"/>
      <c r="L132" s="168">
        <f>((C132*$C$9)+(D132*$D$9)+(E132*$E$9)+(F132*$F$9))</f>
        <v>1184.6400000000001</v>
      </c>
      <c r="M132" s="168">
        <v>0</v>
      </c>
      <c r="N132" s="169">
        <v>0</v>
      </c>
      <c r="O132" s="140">
        <f>0.2*O9</f>
        <v>8.5333333773333333</v>
      </c>
      <c r="P132" s="170">
        <f>(C132+D132+E132+F132)*O132</f>
        <v>170.66666754666667</v>
      </c>
      <c r="Q132" s="72">
        <f>(M132+N132)*O132</f>
        <v>0</v>
      </c>
      <c r="R132" s="142">
        <f>(L132+M132+N132)*O132</f>
        <v>10108.928052124162</v>
      </c>
      <c r="S132" s="528" t="s">
        <v>254</v>
      </c>
      <c r="T132" s="536" t="str">
        <f t="shared" ref="T132:V133" si="63">IF($S132="RP",O132,"")</f>
        <v/>
      </c>
      <c r="U132" s="537" t="str">
        <f t="shared" si="63"/>
        <v/>
      </c>
      <c r="V132" s="521" t="str">
        <f t="shared" si="63"/>
        <v/>
      </c>
      <c r="W132" s="537">
        <f t="shared" ref="W132:Y133" si="64">IF($S132="RK",O132,"")</f>
        <v>8.5333333773333333</v>
      </c>
      <c r="X132" s="537">
        <f t="shared" si="64"/>
        <v>170.66666754666667</v>
      </c>
      <c r="Y132" s="521">
        <f t="shared" si="64"/>
        <v>0</v>
      </c>
    </row>
    <row r="133" spans="1:25" s="29" customFormat="1" ht="12" thickBot="1">
      <c r="A133" s="224"/>
      <c r="B133" s="124" t="s">
        <v>65</v>
      </c>
      <c r="C133" s="144">
        <v>0</v>
      </c>
      <c r="D133" s="144">
        <v>0.25</v>
      </c>
      <c r="E133" s="144">
        <v>0</v>
      </c>
      <c r="F133" s="144">
        <v>0.25</v>
      </c>
      <c r="G133" s="106">
        <v>0</v>
      </c>
      <c r="H133" s="136">
        <f>SUM(C133:G133)</f>
        <v>0.5</v>
      </c>
      <c r="I133" s="137"/>
      <c r="J133" s="137"/>
      <c r="K133" s="137"/>
      <c r="L133" s="138">
        <f>((C133*$C$9)+(D133*$D$9)+(E133*$E$9)+(F133*$F$9))</f>
        <v>26.696000000000002</v>
      </c>
      <c r="M133" s="138">
        <v>0</v>
      </c>
      <c r="N133" s="139">
        <v>1</v>
      </c>
      <c r="O133" s="130">
        <f>0.2*O9</f>
        <v>8.5333333773333333</v>
      </c>
      <c r="P133" s="141">
        <f>(C133+D133+E133+F133)*O133</f>
        <v>4.2666666886666667</v>
      </c>
      <c r="Q133" s="72">
        <f>(M133+N133)*O133</f>
        <v>8.5333333773333333</v>
      </c>
      <c r="R133" s="142">
        <f>(L133+M133+N133)*O133</f>
        <v>236.339201218624</v>
      </c>
      <c r="S133" s="171" t="s">
        <v>259</v>
      </c>
      <c r="T133" s="536">
        <f t="shared" si="63"/>
        <v>8.5333333773333333</v>
      </c>
      <c r="U133" s="537">
        <f t="shared" si="63"/>
        <v>4.2666666886666667</v>
      </c>
      <c r="V133" s="521">
        <f t="shared" si="63"/>
        <v>8.5333333773333333</v>
      </c>
      <c r="W133" s="537" t="str">
        <f t="shared" si="64"/>
        <v/>
      </c>
      <c r="X133" s="537" t="str">
        <f t="shared" si="64"/>
        <v/>
      </c>
      <c r="Y133" s="521" t="str">
        <f t="shared" si="64"/>
        <v/>
      </c>
    </row>
    <row r="134" spans="1:25" s="29" customFormat="1" ht="12.75" thickTop="1" thickBot="1">
      <c r="A134" s="145" t="s">
        <v>22</v>
      </c>
      <c r="B134" s="146"/>
      <c r="C134" s="147">
        <f t="shared" ref="C134:N134" si="65">SUM(C131:C133)</f>
        <v>0</v>
      </c>
      <c r="D134" s="147">
        <f t="shared" si="65"/>
        <v>4.25</v>
      </c>
      <c r="E134" s="147">
        <f t="shared" si="65"/>
        <v>16</v>
      </c>
      <c r="F134" s="147">
        <f t="shared" si="65"/>
        <v>0.25</v>
      </c>
      <c r="G134" s="147">
        <f t="shared" si="65"/>
        <v>0</v>
      </c>
      <c r="H134" s="147">
        <f t="shared" si="65"/>
        <v>20.5</v>
      </c>
      <c r="I134" s="148">
        <f t="shared" si="65"/>
        <v>0</v>
      </c>
      <c r="J134" s="148">
        <f t="shared" si="65"/>
        <v>0</v>
      </c>
      <c r="K134" s="148">
        <f t="shared" si="65"/>
        <v>0</v>
      </c>
      <c r="L134" s="149">
        <f t="shared" si="65"/>
        <v>1211.336</v>
      </c>
      <c r="M134" s="149">
        <f t="shared" si="65"/>
        <v>0</v>
      </c>
      <c r="N134" s="150">
        <f t="shared" si="65"/>
        <v>1</v>
      </c>
      <c r="O134" s="151"/>
      <c r="P134" s="152">
        <f>SUM(P131:P133)</f>
        <v>174.93333423533335</v>
      </c>
      <c r="Q134" s="153">
        <f>SUM(Q131:Q133)</f>
        <v>8.5333333773333333</v>
      </c>
      <c r="R134" s="153">
        <f>SUM(R131:R133)</f>
        <v>10345.267253342785</v>
      </c>
      <c r="S134" s="153"/>
      <c r="T134" s="543">
        <f t="shared" ref="T134:Y134" si="66">SUM(T131:T133)</f>
        <v>8.5333333773333333</v>
      </c>
      <c r="U134" s="543">
        <f t="shared" si="66"/>
        <v>4.2666666886666667</v>
      </c>
      <c r="V134" s="153">
        <f t="shared" si="66"/>
        <v>8.5333333773333333</v>
      </c>
      <c r="W134" s="543">
        <f t="shared" si="66"/>
        <v>8.5333333773333333</v>
      </c>
      <c r="X134" s="543">
        <f t="shared" si="66"/>
        <v>170.66666754666667</v>
      </c>
      <c r="Y134" s="153">
        <f t="shared" si="66"/>
        <v>0</v>
      </c>
    </row>
    <row r="135" spans="1:25" s="29" customFormat="1" ht="12" hidden="1" thickTop="1">
      <c r="A135" s="154" t="s">
        <v>29</v>
      </c>
      <c r="B135" s="155"/>
      <c r="C135" s="156"/>
      <c r="D135" s="156"/>
      <c r="E135" s="156"/>
      <c r="F135" s="156"/>
      <c r="G135" s="156"/>
      <c r="H135" s="156"/>
      <c r="I135" s="157"/>
      <c r="J135" s="157"/>
      <c r="K135" s="157"/>
      <c r="L135" s="158"/>
      <c r="M135" s="158"/>
      <c r="N135" s="159"/>
      <c r="O135" s="160"/>
      <c r="P135" s="161"/>
      <c r="Q135" s="161"/>
      <c r="R135" s="162"/>
      <c r="S135" s="11"/>
      <c r="T135" s="455"/>
      <c r="U135" s="533"/>
      <c r="W135" s="455"/>
      <c r="X135" s="455"/>
    </row>
    <row r="136" spans="1:25" s="29" customFormat="1" hidden="1">
      <c r="A136" s="163" t="s">
        <v>35</v>
      </c>
      <c r="B136" s="163"/>
      <c r="C136" s="125"/>
      <c r="D136" s="125"/>
      <c r="E136" s="125"/>
      <c r="F136" s="125"/>
      <c r="G136" s="125"/>
      <c r="H136" s="125"/>
      <c r="I136" s="126"/>
      <c r="J136" s="126"/>
      <c r="K136" s="126"/>
      <c r="L136" s="127"/>
      <c r="M136" s="128"/>
      <c r="N136" s="129"/>
      <c r="O136" s="130"/>
      <c r="P136" s="131"/>
      <c r="Q136" s="131"/>
      <c r="R136" s="128"/>
      <c r="S136" s="11"/>
      <c r="T136" s="455"/>
      <c r="U136" s="533"/>
      <c r="W136" s="455"/>
      <c r="X136" s="455"/>
    </row>
    <row r="137" spans="1:25" s="29" customFormat="1" hidden="1">
      <c r="A137" s="164" t="s">
        <v>36</v>
      </c>
      <c r="B137" s="164"/>
      <c r="C137" s="125"/>
      <c r="D137" s="125"/>
      <c r="E137" s="125"/>
      <c r="F137" s="125"/>
      <c r="G137" s="125"/>
      <c r="H137" s="125"/>
      <c r="I137" s="126"/>
      <c r="J137" s="126"/>
      <c r="K137" s="126"/>
      <c r="L137" s="127"/>
      <c r="M137" s="128"/>
      <c r="N137" s="129"/>
      <c r="O137" s="130"/>
      <c r="P137" s="131"/>
      <c r="Q137" s="131"/>
      <c r="R137" s="128"/>
      <c r="S137" s="11"/>
      <c r="T137" s="455"/>
      <c r="U137" s="533"/>
      <c r="W137" s="455"/>
      <c r="X137" s="455"/>
    </row>
    <row r="138" spans="1:25" s="29" customFormat="1" hidden="1">
      <c r="A138" s="165" t="s">
        <v>37</v>
      </c>
      <c r="B138" s="165"/>
      <c r="C138" s="134">
        <v>0</v>
      </c>
      <c r="D138" s="134">
        <v>0</v>
      </c>
      <c r="E138" s="134">
        <v>0.25</v>
      </c>
      <c r="F138" s="134">
        <v>0.1</v>
      </c>
      <c r="G138" s="135"/>
      <c r="H138" s="136">
        <f>SUM(C138:F138)</f>
        <v>0.35</v>
      </c>
      <c r="I138" s="137"/>
      <c r="J138" s="137"/>
      <c r="K138" s="137"/>
      <c r="L138" s="138" t="e">
        <f>((C138*#REF!)+(D138*$D$9)+(E138*$E$9)+(F138*$F$9))</f>
        <v>#REF!</v>
      </c>
      <c r="M138" s="138">
        <v>0</v>
      </c>
      <c r="N138" s="139">
        <v>0</v>
      </c>
      <c r="O138" s="140" t="e">
        <f>#REF!+#REF!</f>
        <v>#REF!</v>
      </c>
      <c r="P138" s="141" t="e">
        <f>(C138+D138+E138+F138)*O138</f>
        <v>#REF!</v>
      </c>
      <c r="Q138" s="343"/>
      <c r="R138" s="142" t="e">
        <f>(L138+M138+N138)*O138</f>
        <v>#REF!</v>
      </c>
      <c r="S138" s="11"/>
      <c r="T138" s="455"/>
      <c r="U138" s="533"/>
      <c r="W138" s="455"/>
      <c r="X138" s="455"/>
    </row>
    <row r="139" spans="1:25" s="29" customFormat="1" ht="12" hidden="1" thickBot="1">
      <c r="A139" s="164" t="s">
        <v>26</v>
      </c>
      <c r="B139" s="164"/>
      <c r="C139" s="144">
        <v>0</v>
      </c>
      <c r="D139" s="144">
        <v>0.25</v>
      </c>
      <c r="E139" s="144">
        <v>0</v>
      </c>
      <c r="F139" s="144">
        <v>0.25</v>
      </c>
      <c r="G139" s="106"/>
      <c r="H139" s="136">
        <f>SUM(C139:F139)</f>
        <v>0.5</v>
      </c>
      <c r="I139" s="137"/>
      <c r="J139" s="137"/>
      <c r="K139" s="137"/>
      <c r="L139" s="138" t="e">
        <f>((C139*#REF!)+(D139*$D$9)+(E139*$E$9)+(F139*$F$9))</f>
        <v>#REF!</v>
      </c>
      <c r="M139" s="138">
        <v>0</v>
      </c>
      <c r="N139" s="139" t="e">
        <f>O139*0.52</f>
        <v>#REF!</v>
      </c>
      <c r="O139" s="130" t="e">
        <f>O138</f>
        <v>#REF!</v>
      </c>
      <c r="P139" s="141" t="e">
        <f>(C139+D139+E139+F139)*O139</f>
        <v>#REF!</v>
      </c>
      <c r="Q139" s="343"/>
      <c r="R139" s="142" t="e">
        <f>(L139+M139+N139)*O139</f>
        <v>#REF!</v>
      </c>
      <c r="S139" s="11"/>
      <c r="T139" s="455"/>
      <c r="U139" s="533"/>
      <c r="W139" s="455"/>
      <c r="X139" s="455"/>
    </row>
    <row r="140" spans="1:25" s="29" customFormat="1" ht="12.75" hidden="1" thickTop="1" thickBot="1">
      <c r="A140" s="145" t="s">
        <v>22</v>
      </c>
      <c r="B140" s="146"/>
      <c r="C140" s="147">
        <v>0</v>
      </c>
      <c r="D140" s="147" t="s">
        <v>23</v>
      </c>
      <c r="E140" s="147" t="s">
        <v>23</v>
      </c>
      <c r="F140" s="147" t="s">
        <v>23</v>
      </c>
      <c r="G140" s="147"/>
      <c r="H140" s="147" t="s">
        <v>23</v>
      </c>
      <c r="I140" s="148"/>
      <c r="J140" s="148"/>
      <c r="K140" s="148"/>
      <c r="L140" s="149" t="s">
        <v>23</v>
      </c>
      <c r="M140" s="149">
        <v>0</v>
      </c>
      <c r="N140" s="150" t="s">
        <v>23</v>
      </c>
      <c r="O140" s="151" t="e">
        <f>O138</f>
        <v>#REF!</v>
      </c>
      <c r="P140" s="152" t="e">
        <f>SUM(P138:P139)</f>
        <v>#REF!</v>
      </c>
      <c r="Q140" s="325"/>
      <c r="R140" s="153" t="e">
        <f>SUM(R138:R139)</f>
        <v>#REF!</v>
      </c>
      <c r="S140" s="11"/>
      <c r="T140" s="455"/>
      <c r="U140" s="533"/>
      <c r="W140" s="455"/>
      <c r="X140" s="455"/>
    </row>
    <row r="141" spans="1:25" s="29" customFormat="1" ht="12" hidden="1" thickTop="1">
      <c r="A141" s="154" t="s">
        <v>38</v>
      </c>
      <c r="B141" s="155"/>
      <c r="C141" s="156"/>
      <c r="D141" s="156"/>
      <c r="E141" s="156"/>
      <c r="F141" s="156"/>
      <c r="G141" s="156"/>
      <c r="H141" s="156"/>
      <c r="I141" s="157"/>
      <c r="J141" s="157"/>
      <c r="K141" s="157"/>
      <c r="L141" s="158"/>
      <c r="M141" s="158"/>
      <c r="N141" s="159"/>
      <c r="O141" s="160"/>
      <c r="P141" s="161"/>
      <c r="Q141" s="161"/>
      <c r="R141" s="162"/>
      <c r="S141" s="11"/>
      <c r="T141" s="455"/>
      <c r="U141" s="533"/>
      <c r="W141" s="455"/>
      <c r="X141" s="455"/>
    </row>
    <row r="142" spans="1:25" s="29" customFormat="1" hidden="1">
      <c r="A142" s="163" t="s">
        <v>30</v>
      </c>
      <c r="B142" s="163"/>
      <c r="C142" s="125"/>
      <c r="D142" s="125"/>
      <c r="E142" s="125"/>
      <c r="F142" s="125"/>
      <c r="G142" s="125"/>
      <c r="H142" s="125"/>
      <c r="I142" s="126"/>
      <c r="J142" s="126"/>
      <c r="K142" s="126"/>
      <c r="L142" s="127"/>
      <c r="M142" s="128"/>
      <c r="N142" s="129"/>
      <c r="O142" s="130"/>
      <c r="P142" s="131"/>
      <c r="Q142" s="131"/>
      <c r="R142" s="128"/>
      <c r="S142" s="11"/>
      <c r="T142" s="455"/>
      <c r="U142" s="533"/>
      <c r="W142" s="455"/>
      <c r="X142" s="455"/>
    </row>
    <row r="143" spans="1:25" s="172" customFormat="1" hidden="1">
      <c r="A143" s="165" t="s">
        <v>31</v>
      </c>
      <c r="B143" s="165"/>
      <c r="C143" s="134">
        <v>0</v>
      </c>
      <c r="D143" s="134">
        <v>5</v>
      </c>
      <c r="E143" s="134">
        <v>40</v>
      </c>
      <c r="F143" s="134">
        <v>0</v>
      </c>
      <c r="G143" s="135"/>
      <c r="H143" s="166">
        <f>SUM(C143:F143)</f>
        <v>45</v>
      </c>
      <c r="I143" s="167"/>
      <c r="J143" s="167"/>
      <c r="K143" s="167"/>
      <c r="L143" s="138" t="e">
        <f>((C143*#REF!)+(D143*$D$9)+(E143*$E$9)+(F143*$F$9))</f>
        <v>#REF!</v>
      </c>
      <c r="M143" s="168">
        <v>0</v>
      </c>
      <c r="N143" s="169">
        <v>0</v>
      </c>
      <c r="O143" s="140">
        <v>45.5</v>
      </c>
      <c r="P143" s="170">
        <f>(C143+D143+E143+F143)*O143</f>
        <v>2047.5</v>
      </c>
      <c r="Q143" s="518"/>
      <c r="R143" s="142" t="e">
        <f>(L143+M143+N143)*O143</f>
        <v>#REF!</v>
      </c>
      <c r="S143" s="171"/>
      <c r="T143" s="548"/>
      <c r="U143" s="541"/>
      <c r="W143" s="548"/>
      <c r="X143" s="548"/>
    </row>
    <row r="144" spans="1:25" s="29" customFormat="1" hidden="1">
      <c r="A144" s="164" t="s">
        <v>32</v>
      </c>
      <c r="B144" s="164"/>
      <c r="C144" s="125"/>
      <c r="D144" s="125"/>
      <c r="E144" s="125"/>
      <c r="F144" s="125"/>
      <c r="G144" s="173"/>
      <c r="H144" s="174"/>
      <c r="I144" s="175"/>
      <c r="J144" s="175"/>
      <c r="K144" s="175"/>
      <c r="L144" s="176"/>
      <c r="M144" s="176"/>
      <c r="N144" s="177"/>
      <c r="O144" s="130"/>
      <c r="P144" s="178"/>
      <c r="Q144" s="343"/>
      <c r="R144" s="179"/>
      <c r="S144" s="11"/>
      <c r="T144" s="455"/>
      <c r="U144" s="533"/>
      <c r="W144" s="455"/>
      <c r="X144" s="455"/>
    </row>
    <row r="145" spans="1:24" s="188" customFormat="1" hidden="1">
      <c r="A145" s="180" t="s">
        <v>31</v>
      </c>
      <c r="B145" s="180"/>
      <c r="C145" s="181">
        <v>0</v>
      </c>
      <c r="D145" s="181">
        <v>2</v>
      </c>
      <c r="E145" s="181">
        <v>13.25</v>
      </c>
      <c r="F145" s="181">
        <v>0</v>
      </c>
      <c r="G145" s="181"/>
      <c r="H145" s="182">
        <f>SUM(C145:F145)</f>
        <v>15.25</v>
      </c>
      <c r="I145" s="183"/>
      <c r="J145" s="183"/>
      <c r="K145" s="183"/>
      <c r="L145" s="138" t="e">
        <f>((C145*#REF!)+(D145*$D$9)+(E145*$E$9)+(F145*$F$9))</f>
        <v>#REF!</v>
      </c>
      <c r="M145" s="184">
        <v>0</v>
      </c>
      <c r="N145" s="185">
        <v>0</v>
      </c>
      <c r="O145" s="140" t="e">
        <f>#REF!</f>
        <v>#REF!</v>
      </c>
      <c r="P145" s="186" t="e">
        <f>(C145+D145+E145+F145)*O145</f>
        <v>#REF!</v>
      </c>
      <c r="Q145" s="269"/>
      <c r="R145" s="142" t="e">
        <f>(L145+M145+N145)*O145</f>
        <v>#REF!</v>
      </c>
      <c r="S145" s="171"/>
      <c r="T145" s="540"/>
      <c r="U145" s="542"/>
      <c r="W145" s="540"/>
      <c r="X145" s="540"/>
    </row>
    <row r="146" spans="1:24" s="29" customFormat="1" hidden="1">
      <c r="A146" s="165" t="s">
        <v>33</v>
      </c>
      <c r="B146" s="165"/>
      <c r="C146" s="134">
        <v>0</v>
      </c>
      <c r="D146" s="134">
        <v>0.25</v>
      </c>
      <c r="E146" s="134">
        <v>0</v>
      </c>
      <c r="F146" s="134">
        <v>0.25</v>
      </c>
      <c r="G146" s="135"/>
      <c r="H146" s="136">
        <f>SUM(C146:F146)</f>
        <v>0.5</v>
      </c>
      <c r="I146" s="137"/>
      <c r="J146" s="137"/>
      <c r="K146" s="137"/>
      <c r="L146" s="138" t="e">
        <f>((C146*#REF!)+(D146*$D$9)+(E146*$E$9)+(F146*$F$9))</f>
        <v>#REF!</v>
      </c>
      <c r="M146" s="138">
        <v>0</v>
      </c>
      <c r="N146" s="139">
        <f>O143*0.52</f>
        <v>23.66</v>
      </c>
      <c r="O146" s="140">
        <f>O143*0.5</f>
        <v>22.75</v>
      </c>
      <c r="P146" s="141">
        <f>(C146+D146+E146+F146)*O146</f>
        <v>11.375</v>
      </c>
      <c r="Q146" s="343"/>
      <c r="R146" s="142" t="e">
        <f>(L146+M146+N146)*O146</f>
        <v>#REF!</v>
      </c>
      <c r="S146" s="11"/>
      <c r="T146" s="455"/>
      <c r="U146" s="533"/>
      <c r="W146" s="455"/>
      <c r="X146" s="455"/>
    </row>
    <row r="147" spans="1:24" s="29" customFormat="1" ht="12" hidden="1" thickBot="1">
      <c r="A147" s="165" t="s">
        <v>26</v>
      </c>
      <c r="B147" s="164"/>
      <c r="C147" s="144">
        <v>0</v>
      </c>
      <c r="D147" s="144">
        <v>0.25</v>
      </c>
      <c r="E147" s="144">
        <v>0</v>
      </c>
      <c r="F147" s="144">
        <v>0.25</v>
      </c>
      <c r="G147" s="106"/>
      <c r="H147" s="136">
        <f>SUM(C147:F147)</f>
        <v>0.5</v>
      </c>
      <c r="I147" s="137"/>
      <c r="J147" s="137"/>
      <c r="K147" s="137"/>
      <c r="L147" s="138" t="e">
        <f>((C147*#REF!)+(D147*$D$9)+(E147*$E$9)+(F147*$F$9))</f>
        <v>#REF!</v>
      </c>
      <c r="M147" s="138">
        <v>0</v>
      </c>
      <c r="N147" s="139">
        <f>O147*0.52</f>
        <v>23.66</v>
      </c>
      <c r="O147" s="140">
        <f>O143</f>
        <v>45.5</v>
      </c>
      <c r="P147" s="141">
        <f>(C147+D147+E147+F147)*O147</f>
        <v>22.75</v>
      </c>
      <c r="Q147" s="343"/>
      <c r="R147" s="142" t="e">
        <f>(L147+M147+N147)*O147</f>
        <v>#REF!</v>
      </c>
      <c r="S147" s="11"/>
      <c r="T147" s="455"/>
      <c r="U147" s="533"/>
      <c r="W147" s="455"/>
      <c r="X147" s="455"/>
    </row>
    <row r="148" spans="1:24" s="29" customFormat="1" ht="12.75" hidden="1" thickTop="1" thickBot="1">
      <c r="A148" s="145" t="s">
        <v>22</v>
      </c>
      <c r="B148" s="146"/>
      <c r="C148" s="147">
        <v>0</v>
      </c>
      <c r="D148" s="147" t="s">
        <v>23</v>
      </c>
      <c r="E148" s="147" t="s">
        <v>23</v>
      </c>
      <c r="F148" s="147" t="s">
        <v>23</v>
      </c>
      <c r="G148" s="147"/>
      <c r="H148" s="147" t="s">
        <v>23</v>
      </c>
      <c r="I148" s="148"/>
      <c r="J148" s="148"/>
      <c r="K148" s="148"/>
      <c r="L148" s="149" t="s">
        <v>23</v>
      </c>
      <c r="M148" s="149">
        <v>0</v>
      </c>
      <c r="N148" s="150" t="s">
        <v>23</v>
      </c>
      <c r="O148" s="151" t="s">
        <v>23</v>
      </c>
      <c r="P148" s="152" t="e">
        <f>SUM(P143:P147)</f>
        <v>#REF!</v>
      </c>
      <c r="Q148" s="325"/>
      <c r="R148" s="153" t="e">
        <f>SUM(R143:R147)</f>
        <v>#REF!</v>
      </c>
      <c r="S148" s="11"/>
      <c r="T148" s="455"/>
      <c r="U148" s="533"/>
      <c r="W148" s="455"/>
      <c r="X148" s="455"/>
    </row>
    <row r="149" spans="1:24" s="29" customFormat="1" ht="12" hidden="1" thickTop="1">
      <c r="A149" s="154" t="s">
        <v>39</v>
      </c>
      <c r="B149" s="155"/>
      <c r="C149" s="156"/>
      <c r="D149" s="156"/>
      <c r="E149" s="156"/>
      <c r="F149" s="156"/>
      <c r="G149" s="156"/>
      <c r="H149" s="156"/>
      <c r="I149" s="157"/>
      <c r="J149" s="157"/>
      <c r="K149" s="157"/>
      <c r="L149" s="158"/>
      <c r="M149" s="158"/>
      <c r="N149" s="159"/>
      <c r="O149" s="160"/>
      <c r="P149" s="161"/>
      <c r="Q149" s="161"/>
      <c r="R149" s="162"/>
      <c r="S149" s="11"/>
      <c r="T149" s="455"/>
      <c r="U149" s="533"/>
      <c r="W149" s="455"/>
      <c r="X149" s="455"/>
    </row>
    <row r="150" spans="1:24" s="29" customFormat="1" hidden="1">
      <c r="A150" s="189" t="s">
        <v>40</v>
      </c>
      <c r="B150" s="189"/>
      <c r="C150" s="144"/>
      <c r="D150" s="144"/>
      <c r="E150" s="144"/>
      <c r="F150" s="144"/>
      <c r="G150" s="144"/>
      <c r="H150" s="144"/>
      <c r="I150" s="190"/>
      <c r="J150" s="190"/>
      <c r="K150" s="190"/>
      <c r="L150" s="128"/>
      <c r="M150" s="128"/>
      <c r="N150" s="129"/>
      <c r="O150" s="191"/>
      <c r="P150" s="192"/>
      <c r="Q150" s="192"/>
      <c r="R150" s="128"/>
      <c r="S150" s="11"/>
      <c r="T150" s="455"/>
      <c r="U150" s="533"/>
      <c r="W150" s="455"/>
      <c r="X150" s="455"/>
    </row>
    <row r="151" spans="1:24" s="29" customFormat="1" hidden="1">
      <c r="A151" s="193" t="s">
        <v>41</v>
      </c>
      <c r="B151" s="193"/>
      <c r="C151" s="144"/>
      <c r="D151" s="144"/>
      <c r="E151" s="144"/>
      <c r="F151" s="144"/>
      <c r="G151" s="144"/>
      <c r="H151" s="144"/>
      <c r="I151" s="190"/>
      <c r="J151" s="190"/>
      <c r="K151" s="190"/>
      <c r="L151" s="128"/>
      <c r="M151" s="128"/>
      <c r="N151" s="129"/>
      <c r="O151" s="191"/>
      <c r="P151" s="192"/>
      <c r="Q151" s="192"/>
      <c r="R151" s="128"/>
      <c r="S151" s="11"/>
      <c r="T151" s="455"/>
      <c r="U151" s="533"/>
      <c r="W151" s="455"/>
      <c r="X151" s="455"/>
    </row>
    <row r="152" spans="1:24" s="29" customFormat="1" hidden="1">
      <c r="A152" s="194" t="s">
        <v>42</v>
      </c>
      <c r="B152" s="194"/>
      <c r="C152" s="195">
        <v>0</v>
      </c>
      <c r="D152" s="195">
        <v>0.5</v>
      </c>
      <c r="E152" s="195">
        <v>4</v>
      </c>
      <c r="F152" s="195">
        <v>0</v>
      </c>
      <c r="G152" s="106"/>
      <c r="H152" s="136">
        <f>SUM(C152:F152)</f>
        <v>4.5</v>
      </c>
      <c r="I152" s="137"/>
      <c r="J152" s="137"/>
      <c r="K152" s="137"/>
      <c r="L152" s="138" t="e">
        <f>((C152*#REF!)+(D152*$D$9)+(E152*$E$9)+(F152*$F$9))</f>
        <v>#REF!</v>
      </c>
      <c r="M152" s="138">
        <v>0</v>
      </c>
      <c r="N152" s="139">
        <v>0</v>
      </c>
      <c r="O152" s="196" t="e">
        <f>#REF!</f>
        <v>#REF!</v>
      </c>
      <c r="P152" s="141" t="e">
        <f>(C152+D152+E152+F152)*O152</f>
        <v>#REF!</v>
      </c>
      <c r="Q152" s="343"/>
      <c r="R152" s="142" t="e">
        <f>(L152+M152+N152)*O152</f>
        <v>#REF!</v>
      </c>
      <c r="S152" s="11"/>
      <c r="T152" s="455"/>
      <c r="U152" s="533"/>
      <c r="W152" s="455"/>
      <c r="X152" s="455"/>
    </row>
    <row r="153" spans="1:24" s="29" customFormat="1" hidden="1">
      <c r="A153" s="189" t="s">
        <v>43</v>
      </c>
      <c r="B153" s="189"/>
      <c r="C153" s="144"/>
      <c r="D153" s="144"/>
      <c r="E153" s="144"/>
      <c r="F153" s="144"/>
      <c r="G153" s="144"/>
      <c r="H153" s="144"/>
      <c r="I153" s="190"/>
      <c r="J153" s="190"/>
      <c r="K153" s="190"/>
      <c r="L153" s="128"/>
      <c r="M153" s="128"/>
      <c r="N153" s="129"/>
      <c r="O153" s="191"/>
      <c r="P153" s="192"/>
      <c r="Q153" s="192"/>
      <c r="R153" s="128"/>
      <c r="S153" s="11"/>
      <c r="T153" s="455"/>
      <c r="U153" s="533"/>
      <c r="W153" s="455"/>
      <c r="X153" s="455"/>
    </row>
    <row r="154" spans="1:24" s="29" customFormat="1" hidden="1">
      <c r="A154" s="189" t="s">
        <v>44</v>
      </c>
      <c r="B154" s="189"/>
      <c r="C154" s="144"/>
      <c r="D154" s="144"/>
      <c r="E154" s="144"/>
      <c r="F154" s="144"/>
      <c r="G154" s="144"/>
      <c r="H154" s="144"/>
      <c r="I154" s="190"/>
      <c r="J154" s="190"/>
      <c r="K154" s="190"/>
      <c r="L154" s="128"/>
      <c r="M154" s="128"/>
      <c r="N154" s="129"/>
      <c r="O154" s="191"/>
      <c r="P154" s="192"/>
      <c r="Q154" s="192"/>
      <c r="R154" s="128"/>
      <c r="S154" s="11"/>
      <c r="T154" s="455"/>
      <c r="U154" s="533"/>
      <c r="W154" s="455"/>
      <c r="X154" s="455"/>
    </row>
    <row r="155" spans="1:24" s="29" customFormat="1" ht="12" hidden="1" thickBot="1">
      <c r="A155" s="189" t="s">
        <v>45</v>
      </c>
      <c r="B155" s="189"/>
      <c r="C155" s="144">
        <v>0</v>
      </c>
      <c r="D155" s="144">
        <v>0.25</v>
      </c>
      <c r="E155" s="144">
        <v>0</v>
      </c>
      <c r="F155" s="144">
        <v>0.25</v>
      </c>
      <c r="G155" s="106"/>
      <c r="H155" s="136">
        <f>SUM(C155:F155)</f>
        <v>0.5</v>
      </c>
      <c r="I155" s="137"/>
      <c r="J155" s="137"/>
      <c r="K155" s="137"/>
      <c r="L155" s="138" t="e">
        <f>((C155*#REF!)+(D155*$D$9)+(E155*$E$9)+(F155*$F$9))</f>
        <v>#REF!</v>
      </c>
      <c r="M155" s="138">
        <v>0</v>
      </c>
      <c r="N155" s="139">
        <f>O155*0.52</f>
        <v>0</v>
      </c>
      <c r="O155" s="191">
        <v>0</v>
      </c>
      <c r="P155" s="141">
        <f>(C155+D155+E155+F155)*O155</f>
        <v>0</v>
      </c>
      <c r="Q155" s="343"/>
      <c r="R155" s="142" t="e">
        <f>(L155+M155+N155)*O155</f>
        <v>#REF!</v>
      </c>
      <c r="S155" s="11"/>
      <c r="T155" s="455"/>
      <c r="U155" s="533"/>
      <c r="W155" s="455"/>
      <c r="X155" s="455"/>
    </row>
    <row r="156" spans="1:24" s="29" customFormat="1" ht="12.75" hidden="1" thickTop="1" thickBot="1">
      <c r="A156" s="145" t="s">
        <v>22</v>
      </c>
      <c r="B156" s="146"/>
      <c r="C156" s="147">
        <v>0</v>
      </c>
      <c r="D156" s="147" t="s">
        <v>23</v>
      </c>
      <c r="E156" s="147" t="s">
        <v>23</v>
      </c>
      <c r="F156" s="147" t="s">
        <v>23</v>
      </c>
      <c r="G156" s="147"/>
      <c r="H156" s="147" t="s">
        <v>23</v>
      </c>
      <c r="I156" s="148"/>
      <c r="J156" s="148"/>
      <c r="K156" s="148"/>
      <c r="L156" s="149" t="s">
        <v>23</v>
      </c>
      <c r="M156" s="149">
        <f>SUM(M152:M155)</f>
        <v>0</v>
      </c>
      <c r="N156" s="150" t="s">
        <v>23</v>
      </c>
      <c r="O156" s="151" t="s">
        <v>23</v>
      </c>
      <c r="P156" s="152" t="e">
        <f>SUM(P152:P155)</f>
        <v>#REF!</v>
      </c>
      <c r="Q156" s="325"/>
      <c r="R156" s="153" t="e">
        <f>SUM(R152:R155)</f>
        <v>#REF!</v>
      </c>
      <c r="S156" s="11"/>
      <c r="T156" s="455"/>
      <c r="U156" s="533"/>
      <c r="W156" s="455"/>
      <c r="X156" s="455"/>
    </row>
    <row r="157" spans="1:24" s="29" customFormat="1" ht="12" hidden="1" thickTop="1">
      <c r="A157" s="154" t="s">
        <v>46</v>
      </c>
      <c r="B157" s="155"/>
      <c r="C157" s="156"/>
      <c r="D157" s="156"/>
      <c r="E157" s="156"/>
      <c r="F157" s="156"/>
      <c r="G157" s="156"/>
      <c r="H157" s="156"/>
      <c r="I157" s="157"/>
      <c r="J157" s="157"/>
      <c r="K157" s="157"/>
      <c r="L157" s="158"/>
      <c r="M157" s="158"/>
      <c r="N157" s="159"/>
      <c r="O157" s="160"/>
      <c r="P157" s="161"/>
      <c r="Q157" s="161"/>
      <c r="R157" s="162"/>
      <c r="S157" s="11"/>
      <c r="T157" s="455"/>
      <c r="U157" s="533"/>
      <c r="W157" s="455"/>
      <c r="X157" s="455"/>
    </row>
    <row r="158" spans="1:24" s="29" customFormat="1" hidden="1">
      <c r="A158" s="197" t="s">
        <v>27</v>
      </c>
      <c r="B158" s="197"/>
      <c r="C158" s="198">
        <v>0</v>
      </c>
      <c r="D158" s="198">
        <v>3</v>
      </c>
      <c r="E158" s="198">
        <v>24</v>
      </c>
      <c r="F158" s="198">
        <v>0</v>
      </c>
      <c r="G158" s="106"/>
      <c r="H158" s="136">
        <f>SUM(C158:F158)</f>
        <v>27</v>
      </c>
      <c r="I158" s="137"/>
      <c r="J158" s="137"/>
      <c r="K158" s="137"/>
      <c r="L158" s="138" t="e">
        <f>((C158*#REF!)+(D158*$D$9)+(E158*$E$9)+(F158*$F$9))</f>
        <v>#REF!</v>
      </c>
      <c r="M158" s="138">
        <v>0</v>
      </c>
      <c r="N158" s="139">
        <v>0</v>
      </c>
      <c r="O158" s="199" t="e">
        <f>#REF!+#REF!</f>
        <v>#REF!</v>
      </c>
      <c r="P158" s="141" t="e">
        <f>(C158+D158+E158+F158)*O158</f>
        <v>#REF!</v>
      </c>
      <c r="Q158" s="343"/>
      <c r="R158" s="142" t="e">
        <f>(L158+M158+N158)*O158</f>
        <v>#REF!</v>
      </c>
      <c r="S158" s="11"/>
      <c r="T158" s="455"/>
      <c r="U158" s="533"/>
      <c r="W158" s="455"/>
      <c r="X158" s="455"/>
    </row>
    <row r="159" spans="1:24" s="29" customFormat="1" ht="12" hidden="1" thickBot="1">
      <c r="A159" s="200" t="s">
        <v>28</v>
      </c>
      <c r="B159" s="193"/>
      <c r="C159" s="144">
        <v>0</v>
      </c>
      <c r="D159" s="144">
        <v>0</v>
      </c>
      <c r="E159" s="144">
        <v>0</v>
      </c>
      <c r="F159" s="144">
        <v>0</v>
      </c>
      <c r="G159" s="106"/>
      <c r="H159" s="136">
        <v>2</v>
      </c>
      <c r="I159" s="137"/>
      <c r="J159" s="137"/>
      <c r="K159" s="137"/>
      <c r="L159" s="138" t="e">
        <f>((C159*#REF!)+(D159*$D$9)+(E159*$E$9)+(F159*$F$9))</f>
        <v>#REF!</v>
      </c>
      <c r="M159" s="138">
        <v>0</v>
      </c>
      <c r="N159" s="139">
        <v>0</v>
      </c>
      <c r="O159" s="199" t="e">
        <f>O158</f>
        <v>#REF!</v>
      </c>
      <c r="P159" s="141" t="e">
        <f>(C159+D159+E159+F159)*O159</f>
        <v>#REF!</v>
      </c>
      <c r="Q159" s="343"/>
      <c r="R159" s="142" t="e">
        <f>(L159+M159+N159)*O159</f>
        <v>#REF!</v>
      </c>
      <c r="S159" s="11"/>
      <c r="T159" s="455"/>
      <c r="U159" s="533"/>
      <c r="W159" s="455"/>
      <c r="X159" s="455"/>
    </row>
    <row r="160" spans="1:24" s="29" customFormat="1" ht="12.75" hidden="1" thickTop="1" thickBot="1">
      <c r="A160" s="145" t="s">
        <v>22</v>
      </c>
      <c r="B160" s="146"/>
      <c r="C160" s="147">
        <v>0</v>
      </c>
      <c r="D160" s="147" t="s">
        <v>23</v>
      </c>
      <c r="E160" s="147" t="s">
        <v>23</v>
      </c>
      <c r="F160" s="147">
        <v>0</v>
      </c>
      <c r="G160" s="147"/>
      <c r="H160" s="147" t="s">
        <v>23</v>
      </c>
      <c r="I160" s="148"/>
      <c r="J160" s="148"/>
      <c r="K160" s="148"/>
      <c r="L160" s="149" t="s">
        <v>23</v>
      </c>
      <c r="M160" s="149">
        <f>SUM(M158:M159)</f>
        <v>0</v>
      </c>
      <c r="N160" s="150">
        <f>SUM(N158:N159)</f>
        <v>0</v>
      </c>
      <c r="O160" s="151" t="e">
        <f>O158</f>
        <v>#REF!</v>
      </c>
      <c r="P160" s="152" t="e">
        <f>SUM(P158:P159)</f>
        <v>#REF!</v>
      </c>
      <c r="Q160" s="325"/>
      <c r="R160" s="153" t="e">
        <f>SUM(R158:R159)</f>
        <v>#REF!</v>
      </c>
      <c r="S160" s="11"/>
      <c r="T160" s="455"/>
      <c r="U160" s="533"/>
      <c r="W160" s="455"/>
      <c r="X160" s="455"/>
    </row>
    <row r="161" spans="1:25" s="29" customFormat="1" ht="12" thickTop="1">
      <c r="A161" s="201" t="s">
        <v>76</v>
      </c>
      <c r="B161" s="202"/>
      <c r="C161" s="203"/>
      <c r="D161" s="203"/>
      <c r="E161" s="203"/>
      <c r="F161" s="203"/>
      <c r="G161" s="203"/>
      <c r="H161" s="203"/>
      <c r="I161" s="204"/>
      <c r="J161" s="204"/>
      <c r="K161" s="204"/>
      <c r="L161" s="205"/>
      <c r="M161" s="205"/>
      <c r="N161" s="206"/>
      <c r="O161" s="207"/>
      <c r="P161" s="208"/>
      <c r="Q161" s="208"/>
      <c r="R161" s="209"/>
      <c r="S161" s="187"/>
      <c r="T161" s="455"/>
      <c r="U161" s="533"/>
      <c r="W161" s="455"/>
      <c r="X161" s="455"/>
    </row>
    <row r="162" spans="1:25" s="29" customFormat="1">
      <c r="A162" s="210"/>
      <c r="B162" s="211" t="s">
        <v>77</v>
      </c>
      <c r="C162" s="212">
        <v>0</v>
      </c>
      <c r="D162" s="212">
        <v>3</v>
      </c>
      <c r="E162" s="212">
        <v>40</v>
      </c>
      <c r="F162" s="212">
        <v>0</v>
      </c>
      <c r="G162" s="212">
        <v>0</v>
      </c>
      <c r="H162" s="212">
        <f>SUM(C162:G162)</f>
        <v>43</v>
      </c>
      <c r="I162" s="213"/>
      <c r="J162" s="213"/>
      <c r="K162" s="213"/>
      <c r="L162" s="214">
        <f>((C162*$C$9)+(D162*$D$9)+(E162*$E$9)+(F162*$F$9))</f>
        <v>2426.9120000000003</v>
      </c>
      <c r="M162" s="214">
        <v>0</v>
      </c>
      <c r="N162" s="185">
        <v>0</v>
      </c>
      <c r="O162" s="196">
        <f>O9*10%</f>
        <v>4.2666666886666667</v>
      </c>
      <c r="P162" s="75">
        <f>(C162+D162+E162+F162)*O162</f>
        <v>183.46666761266667</v>
      </c>
      <c r="Q162" s="72">
        <f>(M162+N162)*O162</f>
        <v>0</v>
      </c>
      <c r="R162" s="72">
        <f>(L162+M162+N162)*O162</f>
        <v>10354.824586725399</v>
      </c>
      <c r="S162" s="171" t="s">
        <v>254</v>
      </c>
      <c r="T162" s="536" t="str">
        <f>IF($S162="RP",O162,"")</f>
        <v/>
      </c>
      <c r="U162" s="537" t="str">
        <f>IF($S162="RP",P162,"")</f>
        <v/>
      </c>
      <c r="V162" s="521" t="str">
        <f>IF($S162="RP",Q162,"")</f>
        <v/>
      </c>
      <c r="W162" s="537">
        <f>IF($S162="RK",O162,"")</f>
        <v>4.2666666886666667</v>
      </c>
      <c r="X162" s="537">
        <f>IF($S162="RK",P162,"")</f>
        <v>183.46666761266667</v>
      </c>
      <c r="Y162" s="521">
        <f>IF($S162="RK",Q162,"")</f>
        <v>0</v>
      </c>
    </row>
    <row r="163" spans="1:25" s="29" customFormat="1">
      <c r="A163" s="228"/>
      <c r="B163" s="229" t="s">
        <v>78</v>
      </c>
      <c r="C163" s="230"/>
      <c r="D163" s="230"/>
      <c r="E163" s="230"/>
      <c r="F163" s="230"/>
      <c r="G163" s="236"/>
      <c r="H163" s="236"/>
      <c r="I163" s="271"/>
      <c r="J163" s="271"/>
      <c r="K163" s="271"/>
      <c r="L163" s="272"/>
      <c r="M163" s="272"/>
      <c r="N163" s="295"/>
      <c r="O163" s="476"/>
      <c r="P163" s="273"/>
      <c r="Q163" s="273"/>
      <c r="R163" s="272"/>
      <c r="S163" s="11"/>
      <c r="T163" s="455"/>
      <c r="U163" s="533"/>
      <c r="W163" s="455"/>
      <c r="X163" s="455"/>
    </row>
    <row r="164" spans="1:25" s="172" customFormat="1">
      <c r="A164" s="215"/>
      <c r="B164" s="296" t="s">
        <v>79</v>
      </c>
      <c r="C164" s="195">
        <v>0</v>
      </c>
      <c r="D164" s="195">
        <v>0.25</v>
      </c>
      <c r="E164" s="195">
        <v>4</v>
      </c>
      <c r="F164" s="195">
        <v>0</v>
      </c>
      <c r="G164" s="265">
        <v>0</v>
      </c>
      <c r="H164" s="166">
        <f>SUM(C164:G164)</f>
        <v>4.25</v>
      </c>
      <c r="I164" s="167"/>
      <c r="J164" s="167"/>
      <c r="K164" s="167"/>
      <c r="L164" s="168">
        <f>((C164*$C$9)+(D164*$D$9)+(E164*$E$9)+(F164*$F$9))</f>
        <v>238.87200000000004</v>
      </c>
      <c r="M164" s="168">
        <v>0</v>
      </c>
      <c r="N164" s="169">
        <v>0</v>
      </c>
      <c r="O164" s="473">
        <f>0.1*O9</f>
        <v>4.2666666886666667</v>
      </c>
      <c r="P164" s="170">
        <f>(C164+D164+E164+F164)*O164</f>
        <v>18.133333426833332</v>
      </c>
      <c r="Q164" s="72">
        <f>(M164+N164)*O164</f>
        <v>0</v>
      </c>
      <c r="R164" s="142">
        <f>(L164+M164+N164)*O164</f>
        <v>1019.1872052551842</v>
      </c>
      <c r="S164" s="171" t="s">
        <v>254</v>
      </c>
      <c r="T164" s="536" t="str">
        <f t="shared" ref="T164:V165" si="67">IF($S164="RP",O164,"")</f>
        <v/>
      </c>
      <c r="U164" s="537" t="str">
        <f t="shared" si="67"/>
        <v/>
      </c>
      <c r="V164" s="521" t="str">
        <f t="shared" si="67"/>
        <v/>
      </c>
      <c r="W164" s="537">
        <f t="shared" ref="W164:Y165" si="68">IF($S164="RK",O164,"")</f>
        <v>4.2666666886666667</v>
      </c>
      <c r="X164" s="537">
        <f t="shared" si="68"/>
        <v>18.133333426833332</v>
      </c>
      <c r="Y164" s="521">
        <f t="shared" si="68"/>
        <v>0</v>
      </c>
    </row>
    <row r="165" spans="1:25" s="29" customFormat="1" ht="12" thickBot="1">
      <c r="A165" s="224"/>
      <c r="B165" s="219" t="s">
        <v>82</v>
      </c>
      <c r="C165" s="144">
        <v>0</v>
      </c>
      <c r="D165" s="144">
        <v>0.25</v>
      </c>
      <c r="E165" s="144">
        <v>0</v>
      </c>
      <c r="F165" s="144">
        <v>0.25</v>
      </c>
      <c r="G165" s="106">
        <v>0</v>
      </c>
      <c r="H165" s="136">
        <f>SUM(C165:G165)</f>
        <v>0.5</v>
      </c>
      <c r="I165" s="137"/>
      <c r="J165" s="137"/>
      <c r="K165" s="137"/>
      <c r="L165" s="138">
        <f>((C165*$C$9)+(D165*$D$9)+(E165*$E$9)+(F165*$F$9))</f>
        <v>26.696000000000002</v>
      </c>
      <c r="M165" s="138">
        <v>0</v>
      </c>
      <c r="N165" s="139">
        <v>0</v>
      </c>
      <c r="O165" s="191">
        <f>O164</f>
        <v>4.2666666886666667</v>
      </c>
      <c r="P165" s="141">
        <f>(C165+D165+E165+F165)*O165</f>
        <v>2.1333333443333333</v>
      </c>
      <c r="Q165" s="72">
        <f>(M165+N165)*O165</f>
        <v>0</v>
      </c>
      <c r="R165" s="142">
        <f>(L165+M165+N165)*O165</f>
        <v>113.90293392064534</v>
      </c>
      <c r="S165" s="171" t="s">
        <v>259</v>
      </c>
      <c r="T165" s="536">
        <f t="shared" si="67"/>
        <v>4.2666666886666667</v>
      </c>
      <c r="U165" s="537">
        <f t="shared" si="67"/>
        <v>2.1333333443333333</v>
      </c>
      <c r="V165" s="521">
        <f t="shared" si="67"/>
        <v>0</v>
      </c>
      <c r="W165" s="537" t="str">
        <f t="shared" si="68"/>
        <v/>
      </c>
      <c r="X165" s="537" t="str">
        <f t="shared" si="68"/>
        <v/>
      </c>
      <c r="Y165" s="521" t="str">
        <f t="shared" si="68"/>
        <v/>
      </c>
    </row>
    <row r="166" spans="1:25" s="29" customFormat="1" ht="12.75" thickTop="1" thickBot="1">
      <c r="A166" s="145" t="s">
        <v>22</v>
      </c>
      <c r="B166" s="146"/>
      <c r="C166" s="152">
        <f t="shared" ref="C166:H166" si="69">(C165+C164+C162)</f>
        <v>0</v>
      </c>
      <c r="D166" s="152">
        <f t="shared" si="69"/>
        <v>3.5</v>
      </c>
      <c r="E166" s="152">
        <f t="shared" si="69"/>
        <v>44</v>
      </c>
      <c r="F166" s="152">
        <f t="shared" si="69"/>
        <v>0.25</v>
      </c>
      <c r="G166" s="152">
        <f t="shared" si="69"/>
        <v>0</v>
      </c>
      <c r="H166" s="152">
        <f t="shared" si="69"/>
        <v>47.75</v>
      </c>
      <c r="I166" s="148"/>
      <c r="J166" s="148"/>
      <c r="K166" s="148"/>
      <c r="L166" s="225">
        <f>(L165+L164+L162)</f>
        <v>2692.4800000000005</v>
      </c>
      <c r="M166" s="225">
        <f>(M165+M164+M162)</f>
        <v>0</v>
      </c>
      <c r="N166" s="226">
        <f>(N165+N164+N162)</f>
        <v>0</v>
      </c>
      <c r="O166" s="151"/>
      <c r="P166" s="152">
        <f>(P165+P164+P162)</f>
        <v>203.73333438383332</v>
      </c>
      <c r="Q166" s="227">
        <f>(Q165+Q164+Q162)</f>
        <v>0</v>
      </c>
      <c r="R166" s="227">
        <f>(R165+R164+R162)</f>
        <v>11487.914725901228</v>
      </c>
      <c r="S166" s="227"/>
      <c r="T166" s="545">
        <f t="shared" ref="T166:Y166" si="70">(T165+T164+T162)</f>
        <v>4.2666666886666667</v>
      </c>
      <c r="U166" s="545">
        <f t="shared" si="70"/>
        <v>2.1333333443333333</v>
      </c>
      <c r="V166" s="227">
        <f t="shared" si="70"/>
        <v>0</v>
      </c>
      <c r="W166" s="545">
        <f t="shared" si="70"/>
        <v>8.5333333773333333</v>
      </c>
      <c r="X166" s="545">
        <f t="shared" si="70"/>
        <v>201.6000010395</v>
      </c>
      <c r="Y166" s="227">
        <f t="shared" si="70"/>
        <v>0</v>
      </c>
    </row>
    <row r="167" spans="1:25" s="29" customFormat="1" ht="12" thickTop="1">
      <c r="A167" s="201" t="s">
        <v>47</v>
      </c>
      <c r="B167" s="202"/>
      <c r="C167" s="203"/>
      <c r="D167" s="203"/>
      <c r="E167" s="203"/>
      <c r="F167" s="203"/>
      <c r="G167" s="203"/>
      <c r="H167" s="203"/>
      <c r="I167" s="204"/>
      <c r="J167" s="204"/>
      <c r="K167" s="204"/>
      <c r="L167" s="205"/>
      <c r="M167" s="205"/>
      <c r="N167" s="206"/>
      <c r="O167" s="207"/>
      <c r="P167" s="208"/>
      <c r="Q167" s="208"/>
      <c r="R167" s="209"/>
      <c r="S167" s="11"/>
      <c r="T167" s="455"/>
      <c r="U167" s="533"/>
      <c r="W167" s="455"/>
      <c r="X167" s="455"/>
    </row>
    <row r="168" spans="1:25" s="29" customFormat="1">
      <c r="A168" s="292"/>
      <c r="B168" s="211" t="s">
        <v>80</v>
      </c>
      <c r="C168" s="212">
        <v>0</v>
      </c>
      <c r="D168" s="212">
        <v>1</v>
      </c>
      <c r="E168" s="212">
        <v>4</v>
      </c>
      <c r="F168" s="212">
        <v>0</v>
      </c>
      <c r="G168" s="212">
        <v>0</v>
      </c>
      <c r="H168" s="212">
        <f>SUM(C168:G168)</f>
        <v>5</v>
      </c>
      <c r="I168" s="213"/>
      <c r="J168" s="213"/>
      <c r="K168" s="213"/>
      <c r="L168" s="214">
        <f>((C168*$C$9)+(D168*$D$9)+(E168*$E$9)+(F168*$F$9))</f>
        <v>296.16000000000003</v>
      </c>
      <c r="M168" s="214">
        <v>0</v>
      </c>
      <c r="N168" s="185">
        <v>0</v>
      </c>
      <c r="O168" s="473">
        <f>0.2*O9</f>
        <v>8.5333333773333333</v>
      </c>
      <c r="P168" s="75">
        <f>(C168+D168+E168+F168)*O168</f>
        <v>42.666666886666668</v>
      </c>
      <c r="Q168" s="72">
        <f>(M168+N168)*O168</f>
        <v>0</v>
      </c>
      <c r="R168" s="72">
        <f>(L168+M168+N168)*O168</f>
        <v>2527.2320130310404</v>
      </c>
      <c r="S168" s="528" t="s">
        <v>254</v>
      </c>
      <c r="T168" s="536" t="str">
        <f t="shared" ref="T168:V169" si="71">IF($S168="RP",O168,"")</f>
        <v/>
      </c>
      <c r="U168" s="537" t="str">
        <f t="shared" si="71"/>
        <v/>
      </c>
      <c r="V168" s="521" t="str">
        <f t="shared" si="71"/>
        <v/>
      </c>
      <c r="W168" s="537">
        <f t="shared" ref="W168:Y169" si="72">IF($S168="RK",O168,"")</f>
        <v>8.5333333773333333</v>
      </c>
      <c r="X168" s="537">
        <f t="shared" si="72"/>
        <v>42.666666886666668</v>
      </c>
      <c r="Y168" s="521">
        <f t="shared" si="72"/>
        <v>0</v>
      </c>
    </row>
    <row r="169" spans="1:25" s="29" customFormat="1" ht="12" thickBot="1">
      <c r="A169" s="234"/>
      <c r="B169" s="219" t="s">
        <v>81</v>
      </c>
      <c r="C169" s="144">
        <v>0</v>
      </c>
      <c r="D169" s="144">
        <v>0.25</v>
      </c>
      <c r="E169" s="144">
        <v>0</v>
      </c>
      <c r="F169" s="144">
        <v>0.25</v>
      </c>
      <c r="G169" s="106">
        <v>0</v>
      </c>
      <c r="H169" s="136">
        <f>SUM(C169:G169)</f>
        <v>0.5</v>
      </c>
      <c r="I169" s="137"/>
      <c r="J169" s="137"/>
      <c r="K169" s="137"/>
      <c r="L169" s="138">
        <f>((C169*$C$9)+(D169*$D$9)+(E169*$E$9)+(F169*$F$9))</f>
        <v>26.696000000000002</v>
      </c>
      <c r="M169" s="138">
        <v>0</v>
      </c>
      <c r="N169" s="139">
        <v>0</v>
      </c>
      <c r="O169" s="474">
        <f>0.2*O9</f>
        <v>8.5333333773333333</v>
      </c>
      <c r="P169" s="141">
        <f>(C169+D169+E169+F169)*O169</f>
        <v>4.2666666886666667</v>
      </c>
      <c r="Q169" s="72">
        <f>(M169+N169)*O169</f>
        <v>0</v>
      </c>
      <c r="R169" s="142">
        <f>(L169+M169+N169)*O169</f>
        <v>227.80586784129068</v>
      </c>
      <c r="S169" s="171" t="s">
        <v>259</v>
      </c>
      <c r="T169" s="536">
        <f t="shared" si="71"/>
        <v>8.5333333773333333</v>
      </c>
      <c r="U169" s="537">
        <f t="shared" si="71"/>
        <v>4.2666666886666667</v>
      </c>
      <c r="V169" s="521">
        <f t="shared" si="71"/>
        <v>0</v>
      </c>
      <c r="W169" s="537" t="str">
        <f t="shared" si="72"/>
        <v/>
      </c>
      <c r="X169" s="537" t="str">
        <f t="shared" si="72"/>
        <v/>
      </c>
      <c r="Y169" s="521" t="str">
        <f t="shared" si="72"/>
        <v/>
      </c>
    </row>
    <row r="170" spans="1:25" s="29" customFormat="1" ht="12.75" thickTop="1" thickBot="1">
      <c r="A170" s="145" t="s">
        <v>22</v>
      </c>
      <c r="B170" s="146"/>
      <c r="C170" s="147">
        <f t="shared" ref="C170:H170" si="73">(C169+C168)</f>
        <v>0</v>
      </c>
      <c r="D170" s="147">
        <f t="shared" si="73"/>
        <v>1.25</v>
      </c>
      <c r="E170" s="147">
        <f t="shared" si="73"/>
        <v>4</v>
      </c>
      <c r="F170" s="147">
        <f t="shared" si="73"/>
        <v>0.25</v>
      </c>
      <c r="G170" s="147">
        <f t="shared" si="73"/>
        <v>0</v>
      </c>
      <c r="H170" s="147">
        <f t="shared" si="73"/>
        <v>5.5</v>
      </c>
      <c r="I170" s="148"/>
      <c r="J170" s="148"/>
      <c r="K170" s="148"/>
      <c r="L170" s="149">
        <f>(L169+L168)</f>
        <v>322.85600000000005</v>
      </c>
      <c r="M170" s="149">
        <f>(M169+M168)</f>
        <v>0</v>
      </c>
      <c r="N170" s="150">
        <f>(N169+N168)</f>
        <v>0</v>
      </c>
      <c r="O170" s="220"/>
      <c r="P170" s="147">
        <f>(P169+P168)</f>
        <v>46.933333575333336</v>
      </c>
      <c r="Q170" s="153">
        <f>(Q169+Q168)</f>
        <v>0</v>
      </c>
      <c r="R170" s="153">
        <f>(R169+R168)</f>
        <v>2755.0378808723312</v>
      </c>
      <c r="S170" s="153"/>
      <c r="T170" s="543">
        <f t="shared" ref="T170:Y170" si="74">(T169+T168)</f>
        <v>8.5333333773333333</v>
      </c>
      <c r="U170" s="543">
        <f t="shared" si="74"/>
        <v>4.2666666886666667</v>
      </c>
      <c r="V170" s="153">
        <f t="shared" si="74"/>
        <v>0</v>
      </c>
      <c r="W170" s="543">
        <f t="shared" si="74"/>
        <v>8.5333333773333333</v>
      </c>
      <c r="X170" s="543">
        <f t="shared" si="74"/>
        <v>42.666666886666668</v>
      </c>
      <c r="Y170" s="153">
        <f t="shared" si="74"/>
        <v>0</v>
      </c>
    </row>
    <row r="171" spans="1:25" s="29" customFormat="1" ht="12.75" thickTop="1" thickBot="1">
      <c r="A171" s="145"/>
      <c r="B171" s="146"/>
      <c r="C171" s="297"/>
      <c r="D171" s="101"/>
      <c r="E171" s="101"/>
      <c r="F171" s="101"/>
      <c r="G171" s="101"/>
      <c r="H171" s="101"/>
      <c r="I171" s="102"/>
      <c r="J171" s="102"/>
      <c r="K171" s="102"/>
      <c r="L171" s="103"/>
      <c r="M171" s="103"/>
      <c r="N171" s="81"/>
      <c r="O171" s="244"/>
      <c r="P171" s="101"/>
      <c r="Q171" s="101"/>
      <c r="R171" s="80"/>
      <c r="S171" s="11"/>
      <c r="T171" s="455"/>
      <c r="U171" s="533"/>
      <c r="W171" s="455"/>
      <c r="X171" s="455"/>
    </row>
    <row r="172" spans="1:25" s="29" customFormat="1" ht="12.75" thickTop="1" thickBot="1">
      <c r="A172" s="245" t="s">
        <v>205</v>
      </c>
      <c r="B172" s="246"/>
      <c r="C172" s="247"/>
      <c r="D172" s="247"/>
      <c r="E172" s="247"/>
      <c r="F172" s="247"/>
      <c r="G172" s="247"/>
      <c r="H172" s="152">
        <f>SUM(H118,H128,H134,H166,H170)</f>
        <v>165.25</v>
      </c>
      <c r="I172" s="298"/>
      <c r="J172" s="298"/>
      <c r="K172" s="298"/>
      <c r="L172" s="299">
        <f>SUM(L118,L128,L134,L166,L170)</f>
        <v>9455.4000000000015</v>
      </c>
      <c r="M172" s="299">
        <f>SUM(M118,M128,M134,M166,M170)</f>
        <v>0</v>
      </c>
      <c r="N172" s="300">
        <f>SUM(N118,N128,N134,N166,N170)</f>
        <v>42</v>
      </c>
      <c r="O172" s="301"/>
      <c r="P172" s="302">
        <f>SUM(P118,P128,P134,P166,P170)</f>
        <v>2020.0000127591666</v>
      </c>
      <c r="Q172" s="303">
        <f>SUM(Q118,Q128,Q134,Q166,Q170)</f>
        <v>738.13333603933324</v>
      </c>
      <c r="R172" s="303">
        <f>SUM(R118,R128,R134,R166,R170)</f>
        <v>116181.31131301644</v>
      </c>
      <c r="S172" s="303"/>
      <c r="T172" s="549">
        <f t="shared" ref="T172:Y172" si="75">SUM(T118,T128,T134,T166,T170)</f>
        <v>51.200000264000003</v>
      </c>
      <c r="U172" s="549">
        <f t="shared" si="75"/>
        <v>25.600000132000002</v>
      </c>
      <c r="V172" s="303">
        <f t="shared" si="75"/>
        <v>524.80000270599999</v>
      </c>
      <c r="W172" s="549">
        <f t="shared" si="75"/>
        <v>100.77777844000001</v>
      </c>
      <c r="X172" s="549">
        <f t="shared" si="75"/>
        <v>1994.4000126271667</v>
      </c>
      <c r="Y172" s="303">
        <f t="shared" si="75"/>
        <v>213.33333333333331</v>
      </c>
    </row>
    <row r="173" spans="1:25" s="29" customFormat="1" ht="12" thickTop="1">
      <c r="A173" s="87"/>
      <c r="B173" s="248"/>
      <c r="C173" s="249"/>
      <c r="D173" s="249"/>
      <c r="E173" s="249"/>
      <c r="F173" s="249"/>
      <c r="G173" s="249"/>
      <c r="H173" s="111"/>
      <c r="I173" s="304"/>
      <c r="J173" s="304"/>
      <c r="K173" s="304"/>
      <c r="L173" s="305"/>
      <c r="M173" s="305"/>
      <c r="N173" s="306"/>
      <c r="O173" s="307"/>
      <c r="P173" s="308"/>
      <c r="Q173" s="308"/>
      <c r="R173" s="306"/>
      <c r="S173" s="11"/>
      <c r="T173" s="455"/>
      <c r="U173" s="533"/>
      <c r="W173" s="455"/>
      <c r="X173" s="455"/>
    </row>
    <row r="174" spans="1:25" s="29" customFormat="1" ht="12" thickBot="1">
      <c r="A174" s="94"/>
      <c r="B174" s="248"/>
      <c r="C174" s="249"/>
      <c r="D174" s="249"/>
      <c r="E174" s="249"/>
      <c r="F174" s="249"/>
      <c r="G174" s="249"/>
      <c r="H174" s="111"/>
      <c r="I174" s="304"/>
      <c r="J174" s="304"/>
      <c r="K174" s="304"/>
      <c r="L174" s="305"/>
      <c r="M174" s="305"/>
      <c r="N174" s="309"/>
      <c r="O174" s="307"/>
      <c r="P174" s="308"/>
      <c r="Q174" s="308"/>
      <c r="R174" s="309"/>
      <c r="S174" s="11"/>
      <c r="T174" s="455"/>
      <c r="U174" s="533"/>
      <c r="W174" s="455"/>
      <c r="X174" s="455"/>
    </row>
    <row r="175" spans="1:25" s="114" customFormat="1" ht="12.75" thickTop="1" thickBot="1">
      <c r="A175" s="59" t="s">
        <v>48</v>
      </c>
      <c r="B175" s="60"/>
      <c r="C175" s="61"/>
      <c r="D175" s="61"/>
      <c r="E175" s="61"/>
      <c r="F175" s="61"/>
      <c r="G175" s="61"/>
      <c r="H175" s="61"/>
      <c r="I175" s="62"/>
      <c r="J175" s="62"/>
      <c r="K175" s="62"/>
      <c r="L175" s="63"/>
      <c r="M175" s="63"/>
      <c r="N175" s="64"/>
      <c r="O175" s="65"/>
      <c r="P175" s="66"/>
      <c r="Q175" s="66"/>
      <c r="R175" s="67"/>
      <c r="S175" s="67"/>
      <c r="T175" s="546"/>
      <c r="U175" s="546"/>
      <c r="V175" s="67"/>
      <c r="W175" s="546"/>
      <c r="X175" s="546"/>
      <c r="Y175" s="67"/>
    </row>
    <row r="176" spans="1:25" s="29" customFormat="1" ht="12" thickTop="1">
      <c r="A176" s="310" t="s">
        <v>83</v>
      </c>
      <c r="B176" s="311"/>
      <c r="C176" s="312"/>
      <c r="D176" s="312"/>
      <c r="E176" s="312"/>
      <c r="F176" s="312"/>
      <c r="G176" s="312"/>
      <c r="H176" s="312"/>
      <c r="I176" s="313"/>
      <c r="J176" s="313"/>
      <c r="K176" s="313"/>
      <c r="L176" s="314"/>
      <c r="M176" s="314"/>
      <c r="N176" s="315"/>
      <c r="O176" s="316"/>
      <c r="P176" s="317"/>
      <c r="Q176" s="317"/>
      <c r="R176" s="318"/>
      <c r="S176" s="566"/>
      <c r="T176" s="455"/>
      <c r="U176" s="533"/>
      <c r="W176" s="455"/>
      <c r="X176" s="455"/>
    </row>
    <row r="177" spans="1:25" s="29" customFormat="1" ht="12" thickBot="1">
      <c r="A177" s="319"/>
      <c r="B177" s="320" t="s">
        <v>84</v>
      </c>
      <c r="C177" s="198">
        <v>0</v>
      </c>
      <c r="D177" s="198">
        <v>0.75</v>
      </c>
      <c r="E177" s="198">
        <v>10</v>
      </c>
      <c r="F177" s="198">
        <v>0.25</v>
      </c>
      <c r="G177" s="265">
        <v>0</v>
      </c>
      <c r="H177" s="136">
        <f>SUM(C177:G177)</f>
        <v>11</v>
      </c>
      <c r="I177" s="137"/>
      <c r="J177" s="137"/>
      <c r="K177" s="137"/>
      <c r="L177" s="138">
        <f>((C177*$C$9)+(D177*$D$9)+(E177*$E$9)+(F177*$F$9))</f>
        <v>614.32800000000009</v>
      </c>
      <c r="M177" s="138">
        <v>0</v>
      </c>
      <c r="N177" s="139">
        <v>0</v>
      </c>
      <c r="O177" s="199">
        <v>0</v>
      </c>
      <c r="P177" s="141">
        <f>(C177+D177+E177+F177)*O177</f>
        <v>0</v>
      </c>
      <c r="Q177" s="72">
        <f>(M177+N177)*O177</f>
        <v>0</v>
      </c>
      <c r="R177" s="142">
        <f>(L177+M177+N177)*O177</f>
        <v>0</v>
      </c>
      <c r="S177" s="171" t="s">
        <v>254</v>
      </c>
      <c r="T177" s="536" t="str">
        <f>IF($S177="RP",O177,"")</f>
        <v/>
      </c>
      <c r="U177" s="537" t="str">
        <f>IF($S177="RP",P177,"")</f>
        <v/>
      </c>
      <c r="V177" s="521" t="str">
        <f>IF($S177="RP",Q177,"")</f>
        <v/>
      </c>
      <c r="W177" s="537">
        <f>IF($S177="RK",O177,"")</f>
        <v>0</v>
      </c>
      <c r="X177" s="537">
        <f>IF($S177="RK",P177,"")</f>
        <v>0</v>
      </c>
      <c r="Y177" s="521">
        <f>IF($S177="RK",Q177,"")</f>
        <v>0</v>
      </c>
    </row>
    <row r="178" spans="1:25" s="29" customFormat="1" ht="12.75" thickTop="1" thickBot="1">
      <c r="A178" s="321" t="s">
        <v>22</v>
      </c>
      <c r="B178" s="146"/>
      <c r="C178" s="297">
        <f t="shared" ref="C178:N178" si="76">SUM(C177:C177)</f>
        <v>0</v>
      </c>
      <c r="D178" s="297">
        <f t="shared" si="76"/>
        <v>0.75</v>
      </c>
      <c r="E178" s="297">
        <f t="shared" si="76"/>
        <v>10</v>
      </c>
      <c r="F178" s="297">
        <f t="shared" si="76"/>
        <v>0.25</v>
      </c>
      <c r="G178" s="297">
        <f t="shared" si="76"/>
        <v>0</v>
      </c>
      <c r="H178" s="297">
        <f t="shared" si="76"/>
        <v>11</v>
      </c>
      <c r="I178" s="322">
        <f t="shared" si="76"/>
        <v>0</v>
      </c>
      <c r="J178" s="322">
        <f t="shared" si="76"/>
        <v>0</v>
      </c>
      <c r="K178" s="322">
        <f t="shared" si="76"/>
        <v>0</v>
      </c>
      <c r="L178" s="149">
        <f t="shared" si="76"/>
        <v>614.32800000000009</v>
      </c>
      <c r="M178" s="323">
        <f t="shared" si="76"/>
        <v>0</v>
      </c>
      <c r="N178" s="150">
        <f t="shared" si="76"/>
        <v>0</v>
      </c>
      <c r="O178" s="324">
        <f>O177</f>
        <v>0</v>
      </c>
      <c r="P178" s="325">
        <f t="shared" ref="P178:Y178" si="77">SUM(P177:P177)</f>
        <v>0</v>
      </c>
      <c r="Q178" s="153">
        <f t="shared" si="77"/>
        <v>0</v>
      </c>
      <c r="R178" s="153">
        <f t="shared" si="77"/>
        <v>0</v>
      </c>
      <c r="S178" s="153">
        <f t="shared" si="77"/>
        <v>0</v>
      </c>
      <c r="T178" s="543">
        <f t="shared" si="77"/>
        <v>0</v>
      </c>
      <c r="U178" s="543">
        <f t="shared" si="77"/>
        <v>0</v>
      </c>
      <c r="V178" s="153">
        <f t="shared" si="77"/>
        <v>0</v>
      </c>
      <c r="W178" s="543">
        <f t="shared" si="77"/>
        <v>0</v>
      </c>
      <c r="X178" s="543">
        <f t="shared" si="77"/>
        <v>0</v>
      </c>
      <c r="Y178" s="153">
        <f t="shared" si="77"/>
        <v>0</v>
      </c>
    </row>
    <row r="179" spans="1:25" s="29" customFormat="1" ht="12" thickTop="1">
      <c r="A179" s="201" t="s">
        <v>85</v>
      </c>
      <c r="B179" s="202"/>
      <c r="C179" s="203"/>
      <c r="D179" s="203"/>
      <c r="E179" s="203"/>
      <c r="F179" s="203"/>
      <c r="G179" s="203"/>
      <c r="H179" s="203"/>
      <c r="I179" s="204"/>
      <c r="J179" s="204"/>
      <c r="K179" s="204"/>
      <c r="L179" s="205"/>
      <c r="M179" s="205"/>
      <c r="N179" s="206"/>
      <c r="O179" s="207"/>
      <c r="P179" s="208"/>
      <c r="Q179" s="208"/>
      <c r="R179" s="209"/>
      <c r="S179" s="11"/>
      <c r="T179" s="455"/>
      <c r="U179" s="533"/>
      <c r="W179" s="455"/>
      <c r="X179" s="455"/>
    </row>
    <row r="180" spans="1:25" s="29" customFormat="1">
      <c r="A180" s="326"/>
      <c r="B180" s="327" t="s">
        <v>86</v>
      </c>
      <c r="C180" s="328"/>
      <c r="D180" s="117"/>
      <c r="E180" s="117"/>
      <c r="F180" s="117"/>
      <c r="G180" s="117"/>
      <c r="H180" s="117"/>
      <c r="I180" s="118"/>
      <c r="J180" s="118"/>
      <c r="K180" s="118"/>
      <c r="L180" s="119"/>
      <c r="M180" s="119"/>
      <c r="N180" s="120"/>
      <c r="O180" s="121"/>
      <c r="P180" s="122"/>
      <c r="Q180" s="519"/>
      <c r="R180" s="329"/>
      <c r="S180" s="529"/>
      <c r="T180" s="37"/>
      <c r="U180" s="550"/>
      <c r="V180" s="114"/>
      <c r="W180" s="37"/>
      <c r="X180" s="37"/>
      <c r="Y180" s="114"/>
    </row>
    <row r="181" spans="1:25" s="29" customFormat="1">
      <c r="A181" s="326"/>
      <c r="B181" s="330" t="s">
        <v>87</v>
      </c>
      <c r="C181" s="328"/>
      <c r="D181" s="331"/>
      <c r="E181" s="331"/>
      <c r="F181" s="331"/>
      <c r="G181" s="331"/>
      <c r="H181" s="331"/>
      <c r="I181" s="332"/>
      <c r="J181" s="332"/>
      <c r="K181" s="332"/>
      <c r="L181" s="333"/>
      <c r="M181" s="333"/>
      <c r="N181" s="334"/>
      <c r="O181" s="335"/>
      <c r="P181" s="336"/>
      <c r="Q181" s="519"/>
      <c r="R181" s="329"/>
      <c r="S181" s="187"/>
      <c r="T181" s="548"/>
      <c r="U181" s="541"/>
      <c r="V181" s="172"/>
      <c r="W181" s="548"/>
      <c r="X181" s="548"/>
      <c r="Y181" s="172"/>
    </row>
    <row r="182" spans="1:25" s="172" customFormat="1">
      <c r="A182" s="215"/>
      <c r="B182" s="296" t="s">
        <v>88</v>
      </c>
      <c r="C182" s="265">
        <v>0</v>
      </c>
      <c r="D182" s="337">
        <v>0.5</v>
      </c>
      <c r="E182" s="337">
        <v>10</v>
      </c>
      <c r="F182" s="337">
        <v>0</v>
      </c>
      <c r="G182" s="337">
        <v>0</v>
      </c>
      <c r="H182" s="166">
        <f>SUM(C182:G182)</f>
        <v>10.5</v>
      </c>
      <c r="I182" s="167"/>
      <c r="J182" s="167"/>
      <c r="K182" s="167"/>
      <c r="L182" s="168">
        <f>((C182*$C$9)+(D182*$D$9)+(E182*$E$9)+(F182*$F$9))</f>
        <v>587.63200000000006</v>
      </c>
      <c r="M182" s="168">
        <v>0</v>
      </c>
      <c r="N182" s="169">
        <v>0</v>
      </c>
      <c r="O182" s="338">
        <f>0.1*O9</f>
        <v>4.2666666886666667</v>
      </c>
      <c r="P182" s="170">
        <f>(C182+D182+E182+F182)*O182</f>
        <v>44.800000230999999</v>
      </c>
      <c r="Q182" s="72">
        <f>(M182+N182)*O182</f>
        <v>0</v>
      </c>
      <c r="R182" s="142">
        <f>(L182+M182+N182)*O182</f>
        <v>2507.2298795945708</v>
      </c>
      <c r="S182" s="171" t="s">
        <v>254</v>
      </c>
      <c r="T182" s="536" t="str">
        <f>IF($S182="RP",O182,"")</f>
        <v/>
      </c>
      <c r="U182" s="537" t="str">
        <f>IF($S182="RP",P182,"")</f>
        <v/>
      </c>
      <c r="V182" s="521" t="str">
        <f>IF($S182="RP",Q182,"")</f>
        <v/>
      </c>
      <c r="W182" s="537">
        <f>IF($S182="RK",O182,"")</f>
        <v>4.2666666886666667</v>
      </c>
      <c r="X182" s="537">
        <f>IF($S182="RK",P182,"")</f>
        <v>44.800000230999999</v>
      </c>
      <c r="Y182" s="521">
        <f>IF($S182="RK",Q182,"")</f>
        <v>0</v>
      </c>
    </row>
    <row r="183" spans="1:25" s="29" customFormat="1">
      <c r="A183" s="228"/>
      <c r="B183" s="339" t="s">
        <v>89</v>
      </c>
      <c r="C183" s="106"/>
      <c r="D183" s="340"/>
      <c r="E183" s="340"/>
      <c r="F183" s="340"/>
      <c r="G183" s="340"/>
      <c r="H183" s="340"/>
      <c r="I183" s="341"/>
      <c r="J183" s="341"/>
      <c r="K183" s="341"/>
      <c r="L183" s="342"/>
      <c r="M183" s="342"/>
      <c r="N183" s="177"/>
      <c r="O183" s="250"/>
      <c r="P183" s="343"/>
      <c r="Q183" s="343"/>
      <c r="R183" s="179"/>
      <c r="S183" s="11"/>
      <c r="T183" s="455"/>
      <c r="U183" s="533"/>
      <c r="W183" s="455"/>
      <c r="X183" s="455"/>
    </row>
    <row r="184" spans="1:25" s="172" customFormat="1">
      <c r="A184" s="215"/>
      <c r="B184" s="296" t="s">
        <v>90</v>
      </c>
      <c r="C184" s="265">
        <v>0</v>
      </c>
      <c r="D184" s="337">
        <v>1</v>
      </c>
      <c r="E184" s="337">
        <v>10</v>
      </c>
      <c r="F184" s="337">
        <v>0</v>
      </c>
      <c r="G184" s="337">
        <v>0</v>
      </c>
      <c r="H184" s="166">
        <f>SUM(C184:G184)</f>
        <v>11</v>
      </c>
      <c r="I184" s="167"/>
      <c r="J184" s="167"/>
      <c r="K184" s="167"/>
      <c r="L184" s="168">
        <f>((C184*$C$9)+(D184*$D$9)+(E184*$E$9)+(F184*$F$9))</f>
        <v>625.82400000000007</v>
      </c>
      <c r="M184" s="168">
        <v>0</v>
      </c>
      <c r="N184" s="169">
        <v>0</v>
      </c>
      <c r="O184" s="338">
        <f>O182</f>
        <v>4.2666666886666667</v>
      </c>
      <c r="P184" s="170">
        <f>(C184+D184+E184+F184)*O184</f>
        <v>46.933333575333336</v>
      </c>
      <c r="Q184" s="72">
        <f>(M184+N184)*O184</f>
        <v>0</v>
      </c>
      <c r="R184" s="142">
        <f>(L184+M184+N184)*O184</f>
        <v>2670.1824137681283</v>
      </c>
      <c r="S184" s="171" t="s">
        <v>254</v>
      </c>
      <c r="T184" s="536" t="str">
        <f>IF($S184="RP",O184,"")</f>
        <v/>
      </c>
      <c r="U184" s="537" t="str">
        <f>IF($S184="RP",P184,"")</f>
        <v/>
      </c>
      <c r="V184" s="521" t="str">
        <f>IF($S184="RP",Q184,"")</f>
        <v/>
      </c>
      <c r="W184" s="537">
        <f>IF($S184="RK",O184,"")</f>
        <v>4.2666666886666667</v>
      </c>
      <c r="X184" s="537">
        <f>IF($S184="RK",P184,"")</f>
        <v>46.933333575333336</v>
      </c>
      <c r="Y184" s="521">
        <f>IF($S184="RK",Q184,"")</f>
        <v>0</v>
      </c>
    </row>
    <row r="185" spans="1:25" s="29" customFormat="1">
      <c r="A185" s="228"/>
      <c r="B185" s="339" t="s">
        <v>200</v>
      </c>
      <c r="C185" s="106"/>
      <c r="D185" s="340"/>
      <c r="E185" s="340"/>
      <c r="F185" s="340"/>
      <c r="G185" s="340"/>
      <c r="H185" s="340"/>
      <c r="I185" s="341"/>
      <c r="J185" s="341"/>
      <c r="K185" s="341"/>
      <c r="L185" s="342"/>
      <c r="M185" s="342"/>
      <c r="N185" s="177"/>
      <c r="O185" s="250"/>
      <c r="P185" s="343"/>
      <c r="Q185" s="343"/>
      <c r="R185" s="179"/>
      <c r="S185" s="11"/>
      <c r="T185" s="455"/>
      <c r="U185" s="533"/>
      <c r="W185" s="455"/>
      <c r="X185" s="455"/>
    </row>
    <row r="186" spans="1:25" s="172" customFormat="1">
      <c r="A186" s="215"/>
      <c r="B186" s="296" t="s">
        <v>91</v>
      </c>
      <c r="C186" s="265">
        <v>0</v>
      </c>
      <c r="D186" s="337">
        <v>0.25</v>
      </c>
      <c r="E186" s="337">
        <v>0</v>
      </c>
      <c r="F186" s="337">
        <v>0.25</v>
      </c>
      <c r="G186" s="337">
        <v>0</v>
      </c>
      <c r="H186" s="166">
        <f>SUM(C186:G186)</f>
        <v>0.5</v>
      </c>
      <c r="I186" s="167"/>
      <c r="J186" s="167"/>
      <c r="K186" s="167"/>
      <c r="L186" s="168">
        <f>((C186*$C$9)+(D186*$D$9)+(E186*$E$9)+(F186*$F$9))</f>
        <v>26.696000000000002</v>
      </c>
      <c r="M186" s="168">
        <v>0</v>
      </c>
      <c r="N186" s="169">
        <v>1</v>
      </c>
      <c r="O186" s="338">
        <f>O182</f>
        <v>4.2666666886666667</v>
      </c>
      <c r="P186" s="170">
        <f>(C186+D186+E186+F186)*O186</f>
        <v>2.1333333443333333</v>
      </c>
      <c r="Q186" s="72">
        <f>(M186+N186)*O186</f>
        <v>4.2666666886666667</v>
      </c>
      <c r="R186" s="142">
        <f>(L186+M186+N186)*O186</f>
        <v>118.169600609312</v>
      </c>
      <c r="S186" s="171" t="s">
        <v>259</v>
      </c>
      <c r="T186" s="536">
        <f>IF($S186="RP",O186,"")</f>
        <v>4.2666666886666667</v>
      </c>
      <c r="U186" s="537">
        <f>IF($S186="RP",P186,"")</f>
        <v>2.1333333443333333</v>
      </c>
      <c r="V186" s="521">
        <f>IF($S186="RP",Q186,"")</f>
        <v>4.2666666886666667</v>
      </c>
      <c r="W186" s="537" t="str">
        <f>IF($S186="RK",O186,"")</f>
        <v/>
      </c>
      <c r="X186" s="537" t="str">
        <f>IF($S186="RK",P186,"")</f>
        <v/>
      </c>
      <c r="Y186" s="521" t="str">
        <f>IF($S186="RK",Q186,"")</f>
        <v/>
      </c>
    </row>
    <row r="187" spans="1:25" s="29" customFormat="1">
      <c r="A187" s="228"/>
      <c r="B187" s="339" t="s">
        <v>92</v>
      </c>
      <c r="C187" s="106"/>
      <c r="D187" s="340"/>
      <c r="E187" s="340"/>
      <c r="F187" s="340"/>
      <c r="G187" s="340"/>
      <c r="H187" s="340"/>
      <c r="I187" s="341"/>
      <c r="J187" s="341"/>
      <c r="K187" s="341"/>
      <c r="L187" s="342"/>
      <c r="M187" s="342"/>
      <c r="N187" s="177"/>
      <c r="O187" s="250"/>
      <c r="P187" s="343"/>
      <c r="Q187" s="343"/>
      <c r="R187" s="179"/>
      <c r="S187" s="11"/>
      <c r="T187" s="455"/>
      <c r="U187" s="533"/>
      <c r="W187" s="455"/>
      <c r="X187" s="455"/>
    </row>
    <row r="188" spans="1:25" s="29" customFormat="1" ht="12" thickBot="1">
      <c r="A188" s="228"/>
      <c r="B188" s="344" t="s">
        <v>93</v>
      </c>
      <c r="C188" s="265">
        <v>0</v>
      </c>
      <c r="D188" s="337">
        <v>0.25</v>
      </c>
      <c r="E188" s="337">
        <v>0</v>
      </c>
      <c r="F188" s="337">
        <v>0.25</v>
      </c>
      <c r="G188" s="337">
        <v>0</v>
      </c>
      <c r="H188" s="166">
        <f>SUM(C188:G188)</f>
        <v>0.5</v>
      </c>
      <c r="I188" s="167"/>
      <c r="J188" s="167"/>
      <c r="K188" s="167"/>
      <c r="L188" s="168">
        <f>((C188*$C$9)+(D188*$D$9)+(E188*$E$9)+(F188*$F$9))</f>
        <v>26.696000000000002</v>
      </c>
      <c r="M188" s="168">
        <v>0</v>
      </c>
      <c r="N188" s="169">
        <v>1</v>
      </c>
      <c r="O188" s="338">
        <f>O182</f>
        <v>4.2666666886666667</v>
      </c>
      <c r="P188" s="170">
        <f>(C188+D188+E188+F188)*O188</f>
        <v>2.1333333443333333</v>
      </c>
      <c r="Q188" s="72">
        <f>(M188+N188)*O188</f>
        <v>4.2666666886666667</v>
      </c>
      <c r="R188" s="142">
        <f>(L188+M188+N188)*O188</f>
        <v>118.169600609312</v>
      </c>
      <c r="S188" s="171" t="s">
        <v>259</v>
      </c>
      <c r="T188" s="536">
        <f>IF($S188="RP",O188,"")</f>
        <v>4.2666666886666667</v>
      </c>
      <c r="U188" s="537">
        <f>IF($S188="RP",P188,"")</f>
        <v>2.1333333443333333</v>
      </c>
      <c r="V188" s="521">
        <f>IF($S188="RP",Q188,"")</f>
        <v>4.2666666886666667</v>
      </c>
      <c r="W188" s="537" t="str">
        <f>IF($S188="RK",O188,"")</f>
        <v/>
      </c>
      <c r="X188" s="537" t="str">
        <f>IF($S188="RK",P188,"")</f>
        <v/>
      </c>
      <c r="Y188" s="521" t="str">
        <f>IF($S188="RK",Q188,"")</f>
        <v/>
      </c>
    </row>
    <row r="189" spans="1:25" s="29" customFormat="1" ht="12.75" thickTop="1" thickBot="1">
      <c r="A189" s="321" t="s">
        <v>22</v>
      </c>
      <c r="B189" s="146"/>
      <c r="C189" s="297">
        <f t="shared" ref="C189:H189" si="78">C182+C184+C186+C188</f>
        <v>0</v>
      </c>
      <c r="D189" s="297">
        <f t="shared" si="78"/>
        <v>2</v>
      </c>
      <c r="E189" s="297">
        <f t="shared" si="78"/>
        <v>20</v>
      </c>
      <c r="F189" s="297">
        <f t="shared" si="78"/>
        <v>0.5</v>
      </c>
      <c r="G189" s="297">
        <f t="shared" si="78"/>
        <v>0</v>
      </c>
      <c r="H189" s="297">
        <f t="shared" si="78"/>
        <v>22.5</v>
      </c>
      <c r="I189" s="322">
        <f>I182</f>
        <v>0</v>
      </c>
      <c r="J189" s="322">
        <f>J182</f>
        <v>0</v>
      </c>
      <c r="K189" s="322">
        <f>K182</f>
        <v>0</v>
      </c>
      <c r="L189" s="323">
        <f>L182+L184+L186+L188</f>
        <v>1266.848</v>
      </c>
      <c r="M189" s="323">
        <f>M182+M184+M186+M188</f>
        <v>0</v>
      </c>
      <c r="N189" s="150">
        <f>N182+N184+N186+N188</f>
        <v>2</v>
      </c>
      <c r="O189" s="345"/>
      <c r="P189" s="297">
        <f>P182+P184+P186+P188</f>
        <v>96.000000495000009</v>
      </c>
      <c r="Q189" s="153">
        <f>Q182+Q184+Q186+Q188</f>
        <v>8.5333333773333333</v>
      </c>
      <c r="R189" s="153">
        <f>R182+R184+R186+R188</f>
        <v>5413.7514945813218</v>
      </c>
      <c r="S189" s="153"/>
      <c r="T189" s="543">
        <f t="shared" ref="T189:Y189" si="79">T182+T184+T186+T188</f>
        <v>8.5333333773333333</v>
      </c>
      <c r="U189" s="543">
        <f t="shared" si="79"/>
        <v>4.2666666886666667</v>
      </c>
      <c r="V189" s="153">
        <f t="shared" si="79"/>
        <v>8.5333333773333333</v>
      </c>
      <c r="W189" s="543">
        <f t="shared" si="79"/>
        <v>8.5333333773333333</v>
      </c>
      <c r="X189" s="543">
        <f t="shared" si="79"/>
        <v>91.733333806333334</v>
      </c>
      <c r="Y189" s="153">
        <f t="shared" si="79"/>
        <v>0</v>
      </c>
    </row>
    <row r="190" spans="1:25" s="29" customFormat="1" ht="12" thickTop="1">
      <c r="A190" s="201" t="s">
        <v>105</v>
      </c>
      <c r="B190" s="202"/>
      <c r="C190" s="203"/>
      <c r="D190" s="203"/>
      <c r="E190" s="203"/>
      <c r="F190" s="203"/>
      <c r="G190" s="203"/>
      <c r="H190" s="203"/>
      <c r="I190" s="204"/>
      <c r="J190" s="204"/>
      <c r="K190" s="204"/>
      <c r="L190" s="205"/>
      <c r="M190" s="205"/>
      <c r="N190" s="206"/>
      <c r="O190" s="207"/>
      <c r="P190" s="208"/>
      <c r="Q190" s="208"/>
      <c r="R190" s="209"/>
      <c r="S190" s="11"/>
      <c r="T190" s="455"/>
      <c r="U190" s="533"/>
      <c r="W190" s="455"/>
      <c r="X190" s="455"/>
    </row>
    <row r="191" spans="1:25" s="29" customFormat="1" ht="12" thickBot="1">
      <c r="A191" s="346"/>
      <c r="B191" s="347" t="s">
        <v>106</v>
      </c>
      <c r="C191" s="348">
        <v>0</v>
      </c>
      <c r="D191" s="348">
        <v>1</v>
      </c>
      <c r="E191" s="348">
        <v>4</v>
      </c>
      <c r="F191" s="348">
        <v>0</v>
      </c>
      <c r="G191" s="348">
        <v>0</v>
      </c>
      <c r="H191" s="136">
        <f>SUM(C191:G191)</f>
        <v>5</v>
      </c>
      <c r="I191" s="137"/>
      <c r="J191" s="137"/>
      <c r="K191" s="137"/>
      <c r="L191" s="138">
        <f>((C191*$C$9)+(D191*$D$9)+(E191*$E$9)+(F191*$F$9))</f>
        <v>296.16000000000003</v>
      </c>
      <c r="M191" s="138">
        <v>0</v>
      </c>
      <c r="N191" s="139">
        <v>0</v>
      </c>
      <c r="O191" s="478">
        <f>39/3*2</f>
        <v>26</v>
      </c>
      <c r="P191" s="141">
        <f>(C191+D191+E191+F191)*O191</f>
        <v>130</v>
      </c>
      <c r="Q191" s="72">
        <f>(M191+N191)*O191</f>
        <v>0</v>
      </c>
      <c r="R191" s="142">
        <f>(L191+M191+N191)*O191</f>
        <v>7700.1600000000008</v>
      </c>
      <c r="S191" s="565" t="s">
        <v>254</v>
      </c>
      <c r="T191" s="536" t="str">
        <f>IF($S191="RP",O191,"")</f>
        <v/>
      </c>
      <c r="U191" s="537" t="str">
        <f>IF($S191="RP",P191,"")</f>
        <v/>
      </c>
      <c r="V191" s="521" t="str">
        <f>IF($S191="RP",Q191,"")</f>
        <v/>
      </c>
      <c r="W191" s="537">
        <f>IF($S191="RK",O191,"")</f>
        <v>26</v>
      </c>
      <c r="X191" s="537">
        <f>IF($S191="RK",P191,"")</f>
        <v>130</v>
      </c>
      <c r="Y191" s="521">
        <f>IF($S191="RK",Q191,"")</f>
        <v>0</v>
      </c>
    </row>
    <row r="192" spans="1:25" s="29" customFormat="1" ht="12.75" thickTop="1" thickBot="1">
      <c r="A192" s="321" t="s">
        <v>22</v>
      </c>
      <c r="B192" s="146"/>
      <c r="C192" s="297">
        <f t="shared" ref="C192:N192" si="80">C191</f>
        <v>0</v>
      </c>
      <c r="D192" s="297">
        <f t="shared" si="80"/>
        <v>1</v>
      </c>
      <c r="E192" s="297">
        <f t="shared" si="80"/>
        <v>4</v>
      </c>
      <c r="F192" s="297">
        <f t="shared" si="80"/>
        <v>0</v>
      </c>
      <c r="G192" s="297">
        <f t="shared" si="80"/>
        <v>0</v>
      </c>
      <c r="H192" s="297">
        <f t="shared" si="80"/>
        <v>5</v>
      </c>
      <c r="I192" s="322">
        <f t="shared" si="80"/>
        <v>0</v>
      </c>
      <c r="J192" s="322">
        <f t="shared" si="80"/>
        <v>0</v>
      </c>
      <c r="K192" s="322">
        <f t="shared" si="80"/>
        <v>0</v>
      </c>
      <c r="L192" s="323">
        <f t="shared" si="80"/>
        <v>296.16000000000003</v>
      </c>
      <c r="M192" s="323">
        <f t="shared" si="80"/>
        <v>0</v>
      </c>
      <c r="N192" s="150">
        <f t="shared" si="80"/>
        <v>0</v>
      </c>
      <c r="O192" s="480"/>
      <c r="P192" s="325">
        <f>P191</f>
        <v>130</v>
      </c>
      <c r="Q192" s="153">
        <f>Q191</f>
        <v>0</v>
      </c>
      <c r="R192" s="153">
        <f>R191</f>
        <v>7700.1600000000008</v>
      </c>
      <c r="S192" s="554"/>
      <c r="T192" s="543" t="str">
        <f t="shared" ref="T192:Y192" si="81">T191</f>
        <v/>
      </c>
      <c r="U192" s="543" t="str">
        <f t="shared" si="81"/>
        <v/>
      </c>
      <c r="V192" s="153" t="str">
        <f t="shared" si="81"/>
        <v/>
      </c>
      <c r="W192" s="543">
        <f t="shared" si="81"/>
        <v>26</v>
      </c>
      <c r="X192" s="543">
        <f t="shared" si="81"/>
        <v>130</v>
      </c>
      <c r="Y192" s="153">
        <f t="shared" si="81"/>
        <v>0</v>
      </c>
    </row>
    <row r="193" spans="1:25" s="29" customFormat="1" ht="12" thickTop="1">
      <c r="A193" s="201" t="s">
        <v>107</v>
      </c>
      <c r="B193" s="202"/>
      <c r="C193" s="203"/>
      <c r="D193" s="203"/>
      <c r="E193" s="203"/>
      <c r="F193" s="203"/>
      <c r="G193" s="203"/>
      <c r="H193" s="203"/>
      <c r="I193" s="204"/>
      <c r="J193" s="204"/>
      <c r="K193" s="204"/>
      <c r="L193" s="205"/>
      <c r="M193" s="205"/>
      <c r="N193" s="206"/>
      <c r="O193" s="477"/>
      <c r="P193" s="208"/>
      <c r="Q193" s="208"/>
      <c r="R193" s="209"/>
      <c r="S193" s="11"/>
      <c r="T193" s="455"/>
      <c r="U193" s="533"/>
      <c r="W193" s="455"/>
      <c r="X193" s="455"/>
    </row>
    <row r="194" spans="1:25" s="29" customFormat="1">
      <c r="A194" s="346"/>
      <c r="B194" s="350" t="s">
        <v>108</v>
      </c>
      <c r="C194" s="348">
        <v>0</v>
      </c>
      <c r="D194" s="348">
        <v>1</v>
      </c>
      <c r="E194" s="348">
        <v>4</v>
      </c>
      <c r="F194" s="348">
        <v>0</v>
      </c>
      <c r="G194" s="348">
        <v>0</v>
      </c>
      <c r="H194" s="136">
        <f>SUM(C194:G194)</f>
        <v>5</v>
      </c>
      <c r="I194" s="137"/>
      <c r="J194" s="137"/>
      <c r="K194" s="137"/>
      <c r="L194" s="138">
        <f>((C194*$C$9)+(D194*$D$9)+(E194*$E$9)+(F194*$F$9))</f>
        <v>296.16000000000003</v>
      </c>
      <c r="M194" s="138">
        <v>0</v>
      </c>
      <c r="N194" s="139">
        <v>0</v>
      </c>
      <c r="O194" s="478">
        <f>O9</f>
        <v>42.666666886666668</v>
      </c>
      <c r="P194" s="141">
        <f>(C194+D194+E194+F194)*O194</f>
        <v>213.33333443333333</v>
      </c>
      <c r="Q194" s="72">
        <f>(M194+N194)*O194</f>
        <v>0</v>
      </c>
      <c r="R194" s="142">
        <f>(L194+M194+N194)*O194</f>
        <v>12636.160065155202</v>
      </c>
      <c r="S194" s="528" t="s">
        <v>254</v>
      </c>
      <c r="T194" s="536" t="str">
        <f>IF($S194="RP",O194,"")</f>
        <v/>
      </c>
      <c r="U194" s="537" t="str">
        <f>IF($S194="RP",P194,"")</f>
        <v/>
      </c>
      <c r="V194" s="521" t="str">
        <f>IF($S194="RP",Q194,"")</f>
        <v/>
      </c>
      <c r="W194" s="537">
        <f>IF($S194="RK",O194,"")</f>
        <v>42.666666886666668</v>
      </c>
      <c r="X194" s="537">
        <f>IF($S194="RK",P194,"")</f>
        <v>213.33333443333333</v>
      </c>
      <c r="Y194" s="521">
        <f>IF($S194="RK",Q194,"")</f>
        <v>0</v>
      </c>
    </row>
    <row r="195" spans="1:25" s="29" customFormat="1">
      <c r="A195" s="351"/>
      <c r="B195" s="352" t="s">
        <v>109</v>
      </c>
      <c r="C195" s="340"/>
      <c r="D195" s="340"/>
      <c r="E195" s="340"/>
      <c r="F195" s="340"/>
      <c r="G195" s="340"/>
      <c r="H195" s="340"/>
      <c r="I195" s="341"/>
      <c r="J195" s="341"/>
      <c r="K195" s="341"/>
      <c r="L195" s="342"/>
      <c r="M195" s="342"/>
      <c r="N195" s="177"/>
      <c r="O195" s="250"/>
      <c r="P195" s="343"/>
      <c r="Q195" s="343"/>
      <c r="R195" s="179"/>
      <c r="S195" s="11"/>
      <c r="T195" s="455"/>
      <c r="U195" s="533"/>
      <c r="W195" s="455"/>
      <c r="X195" s="455"/>
    </row>
    <row r="196" spans="1:25" s="29" customFormat="1">
      <c r="A196" s="353"/>
      <c r="B196" s="354" t="s">
        <v>110</v>
      </c>
      <c r="C196" s="348">
        <v>0</v>
      </c>
      <c r="D196" s="348">
        <v>0.5</v>
      </c>
      <c r="E196" s="348">
        <v>2</v>
      </c>
      <c r="F196" s="348">
        <v>0</v>
      </c>
      <c r="G196" s="348">
        <v>0</v>
      </c>
      <c r="H196" s="136">
        <f>SUM(C196:G196)</f>
        <v>2.5</v>
      </c>
      <c r="I196" s="137"/>
      <c r="J196" s="137"/>
      <c r="K196" s="137"/>
      <c r="L196" s="138">
        <f>((C196*$C$9)+(D196*$D$9)+(E196*$E$9)+(F196*$F$9))</f>
        <v>148.08000000000001</v>
      </c>
      <c r="M196" s="138">
        <v>0</v>
      </c>
      <c r="N196" s="139">
        <v>0</v>
      </c>
      <c r="O196" s="349">
        <v>0</v>
      </c>
      <c r="P196" s="141">
        <f>(C196+D196+E196+F196)*O196</f>
        <v>0</v>
      </c>
      <c r="Q196" s="72">
        <f>(M196+N196)*O196</f>
        <v>0</v>
      </c>
      <c r="R196" s="142">
        <f>(L196+M196+N196)*O196</f>
        <v>0</v>
      </c>
      <c r="S196" s="528" t="s">
        <v>254</v>
      </c>
      <c r="T196" s="536" t="str">
        <f>IF($S196="RP",O196,"")</f>
        <v/>
      </c>
      <c r="U196" s="537" t="str">
        <f>IF($S196="RP",P196,"")</f>
        <v/>
      </c>
      <c r="V196" s="521" t="str">
        <f>IF($S196="RP",Q196,"")</f>
        <v/>
      </c>
      <c r="W196" s="537">
        <f>IF($S196="RK",O196,"")</f>
        <v>0</v>
      </c>
      <c r="X196" s="537">
        <f>IF($S196="RK",P196,"")</f>
        <v>0</v>
      </c>
      <c r="Y196" s="521">
        <f>IF($S196="RK",Q196,"")</f>
        <v>0</v>
      </c>
    </row>
    <row r="197" spans="1:25" s="29" customFormat="1">
      <c r="A197" s="351"/>
      <c r="B197" s="352" t="s">
        <v>118</v>
      </c>
      <c r="C197" s="340"/>
      <c r="D197" s="340"/>
      <c r="E197" s="340"/>
      <c r="F197" s="340"/>
      <c r="G197" s="340"/>
      <c r="H197" s="340"/>
      <c r="I197" s="341"/>
      <c r="J197" s="341"/>
      <c r="K197" s="341"/>
      <c r="L197" s="342"/>
      <c r="M197" s="342"/>
      <c r="N197" s="177"/>
      <c r="O197" s="250"/>
      <c r="P197" s="343"/>
      <c r="Q197" s="343"/>
      <c r="R197" s="179"/>
      <c r="S197" s="11"/>
      <c r="T197" s="455"/>
      <c r="U197" s="533"/>
      <c r="W197" s="455"/>
      <c r="X197" s="455"/>
    </row>
    <row r="198" spans="1:25" s="29" customFormat="1">
      <c r="A198" s="353"/>
      <c r="B198" s="354" t="s">
        <v>111</v>
      </c>
      <c r="C198" s="348">
        <v>0</v>
      </c>
      <c r="D198" s="348">
        <v>0.5</v>
      </c>
      <c r="E198" s="348">
        <v>2</v>
      </c>
      <c r="F198" s="348">
        <v>0</v>
      </c>
      <c r="G198" s="348">
        <v>0</v>
      </c>
      <c r="H198" s="136">
        <f>SUM(C198:G198)</f>
        <v>2.5</v>
      </c>
      <c r="I198" s="137"/>
      <c r="J198" s="137"/>
      <c r="K198" s="137"/>
      <c r="L198" s="138">
        <f>((C198*$C$9)+(D198*$D$9)+(E198*$E$9)+(F198*$F$9))</f>
        <v>148.08000000000001</v>
      </c>
      <c r="M198" s="138">
        <v>0</v>
      </c>
      <c r="N198" s="139">
        <v>0</v>
      </c>
      <c r="O198" s="349">
        <v>0</v>
      </c>
      <c r="P198" s="141">
        <f>(C198+D198+E198+F198)*O198</f>
        <v>0</v>
      </c>
      <c r="Q198" s="72">
        <f>(M198+N198)*O198</f>
        <v>0</v>
      </c>
      <c r="R198" s="142">
        <f>(L198+M198+N198)*O198</f>
        <v>0</v>
      </c>
      <c r="S198" s="528" t="s">
        <v>254</v>
      </c>
      <c r="T198" s="536" t="str">
        <f>IF($S198="RP",O198,"")</f>
        <v/>
      </c>
      <c r="U198" s="537" t="str">
        <f>IF($S198="RP",P198,"")</f>
        <v/>
      </c>
      <c r="V198" s="521" t="str">
        <f>IF($S198="RP",Q198,"")</f>
        <v/>
      </c>
      <c r="W198" s="537">
        <f>IF($S198="RK",O198,"")</f>
        <v>0</v>
      </c>
      <c r="X198" s="537">
        <f>IF($S198="RK",P198,"")</f>
        <v>0</v>
      </c>
      <c r="Y198" s="521">
        <f>IF($S198="RK",Q198,"")</f>
        <v>0</v>
      </c>
    </row>
    <row r="199" spans="1:25" s="29" customFormat="1">
      <c r="A199" s="351"/>
      <c r="B199" s="352" t="s">
        <v>112</v>
      </c>
      <c r="C199" s="340"/>
      <c r="D199" s="340"/>
      <c r="E199" s="340"/>
      <c r="F199" s="340"/>
      <c r="G199" s="340"/>
      <c r="H199" s="340"/>
      <c r="I199" s="341"/>
      <c r="J199" s="341"/>
      <c r="K199" s="341"/>
      <c r="L199" s="342"/>
      <c r="M199" s="342"/>
      <c r="N199" s="177"/>
      <c r="O199" s="250"/>
      <c r="P199" s="343"/>
      <c r="Q199" s="343"/>
      <c r="R199" s="179"/>
      <c r="S199" s="11"/>
      <c r="T199" s="455"/>
      <c r="U199" s="533"/>
      <c r="W199" s="455"/>
      <c r="X199" s="455"/>
    </row>
    <row r="200" spans="1:25" s="29" customFormat="1">
      <c r="A200" s="353"/>
      <c r="B200" s="354" t="s">
        <v>113</v>
      </c>
      <c r="C200" s="348">
        <v>0</v>
      </c>
      <c r="D200" s="348">
        <v>0.5</v>
      </c>
      <c r="E200" s="348">
        <v>0</v>
      </c>
      <c r="F200" s="348">
        <v>0</v>
      </c>
      <c r="G200" s="348">
        <v>0.25</v>
      </c>
      <c r="H200" s="136">
        <f>SUM(C200:G200)</f>
        <v>0.75</v>
      </c>
      <c r="I200" s="137"/>
      <c r="J200" s="137"/>
      <c r="K200" s="137"/>
      <c r="L200" s="138">
        <f>((C200*$C$9)+(D200*$D$9)+(E200*$E$9)+(F200*$F$9))</f>
        <v>38.192</v>
      </c>
      <c r="M200" s="138">
        <v>0</v>
      </c>
      <c r="N200" s="139">
        <v>1</v>
      </c>
      <c r="O200" s="349">
        <v>0</v>
      </c>
      <c r="P200" s="141">
        <f>(C200+D200+E200+F200)*O200</f>
        <v>0</v>
      </c>
      <c r="Q200" s="72">
        <f>(M200+N200)*O200</f>
        <v>0</v>
      </c>
      <c r="R200" s="142">
        <f>(L200+M200+N200)*O200</f>
        <v>0</v>
      </c>
      <c r="S200" s="528" t="s">
        <v>259</v>
      </c>
      <c r="T200" s="536">
        <f>IF($S200="RP",O200,"")</f>
        <v>0</v>
      </c>
      <c r="U200" s="537">
        <f>IF($S200="RP",P200,"")</f>
        <v>0</v>
      </c>
      <c r="V200" s="521">
        <f>IF($S200="RP",Q200,"")</f>
        <v>0</v>
      </c>
      <c r="W200" s="537" t="str">
        <f>IF($S200="RK",O200,"")</f>
        <v/>
      </c>
      <c r="X200" s="537" t="str">
        <f>IF($S200="RK",P200,"")</f>
        <v/>
      </c>
      <c r="Y200" s="521" t="str">
        <f>IF($S200="RK",Q200,"")</f>
        <v/>
      </c>
    </row>
    <row r="201" spans="1:25" s="29" customFormat="1">
      <c r="A201" s="351"/>
      <c r="B201" s="352" t="s">
        <v>112</v>
      </c>
      <c r="C201" s="340"/>
      <c r="D201" s="340"/>
      <c r="E201" s="340"/>
      <c r="F201" s="340"/>
      <c r="G201" s="340"/>
      <c r="H201" s="340"/>
      <c r="I201" s="341"/>
      <c r="J201" s="341"/>
      <c r="K201" s="341"/>
      <c r="L201" s="342"/>
      <c r="M201" s="342"/>
      <c r="N201" s="177"/>
      <c r="O201" s="250"/>
      <c r="P201" s="343"/>
      <c r="Q201" s="343"/>
      <c r="R201" s="179"/>
      <c r="S201" s="11"/>
      <c r="T201" s="455"/>
      <c r="U201" s="533"/>
      <c r="W201" s="455"/>
      <c r="X201" s="455"/>
    </row>
    <row r="202" spans="1:25" s="29" customFormat="1" ht="12" thickBot="1">
      <c r="A202" s="351"/>
      <c r="B202" s="355" t="s">
        <v>114</v>
      </c>
      <c r="C202" s="348">
        <v>0</v>
      </c>
      <c r="D202" s="348">
        <v>0.5</v>
      </c>
      <c r="E202" s="348">
        <v>0</v>
      </c>
      <c r="F202" s="348">
        <v>0</v>
      </c>
      <c r="G202" s="348">
        <v>0.25</v>
      </c>
      <c r="H202" s="136">
        <f>SUM(C202:G202)</f>
        <v>0.75</v>
      </c>
      <c r="I202" s="137"/>
      <c r="J202" s="137"/>
      <c r="K202" s="137"/>
      <c r="L202" s="138">
        <f>((C202*$C$9)+(D202*$D$9)+(E202*$E$9)+(F202*$F$9))</f>
        <v>38.192</v>
      </c>
      <c r="M202" s="138">
        <v>0</v>
      </c>
      <c r="N202" s="139">
        <v>1</v>
      </c>
      <c r="O202" s="349">
        <v>0</v>
      </c>
      <c r="P202" s="141">
        <f>(C202+D202+E202+F202)*O202</f>
        <v>0</v>
      </c>
      <c r="Q202" s="72">
        <f>(M202+N202)*O202</f>
        <v>0</v>
      </c>
      <c r="R202" s="142">
        <f>(L202+M202+N202)*O202</f>
        <v>0</v>
      </c>
      <c r="S202" s="171" t="s">
        <v>259</v>
      </c>
      <c r="T202" s="536">
        <f>IF($S202="RP",O202,"")</f>
        <v>0</v>
      </c>
      <c r="U202" s="537">
        <f>IF($S202="RP",P202,"")</f>
        <v>0</v>
      </c>
      <c r="V202" s="521">
        <f>IF($S202="RP",Q202,"")</f>
        <v>0</v>
      </c>
      <c r="W202" s="537" t="str">
        <f>IF($S202="RK",O202,"")</f>
        <v/>
      </c>
      <c r="X202" s="537" t="str">
        <f>IF($S202="RK",P202,"")</f>
        <v/>
      </c>
      <c r="Y202" s="521" t="str">
        <f>IF($S202="RK",Q202,"")</f>
        <v/>
      </c>
    </row>
    <row r="203" spans="1:25" s="29" customFormat="1" ht="12.75" thickTop="1" thickBot="1">
      <c r="A203" s="321" t="s">
        <v>22</v>
      </c>
      <c r="B203" s="146"/>
      <c r="C203" s="297">
        <f t="shared" ref="C203:H203" si="82">C194+C196+C198+C200+C202</f>
        <v>0</v>
      </c>
      <c r="D203" s="297">
        <f t="shared" si="82"/>
        <v>3</v>
      </c>
      <c r="E203" s="297">
        <f t="shared" si="82"/>
        <v>8</v>
      </c>
      <c r="F203" s="297">
        <f t="shared" si="82"/>
        <v>0</v>
      </c>
      <c r="G203" s="297">
        <f t="shared" si="82"/>
        <v>0.5</v>
      </c>
      <c r="H203" s="297">
        <f t="shared" si="82"/>
        <v>11.5</v>
      </c>
      <c r="I203" s="322">
        <f>I194</f>
        <v>0</v>
      </c>
      <c r="J203" s="322">
        <f>J194</f>
        <v>0</v>
      </c>
      <c r="K203" s="322">
        <f>K194</f>
        <v>0</v>
      </c>
      <c r="L203" s="323">
        <f>L194+L196+L198+L200+L202</f>
        <v>668.70400000000006</v>
      </c>
      <c r="M203" s="323">
        <f>M194+M196+M198+M200+M202</f>
        <v>0</v>
      </c>
      <c r="N203" s="150">
        <f>N194+N196+N198+N200+N202</f>
        <v>2</v>
      </c>
      <c r="O203" s="244"/>
      <c r="P203" s="297">
        <f t="shared" ref="P203:Y203" si="83">P194+P196+P198+P200+P202</f>
        <v>213.33333443333333</v>
      </c>
      <c r="Q203" s="153">
        <f t="shared" si="83"/>
        <v>0</v>
      </c>
      <c r="R203" s="153">
        <f t="shared" si="83"/>
        <v>12636.160065155202</v>
      </c>
      <c r="S203" s="153">
        <f t="shared" si="83"/>
        <v>0</v>
      </c>
      <c r="T203" s="543">
        <f t="shared" si="83"/>
        <v>0</v>
      </c>
      <c r="U203" s="543">
        <f t="shared" si="83"/>
        <v>0</v>
      </c>
      <c r="V203" s="153">
        <f t="shared" si="83"/>
        <v>0</v>
      </c>
      <c r="W203" s="543">
        <f t="shared" si="83"/>
        <v>42.666666886666668</v>
      </c>
      <c r="X203" s="543">
        <f t="shared" si="83"/>
        <v>213.33333443333333</v>
      </c>
      <c r="Y203" s="153">
        <f t="shared" si="83"/>
        <v>0</v>
      </c>
    </row>
    <row r="204" spans="1:25" s="29" customFormat="1" ht="12" thickTop="1">
      <c r="A204" s="201" t="s">
        <v>115</v>
      </c>
      <c r="B204" s="202"/>
      <c r="C204" s="203"/>
      <c r="D204" s="203"/>
      <c r="E204" s="203"/>
      <c r="F204" s="203"/>
      <c r="G204" s="203"/>
      <c r="H204" s="203"/>
      <c r="I204" s="204"/>
      <c r="J204" s="204"/>
      <c r="K204" s="204"/>
      <c r="L204" s="205"/>
      <c r="M204" s="205"/>
      <c r="N204" s="206"/>
      <c r="O204" s="207"/>
      <c r="P204" s="208"/>
      <c r="Q204" s="208"/>
      <c r="R204" s="209"/>
      <c r="S204" s="11"/>
      <c r="T204" s="455"/>
      <c r="U204" s="533"/>
      <c r="W204" s="455"/>
      <c r="X204" s="455"/>
    </row>
    <row r="205" spans="1:25" s="29" customFormat="1">
      <c r="A205" s="346"/>
      <c r="B205" s="350" t="s">
        <v>116</v>
      </c>
      <c r="C205" s="348">
        <v>0</v>
      </c>
      <c r="D205" s="348">
        <v>1</v>
      </c>
      <c r="E205" s="348">
        <v>4</v>
      </c>
      <c r="F205" s="348">
        <v>0</v>
      </c>
      <c r="G205" s="348">
        <v>0</v>
      </c>
      <c r="H205" s="136">
        <f>SUM(C205:G205)</f>
        <v>5</v>
      </c>
      <c r="I205" s="137"/>
      <c r="J205" s="137"/>
      <c r="K205" s="137"/>
      <c r="L205" s="138">
        <f>((C205*$C$9)+(D205*$D$9)+(E205*$E$9)+(F205*$F$9))</f>
        <v>296.16000000000003</v>
      </c>
      <c r="M205" s="138">
        <v>0</v>
      </c>
      <c r="N205" s="139">
        <v>0</v>
      </c>
      <c r="O205" s="478">
        <f>O9</f>
        <v>42.666666886666668</v>
      </c>
      <c r="P205" s="141">
        <f>(C205+D205+E205+F205)*O205</f>
        <v>213.33333443333333</v>
      </c>
      <c r="Q205" s="72">
        <f>(M205+N205)*O205</f>
        <v>0</v>
      </c>
      <c r="R205" s="142">
        <f>(L205+M205+N205)*O205</f>
        <v>12636.160065155202</v>
      </c>
      <c r="S205" s="528" t="s">
        <v>254</v>
      </c>
      <c r="T205" s="536" t="str">
        <f t="shared" ref="T205:V206" si="84">IF($S205="RP",O205,"")</f>
        <v/>
      </c>
      <c r="U205" s="537" t="str">
        <f t="shared" si="84"/>
        <v/>
      </c>
      <c r="V205" s="521" t="str">
        <f t="shared" si="84"/>
        <v/>
      </c>
      <c r="W205" s="537">
        <f t="shared" ref="W205:Y206" si="85">IF($S205="RK",O205,"")</f>
        <v>42.666666886666668</v>
      </c>
      <c r="X205" s="537">
        <f t="shared" si="85"/>
        <v>213.33333443333333</v>
      </c>
      <c r="Y205" s="521">
        <f t="shared" si="85"/>
        <v>0</v>
      </c>
    </row>
    <row r="206" spans="1:25" s="29" customFormat="1">
      <c r="A206" s="356"/>
      <c r="B206" s="357" t="s">
        <v>117</v>
      </c>
      <c r="C206" s="348">
        <v>0</v>
      </c>
      <c r="D206" s="348">
        <v>0.25</v>
      </c>
      <c r="E206" s="348">
        <v>2</v>
      </c>
      <c r="F206" s="348">
        <v>0</v>
      </c>
      <c r="G206" s="348">
        <v>0</v>
      </c>
      <c r="H206" s="136">
        <f>SUM(C206:G206)</f>
        <v>2.25</v>
      </c>
      <c r="I206" s="137"/>
      <c r="J206" s="137"/>
      <c r="K206" s="137"/>
      <c r="L206" s="138">
        <f>((C206*$C$9)+(D206*$D$9)+(E206*$E$9)+(F206*$F$9))</f>
        <v>128.98400000000001</v>
      </c>
      <c r="M206" s="138">
        <v>0</v>
      </c>
      <c r="N206" s="139">
        <v>0</v>
      </c>
      <c r="O206" s="478">
        <f>0.1*O9</f>
        <v>4.2666666886666667</v>
      </c>
      <c r="P206" s="141">
        <f>(C206+D206+E206+F206)*O206</f>
        <v>9.6000000495000002</v>
      </c>
      <c r="Q206" s="72">
        <f>(M206+N206)*O206</f>
        <v>0</v>
      </c>
      <c r="R206" s="142">
        <f>(L206+M206+N206)*O206</f>
        <v>550.33173617098134</v>
      </c>
      <c r="S206" s="171" t="s">
        <v>254</v>
      </c>
      <c r="T206" s="536" t="str">
        <f t="shared" si="84"/>
        <v/>
      </c>
      <c r="U206" s="537" t="str">
        <f t="shared" si="84"/>
        <v/>
      </c>
      <c r="V206" s="521" t="str">
        <f t="shared" si="84"/>
        <v/>
      </c>
      <c r="W206" s="537">
        <f t="shared" si="85"/>
        <v>4.2666666886666667</v>
      </c>
      <c r="X206" s="537">
        <f t="shared" si="85"/>
        <v>9.6000000495000002</v>
      </c>
      <c r="Y206" s="521">
        <f t="shared" si="85"/>
        <v>0</v>
      </c>
    </row>
    <row r="207" spans="1:25" s="29" customFormat="1">
      <c r="A207" s="351"/>
      <c r="B207" s="352" t="s">
        <v>119</v>
      </c>
      <c r="C207" s="340"/>
      <c r="D207" s="340"/>
      <c r="E207" s="340"/>
      <c r="F207" s="340"/>
      <c r="G207" s="340"/>
      <c r="H207" s="340"/>
      <c r="I207" s="341"/>
      <c r="J207" s="341"/>
      <c r="K207" s="341"/>
      <c r="L207" s="342"/>
      <c r="M207" s="342"/>
      <c r="N207" s="177"/>
      <c r="O207" s="479"/>
      <c r="P207" s="343"/>
      <c r="Q207" s="343"/>
      <c r="R207" s="179"/>
      <c r="S207" s="11"/>
      <c r="T207" s="455"/>
      <c r="U207" s="533"/>
      <c r="W207" s="455"/>
      <c r="X207" s="455"/>
    </row>
    <row r="208" spans="1:25" s="29" customFormat="1">
      <c r="A208" s="353"/>
      <c r="B208" s="354" t="s">
        <v>120</v>
      </c>
      <c r="C208" s="348">
        <v>0</v>
      </c>
      <c r="D208" s="348">
        <v>0.25</v>
      </c>
      <c r="E208" s="348">
        <v>2</v>
      </c>
      <c r="F208" s="348">
        <v>0</v>
      </c>
      <c r="G208" s="348">
        <v>0</v>
      </c>
      <c r="H208" s="136">
        <f>SUM(C208:G208)</f>
        <v>2.25</v>
      </c>
      <c r="I208" s="137"/>
      <c r="J208" s="137"/>
      <c r="K208" s="137"/>
      <c r="L208" s="138">
        <f>((C208*$C$9)+(D208*$D$9)+(E208*$E$9)+(F208*$F$9))</f>
        <v>128.98400000000001</v>
      </c>
      <c r="M208" s="138">
        <v>0</v>
      </c>
      <c r="N208" s="139">
        <v>0</v>
      </c>
      <c r="O208" s="478">
        <v>0</v>
      </c>
      <c r="P208" s="141">
        <f>(C208+D208+E208+F208)*O208</f>
        <v>0</v>
      </c>
      <c r="Q208" s="72">
        <f>(M208+N208)*O208</f>
        <v>0</v>
      </c>
      <c r="R208" s="142">
        <f>(L208+M208+N208)*O208</f>
        <v>0</v>
      </c>
      <c r="S208" s="171" t="s">
        <v>254</v>
      </c>
      <c r="T208" s="536" t="str">
        <f>IF($S208="RP",O208,"")</f>
        <v/>
      </c>
      <c r="U208" s="537" t="str">
        <f>IF($S208="RP",P208,"")</f>
        <v/>
      </c>
      <c r="V208" s="521" t="str">
        <f>IF($S208="RP",Q208,"")</f>
        <v/>
      </c>
      <c r="W208" s="537">
        <f>IF($S208="RK",O208,"")</f>
        <v>0</v>
      </c>
      <c r="X208" s="537">
        <f>IF($S208="RK",P208,"")</f>
        <v>0</v>
      </c>
      <c r="Y208" s="521">
        <f>IF($S208="RK",Q208,"")</f>
        <v>0</v>
      </c>
    </row>
    <row r="209" spans="1:25" s="29" customFormat="1">
      <c r="A209" s="351"/>
      <c r="B209" s="352" t="s">
        <v>121</v>
      </c>
      <c r="C209" s="340"/>
      <c r="D209" s="340"/>
      <c r="E209" s="340"/>
      <c r="F209" s="340"/>
      <c r="G209" s="340"/>
      <c r="H209" s="340"/>
      <c r="I209" s="341"/>
      <c r="J209" s="341"/>
      <c r="K209" s="341"/>
      <c r="L209" s="342"/>
      <c r="M209" s="342"/>
      <c r="N209" s="177"/>
      <c r="O209" s="479"/>
      <c r="P209" s="343"/>
      <c r="Q209" s="343"/>
      <c r="R209" s="179"/>
      <c r="S209" s="11"/>
      <c r="T209" s="455"/>
      <c r="U209" s="533"/>
      <c r="W209" s="455"/>
      <c r="X209" s="455"/>
    </row>
    <row r="210" spans="1:25" s="29" customFormat="1">
      <c r="A210" s="353"/>
      <c r="B210" s="354" t="s">
        <v>122</v>
      </c>
      <c r="C210" s="348">
        <v>0</v>
      </c>
      <c r="D210" s="348">
        <v>0.25</v>
      </c>
      <c r="E210" s="348">
        <v>0</v>
      </c>
      <c r="F210" s="348">
        <v>0.25</v>
      </c>
      <c r="G210" s="348">
        <v>0</v>
      </c>
      <c r="H210" s="136">
        <f>SUM(C210:G210)</f>
        <v>0.5</v>
      </c>
      <c r="I210" s="137"/>
      <c r="J210" s="137"/>
      <c r="K210" s="137"/>
      <c r="L210" s="138">
        <f>((C210*$C$9)+(D210*$D$9)+(E210*$E$9)+(F210*$F$9))</f>
        <v>26.696000000000002</v>
      </c>
      <c r="M210" s="138">
        <v>0</v>
      </c>
      <c r="N210" s="139">
        <v>1</v>
      </c>
      <c r="O210" s="478">
        <f>0.1*O9</f>
        <v>4.2666666886666667</v>
      </c>
      <c r="P210" s="141">
        <f>(C210+D210+E210+F210)*O210</f>
        <v>2.1333333443333333</v>
      </c>
      <c r="Q210" s="72">
        <f>(M210+N210)*O210</f>
        <v>4.2666666886666667</v>
      </c>
      <c r="R210" s="142">
        <f>(L210+M210+N210)*O210</f>
        <v>118.169600609312</v>
      </c>
      <c r="S210" s="171" t="s">
        <v>259</v>
      </c>
      <c r="T210" s="536">
        <f>IF($S210="RP",O210,"")</f>
        <v>4.2666666886666667</v>
      </c>
      <c r="U210" s="537">
        <f>IF($S210="RP",P210,"")</f>
        <v>2.1333333443333333</v>
      </c>
      <c r="V210" s="521">
        <f>IF($S210="RP",Q210,"")</f>
        <v>4.2666666886666667</v>
      </c>
      <c r="W210" s="537" t="str">
        <f>IF($S210="RK",O210,"")</f>
        <v/>
      </c>
      <c r="X210" s="537" t="str">
        <f>IF($S210="RK",P210,"")</f>
        <v/>
      </c>
      <c r="Y210" s="521" t="str">
        <f>IF($S210="RK",Q210,"")</f>
        <v/>
      </c>
    </row>
    <row r="211" spans="1:25" s="29" customFormat="1">
      <c r="A211" s="351"/>
      <c r="B211" s="352" t="s">
        <v>112</v>
      </c>
      <c r="C211" s="340"/>
      <c r="D211" s="340"/>
      <c r="E211" s="340"/>
      <c r="F211" s="340"/>
      <c r="G211" s="340"/>
      <c r="H211" s="340"/>
      <c r="I211" s="341"/>
      <c r="J211" s="341"/>
      <c r="K211" s="341"/>
      <c r="L211" s="342"/>
      <c r="M211" s="342"/>
      <c r="N211" s="177"/>
      <c r="O211" s="479"/>
      <c r="P211" s="343"/>
      <c r="Q211" s="72"/>
      <c r="R211" s="179"/>
      <c r="S211" s="11"/>
      <c r="T211" s="455"/>
      <c r="U211" s="533"/>
      <c r="W211" s="455"/>
      <c r="X211" s="455"/>
    </row>
    <row r="212" spans="1:25" s="29" customFormat="1" ht="12" thickBot="1">
      <c r="A212" s="351"/>
      <c r="B212" s="355" t="s">
        <v>123</v>
      </c>
      <c r="C212" s="348">
        <v>0</v>
      </c>
      <c r="D212" s="348">
        <v>0.25</v>
      </c>
      <c r="E212" s="348">
        <v>0</v>
      </c>
      <c r="F212" s="348">
        <v>0.25</v>
      </c>
      <c r="G212" s="348">
        <v>0</v>
      </c>
      <c r="H212" s="136">
        <f>SUM(C212:G212)</f>
        <v>0.5</v>
      </c>
      <c r="I212" s="137"/>
      <c r="J212" s="137"/>
      <c r="K212" s="137"/>
      <c r="L212" s="138">
        <f>((C212*$C$9)+(D212*$D$9)+(E212*$E$9)+(F212*$F$9))</f>
        <v>26.696000000000002</v>
      </c>
      <c r="M212" s="138">
        <v>0</v>
      </c>
      <c r="N212" s="139">
        <v>1</v>
      </c>
      <c r="O212" s="478">
        <v>0</v>
      </c>
      <c r="P212" s="141">
        <f>(C212+D212+E212+F212)*O212</f>
        <v>0</v>
      </c>
      <c r="Q212" s="72">
        <f>(M212+N212)*O212</f>
        <v>0</v>
      </c>
      <c r="R212" s="142">
        <f>(L212+M212+N212)*O212</f>
        <v>0</v>
      </c>
      <c r="S212" s="171" t="s">
        <v>259</v>
      </c>
      <c r="T212" s="536">
        <f>IF($S212="RP",O212,"")</f>
        <v>0</v>
      </c>
      <c r="U212" s="537">
        <f>IF($S212="RP",P212,"")</f>
        <v>0</v>
      </c>
      <c r="V212" s="521">
        <f>IF($S212="RP",Q212,"")</f>
        <v>0</v>
      </c>
      <c r="W212" s="537" t="str">
        <f>IF($S212="RK",O212,"")</f>
        <v/>
      </c>
      <c r="X212" s="537" t="str">
        <f>IF($S212="RK",P212,"")</f>
        <v/>
      </c>
      <c r="Y212" s="521" t="str">
        <f>IF($S212="RK",Q212,"")</f>
        <v/>
      </c>
    </row>
    <row r="213" spans="1:25" s="29" customFormat="1" ht="12.75" thickTop="1" thickBot="1">
      <c r="A213" s="321" t="s">
        <v>22</v>
      </c>
      <c r="B213" s="146"/>
      <c r="C213" s="297">
        <f t="shared" ref="C213:H213" si="86">C205+C206+C208+C210+C212</f>
        <v>0</v>
      </c>
      <c r="D213" s="297">
        <f t="shared" si="86"/>
        <v>2</v>
      </c>
      <c r="E213" s="297">
        <f t="shared" si="86"/>
        <v>8</v>
      </c>
      <c r="F213" s="297">
        <f t="shared" si="86"/>
        <v>0.5</v>
      </c>
      <c r="G213" s="297">
        <f t="shared" si="86"/>
        <v>0</v>
      </c>
      <c r="H213" s="297">
        <f t="shared" si="86"/>
        <v>10.5</v>
      </c>
      <c r="I213" s="322">
        <f>I205</f>
        <v>0</v>
      </c>
      <c r="J213" s="322">
        <f>J205</f>
        <v>0</v>
      </c>
      <c r="K213" s="322">
        <f>K205</f>
        <v>0</v>
      </c>
      <c r="L213" s="323">
        <f>L205+L206+L208+L210+L212</f>
        <v>607.5200000000001</v>
      </c>
      <c r="M213" s="323">
        <f>M205+M206+M208+M210+M212</f>
        <v>0</v>
      </c>
      <c r="N213" s="358">
        <f>N205+N206+N208+N210+N212</f>
        <v>2</v>
      </c>
      <c r="O213" s="480"/>
      <c r="P213" s="359">
        <f>P205+P206+P208+P210+P212</f>
        <v>225.06666782716667</v>
      </c>
      <c r="Q213" s="153">
        <f>Q205+Q206+Q208+Q210+Q212</f>
        <v>4.2666666886666667</v>
      </c>
      <c r="R213" s="153">
        <f>R205+R206+R208+R210+R212</f>
        <v>13304.661401935495</v>
      </c>
      <c r="S213" s="153"/>
      <c r="T213" s="543">
        <f t="shared" ref="T213:Y213" si="87">T205+T206+T208+T210+T212</f>
        <v>4.2666666886666667</v>
      </c>
      <c r="U213" s="543">
        <f t="shared" si="87"/>
        <v>2.1333333443333333</v>
      </c>
      <c r="V213" s="153">
        <f t="shared" si="87"/>
        <v>4.2666666886666667</v>
      </c>
      <c r="W213" s="543">
        <f t="shared" si="87"/>
        <v>46.933333575333336</v>
      </c>
      <c r="X213" s="543">
        <f t="shared" si="87"/>
        <v>222.93333448283335</v>
      </c>
      <c r="Y213" s="153">
        <f t="shared" si="87"/>
        <v>0</v>
      </c>
    </row>
    <row r="214" spans="1:25" s="29" customFormat="1" ht="12" thickTop="1">
      <c r="A214" s="201" t="s">
        <v>56</v>
      </c>
      <c r="B214" s="202"/>
      <c r="C214" s="203"/>
      <c r="D214" s="203"/>
      <c r="E214" s="203"/>
      <c r="F214" s="203"/>
      <c r="G214" s="203"/>
      <c r="H214" s="203"/>
      <c r="I214" s="204"/>
      <c r="J214" s="204"/>
      <c r="K214" s="204"/>
      <c r="L214" s="205"/>
      <c r="M214" s="205"/>
      <c r="N214" s="206"/>
      <c r="O214" s="477"/>
      <c r="P214" s="208"/>
      <c r="Q214" s="208"/>
      <c r="R214" s="209"/>
      <c r="S214" s="11"/>
      <c r="T214" s="455"/>
      <c r="U214" s="533"/>
      <c r="W214" s="455"/>
      <c r="X214" s="455"/>
    </row>
    <row r="215" spans="1:25" s="29" customFormat="1" ht="12" thickBot="1">
      <c r="A215" s="346"/>
      <c r="B215" s="360" t="s">
        <v>124</v>
      </c>
      <c r="C215" s="348">
        <v>0</v>
      </c>
      <c r="D215" s="348">
        <v>1</v>
      </c>
      <c r="E215" s="348">
        <v>4</v>
      </c>
      <c r="F215" s="348">
        <v>0</v>
      </c>
      <c r="G215" s="348">
        <v>0</v>
      </c>
      <c r="H215" s="136">
        <f>SUM(C215:G215)</f>
        <v>5</v>
      </c>
      <c r="I215" s="137"/>
      <c r="J215" s="137"/>
      <c r="K215" s="137"/>
      <c r="L215" s="138">
        <f>((C215*$C$9)+(D215*$D$9)+(E215*$E$9)+(F215*$F$9))</f>
        <v>296.16000000000003</v>
      </c>
      <c r="M215" s="138">
        <v>0</v>
      </c>
      <c r="N215" s="139">
        <v>0</v>
      </c>
      <c r="O215" s="478">
        <f>O9</f>
        <v>42.666666886666668</v>
      </c>
      <c r="P215" s="141">
        <f>(C215+D215+E215+F215)*O215</f>
        <v>213.33333443333333</v>
      </c>
      <c r="Q215" s="72">
        <f>(M215+N215)*O215</f>
        <v>0</v>
      </c>
      <c r="R215" s="142">
        <f>(L215+M215+N215)*O215</f>
        <v>12636.160065155202</v>
      </c>
      <c r="S215" s="565" t="s">
        <v>254</v>
      </c>
      <c r="T215" s="536" t="str">
        <f>IF($S215="RP",O215,"")</f>
        <v/>
      </c>
      <c r="U215" s="537" t="str">
        <f>IF($S215="RP",P215,"")</f>
        <v/>
      </c>
      <c r="V215" s="521" t="str">
        <f>IF($S215="RP",Q215,"")</f>
        <v/>
      </c>
      <c r="W215" s="537">
        <f>IF($S215="RK",O215,"")</f>
        <v>42.666666886666668</v>
      </c>
      <c r="X215" s="537">
        <f>IF($S215="RK",P215,"")</f>
        <v>213.33333443333333</v>
      </c>
      <c r="Y215" s="521">
        <f>IF($S215="RK",Q215,"")</f>
        <v>0</v>
      </c>
    </row>
    <row r="216" spans="1:25" s="29" customFormat="1" ht="12.75" thickTop="1" thickBot="1">
      <c r="A216" s="145" t="s">
        <v>22</v>
      </c>
      <c r="B216" s="146"/>
      <c r="C216" s="297">
        <f t="shared" ref="C216:N216" si="88">C215</f>
        <v>0</v>
      </c>
      <c r="D216" s="297">
        <f t="shared" si="88"/>
        <v>1</v>
      </c>
      <c r="E216" s="297">
        <f t="shared" si="88"/>
        <v>4</v>
      </c>
      <c r="F216" s="297">
        <f t="shared" si="88"/>
        <v>0</v>
      </c>
      <c r="G216" s="297">
        <f t="shared" si="88"/>
        <v>0</v>
      </c>
      <c r="H216" s="297">
        <f t="shared" si="88"/>
        <v>5</v>
      </c>
      <c r="I216" s="322">
        <f t="shared" si="88"/>
        <v>0</v>
      </c>
      <c r="J216" s="322">
        <f t="shared" si="88"/>
        <v>0</v>
      </c>
      <c r="K216" s="322">
        <f t="shared" si="88"/>
        <v>0</v>
      </c>
      <c r="L216" s="323">
        <f t="shared" si="88"/>
        <v>296.16000000000003</v>
      </c>
      <c r="M216" s="323">
        <f t="shared" si="88"/>
        <v>0</v>
      </c>
      <c r="N216" s="150">
        <f t="shared" si="88"/>
        <v>0</v>
      </c>
      <c r="O216" s="480"/>
      <c r="P216" s="325">
        <f>P215</f>
        <v>213.33333443333333</v>
      </c>
      <c r="Q216" s="153">
        <f>Q215</f>
        <v>0</v>
      </c>
      <c r="R216" s="153">
        <f>R215</f>
        <v>12636.160065155202</v>
      </c>
      <c r="S216" s="554"/>
      <c r="T216" s="543" t="str">
        <f t="shared" ref="T216:Y216" si="89">T215</f>
        <v/>
      </c>
      <c r="U216" s="543" t="str">
        <f t="shared" si="89"/>
        <v/>
      </c>
      <c r="V216" s="153" t="str">
        <f t="shared" si="89"/>
        <v/>
      </c>
      <c r="W216" s="543">
        <f t="shared" si="89"/>
        <v>42.666666886666668</v>
      </c>
      <c r="X216" s="543">
        <f t="shared" si="89"/>
        <v>213.33333443333333</v>
      </c>
      <c r="Y216" s="153">
        <f t="shared" si="89"/>
        <v>0</v>
      </c>
    </row>
    <row r="217" spans="1:25" s="29" customFormat="1" ht="12" thickTop="1">
      <c r="A217" s="201" t="s">
        <v>125</v>
      </c>
      <c r="B217" s="202"/>
      <c r="C217" s="203"/>
      <c r="D217" s="203"/>
      <c r="E217" s="203"/>
      <c r="F217" s="203"/>
      <c r="G217" s="203"/>
      <c r="H217" s="203"/>
      <c r="I217" s="204"/>
      <c r="J217" s="204"/>
      <c r="K217" s="204"/>
      <c r="L217" s="205"/>
      <c r="M217" s="205"/>
      <c r="N217" s="206"/>
      <c r="O217" s="477"/>
      <c r="P217" s="208"/>
      <c r="Q217" s="208"/>
      <c r="R217" s="209"/>
      <c r="S217" s="11"/>
      <c r="T217" s="455"/>
      <c r="U217" s="533"/>
      <c r="W217" s="455"/>
      <c r="X217" s="455"/>
    </row>
    <row r="218" spans="1:25" s="29" customFormat="1">
      <c r="A218" s="351"/>
      <c r="B218" s="229" t="s">
        <v>126</v>
      </c>
      <c r="C218" s="361"/>
      <c r="D218" s="361"/>
      <c r="E218" s="361"/>
      <c r="F218" s="361"/>
      <c r="G218" s="361"/>
      <c r="H218" s="362"/>
      <c r="I218" s="363"/>
      <c r="J218" s="363"/>
      <c r="K218" s="363"/>
      <c r="L218" s="364"/>
      <c r="M218" s="364"/>
      <c r="N218" s="365"/>
      <c r="O218" s="481"/>
      <c r="P218" s="366"/>
      <c r="Q218" s="517"/>
      <c r="R218" s="367"/>
      <c r="S218" s="11"/>
      <c r="T218" s="455"/>
      <c r="U218" s="533"/>
      <c r="W218" s="455"/>
      <c r="X218" s="455"/>
    </row>
    <row r="219" spans="1:25" s="29" customFormat="1">
      <c r="A219" s="353"/>
      <c r="B219" s="354" t="s">
        <v>90</v>
      </c>
      <c r="C219" s="348">
        <v>0</v>
      </c>
      <c r="D219" s="348">
        <v>1</v>
      </c>
      <c r="E219" s="348">
        <v>4</v>
      </c>
      <c r="F219" s="348">
        <v>0</v>
      </c>
      <c r="G219" s="348">
        <v>0</v>
      </c>
      <c r="H219" s="136">
        <f>SUM(C219:G219)</f>
        <v>5</v>
      </c>
      <c r="I219" s="137"/>
      <c r="J219" s="137"/>
      <c r="K219" s="137"/>
      <c r="L219" s="138">
        <f>((C219*$C$9)+(D219*$D$9)+(E219*$E$9)+(F219*$F$9))</f>
        <v>296.16000000000003</v>
      </c>
      <c r="M219" s="138">
        <v>0</v>
      </c>
      <c r="N219" s="139">
        <v>0</v>
      </c>
      <c r="O219" s="478">
        <f>O9</f>
        <v>42.666666886666668</v>
      </c>
      <c r="P219" s="141">
        <f>(C219+D219+E219+F219)*O219</f>
        <v>213.33333443333333</v>
      </c>
      <c r="Q219" s="72">
        <f>(M219+N219)*O219</f>
        <v>0</v>
      </c>
      <c r="R219" s="142">
        <f>(L219+M219+N219)*O219</f>
        <v>12636.160065155202</v>
      </c>
      <c r="S219" s="528" t="s">
        <v>254</v>
      </c>
      <c r="T219" s="536" t="str">
        <f>IF($S219="RP",O219,"")</f>
        <v/>
      </c>
      <c r="U219" s="537" t="str">
        <f>IF($S219="RP",P219,"")</f>
        <v/>
      </c>
      <c r="V219" s="521" t="str">
        <f>IF($S219="RP",Q219,"")</f>
        <v/>
      </c>
      <c r="W219" s="537">
        <f>IF($S219="RK",O219,"")</f>
        <v>42.666666886666668</v>
      </c>
      <c r="X219" s="537">
        <f>IF($S219="RK",P219,"")</f>
        <v>213.33333443333333</v>
      </c>
      <c r="Y219" s="521">
        <f>IF($S219="RK",Q219,"")</f>
        <v>0</v>
      </c>
    </row>
    <row r="220" spans="1:25" s="29" customFormat="1">
      <c r="A220" s="351"/>
      <c r="B220" s="229" t="s">
        <v>127</v>
      </c>
      <c r="C220" s="340"/>
      <c r="D220" s="340"/>
      <c r="E220" s="340"/>
      <c r="F220" s="340"/>
      <c r="G220" s="340"/>
      <c r="H220" s="340"/>
      <c r="I220" s="341"/>
      <c r="J220" s="341"/>
      <c r="K220" s="341"/>
      <c r="L220" s="342"/>
      <c r="M220" s="342"/>
      <c r="N220" s="177"/>
      <c r="O220" s="479"/>
      <c r="P220" s="343"/>
      <c r="Q220" s="343"/>
      <c r="R220" s="179"/>
      <c r="S220" s="11"/>
      <c r="T220" s="455"/>
      <c r="U220" s="533"/>
      <c r="W220" s="455"/>
      <c r="X220" s="455"/>
    </row>
    <row r="221" spans="1:25" s="29" customFormat="1">
      <c r="A221" s="353"/>
      <c r="B221" s="354" t="s">
        <v>128</v>
      </c>
      <c r="C221" s="348">
        <v>0</v>
      </c>
      <c r="D221" s="348">
        <v>0.25</v>
      </c>
      <c r="E221" s="348">
        <v>2</v>
      </c>
      <c r="F221" s="348">
        <v>0</v>
      </c>
      <c r="G221" s="348">
        <v>0</v>
      </c>
      <c r="H221" s="136">
        <f>SUM(C221:G221)</f>
        <v>2.25</v>
      </c>
      <c r="I221" s="137"/>
      <c r="J221" s="137"/>
      <c r="K221" s="137"/>
      <c r="L221" s="138">
        <f>((C221*$C$9)+(D221*$D$9)+(E221*$E$9)+(F221*$F$9))</f>
        <v>128.98400000000001</v>
      </c>
      <c r="M221" s="138">
        <v>0</v>
      </c>
      <c r="N221" s="139">
        <v>0</v>
      </c>
      <c r="O221" s="478">
        <f>0.1*O9</f>
        <v>4.2666666886666667</v>
      </c>
      <c r="P221" s="141">
        <f>(C221+D221+E221+F221)*O221</f>
        <v>9.6000000495000002</v>
      </c>
      <c r="Q221" s="72">
        <f>(M221+N221)*O221</f>
        <v>0</v>
      </c>
      <c r="R221" s="142">
        <f>(L221+M221+N221)*O221</f>
        <v>550.33173617098134</v>
      </c>
      <c r="S221" s="528" t="s">
        <v>254</v>
      </c>
      <c r="T221" s="536" t="str">
        <f>IF($S221="RP",O221,"")</f>
        <v/>
      </c>
      <c r="U221" s="537" t="str">
        <f>IF($S221="RP",P221,"")</f>
        <v/>
      </c>
      <c r="V221" s="521" t="str">
        <f>IF($S221="RP",Q221,"")</f>
        <v/>
      </c>
      <c r="W221" s="537">
        <f>IF($S221="RK",O221,"")</f>
        <v>4.2666666886666667</v>
      </c>
      <c r="X221" s="537">
        <f>IF($S221="RK",P221,"")</f>
        <v>9.6000000495000002</v>
      </c>
      <c r="Y221" s="521">
        <f>IF($S221="RK",Q221,"")</f>
        <v>0</v>
      </c>
    </row>
    <row r="222" spans="1:25" s="29" customFormat="1">
      <c r="A222" s="351"/>
      <c r="B222" s="229" t="s">
        <v>172</v>
      </c>
      <c r="C222" s="340"/>
      <c r="D222" s="340"/>
      <c r="E222" s="340"/>
      <c r="F222" s="340"/>
      <c r="G222" s="340"/>
      <c r="H222" s="340"/>
      <c r="I222" s="341"/>
      <c r="J222" s="341"/>
      <c r="K222" s="341"/>
      <c r="L222" s="342"/>
      <c r="M222" s="342"/>
      <c r="N222" s="177"/>
      <c r="O222" s="479"/>
      <c r="P222" s="343"/>
      <c r="Q222" s="343"/>
      <c r="R222" s="179"/>
      <c r="S222" s="11"/>
      <c r="T222" s="455"/>
      <c r="U222" s="533"/>
      <c r="W222" s="455"/>
      <c r="X222" s="455"/>
    </row>
    <row r="223" spans="1:25" s="29" customFormat="1">
      <c r="A223" s="353"/>
      <c r="B223" s="354" t="s">
        <v>120</v>
      </c>
      <c r="C223" s="348">
        <v>0</v>
      </c>
      <c r="D223" s="348">
        <v>0.25</v>
      </c>
      <c r="E223" s="348">
        <v>2</v>
      </c>
      <c r="F223" s="348">
        <v>0</v>
      </c>
      <c r="G223" s="348">
        <v>0</v>
      </c>
      <c r="H223" s="136">
        <f>SUM(C223:G223)</f>
        <v>2.25</v>
      </c>
      <c r="I223" s="137"/>
      <c r="J223" s="137"/>
      <c r="K223" s="137"/>
      <c r="L223" s="138">
        <f>((C223*$C$9)+(D223*$D$9)+(E223*$E$9)+(F223*$F$9))</f>
        <v>128.98400000000001</v>
      </c>
      <c r="M223" s="138">
        <v>0</v>
      </c>
      <c r="N223" s="139">
        <v>0</v>
      </c>
      <c r="O223" s="478">
        <v>0</v>
      </c>
      <c r="P223" s="141">
        <f>(C223+D223+E223+F223)*O223</f>
        <v>0</v>
      </c>
      <c r="Q223" s="72">
        <f>(M223+N223)*O223</f>
        <v>0</v>
      </c>
      <c r="R223" s="142">
        <f>(L223+M223+N223)*O223</f>
        <v>0</v>
      </c>
      <c r="S223" s="528" t="s">
        <v>254</v>
      </c>
      <c r="T223" s="536" t="str">
        <f>IF($S223="RP",O223,"")</f>
        <v/>
      </c>
      <c r="U223" s="537" t="str">
        <f>IF($S223="RP",P223,"")</f>
        <v/>
      </c>
      <c r="V223" s="521" t="str">
        <f>IF($S223="RP",Q223,"")</f>
        <v/>
      </c>
      <c r="W223" s="537">
        <f>IF($S223="RK",O223,"")</f>
        <v>0</v>
      </c>
      <c r="X223" s="537">
        <f>IF($S223="RK",P223,"")</f>
        <v>0</v>
      </c>
      <c r="Y223" s="521">
        <f>IF($S223="RK",Q223,"")</f>
        <v>0</v>
      </c>
    </row>
    <row r="224" spans="1:25" s="29" customFormat="1">
      <c r="A224" s="351"/>
      <c r="B224" s="229" t="s">
        <v>121</v>
      </c>
      <c r="C224" s="340"/>
      <c r="D224" s="340"/>
      <c r="E224" s="340"/>
      <c r="F224" s="340"/>
      <c r="G224" s="340"/>
      <c r="H224" s="340"/>
      <c r="I224" s="341"/>
      <c r="J224" s="341"/>
      <c r="K224" s="341"/>
      <c r="L224" s="342"/>
      <c r="M224" s="342"/>
      <c r="N224" s="177"/>
      <c r="O224" s="479"/>
      <c r="P224" s="343"/>
      <c r="Q224" s="343"/>
      <c r="R224" s="179"/>
      <c r="S224" s="11"/>
      <c r="T224" s="455"/>
      <c r="U224" s="533"/>
      <c r="W224" s="455"/>
      <c r="X224" s="455"/>
    </row>
    <row r="225" spans="1:25" s="29" customFormat="1">
      <c r="A225" s="353"/>
      <c r="B225" s="354" t="s">
        <v>129</v>
      </c>
      <c r="C225" s="348">
        <v>0</v>
      </c>
      <c r="D225" s="348">
        <v>0.25</v>
      </c>
      <c r="E225" s="348">
        <v>0</v>
      </c>
      <c r="F225" s="348">
        <v>0.25</v>
      </c>
      <c r="G225" s="348">
        <v>0</v>
      </c>
      <c r="H225" s="136">
        <f>SUM(C225:G225)</f>
        <v>0.5</v>
      </c>
      <c r="I225" s="137"/>
      <c r="J225" s="137"/>
      <c r="K225" s="137"/>
      <c r="L225" s="138">
        <f>((C225*$C$9)+(D225*$D$9)+(E225*$E$9)+(F225*$F$9))</f>
        <v>26.696000000000002</v>
      </c>
      <c r="M225" s="138">
        <v>0</v>
      </c>
      <c r="N225" s="139">
        <v>1</v>
      </c>
      <c r="O225" s="478">
        <f>0.1*O9</f>
        <v>4.2666666886666667</v>
      </c>
      <c r="P225" s="141">
        <f>(C225+D225+E225+F225)*O225</f>
        <v>2.1333333443333333</v>
      </c>
      <c r="Q225" s="72">
        <f>(M225+N225)*O225</f>
        <v>4.2666666886666667</v>
      </c>
      <c r="R225" s="142">
        <f>(L225+M225+N225)*O225</f>
        <v>118.169600609312</v>
      </c>
      <c r="S225" s="528" t="s">
        <v>259</v>
      </c>
      <c r="T225" s="536">
        <f>IF($S225="RP",O225,"")</f>
        <v>4.2666666886666667</v>
      </c>
      <c r="U225" s="537">
        <f>IF($S225="RP",P225,"")</f>
        <v>2.1333333443333333</v>
      </c>
      <c r="V225" s="521">
        <f>IF($S225="RP",Q225,"")</f>
        <v>4.2666666886666667</v>
      </c>
      <c r="W225" s="537" t="str">
        <f>IF($S225="RK",O225,"")</f>
        <v/>
      </c>
      <c r="X225" s="537" t="str">
        <f>IF($S225="RK",P225,"")</f>
        <v/>
      </c>
      <c r="Y225" s="521" t="str">
        <f>IF($S225="RK",Q225,"")</f>
        <v/>
      </c>
    </row>
    <row r="226" spans="1:25" s="29" customFormat="1">
      <c r="A226" s="368"/>
      <c r="B226" s="229" t="s">
        <v>112</v>
      </c>
      <c r="C226" s="340"/>
      <c r="D226" s="340"/>
      <c r="E226" s="340"/>
      <c r="F226" s="340"/>
      <c r="G226" s="340"/>
      <c r="H226" s="340"/>
      <c r="I226" s="341"/>
      <c r="J226" s="341"/>
      <c r="K226" s="341"/>
      <c r="L226" s="342"/>
      <c r="M226" s="342"/>
      <c r="N226" s="177"/>
      <c r="O226" s="479"/>
      <c r="P226" s="343"/>
      <c r="Q226" s="343"/>
      <c r="R226" s="179"/>
      <c r="S226" s="11"/>
      <c r="T226" s="455"/>
      <c r="U226" s="533"/>
      <c r="W226" s="455"/>
      <c r="X226" s="455"/>
    </row>
    <row r="227" spans="1:25" s="29" customFormat="1" ht="12" thickBot="1">
      <c r="A227" s="369"/>
      <c r="B227" s="229" t="s">
        <v>123</v>
      </c>
      <c r="C227" s="348">
        <v>0</v>
      </c>
      <c r="D227" s="348">
        <v>0.25</v>
      </c>
      <c r="E227" s="348">
        <v>0</v>
      </c>
      <c r="F227" s="348">
        <v>0.25</v>
      </c>
      <c r="G227" s="348">
        <v>0</v>
      </c>
      <c r="H227" s="136">
        <f>SUM(C227:G227)</f>
        <v>0.5</v>
      </c>
      <c r="I227" s="137"/>
      <c r="J227" s="137"/>
      <c r="K227" s="137"/>
      <c r="L227" s="138">
        <f>((C227*$C$9)+(D227*$D$9)+(E227*$E$9)+(F227*$F$9))</f>
        <v>26.696000000000002</v>
      </c>
      <c r="M227" s="138">
        <v>0</v>
      </c>
      <c r="N227" s="139">
        <v>1</v>
      </c>
      <c r="O227" s="478">
        <v>0</v>
      </c>
      <c r="P227" s="141">
        <f>(C227+D227+E227+F227)*O227</f>
        <v>0</v>
      </c>
      <c r="Q227" s="72">
        <f>(M227+N227)*O227</f>
        <v>0</v>
      </c>
      <c r="R227" s="142">
        <f>(L227+M227+N227)*O227</f>
        <v>0</v>
      </c>
      <c r="S227" s="565" t="s">
        <v>259</v>
      </c>
      <c r="T227" s="536">
        <f>IF($S227="RP",O227,"")</f>
        <v>0</v>
      </c>
      <c r="U227" s="537">
        <f>IF($S227="RP",P227,"")</f>
        <v>0</v>
      </c>
      <c r="V227" s="521">
        <f>IF($S227="RP",Q227,"")</f>
        <v>0</v>
      </c>
      <c r="W227" s="537" t="str">
        <f>IF($S227="RK",O227,"")</f>
        <v/>
      </c>
      <c r="X227" s="537" t="str">
        <f>IF($S227="RK",P227,"")</f>
        <v/>
      </c>
      <c r="Y227" s="521" t="str">
        <f>IF($S227="RK",Q227,"")</f>
        <v/>
      </c>
    </row>
    <row r="228" spans="1:25" s="29" customFormat="1" ht="12.75" thickTop="1" thickBot="1">
      <c r="A228" s="370" t="s">
        <v>22</v>
      </c>
      <c r="B228" s="146"/>
      <c r="C228" s="297">
        <f t="shared" ref="C228:H228" si="90">C219+C221+C223+C225+C227</f>
        <v>0</v>
      </c>
      <c r="D228" s="297">
        <f t="shared" si="90"/>
        <v>2</v>
      </c>
      <c r="E228" s="297">
        <f t="shared" si="90"/>
        <v>8</v>
      </c>
      <c r="F228" s="297">
        <f t="shared" si="90"/>
        <v>0.5</v>
      </c>
      <c r="G228" s="297">
        <f t="shared" si="90"/>
        <v>0</v>
      </c>
      <c r="H228" s="297">
        <f t="shared" si="90"/>
        <v>10.5</v>
      </c>
      <c r="I228" s="322">
        <f>I218</f>
        <v>0</v>
      </c>
      <c r="J228" s="322">
        <f>J218</f>
        <v>0</v>
      </c>
      <c r="K228" s="322">
        <f>K218</f>
        <v>0</v>
      </c>
      <c r="L228" s="323">
        <f>L219+L221+L223+L225+L227</f>
        <v>607.5200000000001</v>
      </c>
      <c r="M228" s="323">
        <f>M219+M221+M223+M225+M227</f>
        <v>0</v>
      </c>
      <c r="N228" s="150">
        <f>N219+N221+N223+N225+N227</f>
        <v>2</v>
      </c>
      <c r="O228" s="480"/>
      <c r="P228" s="297">
        <f>P219+P221+P223+P225+P227</f>
        <v>225.06666782716667</v>
      </c>
      <c r="Q228" s="153">
        <f>Q219+Q221+Q223+Q225+Q227</f>
        <v>4.2666666886666667</v>
      </c>
      <c r="R228" s="153">
        <f>R219+R221+R223+R225+R227</f>
        <v>13304.661401935495</v>
      </c>
      <c r="S228" s="554"/>
      <c r="T228" s="543">
        <f t="shared" ref="T228:Y228" si="91">T219+T221+T223+T225+T227</f>
        <v>4.2666666886666667</v>
      </c>
      <c r="U228" s="543">
        <f t="shared" si="91"/>
        <v>2.1333333443333333</v>
      </c>
      <c r="V228" s="153">
        <f t="shared" si="91"/>
        <v>4.2666666886666667</v>
      </c>
      <c r="W228" s="543">
        <f t="shared" si="91"/>
        <v>46.933333575333336</v>
      </c>
      <c r="X228" s="543">
        <f t="shared" si="91"/>
        <v>222.93333448283335</v>
      </c>
      <c r="Y228" s="153">
        <f t="shared" si="91"/>
        <v>0</v>
      </c>
    </row>
    <row r="229" spans="1:25" s="29" customFormat="1" ht="12" thickTop="1">
      <c r="A229" s="201" t="s">
        <v>239</v>
      </c>
      <c r="B229" s="202"/>
      <c r="C229" s="203"/>
      <c r="D229" s="203"/>
      <c r="E229" s="203"/>
      <c r="F229" s="203"/>
      <c r="G229" s="203"/>
      <c r="H229" s="203"/>
      <c r="I229" s="204"/>
      <c r="J229" s="204"/>
      <c r="K229" s="204"/>
      <c r="L229" s="205"/>
      <c r="M229" s="205"/>
      <c r="N229" s="206"/>
      <c r="O229" s="477"/>
      <c r="P229" s="208"/>
      <c r="Q229" s="208"/>
      <c r="R229" s="209"/>
      <c r="S229" s="11"/>
      <c r="T229" s="455"/>
      <c r="U229" s="533"/>
      <c r="W229" s="455"/>
      <c r="X229" s="455"/>
    </row>
    <row r="230" spans="1:25" s="29" customFormat="1">
      <c r="A230" s="319"/>
      <c r="B230" s="371" t="s">
        <v>130</v>
      </c>
      <c r="C230" s="348">
        <v>0</v>
      </c>
      <c r="D230" s="348">
        <v>1</v>
      </c>
      <c r="E230" s="348">
        <v>4</v>
      </c>
      <c r="F230" s="348">
        <v>0</v>
      </c>
      <c r="G230" s="348">
        <v>0</v>
      </c>
      <c r="H230" s="136">
        <f>SUM(C230:G230)</f>
        <v>5</v>
      </c>
      <c r="I230" s="137"/>
      <c r="J230" s="137"/>
      <c r="K230" s="137"/>
      <c r="L230" s="138">
        <f>((C230*$C$9)+(D230*$D$9)+(E230*$E$9)+(F230*$F$9))</f>
        <v>296.16000000000003</v>
      </c>
      <c r="M230" s="138">
        <v>0</v>
      </c>
      <c r="N230" s="139">
        <v>0</v>
      </c>
      <c r="O230" s="478">
        <f>O9</f>
        <v>42.666666886666668</v>
      </c>
      <c r="P230" s="141">
        <f>(C230+D230+E230+F230)*O230</f>
        <v>213.33333443333333</v>
      </c>
      <c r="Q230" s="72">
        <f>(M230+N230)*O230</f>
        <v>0</v>
      </c>
      <c r="R230" s="142">
        <f>(L230+M230+N230)*O230</f>
        <v>12636.160065155202</v>
      </c>
      <c r="S230" s="528" t="s">
        <v>254</v>
      </c>
      <c r="T230" s="536" t="str">
        <f>IF($S230="RP",O230,"")</f>
        <v/>
      </c>
      <c r="U230" s="537" t="str">
        <f>IF($S230="RP",P230,"")</f>
        <v/>
      </c>
      <c r="V230" s="521" t="str">
        <f>IF($S230="RP",Q230,"")</f>
        <v/>
      </c>
      <c r="W230" s="537">
        <f>IF($S230="RK",O230,"")</f>
        <v>42.666666886666668</v>
      </c>
      <c r="X230" s="537">
        <f>IF($S230="RK",P230,"")</f>
        <v>213.33333443333333</v>
      </c>
      <c r="Y230" s="521">
        <f>IF($S230="RK",Q230,"")</f>
        <v>0</v>
      </c>
    </row>
    <row r="231" spans="1:25" s="29" customFormat="1">
      <c r="A231" s="351"/>
      <c r="B231" s="229" t="s">
        <v>109</v>
      </c>
      <c r="C231" s="340"/>
      <c r="D231" s="340"/>
      <c r="E231" s="340"/>
      <c r="F231" s="340"/>
      <c r="G231" s="340"/>
      <c r="H231" s="340"/>
      <c r="I231" s="341"/>
      <c r="J231" s="341"/>
      <c r="K231" s="341"/>
      <c r="L231" s="342"/>
      <c r="M231" s="342"/>
      <c r="N231" s="177"/>
      <c r="O231" s="479"/>
      <c r="P231" s="343"/>
      <c r="Q231" s="343"/>
      <c r="R231" s="179"/>
      <c r="S231" s="11"/>
      <c r="T231" s="455"/>
      <c r="U231" s="533"/>
      <c r="W231" s="455"/>
      <c r="X231" s="455"/>
    </row>
    <row r="232" spans="1:25" s="29" customFormat="1">
      <c r="A232" s="353"/>
      <c r="B232" s="354" t="s">
        <v>131</v>
      </c>
      <c r="C232" s="348">
        <v>0</v>
      </c>
      <c r="D232" s="348">
        <v>0.25</v>
      </c>
      <c r="E232" s="348">
        <v>2</v>
      </c>
      <c r="F232" s="348">
        <v>0</v>
      </c>
      <c r="G232" s="348">
        <v>0</v>
      </c>
      <c r="H232" s="136">
        <f>SUM(C232:G232)</f>
        <v>2.25</v>
      </c>
      <c r="I232" s="137"/>
      <c r="J232" s="137"/>
      <c r="K232" s="137"/>
      <c r="L232" s="138">
        <f>((C232*$C$9)+(D232*$D$9)+(E232*$E$9)+(F232*$F$9))</f>
        <v>128.98400000000001</v>
      </c>
      <c r="M232" s="138">
        <v>0</v>
      </c>
      <c r="N232" s="139">
        <v>0</v>
      </c>
      <c r="O232" s="478">
        <v>0</v>
      </c>
      <c r="P232" s="141">
        <f>(C232+D232+E232+F232)*O232</f>
        <v>0</v>
      </c>
      <c r="Q232" s="72">
        <f>(M232+N232)*O232</f>
        <v>0</v>
      </c>
      <c r="R232" s="142">
        <f>(L232+M232+N232)*O232</f>
        <v>0</v>
      </c>
      <c r="S232" s="528" t="s">
        <v>254</v>
      </c>
      <c r="T232" s="536" t="str">
        <f>IF($S232="RP",O232,"")</f>
        <v/>
      </c>
      <c r="U232" s="537" t="str">
        <f>IF($S232="RP",P232,"")</f>
        <v/>
      </c>
      <c r="V232" s="521" t="str">
        <f>IF($S232="RP",Q232,"")</f>
        <v/>
      </c>
      <c r="W232" s="537">
        <f>IF($S232="RK",O232,"")</f>
        <v>0</v>
      </c>
      <c r="X232" s="537">
        <f>IF($S232="RK",P232,"")</f>
        <v>0</v>
      </c>
      <c r="Y232" s="521">
        <f>IF($S232="RK",Q232,"")</f>
        <v>0</v>
      </c>
    </row>
    <row r="233" spans="1:25" s="29" customFormat="1">
      <c r="A233" s="351"/>
      <c r="B233" s="229" t="s">
        <v>172</v>
      </c>
      <c r="C233" s="340"/>
      <c r="D233" s="340"/>
      <c r="E233" s="340"/>
      <c r="F233" s="340"/>
      <c r="G233" s="340"/>
      <c r="H233" s="340"/>
      <c r="I233" s="341"/>
      <c r="J233" s="341"/>
      <c r="K233" s="341"/>
      <c r="L233" s="342"/>
      <c r="M233" s="342"/>
      <c r="N233" s="177"/>
      <c r="O233" s="479"/>
      <c r="P233" s="343"/>
      <c r="Q233" s="343"/>
      <c r="R233" s="179"/>
      <c r="S233" s="11"/>
      <c r="T233" s="455"/>
      <c r="U233" s="533"/>
      <c r="W233" s="455"/>
      <c r="X233" s="455"/>
    </row>
    <row r="234" spans="1:25" s="29" customFormat="1">
      <c r="A234" s="353"/>
      <c r="B234" s="354" t="s">
        <v>120</v>
      </c>
      <c r="C234" s="348">
        <v>0</v>
      </c>
      <c r="D234" s="348">
        <v>0.25</v>
      </c>
      <c r="E234" s="348">
        <v>2</v>
      </c>
      <c r="F234" s="348">
        <v>0</v>
      </c>
      <c r="G234" s="348">
        <v>0</v>
      </c>
      <c r="H234" s="136">
        <f>SUM(C234:G234)</f>
        <v>2.25</v>
      </c>
      <c r="I234" s="137"/>
      <c r="J234" s="137"/>
      <c r="K234" s="137"/>
      <c r="L234" s="138">
        <f>((C234*$C$9)+(D234*$D$9)+(E234*$E$9)+(F234*$F$9))</f>
        <v>128.98400000000001</v>
      </c>
      <c r="M234" s="138">
        <v>0</v>
      </c>
      <c r="N234" s="139">
        <v>0</v>
      </c>
      <c r="O234" s="478">
        <v>0</v>
      </c>
      <c r="P234" s="141">
        <f>(C234+D234+E234+F234)*O234</f>
        <v>0</v>
      </c>
      <c r="Q234" s="72">
        <f>(M234+N234)*O234</f>
        <v>0</v>
      </c>
      <c r="R234" s="142">
        <f>(L234+M234+N234)*O234</f>
        <v>0</v>
      </c>
      <c r="S234" s="528" t="s">
        <v>254</v>
      </c>
      <c r="T234" s="536" t="str">
        <f>IF($S234="RP",O234,"")</f>
        <v/>
      </c>
      <c r="U234" s="537" t="str">
        <f>IF($S234="RP",P234,"")</f>
        <v/>
      </c>
      <c r="V234" s="521" t="str">
        <f>IF($S234="RP",Q234,"")</f>
        <v/>
      </c>
      <c r="W234" s="537">
        <f>IF($S234="RK",O234,"")</f>
        <v>0</v>
      </c>
      <c r="X234" s="537">
        <f>IF($S234="RK",P234,"")</f>
        <v>0</v>
      </c>
      <c r="Y234" s="521">
        <f>IF($S234="RK",Q234,"")</f>
        <v>0</v>
      </c>
    </row>
    <row r="235" spans="1:25" s="29" customFormat="1">
      <c r="A235" s="351"/>
      <c r="B235" s="229" t="s">
        <v>112</v>
      </c>
      <c r="C235" s="340"/>
      <c r="D235" s="340"/>
      <c r="E235" s="340"/>
      <c r="F235" s="340"/>
      <c r="G235" s="340"/>
      <c r="H235" s="340"/>
      <c r="I235" s="341"/>
      <c r="J235" s="341"/>
      <c r="K235" s="341"/>
      <c r="L235" s="342"/>
      <c r="M235" s="342"/>
      <c r="N235" s="177"/>
      <c r="O235" s="479"/>
      <c r="P235" s="343"/>
      <c r="Q235" s="343"/>
      <c r="R235" s="179"/>
      <c r="S235" s="11"/>
      <c r="T235" s="455"/>
      <c r="U235" s="533"/>
      <c r="W235" s="455"/>
      <c r="X235" s="455"/>
    </row>
    <row r="236" spans="1:25" s="29" customFormat="1">
      <c r="A236" s="353"/>
      <c r="B236" s="354" t="s">
        <v>173</v>
      </c>
      <c r="C236" s="348">
        <v>0</v>
      </c>
      <c r="D236" s="348">
        <v>0.25</v>
      </c>
      <c r="E236" s="348">
        <v>0</v>
      </c>
      <c r="F236" s="348">
        <v>0.25</v>
      </c>
      <c r="G236" s="348">
        <v>0</v>
      </c>
      <c r="H236" s="136">
        <f>SUM(C236:G236)</f>
        <v>0.5</v>
      </c>
      <c r="I236" s="137"/>
      <c r="J236" s="137"/>
      <c r="K236" s="137"/>
      <c r="L236" s="138">
        <f>((C236*$C$9)+(D236*$D$9)+(E236*$E$9)+(F236*$F$9))</f>
        <v>26.696000000000002</v>
      </c>
      <c r="M236" s="138">
        <v>0</v>
      </c>
      <c r="N236" s="139">
        <v>1</v>
      </c>
      <c r="O236" s="478">
        <v>0</v>
      </c>
      <c r="P236" s="141">
        <f>(C236+D236+E236+F236)*O236</f>
        <v>0</v>
      </c>
      <c r="Q236" s="72">
        <f>(M236+N236)*O236</f>
        <v>0</v>
      </c>
      <c r="R236" s="142">
        <f>(L236+M236+N236)*O236</f>
        <v>0</v>
      </c>
      <c r="S236" s="528" t="s">
        <v>254</v>
      </c>
      <c r="T236" s="536" t="str">
        <f>IF($S236="RP",O236,"")</f>
        <v/>
      </c>
      <c r="U236" s="537" t="str">
        <f>IF($S236="RP",P236,"")</f>
        <v/>
      </c>
      <c r="V236" s="521" t="str">
        <f>IF($S236="RP",Q236,"")</f>
        <v/>
      </c>
      <c r="W236" s="537">
        <f>IF($S236="RK",O236,"")</f>
        <v>0</v>
      </c>
      <c r="X236" s="537">
        <f>IF($S236="RK",P236,"")</f>
        <v>0</v>
      </c>
      <c r="Y236" s="521">
        <f>IF($S236="RK",Q236,"")</f>
        <v>0</v>
      </c>
    </row>
    <row r="237" spans="1:25" s="29" customFormat="1">
      <c r="A237" s="368"/>
      <c r="B237" s="229" t="s">
        <v>112</v>
      </c>
      <c r="C237" s="340"/>
      <c r="D237" s="340"/>
      <c r="E237" s="340"/>
      <c r="F237" s="340"/>
      <c r="G237" s="340"/>
      <c r="H237" s="340"/>
      <c r="I237" s="341"/>
      <c r="J237" s="341"/>
      <c r="K237" s="341"/>
      <c r="L237" s="342"/>
      <c r="M237" s="342"/>
      <c r="N237" s="177"/>
      <c r="O237" s="479"/>
      <c r="P237" s="343"/>
      <c r="Q237" s="343"/>
      <c r="R237" s="179"/>
      <c r="S237" s="11"/>
      <c r="T237" s="455"/>
      <c r="U237" s="533"/>
      <c r="W237" s="455"/>
      <c r="X237" s="455"/>
    </row>
    <row r="238" spans="1:25" s="29" customFormat="1" ht="12" thickBot="1">
      <c r="A238" s="369"/>
      <c r="B238" s="229" t="s">
        <v>123</v>
      </c>
      <c r="C238" s="348">
        <v>0</v>
      </c>
      <c r="D238" s="348">
        <v>0.25</v>
      </c>
      <c r="E238" s="348">
        <v>0</v>
      </c>
      <c r="F238" s="348">
        <v>0.25</v>
      </c>
      <c r="G238" s="348">
        <v>0</v>
      </c>
      <c r="H238" s="136">
        <f>SUM(C238:G238)</f>
        <v>0.5</v>
      </c>
      <c r="I238" s="137"/>
      <c r="J238" s="137"/>
      <c r="K238" s="137"/>
      <c r="L238" s="138">
        <f>((C238*$C$9)+(D238*$D$9)+(E238*$E$9)+(F238*$F$9))</f>
        <v>26.696000000000002</v>
      </c>
      <c r="M238" s="138">
        <v>0</v>
      </c>
      <c r="N238" s="139">
        <v>1</v>
      </c>
      <c r="O238" s="478">
        <v>0</v>
      </c>
      <c r="P238" s="141">
        <f>(C238+D238+E238+F238)*O238</f>
        <v>0</v>
      </c>
      <c r="Q238" s="72">
        <f>(M238+N238)*O238</f>
        <v>0</v>
      </c>
      <c r="R238" s="142">
        <f>(L238+M238+N238)*O238</f>
        <v>0</v>
      </c>
      <c r="S238" s="565" t="s">
        <v>259</v>
      </c>
      <c r="T238" s="536">
        <f>IF($S238="RP",O238,"")</f>
        <v>0</v>
      </c>
      <c r="U238" s="537">
        <f>IF($S238="RP",P238,"")</f>
        <v>0</v>
      </c>
      <c r="V238" s="521">
        <f>IF($S238="RP",Q238,"")</f>
        <v>0</v>
      </c>
      <c r="W238" s="537" t="str">
        <f>IF($S238="RK",O238,"")</f>
        <v/>
      </c>
      <c r="X238" s="537" t="str">
        <f>IF($S238="RK",P238,"")</f>
        <v/>
      </c>
      <c r="Y238" s="521" t="str">
        <f>IF($S238="RK",Q238,"")</f>
        <v/>
      </c>
    </row>
    <row r="239" spans="1:25" s="29" customFormat="1" ht="12.75" thickTop="1" thickBot="1">
      <c r="A239" s="370" t="s">
        <v>22</v>
      </c>
      <c r="B239" s="146"/>
      <c r="C239" s="297">
        <f t="shared" ref="C239:H239" si="92">C230+C232+C234+C236+C238</f>
        <v>0</v>
      </c>
      <c r="D239" s="297">
        <f t="shared" si="92"/>
        <v>2</v>
      </c>
      <c r="E239" s="297">
        <f t="shared" si="92"/>
        <v>8</v>
      </c>
      <c r="F239" s="297">
        <f t="shared" si="92"/>
        <v>0.5</v>
      </c>
      <c r="G239" s="297">
        <f t="shared" si="92"/>
        <v>0</v>
      </c>
      <c r="H239" s="297">
        <f t="shared" si="92"/>
        <v>10.5</v>
      </c>
      <c r="I239" s="322">
        <f>I230</f>
        <v>0</v>
      </c>
      <c r="J239" s="322">
        <f>J230</f>
        <v>0</v>
      </c>
      <c r="K239" s="322">
        <f>K230</f>
        <v>0</v>
      </c>
      <c r="L239" s="323">
        <f>L230+L232+L234+L236+L238</f>
        <v>607.5200000000001</v>
      </c>
      <c r="M239" s="323">
        <f>M230+M232+M234+M236+M238</f>
        <v>0</v>
      </c>
      <c r="N239" s="150">
        <f>N230+N232+N234+N236+N238</f>
        <v>2</v>
      </c>
      <c r="O239" s="482"/>
      <c r="P239" s="297">
        <f>P230+P232+P234+P236+P238</f>
        <v>213.33333443333333</v>
      </c>
      <c r="Q239" s="153">
        <f>Q230+Q232+Q234+Q236+Q238</f>
        <v>0</v>
      </c>
      <c r="R239" s="153">
        <f>R230+R232+R234+R236+R238</f>
        <v>12636.160065155202</v>
      </c>
      <c r="S239" s="554"/>
      <c r="T239" s="543">
        <f t="shared" ref="T239:Y239" si="93">T230+T232+T234+T236+T238</f>
        <v>0</v>
      </c>
      <c r="U239" s="543">
        <f t="shared" si="93"/>
        <v>0</v>
      </c>
      <c r="V239" s="153">
        <f t="shared" si="93"/>
        <v>0</v>
      </c>
      <c r="W239" s="543">
        <f t="shared" si="93"/>
        <v>42.666666886666668</v>
      </c>
      <c r="X239" s="543">
        <f t="shared" si="93"/>
        <v>213.33333443333333</v>
      </c>
      <c r="Y239" s="153">
        <f t="shared" si="93"/>
        <v>0</v>
      </c>
    </row>
    <row r="240" spans="1:25" s="29" customFormat="1" ht="12" hidden="1" thickTop="1">
      <c r="A240" s="351"/>
      <c r="B240" s="229"/>
      <c r="C240" s="106"/>
      <c r="D240" s="106"/>
      <c r="E240" s="106"/>
      <c r="F240" s="106"/>
      <c r="G240" s="106"/>
      <c r="H240" s="106"/>
      <c r="I240" s="107"/>
      <c r="J240" s="107"/>
      <c r="K240" s="107"/>
      <c r="L240" s="108"/>
      <c r="M240" s="108"/>
      <c r="N240" s="109"/>
      <c r="O240" s="483"/>
      <c r="P240" s="106"/>
      <c r="Q240" s="106"/>
      <c r="R240" s="112"/>
      <c r="S240" s="11"/>
      <c r="T240" s="455"/>
      <c r="U240" s="533"/>
      <c r="W240" s="455"/>
      <c r="X240" s="455"/>
    </row>
    <row r="241" spans="1:25" s="29" customFormat="1" ht="12" hidden="1" thickBot="1">
      <c r="A241" s="351"/>
      <c r="B241" s="229"/>
      <c r="C241" s="106"/>
      <c r="D241" s="106"/>
      <c r="E241" s="106"/>
      <c r="F241" s="106"/>
      <c r="G241" s="106"/>
      <c r="H241" s="106"/>
      <c r="I241" s="107"/>
      <c r="J241" s="107"/>
      <c r="K241" s="107"/>
      <c r="L241" s="108"/>
      <c r="M241" s="108"/>
      <c r="N241" s="109"/>
      <c r="O241" s="483"/>
      <c r="P241" s="106"/>
      <c r="Q241" s="106"/>
      <c r="R241" s="112"/>
      <c r="S241" s="11"/>
      <c r="T241" s="455"/>
      <c r="U241" s="533"/>
      <c r="W241" s="455"/>
      <c r="X241" s="455"/>
    </row>
    <row r="242" spans="1:25" s="29" customFormat="1" ht="12.75" thickTop="1" thickBot="1">
      <c r="A242" s="373" t="s">
        <v>94</v>
      </c>
      <c r="B242" s="146"/>
      <c r="C242" s="101"/>
      <c r="D242" s="101"/>
      <c r="E242" s="101"/>
      <c r="F242" s="101"/>
      <c r="G242" s="101"/>
      <c r="H242" s="101"/>
      <c r="I242" s="102"/>
      <c r="J242" s="102"/>
      <c r="K242" s="102"/>
      <c r="L242" s="103"/>
      <c r="M242" s="103"/>
      <c r="N242" s="81"/>
      <c r="O242" s="480"/>
      <c r="P242" s="104"/>
      <c r="Q242" s="104"/>
      <c r="R242" s="80"/>
      <c r="S242" s="11"/>
      <c r="T242" s="455"/>
      <c r="U242" s="533"/>
      <c r="W242" s="455"/>
      <c r="X242" s="455"/>
    </row>
    <row r="243" spans="1:25" s="29" customFormat="1" ht="12" thickTop="1">
      <c r="A243" s="310" t="s">
        <v>95</v>
      </c>
      <c r="B243" s="311"/>
      <c r="C243" s="374"/>
      <c r="D243" s="374"/>
      <c r="E243" s="374"/>
      <c r="F243" s="374"/>
      <c r="G243" s="374"/>
      <c r="H243" s="374"/>
      <c r="I243" s="375"/>
      <c r="J243" s="375"/>
      <c r="K243" s="375"/>
      <c r="L243" s="376"/>
      <c r="M243" s="376"/>
      <c r="N243" s="377"/>
      <c r="O243" s="484"/>
      <c r="P243" s="378"/>
      <c r="Q243" s="378"/>
      <c r="R243" s="379"/>
      <c r="S243" s="11"/>
      <c r="T243" s="455"/>
      <c r="U243" s="533"/>
      <c r="W243" s="455"/>
      <c r="X243" s="455"/>
    </row>
    <row r="244" spans="1:25" s="172" customFormat="1">
      <c r="A244" s="319"/>
      <c r="B244" s="371" t="s">
        <v>96</v>
      </c>
      <c r="C244" s="195">
        <v>0</v>
      </c>
      <c r="D244" s="195">
        <v>0.25</v>
      </c>
      <c r="E244" s="195">
        <v>10</v>
      </c>
      <c r="F244" s="195">
        <v>0</v>
      </c>
      <c r="G244" s="265">
        <v>0</v>
      </c>
      <c r="H244" s="166">
        <f>SUM(C244:G244)</f>
        <v>10.25</v>
      </c>
      <c r="I244" s="167"/>
      <c r="J244" s="167"/>
      <c r="K244" s="167"/>
      <c r="L244" s="168">
        <f>((C244*$C$9)+(D244*$D$9)+(E244*$E$9)+(F244*$F$9))</f>
        <v>568.53600000000006</v>
      </c>
      <c r="M244" s="168">
        <v>0</v>
      </c>
      <c r="N244" s="169">
        <v>0</v>
      </c>
      <c r="O244" s="484">
        <f>O9</f>
        <v>42.666666886666668</v>
      </c>
      <c r="P244" s="170">
        <f>(C244+D244+E244+F244)*O244</f>
        <v>437.33333558833334</v>
      </c>
      <c r="Q244" s="72">
        <f>(M244+N244)*O244</f>
        <v>0</v>
      </c>
      <c r="R244" s="142">
        <f>(L244+M244+N244)*O244</f>
        <v>24257.536125077924</v>
      </c>
      <c r="S244" s="528" t="s">
        <v>254</v>
      </c>
      <c r="T244" s="536" t="str">
        <f t="shared" ref="T244:V245" si="94">IF($S244="RP",O244,"")</f>
        <v/>
      </c>
      <c r="U244" s="537" t="str">
        <f t="shared" si="94"/>
        <v/>
      </c>
      <c r="V244" s="521" t="str">
        <f t="shared" si="94"/>
        <v/>
      </c>
      <c r="W244" s="537">
        <f t="shared" ref="W244:Y245" si="95">IF($S244="RK",O244,"")</f>
        <v>42.666666886666668</v>
      </c>
      <c r="X244" s="537">
        <f t="shared" si="95"/>
        <v>437.33333558833334</v>
      </c>
      <c r="Y244" s="521">
        <f t="shared" si="95"/>
        <v>0</v>
      </c>
    </row>
    <row r="245" spans="1:25" s="29" customFormat="1" ht="12" thickBot="1">
      <c r="A245" s="218"/>
      <c r="B245" s="355" t="s">
        <v>97</v>
      </c>
      <c r="C245" s="144">
        <v>0</v>
      </c>
      <c r="D245" s="144">
        <v>0.25</v>
      </c>
      <c r="E245" s="144">
        <v>0</v>
      </c>
      <c r="F245" s="144">
        <v>0.25</v>
      </c>
      <c r="G245" s="106">
        <v>0</v>
      </c>
      <c r="H245" s="136">
        <f>SUM(C245:G245)</f>
        <v>0.5</v>
      </c>
      <c r="I245" s="137"/>
      <c r="J245" s="137"/>
      <c r="K245" s="137"/>
      <c r="L245" s="138">
        <f>((C245*$C$9)+(D245*$D$9)+(E245*$E$9)+(F245*$F$9))</f>
        <v>26.696000000000002</v>
      </c>
      <c r="M245" s="138">
        <v>20</v>
      </c>
      <c r="N245" s="139">
        <v>22</v>
      </c>
      <c r="O245" s="478">
        <f>O244</f>
        <v>42.666666886666668</v>
      </c>
      <c r="P245" s="141">
        <f>(C245+D245+E245+F245)*O245</f>
        <v>21.333333443333334</v>
      </c>
      <c r="Q245" s="72">
        <f>(M245+N245)*O245</f>
        <v>1792.0000092400001</v>
      </c>
      <c r="R245" s="142">
        <f>(L245+M245+N245)*O245</f>
        <v>2931.0293484464532</v>
      </c>
      <c r="S245" s="171" t="s">
        <v>259</v>
      </c>
      <c r="T245" s="536">
        <f t="shared" si="94"/>
        <v>42.666666886666668</v>
      </c>
      <c r="U245" s="537">
        <f t="shared" si="94"/>
        <v>21.333333443333334</v>
      </c>
      <c r="V245" s="521">
        <f t="shared" si="94"/>
        <v>1792.0000092400001</v>
      </c>
      <c r="W245" s="537" t="str">
        <f t="shared" si="95"/>
        <v/>
      </c>
      <c r="X245" s="537" t="str">
        <f t="shared" si="95"/>
        <v/>
      </c>
      <c r="Y245" s="521" t="str">
        <f t="shared" si="95"/>
        <v/>
      </c>
    </row>
    <row r="246" spans="1:25" s="29" customFormat="1" ht="12.75" thickTop="1" thickBot="1">
      <c r="A246" s="321" t="s">
        <v>22</v>
      </c>
      <c r="B246" s="146"/>
      <c r="C246" s="297">
        <f t="shared" ref="C246:N246" si="96">SUM(C244:C245)</f>
        <v>0</v>
      </c>
      <c r="D246" s="297">
        <f t="shared" si="96"/>
        <v>0.5</v>
      </c>
      <c r="E246" s="297">
        <f t="shared" si="96"/>
        <v>10</v>
      </c>
      <c r="F246" s="297">
        <f t="shared" si="96"/>
        <v>0.25</v>
      </c>
      <c r="G246" s="297">
        <f t="shared" si="96"/>
        <v>0</v>
      </c>
      <c r="H246" s="297">
        <f t="shared" si="96"/>
        <v>10.75</v>
      </c>
      <c r="I246" s="380">
        <f t="shared" si="96"/>
        <v>0</v>
      </c>
      <c r="J246" s="380">
        <f t="shared" si="96"/>
        <v>0</v>
      </c>
      <c r="K246" s="380">
        <f t="shared" si="96"/>
        <v>0</v>
      </c>
      <c r="L246" s="323">
        <f t="shared" si="96"/>
        <v>595.23200000000008</v>
      </c>
      <c r="M246" s="323">
        <f t="shared" si="96"/>
        <v>20</v>
      </c>
      <c r="N246" s="150">
        <f t="shared" si="96"/>
        <v>22</v>
      </c>
      <c r="O246" s="482"/>
      <c r="P246" s="297">
        <f>SUM(P244:P245)</f>
        <v>458.66666903166669</v>
      </c>
      <c r="Q246" s="153">
        <f>SUM(Q244:Q245)</f>
        <v>1792.0000092400001</v>
      </c>
      <c r="R246" s="153">
        <f>SUM(R244:R245)</f>
        <v>27188.565473524377</v>
      </c>
      <c r="S246" s="153"/>
      <c r="T246" s="543">
        <f t="shared" ref="T246:Y246" si="97">SUM(T244:T245)</f>
        <v>42.666666886666668</v>
      </c>
      <c r="U246" s="543">
        <f t="shared" si="97"/>
        <v>21.333333443333334</v>
      </c>
      <c r="V246" s="153">
        <f t="shared" si="97"/>
        <v>1792.0000092400001</v>
      </c>
      <c r="W246" s="543">
        <f t="shared" si="97"/>
        <v>42.666666886666668</v>
      </c>
      <c r="X246" s="543">
        <f t="shared" si="97"/>
        <v>437.33333558833334</v>
      </c>
      <c r="Y246" s="153">
        <f t="shared" si="97"/>
        <v>0</v>
      </c>
    </row>
    <row r="247" spans="1:25" s="29" customFormat="1" ht="12" thickTop="1">
      <c r="A247" s="201" t="s">
        <v>98</v>
      </c>
      <c r="B247" s="202"/>
      <c r="C247" s="203"/>
      <c r="D247" s="203"/>
      <c r="E247" s="203"/>
      <c r="F247" s="203"/>
      <c r="G247" s="203"/>
      <c r="H247" s="203"/>
      <c r="I247" s="204"/>
      <c r="J247" s="204"/>
      <c r="K247" s="204"/>
      <c r="L247" s="205"/>
      <c r="M247" s="205"/>
      <c r="N247" s="206"/>
      <c r="O247" s="477"/>
      <c r="P247" s="208"/>
      <c r="Q247" s="208"/>
      <c r="R247" s="209"/>
      <c r="S247" s="11"/>
      <c r="T247" s="455"/>
      <c r="U247" s="533"/>
      <c r="W247" s="455"/>
      <c r="X247" s="455"/>
    </row>
    <row r="248" spans="1:25" s="29" customFormat="1" ht="12" thickBot="1">
      <c r="A248" s="346"/>
      <c r="B248" s="360" t="s">
        <v>99</v>
      </c>
      <c r="C248" s="348">
        <v>0</v>
      </c>
      <c r="D248" s="348">
        <v>0</v>
      </c>
      <c r="E248" s="348">
        <v>0.25</v>
      </c>
      <c r="F248" s="348">
        <v>0.1</v>
      </c>
      <c r="G248" s="348">
        <v>0</v>
      </c>
      <c r="H248" s="136">
        <f>SUM(C248:G248)</f>
        <v>0.35</v>
      </c>
      <c r="I248" s="137"/>
      <c r="J248" s="137"/>
      <c r="K248" s="137"/>
      <c r="L248" s="138">
        <f>((C248*$C$9)+(D248*$D$9)+(E248*$E$9)+(F248*$F$9))</f>
        <v>16.776000000000003</v>
      </c>
      <c r="M248" s="138">
        <v>0</v>
      </c>
      <c r="N248" s="139">
        <v>0</v>
      </c>
      <c r="O248" s="478">
        <f>O244</f>
        <v>42.666666886666668</v>
      </c>
      <c r="P248" s="141">
        <f>(C248+D248+E248+F248)*O248</f>
        <v>14.933333410333333</v>
      </c>
      <c r="Q248" s="72">
        <f>(M248+N248)*O248</f>
        <v>0</v>
      </c>
      <c r="R248" s="142">
        <f>(L248+M248+N248)*O248</f>
        <v>715.77600369072013</v>
      </c>
      <c r="S248" s="565" t="s">
        <v>254</v>
      </c>
      <c r="T248" s="536" t="str">
        <f>IF($S248="RP",O248,"")</f>
        <v/>
      </c>
      <c r="U248" s="537" t="str">
        <f>IF($S248="RP",P248,"")</f>
        <v/>
      </c>
      <c r="V248" s="521" t="str">
        <f>IF($S248="RP",Q248,"")</f>
        <v/>
      </c>
      <c r="W248" s="537">
        <f>IF($S248="RK",O248,"")</f>
        <v>42.666666886666668</v>
      </c>
      <c r="X248" s="537">
        <f>IF($S248="RK",P248,"")</f>
        <v>14.933333410333333</v>
      </c>
      <c r="Y248" s="521">
        <f>IF($S248="RK",Q248,"")</f>
        <v>0</v>
      </c>
    </row>
    <row r="249" spans="1:25" s="29" customFormat="1" ht="12.75" thickTop="1" thickBot="1">
      <c r="A249" s="145" t="s">
        <v>22</v>
      </c>
      <c r="B249" s="146"/>
      <c r="C249" s="297">
        <f t="shared" ref="C249:N249" si="98">C248</f>
        <v>0</v>
      </c>
      <c r="D249" s="297">
        <f t="shared" si="98"/>
        <v>0</v>
      </c>
      <c r="E249" s="297">
        <f t="shared" si="98"/>
        <v>0.25</v>
      </c>
      <c r="F249" s="297">
        <f t="shared" si="98"/>
        <v>0.1</v>
      </c>
      <c r="G249" s="297">
        <f t="shared" si="98"/>
        <v>0</v>
      </c>
      <c r="H249" s="297">
        <f t="shared" si="98"/>
        <v>0.35</v>
      </c>
      <c r="I249" s="322">
        <f t="shared" si="98"/>
        <v>0</v>
      </c>
      <c r="J249" s="322">
        <f t="shared" si="98"/>
        <v>0</v>
      </c>
      <c r="K249" s="322">
        <f t="shared" si="98"/>
        <v>0</v>
      </c>
      <c r="L249" s="323">
        <f t="shared" si="98"/>
        <v>16.776000000000003</v>
      </c>
      <c r="M249" s="323">
        <f t="shared" si="98"/>
        <v>0</v>
      </c>
      <c r="N249" s="150">
        <f t="shared" si="98"/>
        <v>0</v>
      </c>
      <c r="O249" s="480"/>
      <c r="P249" s="325">
        <f>P248</f>
        <v>14.933333410333333</v>
      </c>
      <c r="Q249" s="153">
        <f>Q248</f>
        <v>0</v>
      </c>
      <c r="R249" s="153">
        <f>R248</f>
        <v>715.77600369072013</v>
      </c>
      <c r="S249" s="554"/>
      <c r="T249" s="543" t="str">
        <f t="shared" ref="T249:Y249" si="99">T248</f>
        <v/>
      </c>
      <c r="U249" s="543" t="str">
        <f t="shared" si="99"/>
        <v/>
      </c>
      <c r="V249" s="153" t="str">
        <f t="shared" si="99"/>
        <v/>
      </c>
      <c r="W249" s="543">
        <f t="shared" si="99"/>
        <v>42.666666886666668</v>
      </c>
      <c r="X249" s="543">
        <f t="shared" si="99"/>
        <v>14.933333410333333</v>
      </c>
      <c r="Y249" s="153">
        <f t="shared" si="99"/>
        <v>0</v>
      </c>
    </row>
    <row r="250" spans="1:25" s="29" customFormat="1" ht="12" thickTop="1">
      <c r="A250" s="201" t="s">
        <v>100</v>
      </c>
      <c r="B250" s="202"/>
      <c r="C250" s="203"/>
      <c r="D250" s="203"/>
      <c r="E250" s="203"/>
      <c r="F250" s="203"/>
      <c r="G250" s="203"/>
      <c r="H250" s="203"/>
      <c r="I250" s="204"/>
      <c r="J250" s="204"/>
      <c r="K250" s="204"/>
      <c r="L250" s="205"/>
      <c r="M250" s="205"/>
      <c r="N250" s="206"/>
      <c r="O250" s="477"/>
      <c r="P250" s="208"/>
      <c r="Q250" s="208"/>
      <c r="R250" s="209"/>
      <c r="S250" s="11"/>
      <c r="T250" s="455"/>
      <c r="U250" s="533"/>
      <c r="W250" s="455"/>
      <c r="X250" s="455"/>
    </row>
    <row r="251" spans="1:25" s="29" customFormat="1">
      <c r="A251" s="351"/>
      <c r="B251" s="229" t="s">
        <v>101</v>
      </c>
      <c r="C251" s="340"/>
      <c r="D251" s="340"/>
      <c r="E251" s="340"/>
      <c r="F251" s="340"/>
      <c r="G251" s="340"/>
      <c r="H251" s="174"/>
      <c r="I251" s="175"/>
      <c r="J251" s="175"/>
      <c r="K251" s="175"/>
      <c r="L251" s="176"/>
      <c r="M251" s="176"/>
      <c r="N251" s="177"/>
      <c r="O251" s="479"/>
      <c r="P251" s="178"/>
      <c r="Q251" s="343"/>
      <c r="R251" s="179"/>
      <c r="S251" s="11"/>
      <c r="T251" s="455"/>
      <c r="U251" s="533"/>
      <c r="W251" s="455"/>
      <c r="X251" s="455"/>
    </row>
    <row r="252" spans="1:25" s="29" customFormat="1" ht="12" thickBot="1">
      <c r="A252" s="351"/>
      <c r="B252" s="381" t="s">
        <v>102</v>
      </c>
      <c r="C252" s="340">
        <v>0</v>
      </c>
      <c r="D252" s="340">
        <v>0.25</v>
      </c>
      <c r="E252" s="340">
        <v>1</v>
      </c>
      <c r="F252" s="340">
        <v>0</v>
      </c>
      <c r="G252" s="340">
        <v>0</v>
      </c>
      <c r="H252" s="174">
        <f>SUM(C252:G252)</f>
        <v>1.25</v>
      </c>
      <c r="I252" s="175"/>
      <c r="J252" s="175"/>
      <c r="K252" s="175"/>
      <c r="L252" s="176">
        <f>((C252*$C$9)+(D252*$D$9)+(E252*$E$9)+(F252*$F$9))</f>
        <v>74.040000000000006</v>
      </c>
      <c r="M252" s="176">
        <v>0</v>
      </c>
      <c r="N252" s="177">
        <v>0</v>
      </c>
      <c r="O252" s="479">
        <f>0.1*O9</f>
        <v>4.2666666886666667</v>
      </c>
      <c r="P252" s="178">
        <f>(C252+D252+E252+F252)*O252</f>
        <v>5.3333333608333335</v>
      </c>
      <c r="Q252" s="72">
        <f>(M252+N252)*O252</f>
        <v>0</v>
      </c>
      <c r="R252" s="179">
        <f>(L252+M252+N252)*O252</f>
        <v>315.90400162888005</v>
      </c>
      <c r="S252" s="171" t="s">
        <v>254</v>
      </c>
      <c r="T252" s="536" t="str">
        <f>IF($S252="RP",O252,"")</f>
        <v/>
      </c>
      <c r="U252" s="537" t="str">
        <f>IF($S252="RP",P252,"")</f>
        <v/>
      </c>
      <c r="V252" s="521" t="str">
        <f>IF($S252="RP",Q252,"")</f>
        <v/>
      </c>
      <c r="W252" s="537">
        <f>IF($S252="RK",O252,"")</f>
        <v>4.2666666886666667</v>
      </c>
      <c r="X252" s="537">
        <f>IF($S252="RK",P252,"")</f>
        <v>5.3333333608333335</v>
      </c>
      <c r="Y252" s="521">
        <f>IF($S252="RK",Q252,"")</f>
        <v>0</v>
      </c>
    </row>
    <row r="253" spans="1:25" s="29" customFormat="1" ht="12.75" thickTop="1" thickBot="1">
      <c r="A253" s="321" t="s">
        <v>22</v>
      </c>
      <c r="B253" s="146"/>
      <c r="C253" s="297">
        <f t="shared" ref="C253:H253" si="100">C252</f>
        <v>0</v>
      </c>
      <c r="D253" s="297">
        <f t="shared" si="100"/>
        <v>0.25</v>
      </c>
      <c r="E253" s="297">
        <f t="shared" si="100"/>
        <v>1</v>
      </c>
      <c r="F253" s="297">
        <f t="shared" si="100"/>
        <v>0</v>
      </c>
      <c r="G253" s="297">
        <f t="shared" si="100"/>
        <v>0</v>
      </c>
      <c r="H253" s="297">
        <f t="shared" si="100"/>
        <v>1.25</v>
      </c>
      <c r="I253" s="322">
        <f>I251</f>
        <v>0</v>
      </c>
      <c r="J253" s="322">
        <f>J251</f>
        <v>0</v>
      </c>
      <c r="K253" s="322">
        <f>K251</f>
        <v>0</v>
      </c>
      <c r="L253" s="323">
        <f>L252</f>
        <v>74.040000000000006</v>
      </c>
      <c r="M253" s="323">
        <f>M251</f>
        <v>0</v>
      </c>
      <c r="N253" s="150">
        <f>N251</f>
        <v>0</v>
      </c>
      <c r="O253" s="153">
        <f>O252</f>
        <v>4.2666666886666667</v>
      </c>
      <c r="P253" s="543">
        <f>P252</f>
        <v>5.3333333608333335</v>
      </c>
      <c r="Q253" s="153">
        <f>Q252</f>
        <v>0</v>
      </c>
      <c r="R253" s="153">
        <f>R252</f>
        <v>315.90400162888005</v>
      </c>
      <c r="S253" s="153"/>
      <c r="T253" s="543" t="str">
        <f t="shared" ref="T253:Y253" si="101">T252</f>
        <v/>
      </c>
      <c r="U253" s="543" t="str">
        <f t="shared" si="101"/>
        <v/>
      </c>
      <c r="V253" s="153" t="str">
        <f t="shared" si="101"/>
        <v/>
      </c>
      <c r="W253" s="543">
        <f t="shared" si="101"/>
        <v>4.2666666886666667</v>
      </c>
      <c r="X253" s="543">
        <f t="shared" si="101"/>
        <v>5.3333333608333335</v>
      </c>
      <c r="Y253" s="153">
        <f t="shared" si="101"/>
        <v>0</v>
      </c>
    </row>
    <row r="254" spans="1:25" s="29" customFormat="1" ht="12" thickTop="1">
      <c r="A254" s="201" t="s">
        <v>103</v>
      </c>
      <c r="B254" s="202"/>
      <c r="C254" s="203"/>
      <c r="D254" s="203"/>
      <c r="E254" s="203"/>
      <c r="F254" s="203"/>
      <c r="G254" s="203"/>
      <c r="H254" s="203"/>
      <c r="I254" s="204"/>
      <c r="J254" s="204"/>
      <c r="K254" s="204"/>
      <c r="L254" s="205"/>
      <c r="M254" s="205"/>
      <c r="N254" s="206"/>
      <c r="O254" s="477"/>
      <c r="P254" s="208"/>
      <c r="Q254" s="208"/>
      <c r="R254" s="209"/>
      <c r="S254" s="11"/>
      <c r="T254" s="455"/>
      <c r="U254" s="533"/>
      <c r="W254" s="455"/>
      <c r="X254" s="455"/>
    </row>
    <row r="255" spans="1:25" s="29" customFormat="1">
      <c r="A255" s="368"/>
      <c r="B255" s="382" t="s">
        <v>207</v>
      </c>
      <c r="C255" s="198">
        <v>0</v>
      </c>
      <c r="D255" s="198">
        <v>1</v>
      </c>
      <c r="E255" s="198">
        <v>10</v>
      </c>
      <c r="F255" s="198">
        <v>0</v>
      </c>
      <c r="G255" s="383">
        <v>0</v>
      </c>
      <c r="H255" s="384">
        <f>SUM(C255:G255)</f>
        <v>11</v>
      </c>
      <c r="I255" s="385"/>
      <c r="J255" s="385"/>
      <c r="K255" s="385"/>
      <c r="L255" s="386">
        <f>((C255*$C$9)+(D255*$D$9)+(E255*$E$9)+(F255*$F$9))</f>
        <v>625.82400000000007</v>
      </c>
      <c r="M255" s="386">
        <v>0</v>
      </c>
      <c r="N255" s="387">
        <v>0</v>
      </c>
      <c r="O255" s="477">
        <f>25%*O7</f>
        <v>5.333333333333333</v>
      </c>
      <c r="P255" s="388">
        <f>(C255+D255+E255+F255)*O255</f>
        <v>58.666666666666664</v>
      </c>
      <c r="Q255" s="72">
        <f>(M255+N255)*O255</f>
        <v>0</v>
      </c>
      <c r="R255" s="243">
        <f>(L255+M255+N255)*O255</f>
        <v>3337.7280000000001</v>
      </c>
      <c r="S255" s="528" t="s">
        <v>254</v>
      </c>
      <c r="T255" s="536" t="str">
        <f t="shared" ref="T255:V257" si="102">IF($S255="RP",O255,"")</f>
        <v/>
      </c>
      <c r="U255" s="537" t="str">
        <f t="shared" si="102"/>
        <v/>
      </c>
      <c r="V255" s="521" t="str">
        <f t="shared" si="102"/>
        <v/>
      </c>
      <c r="W255" s="537">
        <f t="shared" ref="W255:Y257" si="103">IF($S255="RK",O255,"")</f>
        <v>5.333333333333333</v>
      </c>
      <c r="X255" s="537">
        <f t="shared" si="103"/>
        <v>58.666666666666664</v>
      </c>
      <c r="Y255" s="521">
        <f t="shared" si="103"/>
        <v>0</v>
      </c>
    </row>
    <row r="256" spans="1:25" s="291" customFormat="1">
      <c r="A256" s="292"/>
      <c r="B256" s="389" t="s">
        <v>104</v>
      </c>
      <c r="C256" s="198">
        <v>0</v>
      </c>
      <c r="D256" s="198">
        <v>0.25</v>
      </c>
      <c r="E256" s="198">
        <v>0</v>
      </c>
      <c r="F256" s="198">
        <v>0.25</v>
      </c>
      <c r="G256" s="383">
        <v>0</v>
      </c>
      <c r="H256" s="384">
        <f>SUM(C256:G256)</f>
        <v>0.5</v>
      </c>
      <c r="I256" s="385"/>
      <c r="J256" s="385"/>
      <c r="K256" s="385"/>
      <c r="L256" s="386">
        <f>((C256*$C$9)+(D256*$D$9)+(E256*$E$9)+(F256*$F$9))</f>
        <v>26.696000000000002</v>
      </c>
      <c r="M256" s="386">
        <v>0</v>
      </c>
      <c r="N256" s="387">
        <v>10</v>
      </c>
      <c r="O256" s="477">
        <f>0.75*O255</f>
        <v>4</v>
      </c>
      <c r="P256" s="388">
        <f>(C256+D256+E256+F256)*O256</f>
        <v>2</v>
      </c>
      <c r="Q256" s="72">
        <f>(M256+N256)*O256</f>
        <v>40</v>
      </c>
      <c r="R256" s="243">
        <f>(L256+M256+N256)*O256</f>
        <v>146.78399999999999</v>
      </c>
      <c r="S256" s="171" t="s">
        <v>254</v>
      </c>
      <c r="T256" s="536" t="str">
        <f t="shared" si="102"/>
        <v/>
      </c>
      <c r="U256" s="537" t="str">
        <f t="shared" si="102"/>
        <v/>
      </c>
      <c r="V256" s="521" t="str">
        <f t="shared" si="102"/>
        <v/>
      </c>
      <c r="W256" s="537">
        <f t="shared" si="103"/>
        <v>4</v>
      </c>
      <c r="X256" s="537">
        <f t="shared" si="103"/>
        <v>2</v>
      </c>
      <c r="Y256" s="521">
        <f t="shared" si="103"/>
        <v>40</v>
      </c>
    </row>
    <row r="257" spans="1:25" s="29" customFormat="1" ht="12" thickBot="1">
      <c r="A257" s="218"/>
      <c r="B257" s="381" t="s">
        <v>65</v>
      </c>
      <c r="C257" s="198">
        <v>0</v>
      </c>
      <c r="D257" s="198">
        <v>0.25</v>
      </c>
      <c r="E257" s="198">
        <v>0</v>
      </c>
      <c r="F257" s="198">
        <v>0.25</v>
      </c>
      <c r="G257" s="383">
        <v>0</v>
      </c>
      <c r="H257" s="384">
        <f>SUM(C257:G257)</f>
        <v>0.5</v>
      </c>
      <c r="I257" s="385"/>
      <c r="J257" s="385"/>
      <c r="K257" s="385"/>
      <c r="L257" s="386">
        <f>((C257*$C$9)+(D257*$D$9)+(E257*$E$9)+(F257*$F$9))</f>
        <v>26.696000000000002</v>
      </c>
      <c r="M257" s="386">
        <v>0</v>
      </c>
      <c r="N257" s="387">
        <v>20</v>
      </c>
      <c r="O257" s="477">
        <f>O255</f>
        <v>5.333333333333333</v>
      </c>
      <c r="P257" s="388">
        <f>(C257+D257+E257+F257)*O257</f>
        <v>2.6666666666666665</v>
      </c>
      <c r="Q257" s="72">
        <f>(M257+N257)*O257</f>
        <v>106.66666666666666</v>
      </c>
      <c r="R257" s="243">
        <f>(L257+M257+N257)*O257</f>
        <v>249.0453333333333</v>
      </c>
      <c r="S257" s="171" t="s">
        <v>254</v>
      </c>
      <c r="T257" s="536" t="str">
        <f t="shared" si="102"/>
        <v/>
      </c>
      <c r="U257" s="537" t="str">
        <f t="shared" si="102"/>
        <v/>
      </c>
      <c r="V257" s="521" t="str">
        <f t="shared" si="102"/>
        <v/>
      </c>
      <c r="W257" s="537">
        <f t="shared" si="103"/>
        <v>5.333333333333333</v>
      </c>
      <c r="X257" s="537">
        <f t="shared" si="103"/>
        <v>2.6666666666666665</v>
      </c>
      <c r="Y257" s="521">
        <f t="shared" si="103"/>
        <v>106.66666666666666</v>
      </c>
    </row>
    <row r="258" spans="1:25" s="29" customFormat="1" ht="12.75" thickTop="1" thickBot="1">
      <c r="A258" s="321" t="s">
        <v>22</v>
      </c>
      <c r="B258" s="146"/>
      <c r="C258" s="297">
        <f t="shared" ref="C258:N258" si="104">SUM(C255:C257)</f>
        <v>0</v>
      </c>
      <c r="D258" s="297">
        <f t="shared" si="104"/>
        <v>1.5</v>
      </c>
      <c r="E258" s="297">
        <f t="shared" si="104"/>
        <v>10</v>
      </c>
      <c r="F258" s="297">
        <f t="shared" si="104"/>
        <v>0.5</v>
      </c>
      <c r="G258" s="297">
        <f t="shared" si="104"/>
        <v>0</v>
      </c>
      <c r="H258" s="297">
        <f t="shared" si="104"/>
        <v>12</v>
      </c>
      <c r="I258" s="380">
        <f t="shared" si="104"/>
        <v>0</v>
      </c>
      <c r="J258" s="380">
        <f t="shared" si="104"/>
        <v>0</v>
      </c>
      <c r="K258" s="380">
        <f t="shared" si="104"/>
        <v>0</v>
      </c>
      <c r="L258" s="323">
        <f t="shared" si="104"/>
        <v>679.21600000000012</v>
      </c>
      <c r="M258" s="323">
        <f t="shared" si="104"/>
        <v>0</v>
      </c>
      <c r="N258" s="150">
        <f t="shared" si="104"/>
        <v>30</v>
      </c>
      <c r="O258" s="482"/>
      <c r="P258" s="297">
        <f>SUM(P255:P257)</f>
        <v>63.333333333333329</v>
      </c>
      <c r="Q258" s="153">
        <f>SUM(Q255:Q257)</f>
        <v>146.66666666666666</v>
      </c>
      <c r="R258" s="153">
        <f>SUM(R255:R257)</f>
        <v>3733.5573333333336</v>
      </c>
      <c r="S258" s="153"/>
      <c r="T258" s="543">
        <f t="shared" ref="T258:Y258" si="105">SUM(T255:T257)</f>
        <v>0</v>
      </c>
      <c r="U258" s="543">
        <f t="shared" si="105"/>
        <v>0</v>
      </c>
      <c r="V258" s="153">
        <f t="shared" si="105"/>
        <v>0</v>
      </c>
      <c r="W258" s="543">
        <f t="shared" si="105"/>
        <v>14.666666666666664</v>
      </c>
      <c r="X258" s="543">
        <f t="shared" si="105"/>
        <v>63.333333333333329</v>
      </c>
      <c r="Y258" s="153">
        <f t="shared" si="105"/>
        <v>146.66666666666666</v>
      </c>
    </row>
    <row r="259" spans="1:25" s="29" customFormat="1" ht="12" thickTop="1">
      <c r="A259" s="201" t="s">
        <v>170</v>
      </c>
      <c r="B259" s="202"/>
      <c r="C259" s="203"/>
      <c r="D259" s="203"/>
      <c r="E259" s="203"/>
      <c r="F259" s="203"/>
      <c r="G259" s="203"/>
      <c r="H259" s="203"/>
      <c r="I259" s="204"/>
      <c r="J259" s="204"/>
      <c r="K259" s="204"/>
      <c r="L259" s="205"/>
      <c r="M259" s="205"/>
      <c r="N259" s="206"/>
      <c r="O259" s="477"/>
      <c r="P259" s="208"/>
      <c r="Q259" s="208"/>
      <c r="R259" s="209"/>
      <c r="S259" s="11"/>
      <c r="T259" s="455"/>
      <c r="U259" s="533"/>
      <c r="W259" s="455"/>
      <c r="X259" s="455"/>
    </row>
    <row r="260" spans="1:25" s="29" customFormat="1">
      <c r="A260" s="351"/>
      <c r="B260" s="229" t="s">
        <v>171</v>
      </c>
      <c r="C260" s="340"/>
      <c r="D260" s="340"/>
      <c r="E260" s="340"/>
      <c r="F260" s="340"/>
      <c r="G260" s="340"/>
      <c r="H260" s="174"/>
      <c r="I260" s="175"/>
      <c r="J260" s="175"/>
      <c r="K260" s="175"/>
      <c r="L260" s="176"/>
      <c r="M260" s="176"/>
      <c r="N260" s="177"/>
      <c r="O260" s="479"/>
      <c r="P260" s="178"/>
      <c r="Q260" s="343"/>
      <c r="R260" s="179"/>
      <c r="S260" s="11"/>
      <c r="T260" s="455"/>
      <c r="U260" s="533"/>
      <c r="W260" s="455"/>
      <c r="X260" s="455"/>
    </row>
    <row r="261" spans="1:25" s="29" customFormat="1" ht="12" thickBot="1">
      <c r="A261" s="351"/>
      <c r="B261" s="381" t="s">
        <v>61</v>
      </c>
      <c r="C261" s="340">
        <v>0</v>
      </c>
      <c r="D261" s="340">
        <v>0.5</v>
      </c>
      <c r="E261" s="340">
        <v>5</v>
      </c>
      <c r="F261" s="340">
        <v>0</v>
      </c>
      <c r="G261" s="340">
        <v>0</v>
      </c>
      <c r="H261" s="174">
        <f>SUM(C261:G261)</f>
        <v>5.5</v>
      </c>
      <c r="I261" s="175"/>
      <c r="J261" s="175"/>
      <c r="K261" s="175"/>
      <c r="L261" s="176">
        <f>((C261*$C$9)+(D261*$D$9)+(E261*$E$9)+(F261*$F$9))</f>
        <v>312.91200000000003</v>
      </c>
      <c r="M261" s="176">
        <v>0</v>
      </c>
      <c r="N261" s="177">
        <v>0</v>
      </c>
      <c r="O261" s="479">
        <f>O9</f>
        <v>42.666666886666668</v>
      </c>
      <c r="P261" s="178">
        <f>(C261+D261+E261+F261)*O261</f>
        <v>234.66666787666668</v>
      </c>
      <c r="Q261" s="72">
        <f>(M261+N261)*O261</f>
        <v>0</v>
      </c>
      <c r="R261" s="179">
        <f>(L261+M261+N261)*O261</f>
        <v>13350.912068840642</v>
      </c>
      <c r="S261" s="565" t="s">
        <v>254</v>
      </c>
      <c r="T261" s="536" t="str">
        <f>IF($S261="RP",O261,"")</f>
        <v/>
      </c>
      <c r="U261" s="537" t="str">
        <f>IF($S261="RP",P261,"")</f>
        <v/>
      </c>
      <c r="V261" s="521" t="str">
        <f>IF($S261="RP",Q261,"")</f>
        <v/>
      </c>
      <c r="W261" s="537">
        <f>IF($S261="RK",O261,"")</f>
        <v>42.666666886666668</v>
      </c>
      <c r="X261" s="537">
        <f>IF($S261="RK",P261,"")</f>
        <v>234.66666787666668</v>
      </c>
      <c r="Y261" s="521">
        <f>IF($S261="RK",Q261,"")</f>
        <v>0</v>
      </c>
    </row>
    <row r="262" spans="1:25" s="29" customFormat="1" ht="12.75" thickTop="1" thickBot="1">
      <c r="A262" s="321" t="s">
        <v>22</v>
      </c>
      <c r="B262" s="146"/>
      <c r="C262" s="297">
        <f t="shared" ref="C262:H262" si="106">C261</f>
        <v>0</v>
      </c>
      <c r="D262" s="297">
        <f t="shared" si="106"/>
        <v>0.5</v>
      </c>
      <c r="E262" s="297">
        <f t="shared" si="106"/>
        <v>5</v>
      </c>
      <c r="F262" s="297">
        <f t="shared" si="106"/>
        <v>0</v>
      </c>
      <c r="G262" s="297">
        <f t="shared" si="106"/>
        <v>0</v>
      </c>
      <c r="H262" s="297">
        <f t="shared" si="106"/>
        <v>5.5</v>
      </c>
      <c r="I262" s="322">
        <f>I260</f>
        <v>0</v>
      </c>
      <c r="J262" s="322">
        <f>J260</f>
        <v>0</v>
      </c>
      <c r="K262" s="322">
        <f>K260</f>
        <v>0</v>
      </c>
      <c r="L262" s="323">
        <f>L261</f>
        <v>312.91200000000003</v>
      </c>
      <c r="M262" s="323">
        <f>M260</f>
        <v>0</v>
      </c>
      <c r="N262" s="150">
        <f>N260</f>
        <v>0</v>
      </c>
      <c r="O262" s="480"/>
      <c r="P262" s="325">
        <f>P261</f>
        <v>234.66666787666668</v>
      </c>
      <c r="Q262" s="153">
        <f>Q261</f>
        <v>0</v>
      </c>
      <c r="R262" s="153">
        <f>R261</f>
        <v>13350.912068840642</v>
      </c>
      <c r="S262" s="153"/>
      <c r="T262" s="153" t="str">
        <f t="shared" ref="T262:Y262" si="107">T261</f>
        <v/>
      </c>
      <c r="U262" s="153" t="str">
        <f t="shared" si="107"/>
        <v/>
      </c>
      <c r="V262" s="153" t="str">
        <f t="shared" si="107"/>
        <v/>
      </c>
      <c r="W262" s="153">
        <f t="shared" si="107"/>
        <v>42.666666886666668</v>
      </c>
      <c r="X262" s="153">
        <f t="shared" si="107"/>
        <v>234.66666787666668</v>
      </c>
      <c r="Y262" s="153">
        <f t="shared" si="107"/>
        <v>0</v>
      </c>
    </row>
    <row r="263" spans="1:25" s="29" customFormat="1" ht="12.75" thickTop="1" thickBot="1">
      <c r="A263" s="145"/>
      <c r="B263" s="146"/>
      <c r="C263" s="101"/>
      <c r="D263" s="101"/>
      <c r="E263" s="101"/>
      <c r="F263" s="101"/>
      <c r="G263" s="101"/>
      <c r="H263" s="101"/>
      <c r="I263" s="102"/>
      <c r="J263" s="102"/>
      <c r="K263" s="102"/>
      <c r="L263" s="103"/>
      <c r="M263" s="103"/>
      <c r="N263" s="81"/>
      <c r="O263" s="480"/>
      <c r="P263" s="104"/>
      <c r="Q263" s="104"/>
      <c r="R263" s="80"/>
      <c r="S263" s="372"/>
      <c r="T263" s="455"/>
      <c r="U263" s="533"/>
      <c r="W263" s="455"/>
      <c r="X263" s="455"/>
    </row>
    <row r="264" spans="1:25" s="29" customFormat="1" ht="12.75" thickTop="1" thickBot="1">
      <c r="A264" s="245" t="s">
        <v>208</v>
      </c>
      <c r="B264" s="246"/>
      <c r="C264" s="247"/>
      <c r="D264" s="247"/>
      <c r="E264" s="247"/>
      <c r="F264" s="247"/>
      <c r="G264" s="247"/>
      <c r="H264" s="147">
        <f>SUM(H178,H189,H192,H203,H213,H216,H228,H239,H246,H249,H253,H258,H262)</f>
        <v>116.35</v>
      </c>
      <c r="I264" s="298"/>
      <c r="J264" s="298"/>
      <c r="K264" s="298"/>
      <c r="L264" s="149">
        <f>SUM(L178,L189,L192,L203,L213,L216,L228,L239,L246,L249,L253,L258,L262)</f>
        <v>6642.9360000000006</v>
      </c>
      <c r="M264" s="149">
        <f>SUM(M178,M189,M192,M203,M213,M216,M228,M239,M246,M249,M253,M258,M262)</f>
        <v>20</v>
      </c>
      <c r="N264" s="150">
        <f>SUM(N178,N189,N192,N203,N213,N216,N228,N239,N246,N249,N253,N258,N262)</f>
        <v>62</v>
      </c>
      <c r="O264" s="475"/>
      <c r="P264" s="152">
        <f>SUM(P178,P189,P192,P203,P213,P216,P228,P239,P246,P249,P253,P258,P262)</f>
        <v>2093.0666764621669</v>
      </c>
      <c r="Q264" s="153">
        <f>SUM(Q178,Q189,Q192,Q203,Q213,Q216,Q228,Q239,Q246,Q249,Q253,Q258,Q262)</f>
        <v>1955.7333426613334</v>
      </c>
      <c r="R264" s="153">
        <f>SUM(R178,R189,R192,R203,R213,R216,R228,R239,R246,R249,R253,R258,R262)</f>
        <v>122936.42937493586</v>
      </c>
      <c r="S264" s="153"/>
      <c r="T264" s="543">
        <f t="shared" ref="T264:Y264" si="108">SUM(T178,T189,T192,T203,T213,T216,T228,T239,T246,T249,T253,T258,T262)</f>
        <v>59.733333641333331</v>
      </c>
      <c r="U264" s="543">
        <f t="shared" si="108"/>
        <v>29.866666820666666</v>
      </c>
      <c r="V264" s="153">
        <f t="shared" si="108"/>
        <v>1809.0666759946666</v>
      </c>
      <c r="W264" s="543">
        <f t="shared" si="108"/>
        <v>403.33333520333343</v>
      </c>
      <c r="X264" s="543">
        <f t="shared" si="108"/>
        <v>2063.2000096415004</v>
      </c>
      <c r="Y264" s="153">
        <f t="shared" si="108"/>
        <v>146.66666666666666</v>
      </c>
    </row>
    <row r="265" spans="1:25" s="29" customFormat="1" ht="12" thickTop="1">
      <c r="A265" s="87"/>
      <c r="B265" s="248"/>
      <c r="C265" s="249"/>
      <c r="D265" s="249"/>
      <c r="E265" s="249"/>
      <c r="F265" s="249"/>
      <c r="G265" s="249"/>
      <c r="H265" s="106"/>
      <c r="I265" s="304"/>
      <c r="J265" s="304"/>
      <c r="K265" s="304"/>
      <c r="L265" s="108"/>
      <c r="M265" s="108"/>
      <c r="N265" s="91"/>
      <c r="O265" s="479"/>
      <c r="P265" s="111"/>
      <c r="Q265" s="111"/>
      <c r="R265" s="91"/>
      <c r="S265" s="11"/>
      <c r="T265" s="455"/>
      <c r="U265" s="533"/>
      <c r="W265" s="455"/>
      <c r="X265" s="455"/>
    </row>
    <row r="266" spans="1:25" s="29" customFormat="1" ht="12" thickBot="1">
      <c r="A266" s="94"/>
      <c r="B266" s="248"/>
      <c r="C266" s="249"/>
      <c r="D266" s="249"/>
      <c r="E266" s="249"/>
      <c r="F266" s="249"/>
      <c r="G266" s="249"/>
      <c r="H266" s="106"/>
      <c r="I266" s="304"/>
      <c r="J266" s="304"/>
      <c r="K266" s="304"/>
      <c r="L266" s="108"/>
      <c r="M266" s="108"/>
      <c r="N266" s="98"/>
      <c r="O266" s="479"/>
      <c r="P266" s="111"/>
      <c r="Q266" s="111"/>
      <c r="R266" s="98"/>
      <c r="S266" s="11"/>
      <c r="T266" s="455"/>
      <c r="U266" s="533"/>
      <c r="W266" s="455"/>
      <c r="X266" s="455"/>
    </row>
    <row r="267" spans="1:25" s="29" customFormat="1" ht="12.75" thickTop="1" thickBot="1">
      <c r="A267" s="373" t="s">
        <v>202</v>
      </c>
      <c r="B267" s="146"/>
      <c r="C267" s="61"/>
      <c r="D267" s="61"/>
      <c r="E267" s="61"/>
      <c r="F267" s="61"/>
      <c r="G267" s="61"/>
      <c r="H267" s="61"/>
      <c r="I267" s="62"/>
      <c r="J267" s="62"/>
      <c r="K267" s="62"/>
      <c r="L267" s="63"/>
      <c r="M267" s="63"/>
      <c r="N267" s="64"/>
      <c r="O267" s="485"/>
      <c r="P267" s="66"/>
      <c r="Q267" s="66"/>
      <c r="R267" s="67"/>
      <c r="S267" s="67"/>
      <c r="T267" s="546"/>
      <c r="U267" s="546"/>
      <c r="V267" s="67"/>
      <c r="W267" s="546"/>
      <c r="X267" s="546"/>
      <c r="Y267" s="67"/>
    </row>
    <row r="268" spans="1:25" s="29" customFormat="1" ht="12" thickTop="1">
      <c r="A268" s="353" t="s">
        <v>212</v>
      </c>
      <c r="B268" s="211"/>
      <c r="C268" s="49"/>
      <c r="D268" s="49"/>
      <c r="E268" s="49"/>
      <c r="F268" s="49"/>
      <c r="G268" s="49"/>
      <c r="H268" s="49"/>
      <c r="I268" s="50"/>
      <c r="J268" s="50"/>
      <c r="K268" s="50"/>
      <c r="L268" s="51"/>
      <c r="M268" s="51"/>
      <c r="N268" s="251"/>
      <c r="O268" s="486"/>
      <c r="P268" s="53"/>
      <c r="Q268" s="53"/>
      <c r="R268" s="252"/>
      <c r="S268" s="11"/>
      <c r="T268" s="455"/>
      <c r="U268" s="533"/>
      <c r="W268" s="455"/>
      <c r="X268" s="455"/>
    </row>
    <row r="269" spans="1:25" s="29" customFormat="1">
      <c r="A269" s="390"/>
      <c r="B269" s="391" t="s">
        <v>213</v>
      </c>
      <c r="C269" s="198">
        <v>0</v>
      </c>
      <c r="D269" s="198">
        <v>2</v>
      </c>
      <c r="E269" s="198">
        <v>30</v>
      </c>
      <c r="F269" s="198">
        <v>0</v>
      </c>
      <c r="G269" s="198">
        <v>0</v>
      </c>
      <c r="H269" s="198">
        <f>SUM(C269:G269)</f>
        <v>32</v>
      </c>
      <c r="I269" s="216"/>
      <c r="J269" s="216"/>
      <c r="K269" s="216"/>
      <c r="L269" s="217">
        <f>((C269*$C$9)+(D269*$D$9)+(E269*$E$9)+(F269*$F$9))</f>
        <v>1801.0880000000004</v>
      </c>
      <c r="M269" s="217">
        <v>0</v>
      </c>
      <c r="N269" s="288">
        <v>20</v>
      </c>
      <c r="O269" s="477">
        <f>(O7+O3+O2+O1)*10%</f>
        <v>4.2666666666666666</v>
      </c>
      <c r="P269" s="392">
        <f>(C269+D269+E269+F269)*O269</f>
        <v>136.53333333333333</v>
      </c>
      <c r="Q269" s="72">
        <f>(M269+N269)*O269</f>
        <v>85.333333333333329</v>
      </c>
      <c r="R269" s="287">
        <f>(L269+M269+N269)*O269</f>
        <v>7769.9754666666686</v>
      </c>
      <c r="S269" s="528" t="s">
        <v>254</v>
      </c>
      <c r="T269" s="536" t="str">
        <f t="shared" ref="T269:V270" si="109">IF($S269="RP",O269,"")</f>
        <v/>
      </c>
      <c r="U269" s="537" t="str">
        <f t="shared" si="109"/>
        <v/>
      </c>
      <c r="V269" s="521" t="str">
        <f t="shared" si="109"/>
        <v/>
      </c>
      <c r="W269" s="537">
        <f t="shared" ref="W269:Y270" si="110">IF($S269="RK",O269,"")</f>
        <v>4.2666666666666666</v>
      </c>
      <c r="X269" s="537">
        <f t="shared" si="110"/>
        <v>136.53333333333333</v>
      </c>
      <c r="Y269" s="521">
        <f t="shared" si="110"/>
        <v>85.333333333333329</v>
      </c>
    </row>
    <row r="270" spans="1:25" s="29" customFormat="1" ht="12" thickBot="1">
      <c r="A270" s="393"/>
      <c r="B270" s="394" t="s">
        <v>214</v>
      </c>
      <c r="C270" s="236">
        <v>0</v>
      </c>
      <c r="D270" s="236">
        <v>0</v>
      </c>
      <c r="E270" s="236">
        <v>10</v>
      </c>
      <c r="F270" s="236">
        <v>0</v>
      </c>
      <c r="G270" s="236">
        <v>0</v>
      </c>
      <c r="H270" s="236">
        <f>SUM(C270:G270)</f>
        <v>10</v>
      </c>
      <c r="I270" s="271"/>
      <c r="J270" s="271"/>
      <c r="K270" s="271"/>
      <c r="L270" s="272">
        <f>((C270*$C$9)+(D270*$D$9)+(E270*$E$9)+(F270*$F$9))</f>
        <v>549.44000000000005</v>
      </c>
      <c r="M270" s="272">
        <v>0</v>
      </c>
      <c r="N270" s="277">
        <v>0</v>
      </c>
      <c r="O270" s="481">
        <f>O269</f>
        <v>4.2666666666666666</v>
      </c>
      <c r="P270" s="273">
        <f>(C270+D270+E270+F270)*O270</f>
        <v>42.666666666666664</v>
      </c>
      <c r="Q270" s="72">
        <f>(M270+N270)*O270</f>
        <v>0</v>
      </c>
      <c r="R270" s="276">
        <f>(L270+M270+N270)*O270</f>
        <v>2344.2773333333334</v>
      </c>
      <c r="S270" s="171" t="s">
        <v>254</v>
      </c>
      <c r="T270" s="536" t="str">
        <f t="shared" si="109"/>
        <v/>
      </c>
      <c r="U270" s="537" t="str">
        <f t="shared" si="109"/>
        <v/>
      </c>
      <c r="V270" s="521" t="str">
        <f t="shared" si="109"/>
        <v/>
      </c>
      <c r="W270" s="537">
        <f t="shared" si="110"/>
        <v>4.2666666666666666</v>
      </c>
      <c r="X270" s="537">
        <f t="shared" si="110"/>
        <v>42.666666666666664</v>
      </c>
      <c r="Y270" s="521">
        <f t="shared" si="110"/>
        <v>0</v>
      </c>
    </row>
    <row r="271" spans="1:25" s="29" customFormat="1" ht="12.75" thickTop="1" thickBot="1">
      <c r="A271" s="373" t="s">
        <v>22</v>
      </c>
      <c r="B271" s="146"/>
      <c r="C271" s="395">
        <f t="shared" ref="C271:N271" si="111">C270+C269</f>
        <v>0</v>
      </c>
      <c r="D271" s="84">
        <f t="shared" si="111"/>
        <v>2</v>
      </c>
      <c r="E271" s="84">
        <f t="shared" si="111"/>
        <v>40</v>
      </c>
      <c r="F271" s="84">
        <f t="shared" si="111"/>
        <v>0</v>
      </c>
      <c r="G271" s="84">
        <f t="shared" si="111"/>
        <v>0</v>
      </c>
      <c r="H271" s="84">
        <f t="shared" si="111"/>
        <v>42</v>
      </c>
      <c r="I271" s="85">
        <f t="shared" si="111"/>
        <v>0</v>
      </c>
      <c r="J271" s="85">
        <f t="shared" si="111"/>
        <v>0</v>
      </c>
      <c r="K271" s="85">
        <f t="shared" si="111"/>
        <v>0</v>
      </c>
      <c r="L271" s="86">
        <f t="shared" si="111"/>
        <v>2350.5280000000002</v>
      </c>
      <c r="M271" s="86">
        <f t="shared" si="111"/>
        <v>0</v>
      </c>
      <c r="N271" s="81">
        <f t="shared" si="111"/>
        <v>20</v>
      </c>
      <c r="O271" s="480"/>
      <c r="P271" s="83">
        <f>P270+P269</f>
        <v>179.2</v>
      </c>
      <c r="Q271" s="80">
        <f>Q270+Q269</f>
        <v>85.333333333333329</v>
      </c>
      <c r="R271" s="80">
        <f>R270+R269</f>
        <v>10114.252800000002</v>
      </c>
      <c r="S271" s="80"/>
      <c r="T271" s="79">
        <f t="shared" ref="T271:Y271" si="112">T270+T269</f>
        <v>0</v>
      </c>
      <c r="U271" s="79">
        <f t="shared" si="112"/>
        <v>0</v>
      </c>
      <c r="V271" s="80">
        <f t="shared" si="112"/>
        <v>0</v>
      </c>
      <c r="W271" s="79">
        <f t="shared" si="112"/>
        <v>8.5333333333333332</v>
      </c>
      <c r="X271" s="79">
        <f t="shared" si="112"/>
        <v>179.2</v>
      </c>
      <c r="Y271" s="80">
        <f t="shared" si="112"/>
        <v>85.333333333333329</v>
      </c>
    </row>
    <row r="272" spans="1:25" s="29" customFormat="1" ht="12" thickTop="1">
      <c r="A272" s="310" t="s">
        <v>132</v>
      </c>
      <c r="B272" s="311"/>
      <c r="C272" s="312"/>
      <c r="D272" s="312"/>
      <c r="E272" s="312"/>
      <c r="F272" s="312"/>
      <c r="G272" s="312"/>
      <c r="H272" s="312"/>
      <c r="I272" s="313"/>
      <c r="J272" s="313"/>
      <c r="K272" s="313"/>
      <c r="L272" s="314"/>
      <c r="M272" s="314"/>
      <c r="N272" s="315"/>
      <c r="O272" s="487"/>
      <c r="P272" s="317"/>
      <c r="Q272" s="317"/>
      <c r="R272" s="318"/>
      <c r="S272" s="11"/>
      <c r="T272" s="455"/>
      <c r="U272" s="533"/>
      <c r="W272" s="455"/>
      <c r="X272" s="455"/>
    </row>
    <row r="273" spans="1:25" s="172" customFormat="1">
      <c r="A273" s="319"/>
      <c r="B273" s="389" t="s">
        <v>133</v>
      </c>
      <c r="C273" s="198">
        <v>0</v>
      </c>
      <c r="D273" s="198">
        <v>0.25</v>
      </c>
      <c r="E273" s="198">
        <v>1</v>
      </c>
      <c r="F273" s="198">
        <v>0</v>
      </c>
      <c r="G273" s="265">
        <v>0</v>
      </c>
      <c r="H273" s="166">
        <f>SUM(C273:G273)</f>
        <v>1.25</v>
      </c>
      <c r="I273" s="167"/>
      <c r="J273" s="167"/>
      <c r="K273" s="167"/>
      <c r="L273" s="168">
        <f>((C273*$C$9)+(D273*$D$9)+(E273*$E$9)+(F273*$F$9))</f>
        <v>74.040000000000006</v>
      </c>
      <c r="M273" s="168">
        <v>0</v>
      </c>
      <c r="N273" s="169">
        <v>0</v>
      </c>
      <c r="O273" s="488">
        <f>0.1*O9</f>
        <v>4.2666666886666667</v>
      </c>
      <c r="P273" s="170">
        <f>(C273+D273+E273+F273)*O273</f>
        <v>5.3333333608333335</v>
      </c>
      <c r="Q273" s="72">
        <f>(M273+N273)*O273</f>
        <v>0</v>
      </c>
      <c r="R273" s="142">
        <f>(L273+M273+N273)*O273</f>
        <v>315.90400162888005</v>
      </c>
      <c r="S273" s="171" t="s">
        <v>254</v>
      </c>
      <c r="T273" s="536" t="str">
        <f t="shared" ref="T273:V274" si="113">IF($S273="RP",O273,"")</f>
        <v/>
      </c>
      <c r="U273" s="537" t="str">
        <f t="shared" si="113"/>
        <v/>
      </c>
      <c r="V273" s="521" t="str">
        <f t="shared" si="113"/>
        <v/>
      </c>
      <c r="W273" s="537">
        <f t="shared" ref="W273:Y274" si="114">IF($S273="RK",O273,"")</f>
        <v>4.2666666886666667</v>
      </c>
      <c r="X273" s="537">
        <f t="shared" si="114"/>
        <v>5.3333333608333335</v>
      </c>
      <c r="Y273" s="521">
        <f t="shared" si="114"/>
        <v>0</v>
      </c>
    </row>
    <row r="274" spans="1:25" s="29" customFormat="1">
      <c r="A274" s="353"/>
      <c r="B274" s="296" t="s">
        <v>134</v>
      </c>
      <c r="C274" s="195">
        <v>0</v>
      </c>
      <c r="D274" s="195">
        <v>0.25</v>
      </c>
      <c r="E274" s="195">
        <v>10</v>
      </c>
      <c r="F274" s="195">
        <v>0</v>
      </c>
      <c r="G274" s="265">
        <v>0</v>
      </c>
      <c r="H274" s="136">
        <f>SUM(C274:G274)</f>
        <v>10.25</v>
      </c>
      <c r="I274" s="137"/>
      <c r="J274" s="137"/>
      <c r="K274" s="137"/>
      <c r="L274" s="138">
        <f>((C274*$C$9)+(D274*$D$9)+(E274*$E$9)+(F274*$F$9))</f>
        <v>568.53600000000006</v>
      </c>
      <c r="M274" s="138">
        <v>0</v>
      </c>
      <c r="N274" s="139">
        <v>0</v>
      </c>
      <c r="O274" s="473">
        <f>0.05*O9</f>
        <v>2.1333333443333333</v>
      </c>
      <c r="P274" s="141">
        <f>(C274+D274+E274+F274)*O274</f>
        <v>21.866666779416665</v>
      </c>
      <c r="Q274" s="72">
        <f>(M274+N274)*O274</f>
        <v>0</v>
      </c>
      <c r="R274" s="142">
        <f>(L274+M274+N274)*O274</f>
        <v>1212.8768062538961</v>
      </c>
      <c r="S274" s="171" t="s">
        <v>254</v>
      </c>
      <c r="T274" s="536" t="str">
        <f t="shared" si="113"/>
        <v/>
      </c>
      <c r="U274" s="537" t="str">
        <f t="shared" si="113"/>
        <v/>
      </c>
      <c r="V274" s="521" t="str">
        <f t="shared" si="113"/>
        <v/>
      </c>
      <c r="W274" s="537">
        <f t="shared" si="114"/>
        <v>2.1333333443333333</v>
      </c>
      <c r="X274" s="537">
        <f t="shared" si="114"/>
        <v>21.866666779416665</v>
      </c>
      <c r="Y274" s="521">
        <f t="shared" si="114"/>
        <v>0</v>
      </c>
    </row>
    <row r="275" spans="1:25" s="29" customFormat="1">
      <c r="A275" s="351"/>
      <c r="B275" s="339" t="s">
        <v>135</v>
      </c>
      <c r="C275" s="340"/>
      <c r="D275" s="340"/>
      <c r="E275" s="340"/>
      <c r="F275" s="340"/>
      <c r="G275" s="340"/>
      <c r="H275" s="174"/>
      <c r="I275" s="175"/>
      <c r="J275" s="175"/>
      <c r="K275" s="175"/>
      <c r="L275" s="176"/>
      <c r="M275" s="176"/>
      <c r="N275" s="177"/>
      <c r="O275" s="479"/>
      <c r="P275" s="178"/>
      <c r="Q275" s="72"/>
      <c r="R275" s="179"/>
      <c r="S275" s="11"/>
      <c r="T275" s="455"/>
      <c r="U275" s="533"/>
      <c r="W275" s="455"/>
      <c r="X275" s="455"/>
    </row>
    <row r="276" spans="1:25" s="172" customFormat="1">
      <c r="A276" s="353"/>
      <c r="B276" s="296" t="s">
        <v>136</v>
      </c>
      <c r="C276" s="195">
        <v>0</v>
      </c>
      <c r="D276" s="195">
        <v>0.25</v>
      </c>
      <c r="E276" s="195">
        <v>1</v>
      </c>
      <c r="F276" s="195">
        <v>0</v>
      </c>
      <c r="G276" s="265">
        <v>0</v>
      </c>
      <c r="H276" s="166">
        <f>SUM(C276:G276)</f>
        <v>1.25</v>
      </c>
      <c r="I276" s="167"/>
      <c r="J276" s="167"/>
      <c r="K276" s="167"/>
      <c r="L276" s="168">
        <f>((C276*$C$9)+(D276*$D$9)+(E276*$E$9)+(F276*$F$9))</f>
        <v>74.040000000000006</v>
      </c>
      <c r="M276" s="168">
        <v>0</v>
      </c>
      <c r="N276" s="169">
        <v>0</v>
      </c>
      <c r="O276" s="473">
        <f>0.05*O9</f>
        <v>2.1333333443333333</v>
      </c>
      <c r="P276" s="170">
        <f>(C276+D276+E276+F276)*O276</f>
        <v>2.6666666804166668</v>
      </c>
      <c r="Q276" s="72">
        <f>(M276+N276)*O276</f>
        <v>0</v>
      </c>
      <c r="R276" s="142">
        <f>(L276+M276+N276)*O276</f>
        <v>157.95200081444003</v>
      </c>
      <c r="S276" s="171" t="s">
        <v>254</v>
      </c>
      <c r="T276" s="536" t="str">
        <f t="shared" ref="T276:V278" si="115">IF($S276="RP",O276,"")</f>
        <v/>
      </c>
      <c r="U276" s="537" t="str">
        <f t="shared" si="115"/>
        <v/>
      </c>
      <c r="V276" s="521" t="str">
        <f t="shared" si="115"/>
        <v/>
      </c>
      <c r="W276" s="537">
        <f t="shared" ref="W276:Y278" si="116">IF($S276="RK",O276,"")</f>
        <v>2.1333333443333333</v>
      </c>
      <c r="X276" s="537">
        <f t="shared" si="116"/>
        <v>2.6666666804166668</v>
      </c>
      <c r="Y276" s="521">
        <f t="shared" si="116"/>
        <v>0</v>
      </c>
    </row>
    <row r="277" spans="1:25" s="291" customFormat="1">
      <c r="A277" s="319"/>
      <c r="B277" s="389" t="s">
        <v>72</v>
      </c>
      <c r="C277" s="198">
        <v>0</v>
      </c>
      <c r="D277" s="198">
        <v>0.25</v>
      </c>
      <c r="E277" s="198">
        <v>0</v>
      </c>
      <c r="F277" s="198">
        <v>0.25</v>
      </c>
      <c r="G277" s="383">
        <v>0</v>
      </c>
      <c r="H277" s="384">
        <f>SUM(C277:G277)</f>
        <v>0.5</v>
      </c>
      <c r="I277" s="385"/>
      <c r="J277" s="385"/>
      <c r="K277" s="385"/>
      <c r="L277" s="386">
        <f>((C277*$C$9)+(D277*$D$9)+(E277*$E$9)+(F277*$F$9))</f>
        <v>26.696000000000002</v>
      </c>
      <c r="M277" s="386">
        <v>0</v>
      </c>
      <c r="N277" s="387">
        <v>1</v>
      </c>
      <c r="O277" s="488">
        <f>0.05*O9</f>
        <v>2.1333333443333333</v>
      </c>
      <c r="P277" s="388">
        <f>(C277+D277+E277+F277)*O277</f>
        <v>1.0666666721666667</v>
      </c>
      <c r="Q277" s="72">
        <f>(M277+N277)*O277</f>
        <v>2.1333333443333333</v>
      </c>
      <c r="R277" s="243">
        <f>(L277+M277+N277)*O277</f>
        <v>59.084800304656</v>
      </c>
      <c r="S277" s="171" t="s">
        <v>254</v>
      </c>
      <c r="T277" s="536" t="str">
        <f t="shared" si="115"/>
        <v/>
      </c>
      <c r="U277" s="537" t="str">
        <f t="shared" si="115"/>
        <v/>
      </c>
      <c r="V277" s="521" t="str">
        <f t="shared" si="115"/>
        <v/>
      </c>
      <c r="W277" s="537">
        <f t="shared" si="116"/>
        <v>2.1333333443333333</v>
      </c>
      <c r="X277" s="537">
        <f t="shared" si="116"/>
        <v>1.0666666721666667</v>
      </c>
      <c r="Y277" s="521">
        <f t="shared" si="116"/>
        <v>2.1333333443333333</v>
      </c>
    </row>
    <row r="278" spans="1:25" s="29" customFormat="1" ht="12" thickBot="1">
      <c r="A278" s="369"/>
      <c r="B278" s="339" t="s">
        <v>65</v>
      </c>
      <c r="C278" s="195">
        <v>0</v>
      </c>
      <c r="D278" s="195">
        <v>0.25</v>
      </c>
      <c r="E278" s="195">
        <v>0</v>
      </c>
      <c r="F278" s="195">
        <v>0.25</v>
      </c>
      <c r="G278" s="106">
        <v>0</v>
      </c>
      <c r="H278" s="136">
        <f>SUM(C278:G278)</f>
        <v>0.5</v>
      </c>
      <c r="I278" s="137"/>
      <c r="J278" s="137"/>
      <c r="K278" s="137"/>
      <c r="L278" s="138">
        <f>((C278*$C$9)+(D278*$D$9)+(E278*$E$9)+(F278*$F$9))</f>
        <v>26.696000000000002</v>
      </c>
      <c r="M278" s="138">
        <v>0</v>
      </c>
      <c r="N278" s="139">
        <v>1</v>
      </c>
      <c r="O278" s="473">
        <f>0.1*O9</f>
        <v>4.2666666886666667</v>
      </c>
      <c r="P278" s="141">
        <f>(C278+D278+E278+F278)*O278</f>
        <v>2.1333333443333333</v>
      </c>
      <c r="Q278" s="72">
        <f>(M278+N278)*O278</f>
        <v>4.2666666886666667</v>
      </c>
      <c r="R278" s="142">
        <f>(L278+M278+N278)*O278</f>
        <v>118.169600609312</v>
      </c>
      <c r="S278" s="171" t="s">
        <v>259</v>
      </c>
      <c r="T278" s="536">
        <f t="shared" si="115"/>
        <v>4.2666666886666667</v>
      </c>
      <c r="U278" s="537">
        <f t="shared" si="115"/>
        <v>2.1333333443333333</v>
      </c>
      <c r="V278" s="521">
        <f t="shared" si="115"/>
        <v>4.2666666886666667</v>
      </c>
      <c r="W278" s="537" t="str">
        <f t="shared" si="116"/>
        <v/>
      </c>
      <c r="X278" s="537" t="str">
        <f t="shared" si="116"/>
        <v/>
      </c>
      <c r="Y278" s="521" t="str">
        <f t="shared" si="116"/>
        <v/>
      </c>
    </row>
    <row r="279" spans="1:25" s="29" customFormat="1" ht="12.75" thickTop="1" thickBot="1">
      <c r="A279" s="396" t="s">
        <v>22</v>
      </c>
      <c r="B279" s="396"/>
      <c r="C279" s="84">
        <f>SUM(C273:C278)</f>
        <v>0</v>
      </c>
      <c r="D279" s="84">
        <f>SUM(D273:D278)</f>
        <v>1.25</v>
      </c>
      <c r="E279" s="84">
        <f>SUM(E273:E278)</f>
        <v>12</v>
      </c>
      <c r="F279" s="84">
        <f>SUM(F273:F278)</f>
        <v>0.5</v>
      </c>
      <c r="G279" s="84">
        <f>SUM(G274:G276)</f>
        <v>0</v>
      </c>
      <c r="H279" s="84">
        <f>SUM(H273:H278)</f>
        <v>13.75</v>
      </c>
      <c r="I279" s="85">
        <f>SUM(I274:I276)</f>
        <v>0</v>
      </c>
      <c r="J279" s="85">
        <f>SUM(J274:J276)</f>
        <v>0</v>
      </c>
      <c r="K279" s="85">
        <f>SUM(K274:K276)</f>
        <v>0</v>
      </c>
      <c r="L279" s="86">
        <f>SUM(L273:L278)</f>
        <v>770.00800000000004</v>
      </c>
      <c r="M279" s="86">
        <f>SUM(M273:M278)</f>
        <v>0</v>
      </c>
      <c r="N279" s="397">
        <f>SUM(N273:N278)</f>
        <v>2</v>
      </c>
      <c r="O279" s="489"/>
      <c r="P279" s="84">
        <f>SUM(P273:P278)</f>
        <v>33.066666837166665</v>
      </c>
      <c r="Q279" s="86">
        <f>SUM(Q273:Q278)</f>
        <v>6.4000000329999995</v>
      </c>
      <c r="R279" s="86">
        <f>SUM(R273:R278)</f>
        <v>1863.9872096111842</v>
      </c>
      <c r="S279" s="86"/>
      <c r="T279" s="85">
        <f t="shared" ref="T279:Y279" si="117">SUM(T273:T278)</f>
        <v>4.2666666886666667</v>
      </c>
      <c r="U279" s="85">
        <f t="shared" si="117"/>
        <v>2.1333333443333333</v>
      </c>
      <c r="V279" s="86">
        <f t="shared" si="117"/>
        <v>4.2666666886666667</v>
      </c>
      <c r="W279" s="85">
        <f t="shared" si="117"/>
        <v>10.666666721666667</v>
      </c>
      <c r="X279" s="85">
        <f t="shared" si="117"/>
        <v>30.933333492833331</v>
      </c>
      <c r="Y279" s="86">
        <f t="shared" si="117"/>
        <v>2.1333333443333333</v>
      </c>
    </row>
    <row r="280" spans="1:25" s="29" customFormat="1" ht="12" thickTop="1">
      <c r="A280" s="188" t="s">
        <v>137</v>
      </c>
      <c r="B280" s="172"/>
      <c r="C280" s="265"/>
      <c r="D280" s="265"/>
      <c r="E280" s="265"/>
      <c r="F280" s="265"/>
      <c r="G280" s="265"/>
      <c r="H280" s="265"/>
      <c r="I280" s="266"/>
      <c r="J280" s="266"/>
      <c r="K280" s="266"/>
      <c r="L280" s="267"/>
      <c r="M280" s="267"/>
      <c r="N280" s="73"/>
      <c r="O280" s="484"/>
      <c r="P280" s="269"/>
      <c r="Q280" s="269"/>
      <c r="R280" s="72"/>
      <c r="S280" s="11"/>
      <c r="T280" s="455"/>
      <c r="U280" s="533"/>
      <c r="W280" s="455"/>
      <c r="X280" s="455"/>
    </row>
    <row r="281" spans="1:25" s="29" customFormat="1">
      <c r="A281" s="218"/>
      <c r="B281" s="219" t="s">
        <v>138</v>
      </c>
      <c r="C281" s="280"/>
      <c r="D281" s="280"/>
      <c r="E281" s="280"/>
      <c r="F281" s="280"/>
      <c r="G281" s="280"/>
      <c r="H281" s="280"/>
      <c r="I281" s="281"/>
      <c r="J281" s="281"/>
      <c r="K281" s="281"/>
      <c r="L281" s="112"/>
      <c r="M281" s="112"/>
      <c r="N281" s="109"/>
      <c r="O281" s="474"/>
      <c r="P281" s="233"/>
      <c r="Q281" s="233"/>
      <c r="R281" s="112"/>
      <c r="S281" s="11"/>
      <c r="T281" s="455"/>
      <c r="U281" s="533"/>
      <c r="W281" s="455"/>
      <c r="X281" s="455"/>
    </row>
    <row r="282" spans="1:25" s="29" customFormat="1">
      <c r="A282" s="218"/>
      <c r="B282" s="219" t="s">
        <v>139</v>
      </c>
      <c r="C282" s="280"/>
      <c r="D282" s="280"/>
      <c r="E282" s="280"/>
      <c r="F282" s="280"/>
      <c r="G282" s="280"/>
      <c r="H282" s="280"/>
      <c r="I282" s="281"/>
      <c r="J282" s="281"/>
      <c r="K282" s="281"/>
      <c r="L282" s="112"/>
      <c r="M282" s="112"/>
      <c r="N282" s="109"/>
      <c r="O282" s="474"/>
      <c r="P282" s="233"/>
      <c r="Q282" s="233"/>
      <c r="R282" s="112"/>
      <c r="S282" s="11"/>
      <c r="T282" s="455"/>
      <c r="U282" s="533"/>
      <c r="W282" s="455"/>
      <c r="X282" s="455"/>
    </row>
    <row r="283" spans="1:25" s="29" customFormat="1">
      <c r="A283" s="188"/>
      <c r="B283" s="398" t="s">
        <v>140</v>
      </c>
      <c r="C283" s="348">
        <v>0</v>
      </c>
      <c r="D283" s="348">
        <v>0.5</v>
      </c>
      <c r="E283" s="348">
        <v>1</v>
      </c>
      <c r="F283" s="348">
        <v>0</v>
      </c>
      <c r="G283" s="348">
        <v>0</v>
      </c>
      <c r="H283" s="136">
        <f>SUM(C283:G283)</f>
        <v>1.5</v>
      </c>
      <c r="I283" s="137"/>
      <c r="J283" s="137"/>
      <c r="K283" s="137"/>
      <c r="L283" s="138">
        <f>((C283*$C$9)+(D283*$D$9)+(E283*$E$9)+(F283*$F$9))</f>
        <v>93.13600000000001</v>
      </c>
      <c r="M283" s="138">
        <v>0</v>
      </c>
      <c r="N283" s="139">
        <v>0</v>
      </c>
      <c r="O283" s="478">
        <f>0.25*O9</f>
        <v>10.666666721666667</v>
      </c>
      <c r="P283" s="141">
        <f>(C283+D283+E283+F283)*O283</f>
        <v>16.000000082500001</v>
      </c>
      <c r="Q283" s="72">
        <f>(M283+N283)*O283</f>
        <v>0</v>
      </c>
      <c r="R283" s="142">
        <f>(L283+M283+N283)*O283</f>
        <v>993.45067178914678</v>
      </c>
      <c r="S283" s="528" t="s">
        <v>254</v>
      </c>
      <c r="T283" s="536" t="str">
        <f t="shared" ref="T283:V284" si="118">IF($S283="RP",O283,"")</f>
        <v/>
      </c>
      <c r="U283" s="537" t="str">
        <f t="shared" si="118"/>
        <v/>
      </c>
      <c r="V283" s="521" t="str">
        <f t="shared" si="118"/>
        <v/>
      </c>
      <c r="W283" s="537">
        <f t="shared" ref="W283:Y284" si="119">IF($S283="RK",O283,"")</f>
        <v>10.666666721666667</v>
      </c>
      <c r="X283" s="537">
        <f t="shared" si="119"/>
        <v>16.000000082500001</v>
      </c>
      <c r="Y283" s="521">
        <f t="shared" si="119"/>
        <v>0</v>
      </c>
    </row>
    <row r="284" spans="1:25" s="29" customFormat="1" ht="12" thickBot="1">
      <c r="A284" s="218"/>
      <c r="B284" s="219" t="s">
        <v>65</v>
      </c>
      <c r="C284" s="348">
        <v>0</v>
      </c>
      <c r="D284" s="348">
        <v>0.25</v>
      </c>
      <c r="E284" s="348">
        <v>0</v>
      </c>
      <c r="F284" s="348">
        <v>0.25</v>
      </c>
      <c r="G284" s="348">
        <v>0</v>
      </c>
      <c r="H284" s="136">
        <f>SUM(C284:G284)</f>
        <v>0.5</v>
      </c>
      <c r="I284" s="137"/>
      <c r="J284" s="137"/>
      <c r="K284" s="137"/>
      <c r="L284" s="138">
        <f>((C284*$C$9)+(D284*$D$9)+(E284*$E$9)+(F284*$F$9))</f>
        <v>26.696000000000002</v>
      </c>
      <c r="M284" s="138">
        <v>0</v>
      </c>
      <c r="N284" s="139">
        <v>1</v>
      </c>
      <c r="O284" s="478">
        <f>0.25*O9</f>
        <v>10.666666721666667</v>
      </c>
      <c r="P284" s="141">
        <f>(C284+D284+E284+F284)*O284</f>
        <v>5.3333333608333335</v>
      </c>
      <c r="Q284" s="72">
        <f>(M284+N284)*O284</f>
        <v>10.666666721666667</v>
      </c>
      <c r="R284" s="142">
        <f>(L284+M284+N284)*O284</f>
        <v>295.42400152328003</v>
      </c>
      <c r="S284" s="171" t="s">
        <v>259</v>
      </c>
      <c r="T284" s="536">
        <f t="shared" si="118"/>
        <v>10.666666721666667</v>
      </c>
      <c r="U284" s="537">
        <f t="shared" si="118"/>
        <v>5.3333333608333335</v>
      </c>
      <c r="V284" s="521">
        <f t="shared" si="118"/>
        <v>10.666666721666667</v>
      </c>
      <c r="W284" s="537" t="str">
        <f t="shared" si="119"/>
        <v/>
      </c>
      <c r="X284" s="537" t="str">
        <f t="shared" si="119"/>
        <v/>
      </c>
      <c r="Y284" s="521" t="str">
        <f t="shared" si="119"/>
        <v/>
      </c>
    </row>
    <row r="285" spans="1:25" s="29" customFormat="1" ht="12.75" thickTop="1" thickBot="1">
      <c r="A285" s="399" t="s">
        <v>22</v>
      </c>
      <c r="B285" s="400"/>
      <c r="C285" s="78">
        <f>SUM(C283:C284)</f>
        <v>0</v>
      </c>
      <c r="D285" s="78">
        <f>SUM(D283:D284)</f>
        <v>0.75</v>
      </c>
      <c r="E285" s="78">
        <f>SUM(E283:E284)</f>
        <v>1</v>
      </c>
      <c r="F285" s="78">
        <f>SUM(F283:F284)</f>
        <v>0.25</v>
      </c>
      <c r="G285" s="78">
        <f>G281</f>
        <v>0</v>
      </c>
      <c r="H285" s="78">
        <f>SUM(H283:H284)</f>
        <v>2</v>
      </c>
      <c r="I285" s="79">
        <f>I281</f>
        <v>0</v>
      </c>
      <c r="J285" s="79">
        <f>J281</f>
        <v>0</v>
      </c>
      <c r="K285" s="79">
        <f>K281</f>
        <v>0</v>
      </c>
      <c r="L285" s="80">
        <f>SUM(L283:L284)</f>
        <v>119.83200000000001</v>
      </c>
      <c r="M285" s="80">
        <f>SUM(M283:M284)</f>
        <v>0</v>
      </c>
      <c r="N285" s="81">
        <f>SUM(N283:N284)</f>
        <v>1</v>
      </c>
      <c r="O285" s="490"/>
      <c r="P285" s="78">
        <f>SUM(P283:P284)</f>
        <v>21.333333443333334</v>
      </c>
      <c r="Q285" s="80">
        <f>SUM(Q283:Q284)</f>
        <v>10.666666721666667</v>
      </c>
      <c r="R285" s="80">
        <f>SUM(R283:R284)</f>
        <v>1288.8746733124267</v>
      </c>
      <c r="S285" s="80"/>
      <c r="T285" s="79">
        <f t="shared" ref="T285:Y285" si="120">SUM(T283:T284)</f>
        <v>10.666666721666667</v>
      </c>
      <c r="U285" s="79">
        <f t="shared" si="120"/>
        <v>5.3333333608333335</v>
      </c>
      <c r="V285" s="80">
        <f t="shared" si="120"/>
        <v>10.666666721666667</v>
      </c>
      <c r="W285" s="79">
        <f t="shared" si="120"/>
        <v>10.666666721666667</v>
      </c>
      <c r="X285" s="79">
        <f t="shared" si="120"/>
        <v>16.000000082500001</v>
      </c>
      <c r="Y285" s="80">
        <f t="shared" si="120"/>
        <v>0</v>
      </c>
    </row>
    <row r="286" spans="1:25" s="29" customFormat="1" ht="12" thickTop="1">
      <c r="A286" s="188" t="s">
        <v>142</v>
      </c>
      <c r="B286" s="172"/>
      <c r="C286" s="265"/>
      <c r="D286" s="265"/>
      <c r="E286" s="265"/>
      <c r="F286" s="265"/>
      <c r="G286" s="265"/>
      <c r="H286" s="265"/>
      <c r="I286" s="266"/>
      <c r="J286" s="266"/>
      <c r="K286" s="266"/>
      <c r="L286" s="267"/>
      <c r="M286" s="267"/>
      <c r="N286" s="73"/>
      <c r="O286" s="484"/>
      <c r="P286" s="269"/>
      <c r="Q286" s="269"/>
      <c r="R286" s="72"/>
      <c r="S286" s="11"/>
      <c r="T286" s="455"/>
      <c r="U286" s="533"/>
      <c r="W286" s="455"/>
      <c r="X286" s="455"/>
    </row>
    <row r="287" spans="1:25" s="29" customFormat="1">
      <c r="A287" s="218"/>
      <c r="B287" s="219" t="s">
        <v>143</v>
      </c>
      <c r="C287" s="280"/>
      <c r="D287" s="280"/>
      <c r="E287" s="280"/>
      <c r="F287" s="280"/>
      <c r="G287" s="280"/>
      <c r="H287" s="280"/>
      <c r="I287" s="281"/>
      <c r="J287" s="281"/>
      <c r="K287" s="281"/>
      <c r="L287" s="112"/>
      <c r="M287" s="112"/>
      <c r="N287" s="109"/>
      <c r="O287" s="474"/>
      <c r="P287" s="233"/>
      <c r="Q287" s="233"/>
      <c r="R287" s="112"/>
      <c r="S287" s="11"/>
      <c r="T287" s="455"/>
      <c r="U287" s="533"/>
      <c r="W287" s="455"/>
      <c r="X287" s="455"/>
    </row>
    <row r="288" spans="1:25" s="29" customFormat="1">
      <c r="A288" s="188"/>
      <c r="B288" s="398" t="s">
        <v>144</v>
      </c>
      <c r="C288" s="348">
        <v>0</v>
      </c>
      <c r="D288" s="348">
        <v>0.25</v>
      </c>
      <c r="E288" s="348">
        <v>1</v>
      </c>
      <c r="F288" s="348">
        <v>0</v>
      </c>
      <c r="G288" s="348">
        <v>0</v>
      </c>
      <c r="H288" s="136">
        <f>SUM(C288:G288)</f>
        <v>1.25</v>
      </c>
      <c r="I288" s="137"/>
      <c r="J288" s="137"/>
      <c r="K288" s="137"/>
      <c r="L288" s="138">
        <f>((C288*$C$9)+(D288*$D$9)+(E288*$E$9)+(F288*$F$9))</f>
        <v>74.040000000000006</v>
      </c>
      <c r="M288" s="138">
        <v>0</v>
      </c>
      <c r="N288" s="139">
        <v>0</v>
      </c>
      <c r="O288" s="478">
        <f>0.25*O9</f>
        <v>10.666666721666667</v>
      </c>
      <c r="P288" s="141">
        <f>(C288+D288+E288+F288)*O288</f>
        <v>13.333333402083333</v>
      </c>
      <c r="Q288" s="72">
        <f>(M288+N288)*O288</f>
        <v>0</v>
      </c>
      <c r="R288" s="142">
        <f>(L288+M288+N288)*O288</f>
        <v>789.7600040722001</v>
      </c>
      <c r="S288" s="171" t="s">
        <v>254</v>
      </c>
      <c r="T288" s="536" t="str">
        <f t="shared" ref="T288:V289" si="121">IF($S288="RP",O288,"")</f>
        <v/>
      </c>
      <c r="U288" s="537" t="str">
        <f t="shared" si="121"/>
        <v/>
      </c>
      <c r="V288" s="521" t="str">
        <f t="shared" si="121"/>
        <v/>
      </c>
      <c r="W288" s="537">
        <f t="shared" ref="W288:Y289" si="122">IF($S288="RK",O288,"")</f>
        <v>10.666666721666667</v>
      </c>
      <c r="X288" s="537">
        <f t="shared" si="122"/>
        <v>13.333333402083333</v>
      </c>
      <c r="Y288" s="521">
        <f t="shared" si="122"/>
        <v>0</v>
      </c>
    </row>
    <row r="289" spans="1:25" s="29" customFormat="1" ht="12" thickBot="1">
      <c r="A289" s="218"/>
      <c r="B289" s="219" t="s">
        <v>65</v>
      </c>
      <c r="C289" s="348">
        <v>0</v>
      </c>
      <c r="D289" s="348">
        <v>0.25</v>
      </c>
      <c r="E289" s="348">
        <v>0</v>
      </c>
      <c r="F289" s="348">
        <v>0.25</v>
      </c>
      <c r="G289" s="348">
        <v>0</v>
      </c>
      <c r="H289" s="136">
        <f>SUM(C289:G289)</f>
        <v>0.5</v>
      </c>
      <c r="I289" s="137"/>
      <c r="J289" s="137"/>
      <c r="K289" s="137"/>
      <c r="L289" s="138">
        <f>((C289*$C$9)+(D289*$D$9)+(E289*$E$9)+(F289*$F$9))</f>
        <v>26.696000000000002</v>
      </c>
      <c r="M289" s="138">
        <v>0</v>
      </c>
      <c r="N289" s="139">
        <v>1</v>
      </c>
      <c r="O289" s="478">
        <f>0.25*O9</f>
        <v>10.666666721666667</v>
      </c>
      <c r="P289" s="141">
        <f>(C289+D289+E289+F289)*O289</f>
        <v>5.3333333608333335</v>
      </c>
      <c r="Q289" s="72">
        <f>(M289+N289)*O289</f>
        <v>10.666666721666667</v>
      </c>
      <c r="R289" s="142">
        <f>(L289+M289+N289)*O289</f>
        <v>295.42400152328003</v>
      </c>
      <c r="S289" s="171" t="s">
        <v>259</v>
      </c>
      <c r="T289" s="536">
        <f t="shared" si="121"/>
        <v>10.666666721666667</v>
      </c>
      <c r="U289" s="537">
        <f t="shared" si="121"/>
        <v>5.3333333608333335</v>
      </c>
      <c r="V289" s="521">
        <f t="shared" si="121"/>
        <v>10.666666721666667</v>
      </c>
      <c r="W289" s="537" t="str">
        <f t="shared" si="122"/>
        <v/>
      </c>
      <c r="X289" s="537" t="str">
        <f t="shared" si="122"/>
        <v/>
      </c>
      <c r="Y289" s="521" t="str">
        <f t="shared" si="122"/>
        <v/>
      </c>
    </row>
    <row r="290" spans="1:25" s="29" customFormat="1" ht="12.75" thickTop="1" thickBot="1">
      <c r="A290" s="399" t="s">
        <v>22</v>
      </c>
      <c r="B290" s="400"/>
      <c r="C290" s="78">
        <f>SUM(C288:C289)</f>
        <v>0</v>
      </c>
      <c r="D290" s="78">
        <f>SUM(D288:D289)</f>
        <v>0.5</v>
      </c>
      <c r="E290" s="78">
        <f>SUM(E288:E289)</f>
        <v>1</v>
      </c>
      <c r="F290" s="78">
        <f>SUM(F288:F289)</f>
        <v>0.25</v>
      </c>
      <c r="G290" s="78">
        <f>G287</f>
        <v>0</v>
      </c>
      <c r="H290" s="78">
        <f>SUM(H288:H289)</f>
        <v>1.75</v>
      </c>
      <c r="I290" s="79">
        <f>I287</f>
        <v>0</v>
      </c>
      <c r="J290" s="79">
        <f>J287</f>
        <v>0</v>
      </c>
      <c r="K290" s="79">
        <f>K287</f>
        <v>0</v>
      </c>
      <c r="L290" s="80">
        <f>SUM(L288:L289)</f>
        <v>100.736</v>
      </c>
      <c r="M290" s="80">
        <f>SUM(M288:M289)</f>
        <v>0</v>
      </c>
      <c r="N290" s="81">
        <f>SUM(N288:N289)</f>
        <v>1</v>
      </c>
      <c r="O290" s="489"/>
      <c r="P290" s="78">
        <f>SUM(P288:P289)</f>
        <v>18.666666762916666</v>
      </c>
      <c r="Q290" s="80">
        <f>SUM(Q288:Q289)</f>
        <v>10.666666721666667</v>
      </c>
      <c r="R290" s="80">
        <f>SUM(R288:R289)</f>
        <v>1085.1840055954801</v>
      </c>
      <c r="S290" s="80"/>
      <c r="T290" s="79">
        <f t="shared" ref="T290:Y290" si="123">SUM(T288:T289)</f>
        <v>10.666666721666667</v>
      </c>
      <c r="U290" s="79">
        <f t="shared" si="123"/>
        <v>5.3333333608333335</v>
      </c>
      <c r="V290" s="80">
        <f t="shared" si="123"/>
        <v>10.666666721666667</v>
      </c>
      <c r="W290" s="79">
        <f t="shared" si="123"/>
        <v>10.666666721666667</v>
      </c>
      <c r="X290" s="79">
        <f t="shared" si="123"/>
        <v>13.333333402083333</v>
      </c>
      <c r="Y290" s="80">
        <f t="shared" si="123"/>
        <v>0</v>
      </c>
    </row>
    <row r="291" spans="1:25" s="29" customFormat="1" ht="12" thickTop="1">
      <c r="A291" s="188" t="s">
        <v>141</v>
      </c>
      <c r="B291" s="172"/>
      <c r="C291" s="265"/>
      <c r="D291" s="265"/>
      <c r="E291" s="265"/>
      <c r="F291" s="265"/>
      <c r="G291" s="265"/>
      <c r="H291" s="265"/>
      <c r="I291" s="266"/>
      <c r="J291" s="266"/>
      <c r="K291" s="266"/>
      <c r="L291" s="267"/>
      <c r="M291" s="267"/>
      <c r="N291" s="73"/>
      <c r="O291" s="484"/>
      <c r="P291" s="269"/>
      <c r="Q291" s="269"/>
      <c r="R291" s="72"/>
      <c r="S291" s="11"/>
      <c r="T291" s="455"/>
      <c r="U291" s="533"/>
      <c r="W291" s="455"/>
      <c r="X291" s="455"/>
    </row>
    <row r="292" spans="1:25" s="29" customFormat="1">
      <c r="A292" s="218"/>
      <c r="B292" s="219" t="s">
        <v>145</v>
      </c>
      <c r="C292" s="280"/>
      <c r="D292" s="280"/>
      <c r="E292" s="280"/>
      <c r="F292" s="280"/>
      <c r="G292" s="280"/>
      <c r="H292" s="280"/>
      <c r="I292" s="281"/>
      <c r="J292" s="281"/>
      <c r="K292" s="281"/>
      <c r="L292" s="112"/>
      <c r="M292" s="112"/>
      <c r="N292" s="109"/>
      <c r="O292" s="474"/>
      <c r="P292" s="233"/>
      <c r="Q292" s="233"/>
      <c r="R292" s="112"/>
      <c r="S292" s="11"/>
      <c r="T292" s="455"/>
      <c r="U292" s="533"/>
      <c r="W292" s="455"/>
      <c r="X292" s="455"/>
    </row>
    <row r="293" spans="1:25" s="29" customFormat="1">
      <c r="A293" s="218"/>
      <c r="B293" s="219" t="s">
        <v>146</v>
      </c>
      <c r="C293" s="195">
        <v>0</v>
      </c>
      <c r="D293" s="70">
        <v>0.5</v>
      </c>
      <c r="E293" s="70">
        <v>1</v>
      </c>
      <c r="F293" s="70">
        <v>0</v>
      </c>
      <c r="G293" s="70">
        <v>0</v>
      </c>
      <c r="H293" s="70">
        <f>SUM(C293:G293)</f>
        <v>1.5</v>
      </c>
      <c r="I293" s="71"/>
      <c r="J293" s="71"/>
      <c r="K293" s="71"/>
      <c r="L293" s="72">
        <f>((C293*$C$9)+(D293*$D$9)+(E293*$E$9)+(F293*$F$9))</f>
        <v>93.13600000000001</v>
      </c>
      <c r="M293" s="72">
        <v>0</v>
      </c>
      <c r="N293" s="73">
        <v>0</v>
      </c>
      <c r="O293" s="473">
        <f>0.1*O9</f>
        <v>4.2666666886666667</v>
      </c>
      <c r="P293" s="75">
        <f>(C293+D293+E293+F293)*O293</f>
        <v>6.4000000329999995</v>
      </c>
      <c r="Q293" s="72">
        <f>(M293+N293)*O293</f>
        <v>0</v>
      </c>
      <c r="R293" s="72">
        <f>(L293+M293+N293)*O293</f>
        <v>397.3802687156587</v>
      </c>
      <c r="S293" s="171" t="s">
        <v>254</v>
      </c>
      <c r="T293" s="536" t="str">
        <f t="shared" ref="T293:V294" si="124">IF($S293="RP",O293,"")</f>
        <v/>
      </c>
      <c r="U293" s="537" t="str">
        <f t="shared" si="124"/>
        <v/>
      </c>
      <c r="V293" s="521" t="str">
        <f t="shared" si="124"/>
        <v/>
      </c>
      <c r="W293" s="537">
        <f t="shared" ref="W293:Y294" si="125">IF($S293="RK",O293,"")</f>
        <v>4.2666666886666667</v>
      </c>
      <c r="X293" s="537">
        <f t="shared" si="125"/>
        <v>6.4000000329999995</v>
      </c>
      <c r="Y293" s="521">
        <f t="shared" si="125"/>
        <v>0</v>
      </c>
    </row>
    <row r="294" spans="1:25" s="29" customFormat="1" ht="12" thickBot="1">
      <c r="A294" s="234"/>
      <c r="B294" s="401" t="s">
        <v>65</v>
      </c>
      <c r="C294" s="348">
        <v>0</v>
      </c>
      <c r="D294" s="348">
        <v>0.25</v>
      </c>
      <c r="E294" s="348">
        <v>0</v>
      </c>
      <c r="F294" s="348">
        <v>0.25</v>
      </c>
      <c r="G294" s="348">
        <v>0</v>
      </c>
      <c r="H294" s="136">
        <f>SUM(C294:G294)</f>
        <v>0.5</v>
      </c>
      <c r="I294" s="137"/>
      <c r="J294" s="137"/>
      <c r="K294" s="137"/>
      <c r="L294" s="138">
        <f>((C294*$C$9)+(D294*$D$9)+(E294*$E$9)+(F294*$F$9))</f>
        <v>26.696000000000002</v>
      </c>
      <c r="M294" s="138">
        <v>0</v>
      </c>
      <c r="N294" s="139">
        <v>1</v>
      </c>
      <c r="O294" s="478">
        <f>0.1*O9</f>
        <v>4.2666666886666667</v>
      </c>
      <c r="P294" s="141">
        <f>(C294+D294+E294+F294)*O294</f>
        <v>2.1333333443333333</v>
      </c>
      <c r="Q294" s="72">
        <f>(M294+N294)*O294</f>
        <v>4.2666666886666667</v>
      </c>
      <c r="R294" s="142">
        <f>(L294+M294+N294)*O294</f>
        <v>118.169600609312</v>
      </c>
      <c r="S294" s="171" t="s">
        <v>259</v>
      </c>
      <c r="T294" s="536">
        <f t="shared" si="124"/>
        <v>4.2666666886666667</v>
      </c>
      <c r="U294" s="537">
        <f t="shared" si="124"/>
        <v>2.1333333443333333</v>
      </c>
      <c r="V294" s="521">
        <f t="shared" si="124"/>
        <v>4.2666666886666667</v>
      </c>
      <c r="W294" s="537" t="str">
        <f t="shared" si="125"/>
        <v/>
      </c>
      <c r="X294" s="537" t="str">
        <f t="shared" si="125"/>
        <v/>
      </c>
      <c r="Y294" s="521" t="str">
        <f t="shared" si="125"/>
        <v/>
      </c>
    </row>
    <row r="295" spans="1:25" s="29" customFormat="1" ht="12.75" thickTop="1" thickBot="1">
      <c r="A295" s="399" t="s">
        <v>22</v>
      </c>
      <c r="B295" s="400"/>
      <c r="C295" s="78">
        <f>SUM(C293:C294)</f>
        <v>0</v>
      </c>
      <c r="D295" s="78">
        <f>SUM(D293:D294)</f>
        <v>0.75</v>
      </c>
      <c r="E295" s="78">
        <f>SUM(E293:E294)</f>
        <v>1</v>
      </c>
      <c r="F295" s="78">
        <f>SUM(F293:F294)</f>
        <v>0.25</v>
      </c>
      <c r="G295" s="78">
        <f>G292</f>
        <v>0</v>
      </c>
      <c r="H295" s="78">
        <f>SUM(H293:H294)</f>
        <v>2</v>
      </c>
      <c r="I295" s="79">
        <f>I292</f>
        <v>0</v>
      </c>
      <c r="J295" s="79">
        <f>J292</f>
        <v>0</v>
      </c>
      <c r="K295" s="79">
        <f>K292</f>
        <v>0</v>
      </c>
      <c r="L295" s="80">
        <f>SUM(L293:L294)</f>
        <v>119.83200000000001</v>
      </c>
      <c r="M295" s="86">
        <f>SUM(M293:M294)</f>
        <v>0</v>
      </c>
      <c r="N295" s="397">
        <f>SUM(N293:N294)</f>
        <v>1</v>
      </c>
      <c r="O295" s="489"/>
      <c r="P295" s="78">
        <f>SUM(P293:P294)</f>
        <v>8.5333333773333333</v>
      </c>
      <c r="Q295" s="80">
        <f>SUM(Q293:Q294)</f>
        <v>4.2666666886666667</v>
      </c>
      <c r="R295" s="80">
        <f>SUM(R293:R294)</f>
        <v>515.5498693249707</v>
      </c>
      <c r="S295" s="80"/>
      <c r="T295" s="79">
        <f t="shared" ref="T295:Y295" si="126">SUM(T293:T294)</f>
        <v>4.2666666886666667</v>
      </c>
      <c r="U295" s="79">
        <f t="shared" si="126"/>
        <v>2.1333333443333333</v>
      </c>
      <c r="V295" s="80">
        <f t="shared" si="126"/>
        <v>4.2666666886666667</v>
      </c>
      <c r="W295" s="79">
        <f t="shared" si="126"/>
        <v>4.2666666886666667</v>
      </c>
      <c r="X295" s="79">
        <f t="shared" si="126"/>
        <v>6.4000000329999995</v>
      </c>
      <c r="Y295" s="80">
        <f t="shared" si="126"/>
        <v>0</v>
      </c>
    </row>
    <row r="296" spans="1:25" s="29" customFormat="1" ht="12" hidden="1" thickTop="1">
      <c r="A296" s="292" t="s">
        <v>49</v>
      </c>
      <c r="B296" s="291"/>
      <c r="C296" s="383"/>
      <c r="D296" s="383"/>
      <c r="E296" s="383"/>
      <c r="F296" s="383"/>
      <c r="G296" s="383"/>
      <c r="H296" s="383"/>
      <c r="I296" s="402"/>
      <c r="J296" s="402"/>
      <c r="K296" s="402"/>
      <c r="L296" s="403"/>
      <c r="M296" s="403"/>
      <c r="N296" s="288"/>
      <c r="O296" s="477"/>
      <c r="P296" s="404"/>
      <c r="Q296" s="404"/>
      <c r="R296" s="287"/>
      <c r="S296" s="11"/>
      <c r="T296" s="455"/>
      <c r="U296" s="533"/>
      <c r="W296" s="455"/>
      <c r="X296" s="455"/>
    </row>
    <row r="297" spans="1:25" s="29" customFormat="1" ht="12" hidden="1" thickTop="1">
      <c r="A297" s="154" t="s">
        <v>50</v>
      </c>
      <c r="B297" s="155"/>
      <c r="C297" s="156"/>
      <c r="D297" s="156"/>
      <c r="E297" s="156"/>
      <c r="F297" s="156"/>
      <c r="G297" s="156"/>
      <c r="H297" s="156"/>
      <c r="I297" s="157"/>
      <c r="J297" s="157"/>
      <c r="K297" s="157"/>
      <c r="L297" s="158"/>
      <c r="M297" s="158"/>
      <c r="N297" s="159"/>
      <c r="O297" s="477"/>
      <c r="P297" s="161"/>
      <c r="Q297" s="161"/>
      <c r="R297" s="162"/>
      <c r="S297" s="11"/>
      <c r="T297" s="455"/>
      <c r="U297" s="533"/>
      <c r="W297" s="455"/>
      <c r="X297" s="455"/>
    </row>
    <row r="298" spans="1:25" s="29" customFormat="1" ht="12" hidden="1" thickTop="1">
      <c r="A298" s="218" t="s">
        <v>51</v>
      </c>
      <c r="B298" s="219"/>
      <c r="C298" s="144"/>
      <c r="D298" s="144"/>
      <c r="E298" s="144"/>
      <c r="F298" s="144"/>
      <c r="G298" s="144"/>
      <c r="H298" s="144"/>
      <c r="I298" s="190"/>
      <c r="J298" s="190"/>
      <c r="K298" s="190"/>
      <c r="L298" s="128"/>
      <c r="M298" s="128"/>
      <c r="N298" s="129"/>
      <c r="O298" s="474"/>
      <c r="P298" s="192"/>
      <c r="Q298" s="192"/>
      <c r="R298" s="128"/>
      <c r="S298" s="11"/>
      <c r="T298" s="455"/>
      <c r="U298" s="533"/>
      <c r="W298" s="455"/>
      <c r="X298" s="455"/>
    </row>
    <row r="299" spans="1:25" s="29" customFormat="1" ht="12" hidden="1" thickTop="1">
      <c r="A299" s="353" t="s">
        <v>52</v>
      </c>
      <c r="B299" s="296"/>
      <c r="C299" s="195">
        <v>0</v>
      </c>
      <c r="D299" s="195">
        <v>0.25</v>
      </c>
      <c r="E299" s="195">
        <v>2</v>
      </c>
      <c r="F299" s="195">
        <v>0</v>
      </c>
      <c r="G299" s="106"/>
      <c r="H299" s="136">
        <f>SUM(C299:F299)</f>
        <v>2.25</v>
      </c>
      <c r="I299" s="137"/>
      <c r="J299" s="137"/>
      <c r="K299" s="137"/>
      <c r="L299" s="138" t="e">
        <f>((C299*#REF!)+(D299*$D$9)+(E299*$E$9)+(F299*$F$9))</f>
        <v>#REF!</v>
      </c>
      <c r="M299" s="138">
        <v>0</v>
      </c>
      <c r="N299" s="139">
        <v>0</v>
      </c>
      <c r="O299" s="473" t="e">
        <f>#REF!</f>
        <v>#REF!</v>
      </c>
      <c r="P299" s="141" t="e">
        <f>(C299+D299+E299+F299)*O299</f>
        <v>#REF!</v>
      </c>
      <c r="Q299" s="343"/>
      <c r="R299" s="142" t="e">
        <f>(L299+M299+N299)*O299</f>
        <v>#REF!</v>
      </c>
      <c r="S299" s="11"/>
      <c r="T299" s="455"/>
      <c r="U299" s="533"/>
      <c r="W299" s="455"/>
      <c r="X299" s="455"/>
    </row>
    <row r="300" spans="1:25" s="29" customFormat="1" ht="12" hidden="1" thickTop="1">
      <c r="A300" s="218" t="s">
        <v>26</v>
      </c>
      <c r="B300" s="219"/>
      <c r="C300" s="144">
        <v>0</v>
      </c>
      <c r="D300" s="144">
        <v>0.25</v>
      </c>
      <c r="E300" s="144">
        <v>0</v>
      </c>
      <c r="F300" s="144">
        <v>0.25</v>
      </c>
      <c r="G300" s="106"/>
      <c r="H300" s="136">
        <f>SUM(C300:F300)</f>
        <v>0.5</v>
      </c>
      <c r="I300" s="137"/>
      <c r="J300" s="137"/>
      <c r="K300" s="137"/>
      <c r="L300" s="138" t="e">
        <f>((C300*#REF!)+(D300*$D$9)+(E300*$E$9)+(F300*$F$9))</f>
        <v>#REF!</v>
      </c>
      <c r="M300" s="138">
        <v>0</v>
      </c>
      <c r="N300" s="139" t="e">
        <f>O300*0.52</f>
        <v>#REF!</v>
      </c>
      <c r="O300" s="474" t="e">
        <f>O299</f>
        <v>#REF!</v>
      </c>
      <c r="P300" s="141" t="e">
        <f>(C300+D300+E300+F300)*O300</f>
        <v>#REF!</v>
      </c>
      <c r="Q300" s="343"/>
      <c r="R300" s="142" t="e">
        <f>(L300+M300+N300)*O300</f>
        <v>#REF!</v>
      </c>
      <c r="S300" s="11"/>
      <c r="T300" s="455"/>
      <c r="U300" s="533"/>
      <c r="W300" s="455"/>
      <c r="X300" s="455"/>
    </row>
    <row r="301" spans="1:25" s="29" customFormat="1" ht="12.75" hidden="1" thickTop="1" thickBot="1">
      <c r="A301" s="399" t="s">
        <v>22</v>
      </c>
      <c r="B301" s="400"/>
      <c r="C301" s="84">
        <v>0</v>
      </c>
      <c r="D301" s="84" t="s">
        <v>23</v>
      </c>
      <c r="E301" s="84" t="s">
        <v>23</v>
      </c>
      <c r="F301" s="84" t="s">
        <v>23</v>
      </c>
      <c r="G301" s="84"/>
      <c r="H301" s="84" t="s">
        <v>23</v>
      </c>
      <c r="I301" s="85"/>
      <c r="J301" s="85"/>
      <c r="K301" s="85"/>
      <c r="L301" s="149" t="s">
        <v>23</v>
      </c>
      <c r="M301" s="86">
        <f>SUM(M298:M300)</f>
        <v>0</v>
      </c>
      <c r="N301" s="397" t="s">
        <v>23</v>
      </c>
      <c r="O301" s="489" t="e">
        <f>O299</f>
        <v>#REF!</v>
      </c>
      <c r="P301" s="83" t="e">
        <f>SUM(P298:P300)</f>
        <v>#REF!</v>
      </c>
      <c r="Q301" s="83"/>
      <c r="R301" s="86" t="e">
        <f>SUM(R298:R300)</f>
        <v>#REF!</v>
      </c>
      <c r="S301" s="11"/>
      <c r="T301" s="455"/>
      <c r="U301" s="533"/>
      <c r="W301" s="455"/>
      <c r="X301" s="455"/>
    </row>
    <row r="302" spans="1:25" s="29" customFormat="1" ht="12" hidden="1" thickTop="1">
      <c r="A302" s="154" t="s">
        <v>53</v>
      </c>
      <c r="B302" s="155"/>
      <c r="C302" s="156"/>
      <c r="D302" s="156"/>
      <c r="E302" s="156"/>
      <c r="F302" s="156"/>
      <c r="G302" s="156"/>
      <c r="H302" s="156"/>
      <c r="I302" s="157"/>
      <c r="J302" s="157"/>
      <c r="K302" s="157"/>
      <c r="L302" s="158"/>
      <c r="M302" s="158"/>
      <c r="N302" s="159"/>
      <c r="O302" s="477"/>
      <c r="P302" s="161"/>
      <c r="Q302" s="161"/>
      <c r="R302" s="162"/>
      <c r="S302" s="11"/>
      <c r="T302" s="455"/>
      <c r="U302" s="533"/>
      <c r="W302" s="455"/>
      <c r="X302" s="455"/>
    </row>
    <row r="303" spans="1:25" s="29" customFormat="1" ht="12" hidden="1" thickTop="1">
      <c r="A303" s="218" t="s">
        <v>54</v>
      </c>
      <c r="B303" s="219"/>
      <c r="C303" s="144"/>
      <c r="D303" s="144"/>
      <c r="E303" s="144"/>
      <c r="F303" s="144"/>
      <c r="G303" s="144"/>
      <c r="H303" s="144"/>
      <c r="I303" s="190"/>
      <c r="J303" s="190"/>
      <c r="K303" s="190"/>
      <c r="L303" s="176"/>
      <c r="M303" s="128"/>
      <c r="N303" s="129"/>
      <c r="O303" s="474"/>
      <c r="P303" s="192"/>
      <c r="Q303" s="192"/>
      <c r="R303" s="128"/>
      <c r="S303" s="11"/>
      <c r="T303" s="455"/>
      <c r="U303" s="533"/>
      <c r="W303" s="455"/>
      <c r="X303" s="455"/>
    </row>
    <row r="304" spans="1:25" s="29" customFormat="1" ht="12" hidden="1" thickTop="1">
      <c r="A304" s="188" t="s">
        <v>55</v>
      </c>
      <c r="B304" s="398"/>
      <c r="C304" s="195">
        <v>0</v>
      </c>
      <c r="D304" s="195">
        <v>0.25</v>
      </c>
      <c r="E304" s="195">
        <v>2</v>
      </c>
      <c r="F304" s="195">
        <v>0</v>
      </c>
      <c r="G304" s="106"/>
      <c r="H304" s="136">
        <f>SUM(C304:F304)</f>
        <v>2.25</v>
      </c>
      <c r="I304" s="137"/>
      <c r="J304" s="137"/>
      <c r="K304" s="137"/>
      <c r="L304" s="138" t="e">
        <f>((C304*#REF!)+(D304*$D$9)+(E304*$E$9)+(F304*$F$9))</f>
        <v>#REF!</v>
      </c>
      <c r="M304" s="138">
        <v>0</v>
      </c>
      <c r="N304" s="139">
        <v>0</v>
      </c>
      <c r="O304" s="473" t="e">
        <f>#REF!</f>
        <v>#REF!</v>
      </c>
      <c r="P304" s="141" t="e">
        <f>(C304+D304+E304+F304)*O304</f>
        <v>#REF!</v>
      </c>
      <c r="Q304" s="343"/>
      <c r="R304" s="142" t="e">
        <f>(L304+M304+N304)*O304</f>
        <v>#REF!</v>
      </c>
      <c r="S304" s="11"/>
      <c r="T304" s="455"/>
      <c r="U304" s="533"/>
      <c r="W304" s="455"/>
      <c r="X304" s="455"/>
    </row>
    <row r="305" spans="1:25" s="29" customFormat="1" ht="12" hidden="1" thickTop="1">
      <c r="A305" s="351" t="s">
        <v>26</v>
      </c>
      <c r="B305" s="339"/>
      <c r="C305" s="144">
        <v>0</v>
      </c>
      <c r="D305" s="144">
        <v>0.25</v>
      </c>
      <c r="E305" s="144">
        <v>0</v>
      </c>
      <c r="F305" s="144">
        <v>0.25</v>
      </c>
      <c r="G305" s="106"/>
      <c r="H305" s="136">
        <f>SUM(C305:F305)</f>
        <v>0.5</v>
      </c>
      <c r="I305" s="137"/>
      <c r="J305" s="137"/>
      <c r="K305" s="137"/>
      <c r="L305" s="138" t="e">
        <f>((C305*#REF!)+(D305*$D$9)+(E305*$E$9)+(F305*$F$9))</f>
        <v>#REF!</v>
      </c>
      <c r="M305" s="138">
        <v>0</v>
      </c>
      <c r="N305" s="139" t="e">
        <f>O305*0.52</f>
        <v>#REF!</v>
      </c>
      <c r="O305" s="474" t="e">
        <f>O304</f>
        <v>#REF!</v>
      </c>
      <c r="P305" s="141" t="e">
        <f>(C305+D305+E305+F305)*O305</f>
        <v>#REF!</v>
      </c>
      <c r="Q305" s="343"/>
      <c r="R305" s="142" t="e">
        <f>(L305+M305+N305)*O305</f>
        <v>#REF!</v>
      </c>
      <c r="S305" s="11"/>
      <c r="T305" s="455"/>
      <c r="U305" s="533"/>
      <c r="W305" s="455"/>
      <c r="X305" s="455"/>
    </row>
    <row r="306" spans="1:25" s="29" customFormat="1" ht="12.75" hidden="1" thickTop="1" thickBot="1">
      <c r="A306" s="399" t="s">
        <v>22</v>
      </c>
      <c r="B306" s="400"/>
      <c r="C306" s="84">
        <v>0</v>
      </c>
      <c r="D306" s="84" t="s">
        <v>23</v>
      </c>
      <c r="E306" s="84" t="s">
        <v>23</v>
      </c>
      <c r="F306" s="84" t="s">
        <v>23</v>
      </c>
      <c r="G306" s="84"/>
      <c r="H306" s="84" t="s">
        <v>23</v>
      </c>
      <c r="I306" s="85"/>
      <c r="J306" s="85"/>
      <c r="K306" s="85"/>
      <c r="L306" s="149" t="s">
        <v>23</v>
      </c>
      <c r="M306" s="86">
        <f>SUM(M303:M305)</f>
        <v>0</v>
      </c>
      <c r="N306" s="397" t="s">
        <v>23</v>
      </c>
      <c r="O306" s="489" t="e">
        <f>O304</f>
        <v>#REF!</v>
      </c>
      <c r="P306" s="83" t="e">
        <f>SUM(P303:P305)</f>
        <v>#REF!</v>
      </c>
      <c r="Q306" s="83"/>
      <c r="R306" s="86" t="e">
        <f>SUM(R303:R305)</f>
        <v>#REF!</v>
      </c>
      <c r="S306" s="11"/>
      <c r="T306" s="455"/>
      <c r="U306" s="533"/>
      <c r="W306" s="455"/>
      <c r="X306" s="455"/>
    </row>
    <row r="307" spans="1:25" s="29" customFormat="1" ht="12" hidden="1" thickTop="1">
      <c r="A307" s="351" t="s">
        <v>24</v>
      </c>
      <c r="B307" s="229"/>
      <c r="C307" s="106"/>
      <c r="D307" s="106"/>
      <c r="E307" s="106"/>
      <c r="F307" s="106"/>
      <c r="G307" s="106"/>
      <c r="H307" s="106"/>
      <c r="I307" s="107"/>
      <c r="J307" s="107"/>
      <c r="K307" s="107"/>
      <c r="L307" s="108"/>
      <c r="M307" s="108"/>
      <c r="N307" s="109"/>
      <c r="O307" s="479"/>
      <c r="P307" s="111"/>
      <c r="Q307" s="111"/>
      <c r="R307" s="112"/>
      <c r="S307" s="11"/>
      <c r="T307" s="455"/>
      <c r="U307" s="533"/>
      <c r="W307" s="455"/>
      <c r="X307" s="455"/>
    </row>
    <row r="308" spans="1:25" s="29" customFormat="1" ht="12" thickTop="1">
      <c r="A308" s="115" t="s">
        <v>147</v>
      </c>
      <c r="B308" s="172"/>
      <c r="C308" s="265"/>
      <c r="D308" s="337"/>
      <c r="E308" s="337"/>
      <c r="F308" s="337"/>
      <c r="G308" s="337"/>
      <c r="H308" s="166"/>
      <c r="I308" s="167"/>
      <c r="J308" s="167"/>
      <c r="K308" s="167"/>
      <c r="L308" s="168"/>
      <c r="M308" s="168"/>
      <c r="N308" s="169"/>
      <c r="O308" s="484"/>
      <c r="P308" s="170"/>
      <c r="Q308" s="518"/>
      <c r="R308" s="142"/>
      <c r="S308" s="11"/>
      <c r="T308" s="455"/>
      <c r="U308" s="533"/>
      <c r="W308" s="455"/>
      <c r="X308" s="455"/>
    </row>
    <row r="309" spans="1:25" s="29" customFormat="1">
      <c r="A309" s="405"/>
      <c r="B309" s="406" t="s">
        <v>148</v>
      </c>
      <c r="C309" s="348">
        <v>0</v>
      </c>
      <c r="D309" s="348">
        <v>0.5</v>
      </c>
      <c r="E309" s="348">
        <v>1</v>
      </c>
      <c r="F309" s="348">
        <v>0</v>
      </c>
      <c r="G309" s="348">
        <v>0</v>
      </c>
      <c r="H309" s="136">
        <f>SUM(C309:G309)</f>
        <v>1.5</v>
      </c>
      <c r="I309" s="137"/>
      <c r="J309" s="137"/>
      <c r="K309" s="137"/>
      <c r="L309" s="138">
        <f>((C309*$C$9)+(D309*$D$9)+(E309*$E$9)+(F309*$F$9))</f>
        <v>93.13600000000001</v>
      </c>
      <c r="M309" s="138">
        <v>0</v>
      </c>
      <c r="N309" s="139">
        <v>0</v>
      </c>
      <c r="O309" s="558">
        <f>0.05*O9</f>
        <v>2.1333333443333333</v>
      </c>
      <c r="P309" s="141">
        <f>(C309+D309+E309+F309)*O309</f>
        <v>3.2000000164999998</v>
      </c>
      <c r="Q309" s="72">
        <f>(M309+N309)*O309</f>
        <v>0</v>
      </c>
      <c r="R309" s="142">
        <f>(L309+M309+N309)*O309</f>
        <v>198.69013435782935</v>
      </c>
      <c r="S309" s="171" t="s">
        <v>254</v>
      </c>
      <c r="T309" s="536" t="str">
        <f t="shared" ref="T309:V310" si="127">IF($S309="RP",O309,"")</f>
        <v/>
      </c>
      <c r="U309" s="537" t="str">
        <f t="shared" si="127"/>
        <v/>
      </c>
      <c r="V309" s="521" t="str">
        <f t="shared" si="127"/>
        <v/>
      </c>
      <c r="W309" s="537">
        <f t="shared" ref="W309:Y310" si="128">IF($S309="RK",O309,"")</f>
        <v>2.1333333443333333</v>
      </c>
      <c r="X309" s="537">
        <f t="shared" si="128"/>
        <v>3.2000000164999998</v>
      </c>
      <c r="Y309" s="521">
        <f t="shared" si="128"/>
        <v>0</v>
      </c>
    </row>
    <row r="310" spans="1:25" s="29" customFormat="1" ht="12" thickBot="1">
      <c r="A310" s="353"/>
      <c r="B310" s="296" t="s">
        <v>65</v>
      </c>
      <c r="C310" s="195">
        <v>0</v>
      </c>
      <c r="D310" s="195">
        <v>0.25</v>
      </c>
      <c r="E310" s="195">
        <v>0</v>
      </c>
      <c r="F310" s="195">
        <v>0.25</v>
      </c>
      <c r="G310" s="106">
        <v>0</v>
      </c>
      <c r="H310" s="136">
        <f>SUM(C310:G310)</f>
        <v>0.5</v>
      </c>
      <c r="I310" s="137"/>
      <c r="J310" s="137"/>
      <c r="K310" s="137"/>
      <c r="L310" s="138">
        <f>((C310*$C$9)+(D310*$D$9)+(E310*$E$9)+(F310*$F$9))</f>
        <v>26.696000000000002</v>
      </c>
      <c r="M310" s="138">
        <v>0</v>
      </c>
      <c r="N310" s="139">
        <v>1</v>
      </c>
      <c r="O310" s="556">
        <f>0.05*O9</f>
        <v>2.1333333443333333</v>
      </c>
      <c r="P310" s="407">
        <f>(C310+D310+E310+F310)*O310</f>
        <v>1.0666666721666667</v>
      </c>
      <c r="Q310" s="72">
        <f>(M310+N310)*O310</f>
        <v>2.1333333443333333</v>
      </c>
      <c r="R310" s="142">
        <f>(L310+M310+N310)*O310</f>
        <v>59.084800304656</v>
      </c>
      <c r="S310" s="171" t="s">
        <v>259</v>
      </c>
      <c r="T310" s="536">
        <f t="shared" si="127"/>
        <v>2.1333333443333333</v>
      </c>
      <c r="U310" s="537">
        <f t="shared" si="127"/>
        <v>1.0666666721666667</v>
      </c>
      <c r="V310" s="521">
        <f t="shared" si="127"/>
        <v>2.1333333443333333</v>
      </c>
      <c r="W310" s="537" t="str">
        <f t="shared" si="128"/>
        <v/>
      </c>
      <c r="X310" s="537" t="str">
        <f t="shared" si="128"/>
        <v/>
      </c>
      <c r="Y310" s="521" t="str">
        <f t="shared" si="128"/>
        <v/>
      </c>
    </row>
    <row r="311" spans="1:25" s="29" customFormat="1" ht="12.75" thickTop="1" thickBot="1">
      <c r="A311" s="399" t="s">
        <v>22</v>
      </c>
      <c r="B311" s="400"/>
      <c r="C311" s="78">
        <f>SUM(C309:C310)</f>
        <v>0</v>
      </c>
      <c r="D311" s="78">
        <f>SUM(D309:D310)</f>
        <v>0.75</v>
      </c>
      <c r="E311" s="78">
        <f>SUM(E309:E310)</f>
        <v>1</v>
      </c>
      <c r="F311" s="78">
        <f>SUM(F309:F310)</f>
        <v>0.25</v>
      </c>
      <c r="G311" s="78">
        <f>G308</f>
        <v>0</v>
      </c>
      <c r="H311" s="78">
        <f>SUM(H309:H310)</f>
        <v>2</v>
      </c>
      <c r="I311" s="79">
        <f>I308</f>
        <v>0</v>
      </c>
      <c r="J311" s="79">
        <f>J308</f>
        <v>0</v>
      </c>
      <c r="K311" s="79">
        <f>K308</f>
        <v>0</v>
      </c>
      <c r="L311" s="80">
        <f>SUM(L309:L310)</f>
        <v>119.83200000000001</v>
      </c>
      <c r="M311" s="80">
        <f>SUM(M309:M310)</f>
        <v>0</v>
      </c>
      <c r="N311" s="81">
        <f>SUM(N309:N310)</f>
        <v>1</v>
      </c>
      <c r="O311" s="489"/>
      <c r="P311" s="78">
        <f>SUM(P309:P310)</f>
        <v>4.2666666886666667</v>
      </c>
      <c r="Q311" s="80">
        <f>SUM(Q309:Q310)</f>
        <v>2.1333333443333333</v>
      </c>
      <c r="R311" s="80">
        <f>SUM(R309:R310)</f>
        <v>257.77493466248535</v>
      </c>
      <c r="S311" s="80"/>
      <c r="T311" s="79">
        <f t="shared" ref="T311:Y311" si="129">SUM(T309:T310)</f>
        <v>2.1333333443333333</v>
      </c>
      <c r="U311" s="79">
        <f t="shared" si="129"/>
        <v>1.0666666721666667</v>
      </c>
      <c r="V311" s="80">
        <f t="shared" si="129"/>
        <v>2.1333333443333333</v>
      </c>
      <c r="W311" s="79">
        <f t="shared" si="129"/>
        <v>2.1333333443333333</v>
      </c>
      <c r="X311" s="79">
        <f t="shared" si="129"/>
        <v>3.2000000164999998</v>
      </c>
      <c r="Y311" s="80">
        <f t="shared" si="129"/>
        <v>0</v>
      </c>
    </row>
    <row r="312" spans="1:25" s="29" customFormat="1" ht="12" thickTop="1">
      <c r="A312" s="188" t="s">
        <v>149</v>
      </c>
      <c r="B312" s="172"/>
      <c r="C312" s="265"/>
      <c r="D312" s="265"/>
      <c r="E312" s="265"/>
      <c r="F312" s="265"/>
      <c r="G312" s="265"/>
      <c r="H312" s="265"/>
      <c r="I312" s="266"/>
      <c r="J312" s="266"/>
      <c r="K312" s="266"/>
      <c r="L312" s="267"/>
      <c r="M312" s="267"/>
      <c r="N312" s="73"/>
      <c r="O312" s="484"/>
      <c r="P312" s="269"/>
      <c r="Q312" s="269"/>
      <c r="R312" s="72"/>
      <c r="S312" s="11"/>
      <c r="T312" s="455"/>
      <c r="U312" s="533"/>
      <c r="W312" s="455"/>
      <c r="X312" s="455"/>
    </row>
    <row r="313" spans="1:25" s="29" customFormat="1">
      <c r="A313" s="408"/>
      <c r="B313" s="235" t="s">
        <v>150</v>
      </c>
      <c r="C313" s="409"/>
      <c r="D313" s="410"/>
      <c r="E313" s="410"/>
      <c r="F313" s="410"/>
      <c r="G313" s="410"/>
      <c r="H313" s="410"/>
      <c r="I313" s="411"/>
      <c r="J313" s="411"/>
      <c r="K313" s="411"/>
      <c r="L313" s="412"/>
      <c r="M313" s="412"/>
      <c r="N313" s="413"/>
      <c r="O313" s="491"/>
      <c r="P313" s="410"/>
      <c r="Q313" s="520"/>
      <c r="R313" s="39"/>
      <c r="S313" s="11"/>
      <c r="T313" s="455"/>
      <c r="U313" s="533"/>
      <c r="W313" s="455"/>
      <c r="X313" s="455"/>
    </row>
    <row r="314" spans="1:25" s="29" customFormat="1">
      <c r="A314" s="188"/>
      <c r="B314" s="398" t="s">
        <v>151</v>
      </c>
      <c r="C314" s="70">
        <v>0</v>
      </c>
      <c r="D314" s="70">
        <v>0.5</v>
      </c>
      <c r="E314" s="70">
        <v>1</v>
      </c>
      <c r="F314" s="70">
        <v>0</v>
      </c>
      <c r="G314" s="70">
        <v>0</v>
      </c>
      <c r="H314" s="70">
        <f>SUM(C314:G314)</f>
        <v>1.5</v>
      </c>
      <c r="I314" s="71"/>
      <c r="J314" s="71"/>
      <c r="K314" s="71"/>
      <c r="L314" s="72">
        <f>((C314*$C$9)+(D314*$D$9)+(E314*$E$9)+(F314*$F$9))</f>
        <v>93.13600000000001</v>
      </c>
      <c r="M314" s="72">
        <v>0</v>
      </c>
      <c r="N314" s="73">
        <v>0</v>
      </c>
      <c r="O314" s="556">
        <f>0.25*O9</f>
        <v>10.666666721666667</v>
      </c>
      <c r="P314" s="75">
        <f>(C314+D314+E314+F314)*O314</f>
        <v>16.000000082500001</v>
      </c>
      <c r="Q314" s="72">
        <f>(M314+N314)*O314</f>
        <v>0</v>
      </c>
      <c r="R314" s="72">
        <f>(L314+M314+N314)*O314</f>
        <v>993.45067178914678</v>
      </c>
      <c r="S314" s="171" t="s">
        <v>254</v>
      </c>
      <c r="T314" s="536" t="str">
        <f t="shared" ref="T314:V315" si="130">IF($S314="RP",O314,"")</f>
        <v/>
      </c>
      <c r="U314" s="537" t="str">
        <f t="shared" si="130"/>
        <v/>
      </c>
      <c r="V314" s="521" t="str">
        <f t="shared" si="130"/>
        <v/>
      </c>
      <c r="W314" s="537">
        <f t="shared" ref="W314:Y315" si="131">IF($S314="RK",O314,"")</f>
        <v>10.666666721666667</v>
      </c>
      <c r="X314" s="537">
        <f t="shared" si="131"/>
        <v>16.000000082500001</v>
      </c>
      <c r="Y314" s="521">
        <f t="shared" si="131"/>
        <v>0</v>
      </c>
    </row>
    <row r="315" spans="1:25" s="29" customFormat="1" ht="12" thickBot="1">
      <c r="A315" s="218"/>
      <c r="B315" s="296" t="s">
        <v>65</v>
      </c>
      <c r="C315" s="348">
        <v>0</v>
      </c>
      <c r="D315" s="348">
        <v>0.25</v>
      </c>
      <c r="E315" s="348">
        <v>0</v>
      </c>
      <c r="F315" s="348">
        <v>0.25</v>
      </c>
      <c r="G315" s="348">
        <v>0</v>
      </c>
      <c r="H315" s="136">
        <f>SUM(C315:G315)</f>
        <v>0.5</v>
      </c>
      <c r="I315" s="137"/>
      <c r="J315" s="137"/>
      <c r="K315" s="137"/>
      <c r="L315" s="138">
        <f>((C315*$C$9)+(D315*$D$9)+(E315*$E$9)+(F315*$F$9))</f>
        <v>26.696000000000002</v>
      </c>
      <c r="M315" s="138">
        <v>0</v>
      </c>
      <c r="N315" s="139">
        <v>1</v>
      </c>
      <c r="O315" s="558">
        <f>O314</f>
        <v>10.666666721666667</v>
      </c>
      <c r="P315" s="141">
        <f>(C315+D315+E315+F315)*O315</f>
        <v>5.3333333608333335</v>
      </c>
      <c r="Q315" s="72">
        <f>(M315+N315)*O315</f>
        <v>10.666666721666667</v>
      </c>
      <c r="R315" s="142">
        <f>(L315+M315+N315)*O315</f>
        <v>295.42400152328003</v>
      </c>
      <c r="S315" s="171" t="s">
        <v>254</v>
      </c>
      <c r="T315" s="536" t="str">
        <f t="shared" si="130"/>
        <v/>
      </c>
      <c r="U315" s="537" t="str">
        <f t="shared" si="130"/>
        <v/>
      </c>
      <c r="V315" s="521" t="str">
        <f t="shared" si="130"/>
        <v/>
      </c>
      <c r="W315" s="537">
        <f t="shared" si="131"/>
        <v>10.666666721666667</v>
      </c>
      <c r="X315" s="537">
        <f t="shared" si="131"/>
        <v>5.3333333608333335</v>
      </c>
      <c r="Y315" s="521">
        <f t="shared" si="131"/>
        <v>10.666666721666667</v>
      </c>
    </row>
    <row r="316" spans="1:25" s="29" customFormat="1" ht="12.75" thickTop="1" thickBot="1">
      <c r="A316" s="399" t="s">
        <v>22</v>
      </c>
      <c r="B316" s="400"/>
      <c r="C316" s="78">
        <f>SUM(C314:C315)</f>
        <v>0</v>
      </c>
      <c r="D316" s="78">
        <f>SUM(D314:D315)</f>
        <v>0.75</v>
      </c>
      <c r="E316" s="78">
        <f>SUM(E314:E315)</f>
        <v>1</v>
      </c>
      <c r="F316" s="78">
        <f>SUM(F314:F315)</f>
        <v>0.25</v>
      </c>
      <c r="G316" s="78">
        <f>G313</f>
        <v>0</v>
      </c>
      <c r="H316" s="78">
        <f>SUM(H314:H315)</f>
        <v>2</v>
      </c>
      <c r="I316" s="79">
        <f>I313</f>
        <v>0</v>
      </c>
      <c r="J316" s="79">
        <f>J313</f>
        <v>0</v>
      </c>
      <c r="K316" s="79">
        <f>K313</f>
        <v>0</v>
      </c>
      <c r="L316" s="80">
        <f>SUM(L314:L315)</f>
        <v>119.83200000000001</v>
      </c>
      <c r="M316" s="80">
        <f>SUM(M314:M315)</f>
        <v>0</v>
      </c>
      <c r="N316" s="81">
        <f>SUM(N314:N315)</f>
        <v>1</v>
      </c>
      <c r="O316" s="489"/>
      <c r="P316" s="78">
        <f>SUM(P314:P315)</f>
        <v>21.333333443333334</v>
      </c>
      <c r="Q316" s="80">
        <f>SUM(Q314:Q315)</f>
        <v>10.666666721666667</v>
      </c>
      <c r="R316" s="80">
        <f>SUM(R314:R315)</f>
        <v>1288.8746733124267</v>
      </c>
      <c r="S316" s="80"/>
      <c r="T316" s="79">
        <f t="shared" ref="T316:Y316" si="132">SUM(T314:T315)</f>
        <v>0</v>
      </c>
      <c r="U316" s="79">
        <f t="shared" si="132"/>
        <v>0</v>
      </c>
      <c r="V316" s="80">
        <f t="shared" si="132"/>
        <v>0</v>
      </c>
      <c r="W316" s="79">
        <f t="shared" si="132"/>
        <v>21.333333443333334</v>
      </c>
      <c r="X316" s="79">
        <f t="shared" si="132"/>
        <v>21.333333443333334</v>
      </c>
      <c r="Y316" s="80">
        <f t="shared" si="132"/>
        <v>10.666666721666667</v>
      </c>
    </row>
    <row r="317" spans="1:25" s="29" customFormat="1" ht="12.75" thickTop="1" thickBot="1">
      <c r="A317" s="414" t="s">
        <v>152</v>
      </c>
      <c r="B317" s="415"/>
      <c r="C317" s="101"/>
      <c r="D317" s="101"/>
      <c r="E317" s="101"/>
      <c r="F317" s="101"/>
      <c r="G317" s="101"/>
      <c r="H317" s="101"/>
      <c r="I317" s="102"/>
      <c r="J317" s="102"/>
      <c r="K317" s="102"/>
      <c r="L317" s="103"/>
      <c r="M317" s="103"/>
      <c r="N317" s="81"/>
      <c r="O317" s="480"/>
      <c r="P317" s="104"/>
      <c r="Q317" s="104"/>
      <c r="R317" s="80"/>
      <c r="S317" s="11"/>
      <c r="T317" s="455"/>
      <c r="U317" s="533"/>
      <c r="W317" s="455"/>
      <c r="X317" s="455"/>
    </row>
    <row r="318" spans="1:25" s="29" customFormat="1" ht="12" hidden="1" thickTop="1">
      <c r="A318" s="416" t="s">
        <v>57</v>
      </c>
      <c r="B318" s="417"/>
      <c r="C318" s="418"/>
      <c r="D318" s="418"/>
      <c r="E318" s="418"/>
      <c r="F318" s="418"/>
      <c r="G318" s="418"/>
      <c r="H318" s="418"/>
      <c r="I318" s="419"/>
      <c r="J318" s="419"/>
      <c r="K318" s="419"/>
      <c r="L318" s="420"/>
      <c r="M318" s="420"/>
      <c r="N318" s="421"/>
      <c r="O318" s="484"/>
      <c r="P318" s="422"/>
      <c r="Q318" s="422"/>
      <c r="R318" s="423"/>
      <c r="S318" s="11"/>
      <c r="T318" s="455"/>
      <c r="U318" s="533"/>
      <c r="W318" s="455"/>
      <c r="X318" s="455"/>
    </row>
    <row r="319" spans="1:25" s="29" customFormat="1" ht="12" hidden="1" thickTop="1">
      <c r="A319" s="351" t="s">
        <v>58</v>
      </c>
      <c r="B319" s="339"/>
      <c r="C319" s="144"/>
      <c r="D319" s="144"/>
      <c r="E319" s="144"/>
      <c r="F319" s="144"/>
      <c r="G319" s="144"/>
      <c r="H319" s="144"/>
      <c r="I319" s="190"/>
      <c r="J319" s="190"/>
      <c r="K319" s="190"/>
      <c r="L319" s="128"/>
      <c r="M319" s="128"/>
      <c r="N319" s="129"/>
      <c r="O319" s="474"/>
      <c r="P319" s="192"/>
      <c r="Q319" s="192"/>
      <c r="R319" s="128"/>
      <c r="S319" s="11"/>
      <c r="T319" s="455"/>
      <c r="U319" s="533"/>
      <c r="W319" s="455"/>
      <c r="X319" s="455"/>
    </row>
    <row r="320" spans="1:25" s="29" customFormat="1" ht="12" hidden="1" thickTop="1">
      <c r="A320" s="188" t="s">
        <v>59</v>
      </c>
      <c r="B320" s="398"/>
      <c r="C320" s="195">
        <v>0</v>
      </c>
      <c r="D320" s="195">
        <v>1</v>
      </c>
      <c r="E320" s="195">
        <v>4</v>
      </c>
      <c r="F320" s="195">
        <v>0</v>
      </c>
      <c r="G320" s="106"/>
      <c r="H320" s="136">
        <f>SUM(C320:F320)</f>
        <v>5</v>
      </c>
      <c r="I320" s="137"/>
      <c r="J320" s="137"/>
      <c r="K320" s="137"/>
      <c r="L320" s="138" t="e">
        <f>((C320*#REF!)+(D320*$D$9)+(E320*$E$9)+(F320*$F$9))</f>
        <v>#REF!</v>
      </c>
      <c r="M320" s="138">
        <v>0</v>
      </c>
      <c r="N320" s="139">
        <v>0</v>
      </c>
      <c r="O320" s="473" t="e">
        <f>#REF!</f>
        <v>#REF!</v>
      </c>
      <c r="P320" s="141" t="e">
        <f>(C320+D320+E320+F320)*O320</f>
        <v>#REF!</v>
      </c>
      <c r="Q320" s="343"/>
      <c r="R320" s="142" t="e">
        <f>(L320+M320+N320)*O320</f>
        <v>#REF!</v>
      </c>
      <c r="S320" s="11"/>
      <c r="T320" s="455"/>
      <c r="U320" s="533"/>
      <c r="W320" s="455"/>
      <c r="X320" s="455"/>
    </row>
    <row r="321" spans="1:25" s="29" customFormat="1" ht="12" hidden="1" thickTop="1">
      <c r="A321" s="351" t="s">
        <v>26</v>
      </c>
      <c r="B321" s="339"/>
      <c r="C321" s="144">
        <v>0</v>
      </c>
      <c r="D321" s="144">
        <v>0.25</v>
      </c>
      <c r="E321" s="144">
        <v>0</v>
      </c>
      <c r="F321" s="144">
        <v>0.25</v>
      </c>
      <c r="G321" s="106"/>
      <c r="H321" s="136">
        <f>SUM(C321:F321)</f>
        <v>0.5</v>
      </c>
      <c r="I321" s="137"/>
      <c r="J321" s="137"/>
      <c r="K321" s="137"/>
      <c r="L321" s="138" t="e">
        <f>((C321*#REF!)+(D321*$D$9)+(E321*$E$9)+(F321*$F$9))</f>
        <v>#REF!</v>
      </c>
      <c r="M321" s="138">
        <v>0</v>
      </c>
      <c r="N321" s="139" t="e">
        <f>O321*0.52</f>
        <v>#REF!</v>
      </c>
      <c r="O321" s="474" t="e">
        <f>O320</f>
        <v>#REF!</v>
      </c>
      <c r="P321" s="141" t="e">
        <f>(C321+D321+E321+F321)*O321</f>
        <v>#REF!</v>
      </c>
      <c r="Q321" s="343"/>
      <c r="R321" s="142" t="e">
        <f>(L321+M321+N321)*O321</f>
        <v>#REF!</v>
      </c>
      <c r="S321" s="11"/>
      <c r="T321" s="455"/>
      <c r="U321" s="533"/>
      <c r="W321" s="455"/>
      <c r="X321" s="455"/>
    </row>
    <row r="322" spans="1:25" s="29" customFormat="1" ht="12.75" hidden="1" thickTop="1" thickBot="1">
      <c r="A322" s="399" t="s">
        <v>22</v>
      </c>
      <c r="B322" s="400"/>
      <c r="C322" s="84">
        <f>(C320)</f>
        <v>0</v>
      </c>
      <c r="D322" s="84" t="s">
        <v>23</v>
      </c>
      <c r="E322" s="84" t="s">
        <v>23</v>
      </c>
      <c r="F322" s="84" t="s">
        <v>23</v>
      </c>
      <c r="G322" s="84"/>
      <c r="H322" s="84" t="s">
        <v>23</v>
      </c>
      <c r="I322" s="85"/>
      <c r="J322" s="85"/>
      <c r="K322" s="85"/>
      <c r="L322" s="149" t="s">
        <v>23</v>
      </c>
      <c r="M322" s="86">
        <f>SUM(M320:M320)</f>
        <v>0</v>
      </c>
      <c r="N322" s="397" t="s">
        <v>23</v>
      </c>
      <c r="O322" s="489" t="e">
        <f>O320</f>
        <v>#REF!</v>
      </c>
      <c r="P322" s="83" t="e">
        <f>SUM(P320:P320)</f>
        <v>#REF!</v>
      </c>
      <c r="Q322" s="83"/>
      <c r="R322" s="86" t="e">
        <f>SUM(R320:R320)</f>
        <v>#REF!</v>
      </c>
      <c r="S322" s="11"/>
      <c r="T322" s="455"/>
      <c r="U322" s="533"/>
      <c r="W322" s="455"/>
      <c r="X322" s="455"/>
    </row>
    <row r="323" spans="1:25" s="29" customFormat="1" ht="12" thickTop="1">
      <c r="A323" s="201" t="s">
        <v>153</v>
      </c>
      <c r="B323" s="202"/>
      <c r="C323" s="203"/>
      <c r="D323" s="203"/>
      <c r="E323" s="203"/>
      <c r="F323" s="203"/>
      <c r="G323" s="203"/>
      <c r="H323" s="203"/>
      <c r="I323" s="204"/>
      <c r="J323" s="204"/>
      <c r="K323" s="204"/>
      <c r="L323" s="205"/>
      <c r="M323" s="205"/>
      <c r="N323" s="206"/>
      <c r="O323" s="477"/>
      <c r="P323" s="208"/>
      <c r="Q323" s="208"/>
      <c r="R323" s="209"/>
      <c r="S323" s="209"/>
      <c r="T323" s="552"/>
      <c r="U323" s="552"/>
      <c r="V323" s="209"/>
      <c r="W323" s="552"/>
      <c r="X323" s="552"/>
      <c r="Y323" s="209"/>
    </row>
    <row r="324" spans="1:25" s="29" customFormat="1">
      <c r="A324" s="424"/>
      <c r="B324" s="425" t="s">
        <v>203</v>
      </c>
      <c r="C324" s="410"/>
      <c r="D324" s="410"/>
      <c r="E324" s="410"/>
      <c r="F324" s="410"/>
      <c r="G324" s="410"/>
      <c r="H324" s="410"/>
      <c r="I324" s="411"/>
      <c r="J324" s="411"/>
      <c r="K324" s="411"/>
      <c r="L324" s="412"/>
      <c r="M324" s="412"/>
      <c r="N324" s="426"/>
      <c r="O324" s="492"/>
      <c r="P324" s="410"/>
      <c r="Q324" s="410"/>
      <c r="R324" s="412"/>
      <c r="S324" s="11"/>
      <c r="T324" s="455"/>
      <c r="U324" s="533"/>
      <c r="W324" s="455"/>
      <c r="X324" s="455"/>
    </row>
    <row r="325" spans="1:25" s="29" customFormat="1">
      <c r="A325" s="353"/>
      <c r="B325" s="296" t="s">
        <v>136</v>
      </c>
      <c r="C325" s="195">
        <v>0</v>
      </c>
      <c r="D325" s="195">
        <v>0.25</v>
      </c>
      <c r="E325" s="195">
        <v>5</v>
      </c>
      <c r="F325" s="195">
        <v>0</v>
      </c>
      <c r="G325" s="265">
        <v>0</v>
      </c>
      <c r="H325" s="136">
        <f>SUM(C325:G325)</f>
        <v>5.25</v>
      </c>
      <c r="I325" s="137"/>
      <c r="J325" s="137"/>
      <c r="K325" s="137"/>
      <c r="L325" s="138">
        <f>((C325*$C$9)+(D325*$D$9)+(E325*$E$9)+(F325*$F$9))</f>
        <v>293.81600000000003</v>
      </c>
      <c r="M325" s="138">
        <v>0</v>
      </c>
      <c r="N325" s="139">
        <v>0</v>
      </c>
      <c r="O325" s="556">
        <f>0.25*O9</f>
        <v>10.666666721666667</v>
      </c>
      <c r="P325" s="141">
        <f>(C325+D325+E325+F325)*O325</f>
        <v>56.000000288750002</v>
      </c>
      <c r="Q325" s="72">
        <f>(M325+N325)*O325</f>
        <v>0</v>
      </c>
      <c r="R325" s="142">
        <f>(L325+M325+N325)*O325</f>
        <v>3134.0373494932137</v>
      </c>
      <c r="S325" s="171" t="s">
        <v>254</v>
      </c>
      <c r="T325" s="536" t="str">
        <f>IF($S325="RP",O325,"")</f>
        <v/>
      </c>
      <c r="U325" s="537" t="str">
        <f>IF($S325="RP",P325,"")</f>
        <v/>
      </c>
      <c r="V325" s="521" t="str">
        <f>IF($S325="RP",Q325,"")</f>
        <v/>
      </c>
      <c r="W325" s="537">
        <f>IF($S325="RK",O325,"")</f>
        <v>10.666666721666667</v>
      </c>
      <c r="X325" s="537">
        <f>IF($S325="RK",P325,"")</f>
        <v>56.000000288750002</v>
      </c>
      <c r="Y325" s="521">
        <f>IF($S325="RK",Q325,"")</f>
        <v>0</v>
      </c>
    </row>
    <row r="326" spans="1:25" s="29" customFormat="1">
      <c r="A326" s="351"/>
      <c r="B326" s="339" t="s">
        <v>154</v>
      </c>
      <c r="C326" s="144"/>
      <c r="D326" s="144"/>
      <c r="E326" s="144"/>
      <c r="F326" s="144"/>
      <c r="G326" s="106"/>
      <c r="H326" s="427"/>
      <c r="I326" s="107"/>
      <c r="J326" s="107"/>
      <c r="K326" s="107"/>
      <c r="L326" s="176"/>
      <c r="M326" s="108"/>
      <c r="N326" s="428"/>
      <c r="O326" s="557"/>
      <c r="P326" s="111"/>
      <c r="Q326" s="111"/>
      <c r="R326" s="272"/>
      <c r="S326" s="11"/>
      <c r="T326" s="455"/>
      <c r="U326" s="533"/>
      <c r="W326" s="455"/>
      <c r="X326" s="455"/>
    </row>
    <row r="327" spans="1:25" s="29" customFormat="1" ht="12" thickBot="1">
      <c r="A327" s="369"/>
      <c r="B327" s="339" t="s">
        <v>155</v>
      </c>
      <c r="C327" s="348">
        <v>0</v>
      </c>
      <c r="D327" s="348">
        <v>0.25</v>
      </c>
      <c r="E327" s="348">
        <v>1</v>
      </c>
      <c r="F327" s="348">
        <v>0</v>
      </c>
      <c r="G327" s="348">
        <v>0</v>
      </c>
      <c r="H327" s="136">
        <f>SUM(C327:G327)</f>
        <v>1.25</v>
      </c>
      <c r="I327" s="137"/>
      <c r="J327" s="137"/>
      <c r="K327" s="137"/>
      <c r="L327" s="138">
        <f>((C327*$C$9)+(D327*$D$9)+(E327*$E$9)+(F327*$F$9))</f>
        <v>74.040000000000006</v>
      </c>
      <c r="M327" s="138">
        <v>0</v>
      </c>
      <c r="N327" s="139">
        <v>0</v>
      </c>
      <c r="O327" s="558">
        <f>0.1*O9</f>
        <v>4.2666666886666667</v>
      </c>
      <c r="P327" s="141">
        <f>(C327+D327+E327+F327)*O327</f>
        <v>5.3333333608333335</v>
      </c>
      <c r="Q327" s="72">
        <f>(M327+N327)*O327</f>
        <v>0</v>
      </c>
      <c r="R327" s="142">
        <f>(L327+M327+N327)*O327</f>
        <v>315.90400162888005</v>
      </c>
      <c r="S327" s="171" t="s">
        <v>254</v>
      </c>
      <c r="T327" s="536" t="str">
        <f>IF($S327="RP",O327,"")</f>
        <v/>
      </c>
      <c r="U327" s="537" t="str">
        <f>IF($S327="RP",P327,"")</f>
        <v/>
      </c>
      <c r="V327" s="521" t="str">
        <f>IF($S327="RP",Q327,"")</f>
        <v/>
      </c>
      <c r="W327" s="537">
        <f>IF($S327="RK",O327,"")</f>
        <v>4.2666666886666667</v>
      </c>
      <c r="X327" s="537">
        <f>IF($S327="RK",P327,"")</f>
        <v>5.3333333608333335</v>
      </c>
      <c r="Y327" s="521">
        <f>IF($S327="RK",Q327,"")</f>
        <v>0</v>
      </c>
    </row>
    <row r="328" spans="1:25" s="29" customFormat="1" ht="12.75" thickTop="1" thickBot="1">
      <c r="A328" s="399" t="s">
        <v>22</v>
      </c>
      <c r="B328" s="400"/>
      <c r="C328" s="78">
        <f t="shared" ref="C328:H328" si="133">SUM(C325:C327)</f>
        <v>0</v>
      </c>
      <c r="D328" s="78">
        <f t="shared" si="133"/>
        <v>0.5</v>
      </c>
      <c r="E328" s="78">
        <f t="shared" si="133"/>
        <v>6</v>
      </c>
      <c r="F328" s="78">
        <f t="shared" si="133"/>
        <v>0</v>
      </c>
      <c r="G328" s="78">
        <f t="shared" si="133"/>
        <v>0</v>
      </c>
      <c r="H328" s="78">
        <f t="shared" si="133"/>
        <v>6.5</v>
      </c>
      <c r="I328" s="79" t="e">
        <f>#REF!</f>
        <v>#REF!</v>
      </c>
      <c r="J328" s="79" t="e">
        <f>#REF!</f>
        <v>#REF!</v>
      </c>
      <c r="K328" s="79" t="e">
        <f>#REF!</f>
        <v>#REF!</v>
      </c>
      <c r="L328" s="80">
        <f>SUM(L325:L327)</f>
        <v>367.85600000000005</v>
      </c>
      <c r="M328" s="80">
        <f>SUM(M325:M327)</f>
        <v>0</v>
      </c>
      <c r="N328" s="81">
        <f>SUM(N325:N327)</f>
        <v>0</v>
      </c>
      <c r="O328" s="489"/>
      <c r="P328" s="78">
        <f>SUM(P325:P327)</f>
        <v>61.333333649583338</v>
      </c>
      <c r="Q328" s="80">
        <f>SUM(Q325:Q327)</f>
        <v>0</v>
      </c>
      <c r="R328" s="80">
        <f>SUM(R325:R327)</f>
        <v>3449.9413511220937</v>
      </c>
      <c r="S328" s="80"/>
      <c r="T328" s="79">
        <f t="shared" ref="T328:Y328" si="134">SUM(T325:T327)</f>
        <v>0</v>
      </c>
      <c r="U328" s="79">
        <f t="shared" si="134"/>
        <v>0</v>
      </c>
      <c r="V328" s="80">
        <f t="shared" si="134"/>
        <v>0</v>
      </c>
      <c r="W328" s="79">
        <f t="shared" si="134"/>
        <v>14.933333410333333</v>
      </c>
      <c r="X328" s="79">
        <f t="shared" si="134"/>
        <v>61.333333649583338</v>
      </c>
      <c r="Y328" s="80">
        <f t="shared" si="134"/>
        <v>0</v>
      </c>
    </row>
    <row r="329" spans="1:25" s="29" customFormat="1" ht="12" thickTop="1">
      <c r="A329" s="201" t="s">
        <v>156</v>
      </c>
      <c r="B329" s="202"/>
      <c r="C329" s="203"/>
      <c r="D329" s="203"/>
      <c r="E329" s="203"/>
      <c r="F329" s="203"/>
      <c r="G329" s="203"/>
      <c r="H329" s="203"/>
      <c r="I329" s="204"/>
      <c r="J329" s="204"/>
      <c r="K329" s="204"/>
      <c r="L329" s="205"/>
      <c r="M329" s="205"/>
      <c r="N329" s="206"/>
      <c r="O329" s="477"/>
      <c r="P329" s="208"/>
      <c r="Q329" s="208"/>
      <c r="R329" s="209"/>
      <c r="S329" s="11"/>
      <c r="T329" s="455"/>
      <c r="U329" s="533"/>
      <c r="W329" s="455"/>
      <c r="X329" s="455"/>
    </row>
    <row r="330" spans="1:25" s="29" customFormat="1">
      <c r="A330" s="218"/>
      <c r="B330" s="219" t="s">
        <v>157</v>
      </c>
      <c r="C330" s="144"/>
      <c r="D330" s="144"/>
      <c r="E330" s="144"/>
      <c r="F330" s="144"/>
      <c r="G330" s="144"/>
      <c r="H330" s="144"/>
      <c r="I330" s="190"/>
      <c r="J330" s="190"/>
      <c r="K330" s="190"/>
      <c r="L330" s="128"/>
      <c r="M330" s="128"/>
      <c r="N330" s="129"/>
      <c r="O330" s="474"/>
      <c r="P330" s="192"/>
      <c r="Q330" s="192"/>
      <c r="R330" s="128"/>
      <c r="S330" s="11"/>
      <c r="T330" s="455"/>
      <c r="U330" s="533"/>
      <c r="W330" s="455"/>
      <c r="X330" s="455"/>
    </row>
    <row r="331" spans="1:25" s="29" customFormat="1">
      <c r="A331" s="188"/>
      <c r="B331" s="398" t="s">
        <v>158</v>
      </c>
      <c r="C331" s="195">
        <v>0</v>
      </c>
      <c r="D331" s="195">
        <v>0.25</v>
      </c>
      <c r="E331" s="195">
        <v>5</v>
      </c>
      <c r="F331" s="195">
        <v>0</v>
      </c>
      <c r="G331" s="265">
        <v>0</v>
      </c>
      <c r="H331" s="136">
        <f>SUM(C331:G331)</f>
        <v>5.25</v>
      </c>
      <c r="I331" s="137"/>
      <c r="J331" s="137"/>
      <c r="K331" s="137"/>
      <c r="L331" s="138">
        <f>((C331*$C$9)+(D331*$D$9)+(E331*$E$9)+(F331*$F$9))</f>
        <v>293.81600000000003</v>
      </c>
      <c r="M331" s="222">
        <v>0</v>
      </c>
      <c r="N331" s="185">
        <v>0</v>
      </c>
      <c r="O331" s="473">
        <f>O9</f>
        <v>42.666666886666668</v>
      </c>
      <c r="P331" s="141">
        <f>(C331+D331+E331+F331)*O331</f>
        <v>224.00000115500001</v>
      </c>
      <c r="Q331" s="72">
        <f>(M331+N331)*O331</f>
        <v>0</v>
      </c>
      <c r="R331" s="142">
        <f>(L331+M331+N331)*O331</f>
        <v>12536.149397972855</v>
      </c>
      <c r="S331" s="171" t="s">
        <v>254</v>
      </c>
      <c r="T331" s="536" t="str">
        <f t="shared" ref="T331:V332" si="135">IF($S331="RP",O331,"")</f>
        <v/>
      </c>
      <c r="U331" s="537" t="str">
        <f t="shared" si="135"/>
        <v/>
      </c>
      <c r="V331" s="521" t="str">
        <f t="shared" si="135"/>
        <v/>
      </c>
      <c r="W331" s="537">
        <f t="shared" ref="W331:Y332" si="136">IF($S331="RK",O331,"")</f>
        <v>42.666666886666668</v>
      </c>
      <c r="X331" s="537">
        <f t="shared" si="136"/>
        <v>224.00000115500001</v>
      </c>
      <c r="Y331" s="521">
        <f t="shared" si="136"/>
        <v>0</v>
      </c>
    </row>
    <row r="332" spans="1:25" s="29" customFormat="1" ht="12" thickBot="1">
      <c r="A332" s="218"/>
      <c r="B332" s="219" t="s">
        <v>97</v>
      </c>
      <c r="C332" s="144">
        <v>0</v>
      </c>
      <c r="D332" s="144">
        <v>0.25</v>
      </c>
      <c r="E332" s="144">
        <v>0</v>
      </c>
      <c r="F332" s="144">
        <v>0.25</v>
      </c>
      <c r="G332" s="106">
        <v>0</v>
      </c>
      <c r="H332" s="136">
        <f>SUM(C332:G332)</f>
        <v>0.5</v>
      </c>
      <c r="I332" s="137"/>
      <c r="J332" s="137"/>
      <c r="K332" s="137"/>
      <c r="L332" s="138">
        <f>((C332*$C$9)+(D332*$D$9)+(E332*$E$9)+(F332*$F$9))</f>
        <v>26.696000000000002</v>
      </c>
      <c r="M332" s="128">
        <v>0</v>
      </c>
      <c r="N332" s="139">
        <v>1</v>
      </c>
      <c r="O332" s="474">
        <f>O9</f>
        <v>42.666666886666668</v>
      </c>
      <c r="P332" s="141">
        <f>(C332+D332+E332+F332)*O332</f>
        <v>21.333333443333334</v>
      </c>
      <c r="Q332" s="72">
        <f>(M332+N332)*O332</f>
        <v>42.666666886666668</v>
      </c>
      <c r="R332" s="142">
        <f>(L332+M332+N332)*O332</f>
        <v>1181.6960060931201</v>
      </c>
      <c r="S332" s="171" t="s">
        <v>259</v>
      </c>
      <c r="T332" s="536">
        <f t="shared" si="135"/>
        <v>42.666666886666668</v>
      </c>
      <c r="U332" s="537">
        <f t="shared" si="135"/>
        <v>21.333333443333334</v>
      </c>
      <c r="V332" s="521">
        <f t="shared" si="135"/>
        <v>42.666666886666668</v>
      </c>
      <c r="W332" s="537" t="str">
        <f t="shared" si="136"/>
        <v/>
      </c>
      <c r="X332" s="537" t="str">
        <f t="shared" si="136"/>
        <v/>
      </c>
      <c r="Y332" s="521" t="str">
        <f t="shared" si="136"/>
        <v/>
      </c>
    </row>
    <row r="333" spans="1:25" s="29" customFormat="1" ht="12.75" thickTop="1" thickBot="1">
      <c r="A333" s="399" t="s">
        <v>22</v>
      </c>
      <c r="B333" s="415"/>
      <c r="C333" s="147">
        <f t="shared" ref="C333:N333" si="137">SUM(C331:C332)</f>
        <v>0</v>
      </c>
      <c r="D333" s="147">
        <f t="shared" si="137"/>
        <v>0.5</v>
      </c>
      <c r="E333" s="147">
        <f t="shared" si="137"/>
        <v>5</v>
      </c>
      <c r="F333" s="147">
        <f t="shared" si="137"/>
        <v>0.25</v>
      </c>
      <c r="G333" s="147">
        <f t="shared" si="137"/>
        <v>0</v>
      </c>
      <c r="H333" s="147">
        <f t="shared" si="137"/>
        <v>5.75</v>
      </c>
      <c r="I333" s="102">
        <f t="shared" si="137"/>
        <v>0</v>
      </c>
      <c r="J333" s="102">
        <f t="shared" si="137"/>
        <v>0</v>
      </c>
      <c r="K333" s="102">
        <f t="shared" si="137"/>
        <v>0</v>
      </c>
      <c r="L333" s="149">
        <f t="shared" si="137"/>
        <v>320.51200000000006</v>
      </c>
      <c r="M333" s="86">
        <f t="shared" si="137"/>
        <v>0</v>
      </c>
      <c r="N333" s="397">
        <f t="shared" si="137"/>
        <v>1</v>
      </c>
      <c r="O333" s="489"/>
      <c r="P333" s="83">
        <f>SUM(P331:P332)</f>
        <v>245.33333459833335</v>
      </c>
      <c r="Q333" s="86">
        <f>SUM(Q331:Q332)</f>
        <v>42.666666886666668</v>
      </c>
      <c r="R333" s="86">
        <f>SUM(R331:R332)</f>
        <v>13717.845404065974</v>
      </c>
      <c r="S333" s="86"/>
      <c r="T333" s="85">
        <f t="shared" ref="T333:Y333" si="138">SUM(T331:T332)</f>
        <v>42.666666886666668</v>
      </c>
      <c r="U333" s="85">
        <f t="shared" si="138"/>
        <v>21.333333443333334</v>
      </c>
      <c r="V333" s="86">
        <f t="shared" si="138"/>
        <v>42.666666886666668</v>
      </c>
      <c r="W333" s="85">
        <f t="shared" si="138"/>
        <v>42.666666886666668</v>
      </c>
      <c r="X333" s="85">
        <f t="shared" si="138"/>
        <v>224.00000115500001</v>
      </c>
      <c r="Y333" s="86">
        <f t="shared" si="138"/>
        <v>0</v>
      </c>
    </row>
    <row r="334" spans="1:25" s="29" customFormat="1" ht="12.75" thickTop="1" thickBot="1">
      <c r="A334" s="373" t="s">
        <v>159</v>
      </c>
      <c r="B334" s="146"/>
      <c r="C334" s="101"/>
      <c r="D334" s="101"/>
      <c r="E334" s="101"/>
      <c r="F334" s="101"/>
      <c r="G334" s="101"/>
      <c r="H334" s="101"/>
      <c r="I334" s="102"/>
      <c r="J334" s="102"/>
      <c r="K334" s="102"/>
      <c r="L334" s="103"/>
      <c r="M334" s="103"/>
      <c r="N334" s="81"/>
      <c r="O334" s="480"/>
      <c r="P334" s="104"/>
      <c r="Q334" s="104"/>
      <c r="R334" s="80"/>
      <c r="S334" s="11"/>
      <c r="T334" s="455"/>
      <c r="U334" s="533"/>
      <c r="W334" s="455"/>
      <c r="X334" s="455"/>
    </row>
    <row r="335" spans="1:25" s="29" customFormat="1" ht="12" thickTop="1">
      <c r="A335" s="351" t="s">
        <v>160</v>
      </c>
      <c r="B335" s="211"/>
      <c r="C335" s="265"/>
      <c r="D335" s="265"/>
      <c r="E335" s="265"/>
      <c r="F335" s="265"/>
      <c r="G335" s="265"/>
      <c r="H335" s="265"/>
      <c r="I335" s="266"/>
      <c r="J335" s="266"/>
      <c r="K335" s="266"/>
      <c r="L335" s="267"/>
      <c r="M335" s="267"/>
      <c r="N335" s="73"/>
      <c r="O335" s="484"/>
      <c r="P335" s="269"/>
      <c r="Q335" s="269"/>
      <c r="R335" s="72"/>
      <c r="S335" s="11"/>
      <c r="T335" s="455"/>
      <c r="U335" s="533"/>
      <c r="W335" s="455"/>
      <c r="X335" s="455"/>
    </row>
    <row r="336" spans="1:25" s="29" customFormat="1">
      <c r="A336" s="424"/>
      <c r="B336" s="425" t="s">
        <v>161</v>
      </c>
      <c r="C336" s="236"/>
      <c r="D336" s="236"/>
      <c r="E336" s="236"/>
      <c r="F336" s="236"/>
      <c r="G336" s="236"/>
      <c r="H336" s="236"/>
      <c r="I336" s="271"/>
      <c r="J336" s="271"/>
      <c r="K336" s="271"/>
      <c r="L336" s="272"/>
      <c r="M336" s="272"/>
      <c r="N336" s="295"/>
      <c r="O336" s="476"/>
      <c r="P336" s="273"/>
      <c r="Q336" s="273"/>
      <c r="R336" s="272"/>
      <c r="S336" s="11"/>
      <c r="T336" s="455"/>
      <c r="U336" s="533"/>
      <c r="W336" s="455"/>
      <c r="X336" s="455"/>
    </row>
    <row r="337" spans="1:25" s="29" customFormat="1" ht="12" thickBot="1">
      <c r="A337" s="353"/>
      <c r="B337" s="296" t="s">
        <v>162</v>
      </c>
      <c r="C337" s="195">
        <v>0</v>
      </c>
      <c r="D337" s="195">
        <v>0</v>
      </c>
      <c r="E337" s="195">
        <v>0</v>
      </c>
      <c r="F337" s="195">
        <v>15</v>
      </c>
      <c r="G337" s="106">
        <v>0</v>
      </c>
      <c r="H337" s="136">
        <f>SUM(C337:G337)</f>
        <v>15</v>
      </c>
      <c r="I337" s="137"/>
      <c r="J337" s="137"/>
      <c r="K337" s="137"/>
      <c r="L337" s="138">
        <f>((C337*$C$9)+(D337*$D$9)+(E337*$E$9)+(F337*$F$9))</f>
        <v>456.00000000000006</v>
      </c>
      <c r="M337" s="138">
        <v>0</v>
      </c>
      <c r="N337" s="139">
        <v>0</v>
      </c>
      <c r="O337" s="473">
        <f>O9</f>
        <v>42.666666886666668</v>
      </c>
      <c r="P337" s="141">
        <f>(C337+D337+E337+F337)*O337</f>
        <v>640.0000033</v>
      </c>
      <c r="Q337" s="72">
        <f>(M337+N337)*O337</f>
        <v>0</v>
      </c>
      <c r="R337" s="142">
        <f>(L337+M337+N337)*O337</f>
        <v>19456.000100320001</v>
      </c>
      <c r="S337" s="565" t="s">
        <v>254</v>
      </c>
      <c r="T337" s="536" t="str">
        <f>IF($S337="RP",O337,"")</f>
        <v/>
      </c>
      <c r="U337" s="537" t="str">
        <f>IF($S337="RP",P337,"")</f>
        <v/>
      </c>
      <c r="V337" s="521" t="str">
        <f>IF($S337="RP",Q337,"")</f>
        <v/>
      </c>
      <c r="W337" s="537">
        <f>IF($S337="RK",O337,"")</f>
        <v>42.666666886666668</v>
      </c>
      <c r="X337" s="537">
        <f>IF($S337="RK",P337,"")</f>
        <v>640.0000033</v>
      </c>
      <c r="Y337" s="521">
        <f>IF($S337="RK",Q337,"")</f>
        <v>0</v>
      </c>
    </row>
    <row r="338" spans="1:25" s="29" customFormat="1" ht="12.75" thickTop="1" thickBot="1">
      <c r="A338" s="145" t="s">
        <v>22</v>
      </c>
      <c r="B338" s="429"/>
      <c r="C338" s="84">
        <f t="shared" ref="C338:N338" si="139">SUM(C335:C337)</f>
        <v>0</v>
      </c>
      <c r="D338" s="84">
        <f t="shared" si="139"/>
        <v>0</v>
      </c>
      <c r="E338" s="84">
        <f t="shared" si="139"/>
        <v>0</v>
      </c>
      <c r="F338" s="84">
        <f t="shared" si="139"/>
        <v>15</v>
      </c>
      <c r="G338" s="84">
        <f t="shared" si="139"/>
        <v>0</v>
      </c>
      <c r="H338" s="84">
        <f t="shared" si="139"/>
        <v>15</v>
      </c>
      <c r="I338" s="85">
        <f t="shared" si="139"/>
        <v>0</v>
      </c>
      <c r="J338" s="85">
        <f t="shared" si="139"/>
        <v>0</v>
      </c>
      <c r="K338" s="85">
        <f t="shared" si="139"/>
        <v>0</v>
      </c>
      <c r="L338" s="86">
        <f t="shared" si="139"/>
        <v>456.00000000000006</v>
      </c>
      <c r="M338" s="86">
        <f t="shared" si="139"/>
        <v>0</v>
      </c>
      <c r="N338" s="397">
        <f t="shared" si="139"/>
        <v>0</v>
      </c>
      <c r="O338" s="489"/>
      <c r="P338" s="83">
        <f>SUM(P335:P337)</f>
        <v>640.0000033</v>
      </c>
      <c r="Q338" s="86">
        <f>SUM(Q335:Q337)</f>
        <v>0</v>
      </c>
      <c r="R338" s="86">
        <f>SUM(R335:R337)</f>
        <v>19456.000100320001</v>
      </c>
      <c r="S338" s="564"/>
      <c r="T338" s="571">
        <f t="shared" ref="T338:Y338" si="140">SUM(T335:T337)</f>
        <v>0</v>
      </c>
      <c r="U338" s="571">
        <f t="shared" si="140"/>
        <v>0</v>
      </c>
      <c r="V338" s="555">
        <f t="shared" si="140"/>
        <v>0</v>
      </c>
      <c r="W338" s="571">
        <f t="shared" si="140"/>
        <v>42.666666886666668</v>
      </c>
      <c r="X338" s="571">
        <f t="shared" si="140"/>
        <v>640.0000033</v>
      </c>
      <c r="Y338" s="555">
        <f t="shared" si="140"/>
        <v>0</v>
      </c>
    </row>
    <row r="339" spans="1:25" s="29" customFormat="1" ht="12.75" thickTop="1" thickBot="1">
      <c r="A339" s="373" t="s">
        <v>199</v>
      </c>
      <c r="B339" s="146"/>
      <c r="C339" s="101"/>
      <c r="D339" s="101"/>
      <c r="E339" s="101"/>
      <c r="F339" s="101"/>
      <c r="G339" s="101"/>
      <c r="H339" s="101"/>
      <c r="I339" s="102"/>
      <c r="J339" s="102"/>
      <c r="K339" s="102"/>
      <c r="L339" s="103"/>
      <c r="M339" s="103"/>
      <c r="N339" s="81"/>
      <c r="O339" s="480"/>
      <c r="P339" s="104"/>
      <c r="Q339" s="104"/>
      <c r="R339" s="80"/>
      <c r="S339" s="80"/>
      <c r="T339" s="80"/>
      <c r="U339" s="80"/>
      <c r="V339" s="80"/>
      <c r="W339" s="80"/>
      <c r="X339" s="80"/>
      <c r="Y339" s="80"/>
    </row>
    <row r="340" spans="1:25" s="29" customFormat="1" ht="12" thickTop="1">
      <c r="A340" s="430" t="s">
        <v>163</v>
      </c>
      <c r="B340" s="431"/>
      <c r="C340" s="265"/>
      <c r="D340" s="265"/>
      <c r="E340" s="265"/>
      <c r="F340" s="265"/>
      <c r="G340" s="265"/>
      <c r="H340" s="265"/>
      <c r="I340" s="266"/>
      <c r="J340" s="266"/>
      <c r="K340" s="266"/>
      <c r="L340" s="267"/>
      <c r="M340" s="267"/>
      <c r="N340" s="73"/>
      <c r="O340" s="484"/>
      <c r="P340" s="269"/>
      <c r="Q340" s="269"/>
      <c r="R340" s="72"/>
      <c r="S340" s="566"/>
      <c r="T340" s="455"/>
      <c r="U340" s="533"/>
      <c r="W340" s="455"/>
      <c r="X340" s="455"/>
    </row>
    <row r="341" spans="1:25" s="29" customFormat="1" ht="12" thickBot="1">
      <c r="A341" s="351"/>
      <c r="B341" s="339" t="s">
        <v>164</v>
      </c>
      <c r="C341" s="348">
        <v>0</v>
      </c>
      <c r="D341" s="348">
        <v>1</v>
      </c>
      <c r="E341" s="348">
        <v>4</v>
      </c>
      <c r="F341" s="348">
        <v>0.25</v>
      </c>
      <c r="G341" s="348">
        <v>0</v>
      </c>
      <c r="H341" s="136">
        <f>SUM(C341:G341)</f>
        <v>5.25</v>
      </c>
      <c r="I341" s="137"/>
      <c r="J341" s="137"/>
      <c r="K341" s="137"/>
      <c r="L341" s="138">
        <f>((C341*$C$9)+(D341*$D$9)+(E341*$E$9)+(F341*$F$9))</f>
        <v>303.76000000000005</v>
      </c>
      <c r="M341" s="138">
        <v>0</v>
      </c>
      <c r="N341" s="139">
        <v>1</v>
      </c>
      <c r="O341" s="478">
        <f>0.1*O9</f>
        <v>4.2666666886666667</v>
      </c>
      <c r="P341" s="141">
        <f>(C341+D341+E341+F341)*O341</f>
        <v>22.400000115499999</v>
      </c>
      <c r="Q341" s="72">
        <f>(M341+N341)*O341</f>
        <v>4.2666666886666667</v>
      </c>
      <c r="R341" s="142">
        <f>(L341+M341+N341)*O341</f>
        <v>1300.3093400380535</v>
      </c>
      <c r="S341" s="567" t="s">
        <v>254</v>
      </c>
      <c r="T341" s="568" t="str">
        <f>IF($S341="RP",O341,"")</f>
        <v/>
      </c>
      <c r="U341" s="569" t="str">
        <f>IF($S341="RP",P341,"")</f>
        <v/>
      </c>
      <c r="V341" s="570" t="str">
        <f>IF($S341="RP",Q341,"")</f>
        <v/>
      </c>
      <c r="W341" s="569">
        <f>IF($S341="RK",O341,"")</f>
        <v>4.2666666886666667</v>
      </c>
      <c r="X341" s="569">
        <f>IF($S341="RK",P341,"")</f>
        <v>22.400000115499999</v>
      </c>
      <c r="Y341" s="570">
        <f>IF($S341="RK",Q341,"")</f>
        <v>4.2666666886666667</v>
      </c>
    </row>
    <row r="342" spans="1:25" s="29" customFormat="1" ht="12.75" thickTop="1" thickBot="1">
      <c r="A342" s="145" t="s">
        <v>22</v>
      </c>
      <c r="B342" s="429"/>
      <c r="C342" s="84">
        <f t="shared" ref="C342:N342" si="141">SUM(C339:C341)</f>
        <v>0</v>
      </c>
      <c r="D342" s="84">
        <f t="shared" si="141"/>
        <v>1</v>
      </c>
      <c r="E342" s="84">
        <f t="shared" si="141"/>
        <v>4</v>
      </c>
      <c r="F342" s="84">
        <f t="shared" si="141"/>
        <v>0.25</v>
      </c>
      <c r="G342" s="84">
        <f t="shared" si="141"/>
        <v>0</v>
      </c>
      <c r="H342" s="84">
        <f t="shared" si="141"/>
        <v>5.25</v>
      </c>
      <c r="I342" s="85">
        <f t="shared" si="141"/>
        <v>0</v>
      </c>
      <c r="J342" s="85">
        <f t="shared" si="141"/>
        <v>0</v>
      </c>
      <c r="K342" s="85">
        <f t="shared" si="141"/>
        <v>0</v>
      </c>
      <c r="L342" s="86">
        <f t="shared" si="141"/>
        <v>303.76000000000005</v>
      </c>
      <c r="M342" s="86">
        <f t="shared" si="141"/>
        <v>0</v>
      </c>
      <c r="N342" s="397">
        <f t="shared" si="141"/>
        <v>1</v>
      </c>
      <c r="O342" s="489"/>
      <c r="P342" s="83">
        <f>SUM(P339:P341)</f>
        <v>22.400000115499999</v>
      </c>
      <c r="Q342" s="86">
        <f>SUM(Q339:Q341)</f>
        <v>4.2666666886666667</v>
      </c>
      <c r="R342" s="86">
        <f>SUM(R339:R341)</f>
        <v>1300.3093400380535</v>
      </c>
      <c r="S342" s="555"/>
      <c r="T342" s="551">
        <f>IF($S342="RP",O342,"")</f>
        <v>0</v>
      </c>
      <c r="U342" s="85">
        <f>SUM(U339:U341)</f>
        <v>0</v>
      </c>
      <c r="V342" s="86">
        <f>SUM(V339:V341)</f>
        <v>0</v>
      </c>
      <c r="W342" s="85">
        <f>SUM(W339:W341)</f>
        <v>4.2666666886666667</v>
      </c>
      <c r="X342" s="85">
        <f>SUM(X339:X341)</f>
        <v>22.400000115499999</v>
      </c>
      <c r="Y342" s="86">
        <f>SUM(Y339:Y341)</f>
        <v>4.2666666886666667</v>
      </c>
    </row>
    <row r="343" spans="1:25" s="29" customFormat="1" ht="12.75" thickTop="1" thickBot="1">
      <c r="A343" s="373" t="s">
        <v>165</v>
      </c>
      <c r="B343" s="146"/>
      <c r="C343" s="101"/>
      <c r="D343" s="101"/>
      <c r="E343" s="101"/>
      <c r="F343" s="101"/>
      <c r="G343" s="101"/>
      <c r="H343" s="101"/>
      <c r="I343" s="102"/>
      <c r="J343" s="102"/>
      <c r="K343" s="102"/>
      <c r="L343" s="103"/>
      <c r="M343" s="103"/>
      <c r="N343" s="81"/>
      <c r="O343" s="480"/>
      <c r="P343" s="104"/>
      <c r="Q343" s="104"/>
      <c r="R343" s="80"/>
      <c r="S343" s="80"/>
      <c r="T343" s="79"/>
      <c r="U343" s="79"/>
      <c r="V343" s="80"/>
      <c r="W343" s="79"/>
      <c r="X343" s="79"/>
      <c r="Y343" s="80"/>
    </row>
    <row r="344" spans="1:25" s="29" customFormat="1" ht="12" thickTop="1">
      <c r="A344" s="218" t="s">
        <v>166</v>
      </c>
      <c r="B344" s="172"/>
      <c r="C344" s="265"/>
      <c r="D344" s="265"/>
      <c r="E344" s="265"/>
      <c r="F344" s="265"/>
      <c r="G344" s="265"/>
      <c r="H344" s="265"/>
      <c r="I344" s="266"/>
      <c r="J344" s="266"/>
      <c r="K344" s="266"/>
      <c r="L344" s="267"/>
      <c r="M344" s="267"/>
      <c r="N344" s="73"/>
      <c r="O344" s="484"/>
      <c r="P344" s="269"/>
      <c r="Q344" s="269"/>
      <c r="R344" s="72"/>
      <c r="S344" s="72"/>
      <c r="T344" s="71"/>
      <c r="U344" s="71"/>
      <c r="V344" s="72"/>
      <c r="W344" s="71"/>
      <c r="X344" s="71"/>
      <c r="Y344" s="72"/>
    </row>
    <row r="345" spans="1:25" s="29" customFormat="1">
      <c r="A345" s="319"/>
      <c r="B345" s="389" t="s">
        <v>167</v>
      </c>
      <c r="C345" s="348">
        <v>0</v>
      </c>
      <c r="D345" s="348">
        <v>0.5</v>
      </c>
      <c r="E345" s="348">
        <v>5</v>
      </c>
      <c r="F345" s="348">
        <v>0</v>
      </c>
      <c r="G345" s="348">
        <v>0</v>
      </c>
      <c r="H345" s="136">
        <f>SUM(C345:G345)</f>
        <v>5.5</v>
      </c>
      <c r="I345" s="137"/>
      <c r="J345" s="137"/>
      <c r="K345" s="137"/>
      <c r="L345" s="138">
        <f>((C345*$C$9)+(D345*$D$9)+(E345*$E$9)+(F345*$F$9))</f>
        <v>312.91200000000003</v>
      </c>
      <c r="M345" s="138">
        <v>0</v>
      </c>
      <c r="N345" s="139">
        <v>0</v>
      </c>
      <c r="O345" s="478">
        <f>O9</f>
        <v>42.666666886666668</v>
      </c>
      <c r="P345" s="141">
        <f>(C345+D345+E345+F345)*O345</f>
        <v>234.66666787666668</v>
      </c>
      <c r="Q345" s="72">
        <f>(M345+N345)*O345</f>
        <v>0</v>
      </c>
      <c r="R345" s="142">
        <f>(L345+M345+N345)*O345</f>
        <v>13350.912068840642</v>
      </c>
      <c r="S345" s="171" t="s">
        <v>254</v>
      </c>
      <c r="T345" s="536" t="str">
        <f t="shared" ref="T345:V346" si="142">IF($S345="RP",O345,"")</f>
        <v/>
      </c>
      <c r="U345" s="537" t="str">
        <f t="shared" si="142"/>
        <v/>
      </c>
      <c r="V345" s="521" t="str">
        <f t="shared" si="142"/>
        <v/>
      </c>
      <c r="W345" s="537">
        <f t="shared" ref="W345:Y346" si="143">IF($S345="RK",O345,"")</f>
        <v>42.666666886666668</v>
      </c>
      <c r="X345" s="537">
        <f t="shared" si="143"/>
        <v>234.66666787666668</v>
      </c>
      <c r="Y345" s="521">
        <f t="shared" si="143"/>
        <v>0</v>
      </c>
    </row>
    <row r="346" spans="1:25" s="29" customFormat="1" ht="12" thickBot="1">
      <c r="A346" s="351"/>
      <c r="B346" s="219" t="s">
        <v>97</v>
      </c>
      <c r="C346" s="348">
        <v>0</v>
      </c>
      <c r="D346" s="348">
        <v>0.25</v>
      </c>
      <c r="E346" s="348">
        <v>0</v>
      </c>
      <c r="F346" s="348">
        <v>0.25</v>
      </c>
      <c r="G346" s="348">
        <v>0</v>
      </c>
      <c r="H346" s="136">
        <f>SUM(C346:G346)</f>
        <v>0.5</v>
      </c>
      <c r="I346" s="137"/>
      <c r="J346" s="137"/>
      <c r="K346" s="137"/>
      <c r="L346" s="138">
        <f>((C346*$C$9)+(D346*$D$9)+(E346*$E$9)+(F346*$F$9))</f>
        <v>26.696000000000002</v>
      </c>
      <c r="M346" s="138">
        <v>0</v>
      </c>
      <c r="N346" s="139">
        <v>1</v>
      </c>
      <c r="O346" s="478">
        <f>O9</f>
        <v>42.666666886666668</v>
      </c>
      <c r="P346" s="141">
        <f>(C346+D346+E346+F346)*O346</f>
        <v>21.333333443333334</v>
      </c>
      <c r="Q346" s="72">
        <f>(M346+N346)*O346</f>
        <v>42.666666886666668</v>
      </c>
      <c r="R346" s="142">
        <f>(L346+M346+N346)*O346</f>
        <v>1181.6960060931201</v>
      </c>
      <c r="S346" s="171" t="s">
        <v>259</v>
      </c>
      <c r="T346" s="536">
        <f t="shared" si="142"/>
        <v>42.666666886666668</v>
      </c>
      <c r="U346" s="537">
        <f t="shared" si="142"/>
        <v>21.333333443333334</v>
      </c>
      <c r="V346" s="521">
        <f t="shared" si="142"/>
        <v>42.666666886666668</v>
      </c>
      <c r="W346" s="537" t="str">
        <f t="shared" si="143"/>
        <v/>
      </c>
      <c r="X346" s="537" t="str">
        <f t="shared" si="143"/>
        <v/>
      </c>
      <c r="Y346" s="521" t="str">
        <f t="shared" si="143"/>
        <v/>
      </c>
    </row>
    <row r="347" spans="1:25" s="29" customFormat="1" ht="12.75" thickTop="1" thickBot="1">
      <c r="A347" s="145" t="s">
        <v>22</v>
      </c>
      <c r="B347" s="429"/>
      <c r="C347" s="147">
        <f t="shared" ref="C347:N347" si="144">SUM(C345:C346)</f>
        <v>0</v>
      </c>
      <c r="D347" s="147">
        <f t="shared" si="144"/>
        <v>0.75</v>
      </c>
      <c r="E347" s="147">
        <f t="shared" si="144"/>
        <v>5</v>
      </c>
      <c r="F347" s="147">
        <f t="shared" si="144"/>
        <v>0.25</v>
      </c>
      <c r="G347" s="147">
        <f t="shared" si="144"/>
        <v>0</v>
      </c>
      <c r="H347" s="147">
        <f t="shared" si="144"/>
        <v>6</v>
      </c>
      <c r="I347" s="102">
        <f t="shared" si="144"/>
        <v>0</v>
      </c>
      <c r="J347" s="102">
        <f t="shared" si="144"/>
        <v>0</v>
      </c>
      <c r="K347" s="102">
        <f t="shared" si="144"/>
        <v>0</v>
      </c>
      <c r="L347" s="149">
        <f t="shared" si="144"/>
        <v>339.60800000000006</v>
      </c>
      <c r="M347" s="86">
        <f t="shared" si="144"/>
        <v>0</v>
      </c>
      <c r="N347" s="397">
        <f t="shared" si="144"/>
        <v>1</v>
      </c>
      <c r="O347" s="489"/>
      <c r="P347" s="83">
        <f>SUM(P345:P346)</f>
        <v>256.00000132000002</v>
      </c>
      <c r="Q347" s="86">
        <f>SUM(Q345:Q346)</f>
        <v>42.666666886666668</v>
      </c>
      <c r="R347" s="86">
        <f>SUM(R345:R346)</f>
        <v>14532.608074933762</v>
      </c>
      <c r="S347" s="86"/>
      <c r="T347" s="85">
        <f t="shared" ref="T347:Y347" si="145">SUM(T345:T346)</f>
        <v>42.666666886666668</v>
      </c>
      <c r="U347" s="85">
        <f t="shared" si="145"/>
        <v>21.333333443333334</v>
      </c>
      <c r="V347" s="86">
        <f t="shared" si="145"/>
        <v>42.666666886666668</v>
      </c>
      <c r="W347" s="85">
        <f t="shared" si="145"/>
        <v>42.666666886666668</v>
      </c>
      <c r="X347" s="85">
        <f t="shared" si="145"/>
        <v>234.66666787666668</v>
      </c>
      <c r="Y347" s="86">
        <f t="shared" si="145"/>
        <v>0</v>
      </c>
    </row>
    <row r="348" spans="1:25" s="29" customFormat="1" ht="12" thickTop="1">
      <c r="A348" s="218" t="s">
        <v>60</v>
      </c>
      <c r="C348" s="383"/>
      <c r="D348" s="383"/>
      <c r="E348" s="383"/>
      <c r="F348" s="383"/>
      <c r="G348" s="383"/>
      <c r="H348" s="383"/>
      <c r="I348" s="402"/>
      <c r="J348" s="402"/>
      <c r="K348" s="402"/>
      <c r="L348" s="403"/>
      <c r="M348" s="403"/>
      <c r="N348" s="288"/>
      <c r="O348" s="477"/>
      <c r="P348" s="404"/>
      <c r="Q348" s="404"/>
      <c r="R348" s="287"/>
      <c r="S348" s="11"/>
      <c r="T348" s="455"/>
      <c r="U348" s="533"/>
      <c r="W348" s="455"/>
      <c r="X348" s="455"/>
    </row>
    <row r="349" spans="1:25" s="29" customFormat="1">
      <c r="A349" s="368"/>
      <c r="B349" s="425" t="s">
        <v>168</v>
      </c>
      <c r="C349" s="280"/>
      <c r="D349" s="280"/>
      <c r="E349" s="280"/>
      <c r="F349" s="280"/>
      <c r="G349" s="280"/>
      <c r="H349" s="280"/>
      <c r="I349" s="281"/>
      <c r="J349" s="281"/>
      <c r="K349" s="281"/>
      <c r="L349" s="112"/>
      <c r="M349" s="112"/>
      <c r="N349" s="109"/>
      <c r="O349" s="474"/>
      <c r="P349" s="233"/>
      <c r="Q349" s="233"/>
      <c r="R349" s="112"/>
      <c r="S349" s="11"/>
      <c r="T349" s="455"/>
      <c r="U349" s="533"/>
      <c r="W349" s="455"/>
      <c r="X349" s="455"/>
    </row>
    <row r="350" spans="1:25" s="29" customFormat="1">
      <c r="A350" s="353"/>
      <c r="B350" s="398" t="s">
        <v>169</v>
      </c>
      <c r="C350" s="348">
        <v>0</v>
      </c>
      <c r="D350" s="348">
        <v>1</v>
      </c>
      <c r="E350" s="348">
        <v>4</v>
      </c>
      <c r="F350" s="348">
        <v>0</v>
      </c>
      <c r="G350" s="348">
        <v>0</v>
      </c>
      <c r="H350" s="136">
        <f>SUM(C350:G350)</f>
        <v>5</v>
      </c>
      <c r="I350" s="137"/>
      <c r="J350" s="137"/>
      <c r="K350" s="137"/>
      <c r="L350" s="138">
        <f>((C350*$C$9)+(D350*$D$9)+(E350*$E$9)+(F350*$F$9))</f>
        <v>296.16000000000003</v>
      </c>
      <c r="M350" s="138">
        <v>0</v>
      </c>
      <c r="N350" s="139">
        <v>0</v>
      </c>
      <c r="O350" s="478">
        <v>0</v>
      </c>
      <c r="P350" s="141">
        <f>(C350+D350+E350+F350)*O350</f>
        <v>0</v>
      </c>
      <c r="Q350" s="72">
        <f>(M350+N350)*O350</f>
        <v>0</v>
      </c>
      <c r="R350" s="142">
        <f>(L350+M350+N350)*O350</f>
        <v>0</v>
      </c>
      <c r="S350" s="171" t="s">
        <v>254</v>
      </c>
      <c r="T350" s="536" t="str">
        <f t="shared" ref="T350:V351" si="146">IF($S350="RP",O350,"")</f>
        <v/>
      </c>
      <c r="U350" s="537" t="str">
        <f t="shared" si="146"/>
        <v/>
      </c>
      <c r="V350" s="521" t="str">
        <f t="shared" si="146"/>
        <v/>
      </c>
      <c r="W350" s="537">
        <f t="shared" ref="W350:Y351" si="147">IF($S350="RK",O350,"")</f>
        <v>0</v>
      </c>
      <c r="X350" s="537">
        <f t="shared" si="147"/>
        <v>0</v>
      </c>
      <c r="Y350" s="521">
        <f t="shared" si="147"/>
        <v>0</v>
      </c>
    </row>
    <row r="351" spans="1:25" s="29" customFormat="1" ht="12" thickBot="1">
      <c r="A351" s="351"/>
      <c r="B351" s="432" t="s">
        <v>65</v>
      </c>
      <c r="C351" s="348">
        <v>0</v>
      </c>
      <c r="D351" s="348">
        <v>0.25</v>
      </c>
      <c r="E351" s="348">
        <v>0</v>
      </c>
      <c r="F351" s="348">
        <v>0.25</v>
      </c>
      <c r="G351" s="348">
        <v>0</v>
      </c>
      <c r="H351" s="136">
        <f>SUM(C351:G351)</f>
        <v>0.5</v>
      </c>
      <c r="I351" s="137"/>
      <c r="J351" s="137"/>
      <c r="K351" s="137"/>
      <c r="L351" s="138">
        <f>((C351*$C$9)+(D351*$D$9)+(E351*$E$9)+(F351*$F$9))</f>
        <v>26.696000000000002</v>
      </c>
      <c r="M351" s="138">
        <v>0</v>
      </c>
      <c r="N351" s="139">
        <v>1</v>
      </c>
      <c r="O351" s="478">
        <v>0</v>
      </c>
      <c r="P351" s="141">
        <f>(C351+D351+E351+F351)*O351</f>
        <v>0</v>
      </c>
      <c r="Q351" s="72">
        <f>(M351+N351)*O351</f>
        <v>0</v>
      </c>
      <c r="R351" s="142">
        <f>(L351+M351+N351)*O351</f>
        <v>0</v>
      </c>
      <c r="S351" s="171" t="s">
        <v>259</v>
      </c>
      <c r="T351" s="536">
        <f t="shared" si="146"/>
        <v>0</v>
      </c>
      <c r="U351" s="537">
        <f t="shared" si="146"/>
        <v>0</v>
      </c>
      <c r="V351" s="521">
        <f t="shared" si="146"/>
        <v>0</v>
      </c>
      <c r="W351" s="537" t="str">
        <f t="shared" si="147"/>
        <v/>
      </c>
      <c r="X351" s="537" t="str">
        <f t="shared" si="147"/>
        <v/>
      </c>
      <c r="Y351" s="521" t="str">
        <f t="shared" si="147"/>
        <v/>
      </c>
    </row>
    <row r="352" spans="1:25" s="29" customFormat="1" ht="12.75" thickTop="1" thickBot="1">
      <c r="A352" s="433" t="s">
        <v>22</v>
      </c>
      <c r="B352" s="429"/>
      <c r="C352" s="147">
        <f t="shared" ref="C352:N352" si="148">SUM(C350:C351)</f>
        <v>0</v>
      </c>
      <c r="D352" s="147">
        <f t="shared" si="148"/>
        <v>1.25</v>
      </c>
      <c r="E352" s="147">
        <f t="shared" si="148"/>
        <v>4</v>
      </c>
      <c r="F352" s="147">
        <f t="shared" si="148"/>
        <v>0.25</v>
      </c>
      <c r="G352" s="147">
        <f t="shared" si="148"/>
        <v>0</v>
      </c>
      <c r="H352" s="147">
        <f t="shared" si="148"/>
        <v>5.5</v>
      </c>
      <c r="I352" s="102">
        <f t="shared" si="148"/>
        <v>0</v>
      </c>
      <c r="J352" s="102">
        <f t="shared" si="148"/>
        <v>0</v>
      </c>
      <c r="K352" s="102">
        <f t="shared" si="148"/>
        <v>0</v>
      </c>
      <c r="L352" s="149">
        <f t="shared" si="148"/>
        <v>322.85600000000005</v>
      </c>
      <c r="M352" s="86">
        <f t="shared" si="148"/>
        <v>0</v>
      </c>
      <c r="N352" s="397">
        <f t="shared" si="148"/>
        <v>1</v>
      </c>
      <c r="O352" s="489"/>
      <c r="P352" s="83">
        <f>SUM(P350:P351)</f>
        <v>0</v>
      </c>
      <c r="Q352" s="86">
        <f>SUM(Q350:Q351)</f>
        <v>0</v>
      </c>
      <c r="R352" s="86">
        <f>SUM(R350:R351)</f>
        <v>0</v>
      </c>
      <c r="S352" s="86"/>
      <c r="T352" s="85">
        <f t="shared" ref="T352:Y352" si="149">SUM(T350:T351)</f>
        <v>0</v>
      </c>
      <c r="U352" s="85">
        <f t="shared" si="149"/>
        <v>0</v>
      </c>
      <c r="V352" s="86">
        <f t="shared" si="149"/>
        <v>0</v>
      </c>
      <c r="W352" s="85">
        <f t="shared" si="149"/>
        <v>0</v>
      </c>
      <c r="X352" s="85">
        <f t="shared" si="149"/>
        <v>0</v>
      </c>
      <c r="Y352" s="86">
        <f t="shared" si="149"/>
        <v>0</v>
      </c>
    </row>
    <row r="353" spans="1:25" s="29" customFormat="1" ht="12.75" thickTop="1" thickBot="1">
      <c r="A353" s="373" t="s">
        <v>220</v>
      </c>
      <c r="B353" s="146"/>
      <c r="C353" s="101"/>
      <c r="D353" s="101"/>
      <c r="E353" s="101"/>
      <c r="F353" s="101"/>
      <c r="G353" s="101"/>
      <c r="H353" s="101"/>
      <c r="I353" s="102"/>
      <c r="J353" s="102"/>
      <c r="K353" s="102"/>
      <c r="L353" s="103"/>
      <c r="M353" s="103"/>
      <c r="N353" s="103"/>
      <c r="O353" s="493"/>
      <c r="P353" s="104"/>
      <c r="Q353" s="104"/>
      <c r="R353" s="80"/>
      <c r="S353" s="11"/>
      <c r="T353" s="455"/>
      <c r="U353" s="533"/>
      <c r="W353" s="455"/>
      <c r="X353" s="455"/>
    </row>
    <row r="354" spans="1:25" s="29" customFormat="1" ht="12" thickTop="1">
      <c r="A354" s="434" t="s">
        <v>221</v>
      </c>
      <c r="B354" s="435"/>
      <c r="C354" s="436"/>
      <c r="D354" s="436"/>
      <c r="E354" s="436"/>
      <c r="F354" s="436"/>
      <c r="G354" s="436"/>
      <c r="H354" s="436"/>
      <c r="I354" s="437"/>
      <c r="J354" s="437"/>
      <c r="K354" s="437"/>
      <c r="L354" s="438"/>
      <c r="M354" s="91"/>
      <c r="N354" s="91"/>
      <c r="O354" s="494"/>
      <c r="P354" s="93"/>
      <c r="Q354" s="93"/>
      <c r="R354" s="439"/>
      <c r="S354" s="11"/>
      <c r="T354" s="536">
        <f t="shared" ref="T354:V355" si="150">IF($S354="RP",O354,"")</f>
        <v>0</v>
      </c>
      <c r="U354" s="537">
        <f t="shared" si="150"/>
        <v>0</v>
      </c>
      <c r="V354" s="521">
        <f t="shared" si="150"/>
        <v>0</v>
      </c>
      <c r="W354" s="537">
        <f t="shared" ref="W354:Y355" si="151">IF($S354="RK",O354,"")</f>
        <v>0</v>
      </c>
      <c r="X354" s="537">
        <f t="shared" si="151"/>
        <v>0</v>
      </c>
      <c r="Y354" s="521">
        <f t="shared" si="151"/>
        <v>0</v>
      </c>
    </row>
    <row r="355" spans="1:25" s="29" customFormat="1" ht="12" thickBot="1">
      <c r="A355" s="440"/>
      <c r="B355" s="441" t="s">
        <v>223</v>
      </c>
      <c r="C355" s="442">
        <v>0</v>
      </c>
      <c r="D355" s="442">
        <v>3</v>
      </c>
      <c r="E355" s="442">
        <v>20</v>
      </c>
      <c r="F355" s="442">
        <v>2</v>
      </c>
      <c r="G355" s="442">
        <v>0</v>
      </c>
      <c r="H355" s="442">
        <f>SUM(C355:G355)</f>
        <v>25</v>
      </c>
      <c r="I355" s="443"/>
      <c r="J355" s="443"/>
      <c r="K355" s="443"/>
      <c r="L355" s="444">
        <f>((C355*$C$9)+(D355*$D$9)+(E355*$E$9)+(F355*$F$9))</f>
        <v>1388.8320000000001</v>
      </c>
      <c r="M355" s="445">
        <v>0</v>
      </c>
      <c r="N355" s="446">
        <v>1</v>
      </c>
      <c r="O355" s="495">
        <f>0.25*(SUM(O1:O5))</f>
        <v>9.8888888883333337</v>
      </c>
      <c r="P355" s="447">
        <f>(C355+D355+E355+F355)*O355</f>
        <v>247.22222220833333</v>
      </c>
      <c r="Q355" s="72">
        <f>(M355+N355)*O355</f>
        <v>9.8888888883333337</v>
      </c>
      <c r="R355" s="448">
        <f>(L355+M355+N355)*O355</f>
        <v>13743.894221450095</v>
      </c>
      <c r="S355" s="171" t="s">
        <v>254</v>
      </c>
      <c r="T355" s="536" t="str">
        <f t="shared" si="150"/>
        <v/>
      </c>
      <c r="U355" s="537" t="str">
        <f t="shared" si="150"/>
        <v/>
      </c>
      <c r="V355" s="521" t="str">
        <f t="shared" si="150"/>
        <v/>
      </c>
      <c r="W355" s="537">
        <f t="shared" si="151"/>
        <v>9.8888888883333337</v>
      </c>
      <c r="X355" s="537">
        <f t="shared" si="151"/>
        <v>247.22222220833333</v>
      </c>
      <c r="Y355" s="521">
        <f t="shared" si="151"/>
        <v>9.8888888883333337</v>
      </c>
    </row>
    <row r="356" spans="1:25" s="29" customFormat="1" ht="12.75" thickTop="1" thickBot="1">
      <c r="A356" s="145" t="s">
        <v>22</v>
      </c>
      <c r="B356" s="146"/>
      <c r="C356" s="147">
        <f t="shared" ref="C356:N356" si="152">C354+C355</f>
        <v>0</v>
      </c>
      <c r="D356" s="147">
        <f t="shared" si="152"/>
        <v>3</v>
      </c>
      <c r="E356" s="147">
        <f t="shared" si="152"/>
        <v>20</v>
      </c>
      <c r="F356" s="147">
        <f t="shared" si="152"/>
        <v>2</v>
      </c>
      <c r="G356" s="147">
        <f t="shared" si="152"/>
        <v>0</v>
      </c>
      <c r="H356" s="147">
        <f t="shared" si="152"/>
        <v>25</v>
      </c>
      <c r="I356" s="102">
        <f t="shared" si="152"/>
        <v>0</v>
      </c>
      <c r="J356" s="102">
        <f t="shared" si="152"/>
        <v>0</v>
      </c>
      <c r="K356" s="102">
        <f t="shared" si="152"/>
        <v>0</v>
      </c>
      <c r="L356" s="149">
        <f t="shared" si="152"/>
        <v>1388.8320000000001</v>
      </c>
      <c r="M356" s="103">
        <f t="shared" si="152"/>
        <v>0</v>
      </c>
      <c r="N356" s="397">
        <f t="shared" si="152"/>
        <v>1</v>
      </c>
      <c r="O356" s="493"/>
      <c r="P356" s="147">
        <f>P354+P355</f>
        <v>247.22222220833333</v>
      </c>
      <c r="Q356" s="147">
        <f>Q354+Q355</f>
        <v>9.8888888883333337</v>
      </c>
      <c r="R356" s="147">
        <f>R354+R355</f>
        <v>13743.894221450095</v>
      </c>
      <c r="S356" s="147"/>
      <c r="T356" s="148">
        <f t="shared" ref="T356:Y356" si="153">T354+T355</f>
        <v>0</v>
      </c>
      <c r="U356" s="148">
        <f t="shared" si="153"/>
        <v>0</v>
      </c>
      <c r="V356" s="147">
        <f t="shared" si="153"/>
        <v>0</v>
      </c>
      <c r="W356" s="148">
        <f t="shared" si="153"/>
        <v>9.8888888883333337</v>
      </c>
      <c r="X356" s="148">
        <f t="shared" si="153"/>
        <v>247.22222220833333</v>
      </c>
      <c r="Y356" s="147">
        <f t="shared" si="153"/>
        <v>9.8888888883333337</v>
      </c>
    </row>
    <row r="357" spans="1:25" s="29" customFormat="1" ht="12" thickTop="1">
      <c r="A357" s="449" t="s">
        <v>222</v>
      </c>
      <c r="B357" s="450"/>
      <c r="C357" s="436"/>
      <c r="D357" s="436"/>
      <c r="E357" s="436"/>
      <c r="F357" s="436"/>
      <c r="G357" s="436"/>
      <c r="H357" s="436"/>
      <c r="I357" s="437"/>
      <c r="J357" s="437"/>
      <c r="K357" s="437"/>
      <c r="L357" s="438"/>
      <c r="M357" s="438"/>
      <c r="N357" s="438"/>
      <c r="O357" s="496"/>
      <c r="P357" s="451"/>
      <c r="Q357" s="451"/>
      <c r="R357" s="452"/>
      <c r="S357" s="11"/>
      <c r="T357" s="455"/>
      <c r="U357" s="533"/>
      <c r="W357" s="455"/>
      <c r="X357" s="455"/>
    </row>
    <row r="358" spans="1:25" s="29" customFormat="1" ht="12" thickBot="1">
      <c r="A358" s="453"/>
      <c r="B358" s="441" t="s">
        <v>224</v>
      </c>
      <c r="C358" s="442">
        <v>0</v>
      </c>
      <c r="D358" s="442">
        <v>1</v>
      </c>
      <c r="E358" s="442">
        <v>10</v>
      </c>
      <c r="F358" s="442">
        <v>1</v>
      </c>
      <c r="G358" s="442">
        <v>0</v>
      </c>
      <c r="H358" s="442">
        <f>SUM(C358:G358)</f>
        <v>12</v>
      </c>
      <c r="I358" s="443"/>
      <c r="J358" s="443"/>
      <c r="K358" s="443"/>
      <c r="L358" s="444">
        <f>((C358*$C$9)+(D358*$D$9)+(E358*$E$9)+(F358*$F$9))</f>
        <v>656.22400000000005</v>
      </c>
      <c r="M358" s="445">
        <v>0</v>
      </c>
      <c r="N358" s="446">
        <v>1</v>
      </c>
      <c r="O358" s="495">
        <f>0.1*O6</f>
        <v>0.3111111333333334</v>
      </c>
      <c r="P358" s="447">
        <f>(C358+D358+E358+F358)*O358</f>
        <v>3.7333336000000008</v>
      </c>
      <c r="Q358" s="72">
        <f>(M358+N358)*O358</f>
        <v>0.3111111333333334</v>
      </c>
      <c r="R358" s="448">
        <f>(L358+M358+N358)*O358</f>
        <v>204.46970349386672</v>
      </c>
      <c r="S358" s="171" t="s">
        <v>254</v>
      </c>
      <c r="T358" s="536" t="str">
        <f>IF($S358="RP",O358,"")</f>
        <v/>
      </c>
      <c r="U358" s="537" t="str">
        <f>IF($S358="RP",P358,"")</f>
        <v/>
      </c>
      <c r="V358" s="521" t="str">
        <f>IF($S358="RP",Q358,"")</f>
        <v/>
      </c>
      <c r="W358" s="537">
        <f>IF($S358="RK",O358,"")</f>
        <v>0.3111111333333334</v>
      </c>
      <c r="X358" s="537">
        <f>IF($S358="RK",P358,"")</f>
        <v>3.7333336000000008</v>
      </c>
      <c r="Y358" s="521">
        <f>IF($S358="RK",Q358,"")</f>
        <v>0.3111111333333334</v>
      </c>
    </row>
    <row r="359" spans="1:25" s="29" customFormat="1" ht="12.75" thickTop="1" thickBot="1">
      <c r="A359" s="145" t="s">
        <v>22</v>
      </c>
      <c r="B359" s="146"/>
      <c r="C359" s="147">
        <f t="shared" ref="C359:N359" si="154">C357+C358</f>
        <v>0</v>
      </c>
      <c r="D359" s="147">
        <f t="shared" si="154"/>
        <v>1</v>
      </c>
      <c r="E359" s="147">
        <f t="shared" si="154"/>
        <v>10</v>
      </c>
      <c r="F359" s="147">
        <f t="shared" si="154"/>
        <v>1</v>
      </c>
      <c r="G359" s="147">
        <f t="shared" si="154"/>
        <v>0</v>
      </c>
      <c r="H359" s="147">
        <f t="shared" si="154"/>
        <v>12</v>
      </c>
      <c r="I359" s="102">
        <f t="shared" si="154"/>
        <v>0</v>
      </c>
      <c r="J359" s="102">
        <f t="shared" si="154"/>
        <v>0</v>
      </c>
      <c r="K359" s="102">
        <f t="shared" si="154"/>
        <v>0</v>
      </c>
      <c r="L359" s="149">
        <f t="shared" si="154"/>
        <v>656.22400000000005</v>
      </c>
      <c r="M359" s="103">
        <f t="shared" si="154"/>
        <v>0</v>
      </c>
      <c r="N359" s="397">
        <f t="shared" si="154"/>
        <v>1</v>
      </c>
      <c r="O359" s="493"/>
      <c r="P359" s="83">
        <f>P357+P358</f>
        <v>3.7333336000000008</v>
      </c>
      <c r="Q359" s="80">
        <f>Q357+Q358</f>
        <v>0.3111111333333334</v>
      </c>
      <c r="R359" s="80">
        <f>R357+R358</f>
        <v>204.46970349386672</v>
      </c>
      <c r="S359" s="80"/>
      <c r="T359" s="79">
        <f t="shared" ref="T359:Y359" si="155">T357+T358</f>
        <v>0</v>
      </c>
      <c r="U359" s="79">
        <f t="shared" si="155"/>
        <v>0</v>
      </c>
      <c r="V359" s="80">
        <f t="shared" si="155"/>
        <v>0</v>
      </c>
      <c r="W359" s="79">
        <f t="shared" si="155"/>
        <v>0.3111111333333334</v>
      </c>
      <c r="X359" s="79">
        <f t="shared" si="155"/>
        <v>3.7333336000000008</v>
      </c>
      <c r="Y359" s="80">
        <f t="shared" si="155"/>
        <v>0.3111111333333334</v>
      </c>
    </row>
    <row r="360" spans="1:25" s="29" customFormat="1" ht="12.75" thickTop="1" thickBot="1">
      <c r="A360" s="145"/>
      <c r="B360" s="146"/>
      <c r="C360" s="101"/>
      <c r="D360" s="101"/>
      <c r="E360" s="101"/>
      <c r="F360" s="101"/>
      <c r="G360" s="101"/>
      <c r="H360" s="101"/>
      <c r="I360" s="102"/>
      <c r="J360" s="102"/>
      <c r="K360" s="102"/>
      <c r="L360" s="103"/>
      <c r="M360" s="103"/>
      <c r="N360" s="103"/>
      <c r="O360" s="493"/>
      <c r="P360" s="104"/>
      <c r="Q360" s="104"/>
      <c r="R360" s="80"/>
      <c r="S360" s="11"/>
      <c r="T360" s="455"/>
      <c r="U360" s="533"/>
      <c r="W360" s="455"/>
      <c r="X360" s="455"/>
    </row>
    <row r="361" spans="1:25" s="29" customFormat="1" ht="12.75" thickTop="1" thickBot="1">
      <c r="A361" s="245" t="s">
        <v>209</v>
      </c>
      <c r="B361" s="246"/>
      <c r="C361" s="247"/>
      <c r="D361" s="247"/>
      <c r="E361" s="247"/>
      <c r="F361" s="247"/>
      <c r="G361" s="247"/>
      <c r="H361" s="147">
        <f>SUM(H271,H279,H285,H290,H295,H311,H316,H328,H333,H338,H342,H347,H352,H356,H359)</f>
        <v>146.5</v>
      </c>
      <c r="I361" s="148"/>
      <c r="J361" s="148"/>
      <c r="K361" s="148"/>
      <c r="L361" s="149">
        <f>SUM(L271,L279,L285,L290,L295,L311,L316,L328,L333,L338,L342,L347,L352,L356,L359)</f>
        <v>7856.2480000000005</v>
      </c>
      <c r="M361" s="149">
        <f>SUM(M271,M279,M285,M290,M295,M311,M316,M328,M333,M338,M342,M347,M352,M356,M359)</f>
        <v>0</v>
      </c>
      <c r="N361" s="358">
        <f>SUM(N271,N279,N285,N290,N295,N311,N316,N328,N333,N338,N342,N347,N352,N356,N359)</f>
        <v>33</v>
      </c>
      <c r="O361" s="475"/>
      <c r="P361" s="148">
        <f>SUM(P271,P279,P285,P290,P295,P311,P316,P328,P333,P338,P342,P347,P352,P356,P359)</f>
        <v>1762.4222293444998</v>
      </c>
      <c r="Q361" s="153">
        <f>SUM(Q271,Q279,Q285,Q290,Q295,Q311,Q316,Q328,Q333,Q338,Q342,Q347,Q352,Q356,Q359)</f>
        <v>229.93333404799998</v>
      </c>
      <c r="R361" s="153">
        <f>SUM(R271,R279,R285,R290,R295,R311,R316,R328,R333,R338,R342,R347,R352,R356,R359)</f>
        <v>82819.566361242832</v>
      </c>
      <c r="S361" s="153"/>
      <c r="T361" s="543">
        <f t="shared" ref="T361:Y361" si="156">SUM(T271,T279,T285,T290,T295,T311,T316,T328,T333,T338,T342,T347,T352,T356,T359)</f>
        <v>117.33333393833334</v>
      </c>
      <c r="U361" s="148">
        <f t="shared" si="156"/>
        <v>58.66666696916667</v>
      </c>
      <c r="V361" s="153">
        <f t="shared" si="156"/>
        <v>117.33333393833334</v>
      </c>
      <c r="W361" s="543">
        <f t="shared" si="156"/>
        <v>225.66666775533332</v>
      </c>
      <c r="X361" s="148">
        <f t="shared" si="156"/>
        <v>1703.7555623753333</v>
      </c>
      <c r="Y361" s="153">
        <f t="shared" si="156"/>
        <v>112.60000010966667</v>
      </c>
    </row>
    <row r="362" spans="1:25" s="29" customFormat="1" ht="12" thickTop="1">
      <c r="A362" s="248"/>
      <c r="B362" s="248"/>
      <c r="C362" s="249"/>
      <c r="D362" s="249"/>
      <c r="E362" s="249"/>
      <c r="F362" s="249"/>
      <c r="G362" s="249"/>
      <c r="H362" s="89"/>
      <c r="I362" s="90"/>
      <c r="J362" s="90"/>
      <c r="K362" s="90"/>
      <c r="L362" s="91"/>
      <c r="M362" s="91"/>
      <c r="N362" s="108"/>
      <c r="O362" s="497"/>
      <c r="P362" s="454"/>
      <c r="Q362" s="454"/>
      <c r="R362" s="91"/>
      <c r="S362" s="11"/>
      <c r="T362" s="455"/>
      <c r="U362" s="533"/>
      <c r="W362" s="455"/>
      <c r="X362" s="455"/>
    </row>
    <row r="363" spans="1:25" s="29" customFormat="1" ht="12" thickBot="1">
      <c r="A363" s="248"/>
      <c r="B363" s="248"/>
      <c r="C363" s="249"/>
      <c r="D363" s="249"/>
      <c r="E363" s="249"/>
      <c r="F363" s="249"/>
      <c r="G363" s="249"/>
      <c r="H363" s="106"/>
      <c r="I363" s="107"/>
      <c r="J363" s="107"/>
      <c r="K363" s="107"/>
      <c r="L363" s="108"/>
      <c r="M363" s="108"/>
      <c r="N363" s="108"/>
      <c r="O363" s="479"/>
      <c r="P363" s="561"/>
      <c r="Q363" s="561"/>
      <c r="R363" s="108"/>
      <c r="S363" s="11"/>
      <c r="T363" s="455"/>
      <c r="U363" s="533"/>
      <c r="W363" s="455"/>
      <c r="X363" s="455"/>
    </row>
    <row r="364" spans="1:25" ht="12" thickBot="1">
      <c r="A364" s="563" t="s">
        <v>206</v>
      </c>
      <c r="B364" s="562"/>
      <c r="C364" s="562"/>
      <c r="D364" s="562"/>
      <c r="E364" s="562"/>
      <c r="F364" s="562"/>
      <c r="G364" s="562"/>
      <c r="H364" s="562"/>
      <c r="I364" s="562"/>
      <c r="J364" s="562"/>
      <c r="K364" s="562"/>
      <c r="L364" s="562"/>
      <c r="M364" s="562"/>
      <c r="N364" s="562"/>
      <c r="O364" s="562"/>
      <c r="P364" s="583">
        <f>SUM(P21,P110,P172,P264,P361)</f>
        <v>8026.6122617133678</v>
      </c>
      <c r="Q364" s="584">
        <f>SUM(Q21,Q110,Q172,Q264,Q361)</f>
        <v>4194.0000182266667</v>
      </c>
      <c r="R364" s="584">
        <f>SUM(R21,R110,R172,R264,R361)</f>
        <v>446160.91775123012</v>
      </c>
      <c r="S364" s="585"/>
      <c r="T364" s="583">
        <f t="shared" ref="T364:Y364" si="157">SUM(T21,T110,T172,T264,T361)</f>
        <v>437.93333543433334</v>
      </c>
      <c r="U364" s="583">
        <f t="shared" si="157"/>
        <v>218.96666771716667</v>
      </c>
      <c r="V364" s="584">
        <f t="shared" si="157"/>
        <v>3678.7333512303335</v>
      </c>
      <c r="W364" s="583">
        <f t="shared" si="157"/>
        <v>986.37778256466663</v>
      </c>
      <c r="X364" s="583">
        <f t="shared" si="157"/>
        <v>7807.6455939962007</v>
      </c>
      <c r="Y364" s="584">
        <f t="shared" si="157"/>
        <v>515.26666699633336</v>
      </c>
    </row>
    <row r="365" spans="1:25" ht="12" thickBot="1">
      <c r="Q365" s="560"/>
    </row>
    <row r="366" spans="1:25" ht="12" thickBot="1">
      <c r="P366" s="586" t="s">
        <v>274</v>
      </c>
      <c r="Q366" s="587"/>
      <c r="R366" s="588">
        <f>R364+Q364</f>
        <v>450354.91776945681</v>
      </c>
    </row>
  </sheetData>
  <mergeCells count="1">
    <mergeCell ref="S13:S16"/>
  </mergeCells>
  <phoneticPr fontId="0" type="noConversion"/>
  <printOptions horizontalCentered="1"/>
  <pageMargins left="0.17" right="0.19" top="0.5" bottom="0.75" header="0.5" footer="0.5"/>
  <pageSetup scale="65" orientation="landscape" horizontalDpi="4294967292" verticalDpi="4294967292" r:id="rId1"/>
  <headerFooter alignWithMargins="0">
    <oddFooter>Page &amp;P of &amp;N</oddFooter>
  </headerFooter>
  <rowBreaks count="16" manualBreakCount="16">
    <brk id="3" max="65535" man="1"/>
    <brk id="713" max="65535" man="1"/>
    <brk id="742" max="65535" man="1"/>
    <brk id="815" max="65535" man="1"/>
    <brk id="844" max="65535" man="1"/>
    <brk id="895" max="65535" man="1"/>
    <brk id="981" max="65535" man="1"/>
    <brk id="1236" max="65535" man="1"/>
    <brk id="1326" max="65535" man="1"/>
    <brk id="1393" max="65535" man="1"/>
    <brk id="1471" max="65535" man="1"/>
    <brk id="1538" max="65535" man="1"/>
    <brk id="1695" max="65535" man="1"/>
    <brk id="1728" max="65535" man="1"/>
    <brk id="1768" max="65535" man="1"/>
    <brk id="1833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Exhibit 2</vt:lpstr>
      <vt:lpstr>Exhibit 3</vt:lpstr>
      <vt:lpstr>'Exhibit 2'!\j</vt:lpstr>
      <vt:lpstr>'Exhibit 3'!\j</vt:lpstr>
      <vt:lpstr>'Exhibit 2'!\m</vt:lpstr>
      <vt:lpstr>'Exhibit 3'!\m</vt:lpstr>
      <vt:lpstr>'Exhibit 2'!Print_Area</vt:lpstr>
      <vt:lpstr>'Exhibit 3'!Print_Area</vt:lpstr>
      <vt:lpstr>'Exhibit 2'!Print_Titles</vt:lpstr>
      <vt:lpstr>'Exhibit 3'!Print_Titles</vt:lpstr>
      <vt:lpstr>'Exhibit 2'!Type1</vt:lpstr>
      <vt:lpstr>'Exhibit 3'!Type1</vt:lpstr>
      <vt:lpstr>'Exhibit 2'!Type2</vt:lpstr>
      <vt:lpstr>'Exhibit 3'!Type2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End-User Support</dc:creator>
  <cp:lastModifiedBy>JUMBERGE</cp:lastModifiedBy>
  <cp:lastPrinted>2012-03-07T17:06:19Z</cp:lastPrinted>
  <dcterms:created xsi:type="dcterms:W3CDTF">2002-10-09T15:50:29Z</dcterms:created>
  <dcterms:modified xsi:type="dcterms:W3CDTF">2012-03-29T13:26:37Z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-1977724879</vt:i4>
  </property>
  <property fmtid="{D5CDD505-2E9C-101B-9397-08002B2CF9AE}" pid="3" name="_EmailSubject">
    <vt:lpwstr>Replacement Rule ICR</vt:lpwstr>
  </property>
  <property fmtid="{D5CDD505-2E9C-101B-9397-08002B2CF9AE}" pid="4" name="_AuthorEmail">
    <vt:lpwstr>bspringsteen@eergc.com</vt:lpwstr>
  </property>
  <property fmtid="{D5CDD505-2E9C-101B-9397-08002B2CF9AE}" pid="5" name="_AuthorEmailDisplayName">
    <vt:lpwstr>Bruce Springsteen</vt:lpwstr>
  </property>
  <property fmtid="{D5CDD505-2E9C-101B-9397-08002B2CF9AE}" pid="6" name="_ReviewingToolsShownOnce">
    <vt:lpwstr/>
  </property>
</Properties>
</file>