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9945" tabRatio="922" activeTab="3"/>
  </bookViews>
  <sheets>
    <sheet name="Tbl2-SI Cert All" sheetId="8" r:id="rId1"/>
    <sheet name="Tbl3-ABT-All" sheetId="10" r:id="rId2"/>
    <sheet name="Tbl4-SI PLT" sheetId="1" r:id="rId3"/>
    <sheet name="Tbl5-SI InUse" sheetId="12" r:id="rId4"/>
    <sheet name="Tbl6-SEA" sheetId="14" r:id="rId5"/>
    <sheet name="Tbl8-Agency Burden" sheetId="25" r:id="rId6"/>
    <sheet name="Resp Tally" sheetId="26" r:id="rId7"/>
  </sheets>
  <definedNames>
    <definedName name="_xlnm.Print_Area" localSheetId="0">'Tbl2-SI Cert All'!$A$1:$O$34</definedName>
    <definedName name="_xlnm.Print_Area" localSheetId="2">'Tbl4-SI PLT'!$A$1:$P$23</definedName>
    <definedName name="_xlnm.Print_Area">#N/A</definedName>
  </definedNames>
  <calcPr calcId="125725"/>
</workbook>
</file>

<file path=xl/calcChain.xml><?xml version="1.0" encoding="utf-8"?>
<calcChain xmlns="http://schemas.openxmlformats.org/spreadsheetml/2006/main">
  <c r="O20" i="12"/>
  <c r="G10" i="26"/>
  <c r="D10"/>
  <c r="I10" i="10"/>
  <c r="G10"/>
  <c r="F6" i="26"/>
  <c r="I6"/>
  <c r="H6"/>
  <c r="I9"/>
  <c r="F9"/>
  <c r="H9"/>
  <c r="E9"/>
  <c r="C9"/>
  <c r="I8"/>
  <c r="H8"/>
  <c r="F8"/>
  <c r="C8"/>
  <c r="I7"/>
  <c r="H7"/>
  <c r="F7"/>
  <c r="E7"/>
  <c r="C7"/>
  <c r="E6"/>
  <c r="C6"/>
  <c r="I5"/>
  <c r="H5"/>
  <c r="H10" s="1"/>
  <c r="F5"/>
  <c r="E5"/>
  <c r="E10" s="1"/>
  <c r="E12" s="1"/>
  <c r="C5"/>
  <c r="K14" i="8"/>
  <c r="K13"/>
  <c r="K12"/>
  <c r="K11"/>
  <c r="K10"/>
  <c r="I21" i="25"/>
  <c r="F10" i="26" l="1"/>
  <c r="I10"/>
  <c r="L15" i="12"/>
  <c r="L14"/>
  <c r="P14" s="1"/>
  <c r="L13"/>
  <c r="P4"/>
  <c r="O18"/>
  <c r="O17"/>
  <c r="O16"/>
  <c r="O15"/>
  <c r="O14"/>
  <c r="O13"/>
  <c r="O11"/>
  <c r="O10"/>
  <c r="O9"/>
  <c r="O8"/>
  <c r="O7"/>
  <c r="O6"/>
  <c r="O5"/>
  <c r="O4"/>
  <c r="P20" i="1"/>
  <c r="O20"/>
  <c r="O18"/>
  <c r="O17"/>
  <c r="O16"/>
  <c r="O15"/>
  <c r="O14"/>
  <c r="O13"/>
  <c r="O11"/>
  <c r="O10"/>
  <c r="O9"/>
  <c r="O8"/>
  <c r="O7"/>
  <c r="O6"/>
  <c r="O5"/>
  <c r="O4"/>
  <c r="P15" i="12"/>
  <c r="P13"/>
  <c r="O10" i="8"/>
  <c r="L13" i="1"/>
  <c r="M15"/>
  <c r="M14"/>
  <c r="M13"/>
  <c r="P13" s="1"/>
  <c r="L15"/>
  <c r="L14"/>
  <c r="P15"/>
  <c r="P14"/>
  <c r="L22" i="8" l="1"/>
  <c r="K29"/>
  <c r="O23"/>
  <c r="N23"/>
  <c r="O22"/>
  <c r="N22"/>
  <c r="H23"/>
  <c r="H22"/>
  <c r="I23"/>
  <c r="I22"/>
  <c r="F10" i="25" l="1"/>
  <c r="I10" s="1"/>
  <c r="E13"/>
  <c r="F9"/>
  <c r="I9" s="1"/>
  <c r="F8"/>
  <c r="I8" s="1"/>
  <c r="F7"/>
  <c r="I7" s="1"/>
  <c r="F5"/>
  <c r="I5" s="1"/>
  <c r="F6"/>
  <c r="I6" s="1"/>
  <c r="I13" l="1"/>
  <c r="I23" s="1"/>
  <c r="H10"/>
  <c r="H5"/>
  <c r="H7"/>
  <c r="H9"/>
  <c r="H6"/>
  <c r="H8"/>
  <c r="H13" l="1"/>
  <c r="J13" i="14" l="1"/>
  <c r="J12"/>
  <c r="J11"/>
  <c r="J10"/>
  <c r="J9"/>
  <c r="J8"/>
  <c r="J7"/>
  <c r="J6"/>
  <c r="J5"/>
  <c r="J4"/>
  <c r="J14" s="1"/>
  <c r="J19" i="12"/>
  <c r="J18"/>
  <c r="J17"/>
  <c r="J16"/>
  <c r="J11"/>
  <c r="J10"/>
  <c r="J9"/>
  <c r="J8"/>
  <c r="J7"/>
  <c r="J6"/>
  <c r="J5"/>
  <c r="J4"/>
  <c r="J19" i="1"/>
  <c r="J18"/>
  <c r="J17"/>
  <c r="J16"/>
  <c r="J11"/>
  <c r="J10"/>
  <c r="J9"/>
  <c r="J8"/>
  <c r="J7"/>
  <c r="J6"/>
  <c r="J5"/>
  <c r="J4"/>
  <c r="G9" i="10"/>
  <c r="G8"/>
  <c r="G7"/>
  <c r="G6"/>
  <c r="G5"/>
  <c r="G4"/>
  <c r="I26" i="8"/>
  <c r="I25"/>
  <c r="I24"/>
  <c r="I21"/>
  <c r="O21" s="1"/>
  <c r="I20"/>
  <c r="I18"/>
  <c r="I17"/>
  <c r="I16"/>
  <c r="O16" s="1"/>
  <c r="I15"/>
  <c r="I14"/>
  <c r="I13"/>
  <c r="I12"/>
  <c r="I11"/>
  <c r="I10"/>
  <c r="I8"/>
  <c r="O8" s="1"/>
  <c r="I7"/>
  <c r="I6"/>
  <c r="I5"/>
  <c r="I4"/>
  <c r="H26"/>
  <c r="H25"/>
  <c r="N25" s="1"/>
  <c r="H24"/>
  <c r="H21"/>
  <c r="N21" s="1"/>
  <c r="H20"/>
  <c r="H17"/>
  <c r="H16"/>
  <c r="H15"/>
  <c r="H14"/>
  <c r="H13"/>
  <c r="H12"/>
  <c r="H11"/>
  <c r="H10"/>
  <c r="H8"/>
  <c r="N8" s="1"/>
  <c r="H7"/>
  <c r="H6"/>
  <c r="H5"/>
  <c r="H4"/>
  <c r="O26"/>
  <c r="O25"/>
  <c r="O24"/>
  <c r="O20"/>
  <c r="O18"/>
  <c r="O17"/>
  <c r="O15"/>
  <c r="O13"/>
  <c r="O12"/>
  <c r="O11"/>
  <c r="O7"/>
  <c r="O6"/>
  <c r="O5"/>
  <c r="O4"/>
  <c r="N26"/>
  <c r="N24"/>
  <c r="N20"/>
  <c r="N18"/>
  <c r="N17"/>
  <c r="N16"/>
  <c r="N15"/>
  <c r="N14"/>
  <c r="N13"/>
  <c r="N12"/>
  <c r="N11"/>
  <c r="N10"/>
  <c r="N7"/>
  <c r="N6"/>
  <c r="N5"/>
  <c r="N4"/>
  <c r="G28"/>
  <c r="F28"/>
  <c r="E28"/>
  <c r="D28"/>
  <c r="C28"/>
  <c r="B28"/>
  <c r="J20" i="12"/>
  <c r="L14" i="14"/>
  <c r="P18" i="12"/>
  <c r="P17"/>
  <c r="P16"/>
  <c r="P11"/>
  <c r="P10"/>
  <c r="P9"/>
  <c r="P8"/>
  <c r="P7"/>
  <c r="P6"/>
  <c r="P5"/>
  <c r="L20"/>
  <c r="P18" i="1"/>
  <c r="P17"/>
  <c r="P16"/>
  <c r="P11"/>
  <c r="P10"/>
  <c r="P9"/>
  <c r="P8"/>
  <c r="P7"/>
  <c r="P6"/>
  <c r="P5"/>
  <c r="P4"/>
  <c r="L20"/>
  <c r="I9" i="10"/>
  <c r="L8"/>
  <c r="K4"/>
  <c r="L7"/>
  <c r="K8"/>
  <c r="K7"/>
  <c r="K6"/>
  <c r="K5"/>
  <c r="L6"/>
  <c r="L5"/>
  <c r="J20" i="1"/>
  <c r="P4" i="14"/>
  <c r="P5"/>
  <c r="P6"/>
  <c r="P7"/>
  <c r="P8"/>
  <c r="P9"/>
  <c r="P10"/>
  <c r="P11"/>
  <c r="P12"/>
  <c r="I4"/>
  <c r="O4"/>
  <c r="I5"/>
  <c r="O5"/>
  <c r="I6"/>
  <c r="O6"/>
  <c r="I7"/>
  <c r="O7"/>
  <c r="I8"/>
  <c r="O8"/>
  <c r="I9"/>
  <c r="O9"/>
  <c r="I10"/>
  <c r="O10"/>
  <c r="I11"/>
  <c r="O11"/>
  <c r="I12"/>
  <c r="O12"/>
  <c r="I13"/>
  <c r="O14"/>
  <c r="L4" i="10"/>
  <c r="K10" l="1"/>
  <c r="P14" i="14"/>
  <c r="P20" i="12"/>
  <c r="L10" i="10"/>
  <c r="H28" i="8"/>
  <c r="N29"/>
  <c r="O14"/>
  <c r="O29" s="1"/>
  <c r="I28"/>
  <c r="I29"/>
</calcChain>
</file>

<file path=xl/comments1.xml><?xml version="1.0" encoding="utf-8"?>
<comments xmlns="http://schemas.openxmlformats.org/spreadsheetml/2006/main">
  <authors>
    <author>Nydia Yanira Reyes-Morales</author>
  </authors>
  <commentList>
    <comment ref="L13" authorId="0">
      <text>
        <r>
          <rPr>
            <b/>
            <sz val="8"/>
            <color indexed="81"/>
            <rFont val="Tahoma"/>
            <charset val="1"/>
          </rPr>
          <t>Nydia Yanira Reyes-Morales:</t>
        </r>
        <r>
          <rPr>
            <sz val="8"/>
            <color indexed="81"/>
            <rFont val="Tahoma"/>
            <charset val="1"/>
          </rPr>
          <t xml:space="preserve">
from Phil, annualized, 
based on 125 hours of durability accumulation</t>
        </r>
      </text>
    </comment>
    <comment ref="M13" authorId="0">
      <text>
        <r>
          <rPr>
            <b/>
            <sz val="8"/>
            <color indexed="81"/>
            <rFont val="Tahoma"/>
            <charset val="1"/>
          </rPr>
          <t>Nydia Yanira Reyes-Morales:</t>
        </r>
        <r>
          <rPr>
            <sz val="8"/>
            <color indexed="81"/>
            <rFont val="Tahoma"/>
            <charset val="1"/>
          </rPr>
          <t xml:space="preserve">
Used actual received
from comp dabase
2011</t>
        </r>
      </text>
    </comment>
    <comment ref="L14" authorId="0">
      <text>
        <r>
          <rPr>
            <b/>
            <sz val="8"/>
            <color indexed="81"/>
            <rFont val="Tahoma"/>
            <charset val="1"/>
          </rPr>
          <t>Nydia Yanira Reyes-Morales:</t>
        </r>
        <r>
          <rPr>
            <sz val="8"/>
            <color indexed="81"/>
            <rFont val="Tahoma"/>
            <charset val="1"/>
          </rPr>
          <t xml:space="preserve">
SwRI 2007, adjusted from inflation
</t>
        </r>
      </text>
    </comment>
    <comment ref="L15" authorId="0">
      <text>
        <r>
          <rPr>
            <b/>
            <sz val="8"/>
            <color indexed="81"/>
            <rFont val="Tahoma"/>
            <charset val="1"/>
          </rPr>
          <t>Nydia Yanira Reyes-Morales:</t>
        </r>
        <r>
          <rPr>
            <sz val="8"/>
            <color indexed="81"/>
            <rFont val="Tahoma"/>
            <charset val="1"/>
          </rPr>
          <t xml:space="preserve">
adjusted from inflation from 2008: $1587</t>
        </r>
      </text>
    </comment>
  </commentList>
</comments>
</file>

<file path=xl/sharedStrings.xml><?xml version="1.0" encoding="utf-8"?>
<sst xmlns="http://schemas.openxmlformats.org/spreadsheetml/2006/main" count="299" uniqueCount="155">
  <si>
    <t>Total hours and cost</t>
  </si>
  <si>
    <t>Information Collection              Activity</t>
  </si>
  <si>
    <t>Labor Cost/yr</t>
  </si>
  <si>
    <t>Capital Startup      Cost</t>
  </si>
  <si>
    <t>Frequency (2)</t>
  </si>
  <si>
    <t>Total hr/yr</t>
  </si>
  <si>
    <t>Total Cost/yr</t>
  </si>
  <si>
    <t>Review of instructions and regulations</t>
  </si>
  <si>
    <t>Training</t>
  </si>
  <si>
    <t>Projecting testing needs and planning test schedules</t>
  </si>
  <si>
    <t xml:space="preserve">Engine inspection </t>
  </si>
  <si>
    <t>Testing (In-house)</t>
  </si>
  <si>
    <t>Testing (Contract Out)</t>
  </si>
  <si>
    <t>Preparing and submitting  report</t>
  </si>
  <si>
    <t>Store, file and maintain records</t>
  </si>
  <si>
    <t>Total per manufacturer</t>
  </si>
  <si>
    <t>varies</t>
  </si>
  <si>
    <t>N/A</t>
  </si>
  <si>
    <t>Total for the industry</t>
  </si>
  <si>
    <t>(1) Includes diskettes, photocopying, postage expenses, phone calls, and testing costs, annualized.  See section 6(b)(iii) for details.</t>
  </si>
  <si>
    <t>(2) 1 = one time tasks; 4 = tasks carried out quarterly; other # = number of engine families.  Refer to Section 6(d) for further detail.</t>
  </si>
  <si>
    <t>Hours and cost per application</t>
  </si>
  <si>
    <t>Labor       Cost/yr</t>
  </si>
  <si>
    <t>Plan activities</t>
  </si>
  <si>
    <t>Procure engines</t>
  </si>
  <si>
    <t>Ship Engines</t>
  </si>
  <si>
    <t>Engine Maintenance</t>
  </si>
  <si>
    <t xml:space="preserve">Data entry and analysis </t>
  </si>
  <si>
    <t xml:space="preserve">Preparing and submitting  report </t>
  </si>
  <si>
    <t>Total</t>
  </si>
  <si>
    <t>Labor            Cost/yr</t>
  </si>
  <si>
    <t>Total        hr/yr</t>
  </si>
  <si>
    <t>Total               Cost/yr</t>
  </si>
  <si>
    <t>Developing eng families groups</t>
  </si>
  <si>
    <t>Analyze data to determine compliance</t>
  </si>
  <si>
    <t>Preparing and submitting "carry over" applications</t>
  </si>
  <si>
    <t>Preparing and supporting running changes</t>
  </si>
  <si>
    <t>Total per respondent</t>
  </si>
  <si>
    <t>(1) See section 6(b)ii for details.</t>
  </si>
  <si>
    <t>(3) See section 6(b)(ii) for details.</t>
  </si>
  <si>
    <t>(2) See section 6(d) for details.</t>
  </si>
  <si>
    <t>Engine selection and transport</t>
  </si>
  <si>
    <t>Gathering durability data</t>
  </si>
  <si>
    <t>Testing/Gathering emission data on test engines</t>
  </si>
  <si>
    <t>Precertification activities/Submit info in cert application</t>
  </si>
  <si>
    <t>Gather Information regarding point of first retail sale (2)</t>
  </si>
  <si>
    <t>Develop and submit end-of-year-report</t>
  </si>
  <si>
    <t>Develop and submit final reports</t>
  </si>
  <si>
    <t>Recordkeeping (2)</t>
  </si>
  <si>
    <t>(2)  Numbers reflect one activity done four times a year.</t>
  </si>
  <si>
    <t>Provide Pre-audit information</t>
  </si>
  <si>
    <t>Preparing and submitting certification application</t>
  </si>
  <si>
    <t>Number of Respondents</t>
  </si>
  <si>
    <t>Respondents   hr/yr</t>
  </si>
  <si>
    <t>Table 2 - Annual Respondent Burden and Cost for SI Engine Certification</t>
  </si>
  <si>
    <t>Hours and Cost per Application</t>
  </si>
  <si>
    <t>Total Hours and Cost</t>
  </si>
  <si>
    <t>Applications/Respondent (2)</t>
  </si>
  <si>
    <t>O&amp;M      Cost(1)</t>
  </si>
  <si>
    <t>Respondents     hr/yr</t>
  </si>
  <si>
    <t>O&amp;M Cost (1)</t>
  </si>
  <si>
    <t>Hours and Cost per Engine Family</t>
  </si>
  <si>
    <t>Average Burden= total burden/# of respondents</t>
  </si>
  <si>
    <t>Respondent     hr/yr</t>
  </si>
  <si>
    <t>Respondent  hr/yr</t>
  </si>
  <si>
    <t>(2) 1 = one time tasks; 4 = tasks carried out quarterly; other # = number of tests performed/eng manufacturer/model year. Refer to Section 6(d) for further detail.</t>
  </si>
  <si>
    <t>Average Burden In-use programs= (total burden Phase 1 + Phase 2) / (# of respondents Phase1 + Phase2)</t>
  </si>
  <si>
    <t>Number of Respondents (3)</t>
  </si>
  <si>
    <t>O&amp;M Cost(1)</t>
  </si>
  <si>
    <t>Laboratory maintenance(1)</t>
  </si>
  <si>
    <t>Review of regulations and guidance documents</t>
  </si>
  <si>
    <t>Data entry and analysis</t>
  </si>
  <si>
    <t>Other tasks (test equipment calibration, engine repair, etc.)</t>
  </si>
  <si>
    <t>Setting up contract</t>
  </si>
  <si>
    <t>(2) 1 = one time tasks; other # = number of tests performed/eng manufacturer/model year.    Refer to Section 6(d) for further detail.</t>
  </si>
  <si>
    <t>Average Burden= total burden / # of respondents</t>
  </si>
  <si>
    <t>Average burden = total burden / # of respondents</t>
  </si>
  <si>
    <t>(3) EPA estimates it will audit 7 manufacturers over the next 3 years.  It might, however, request pre-audit information from several manufacturers each year.</t>
  </si>
  <si>
    <t>Preparing and Submitting Annual Production Report</t>
  </si>
  <si>
    <t>Rec Veh Test</t>
  </si>
  <si>
    <t>Marine SI Test</t>
  </si>
  <si>
    <t>Certification Fee (3)</t>
  </si>
  <si>
    <t>Components</t>
  </si>
  <si>
    <t>All Other SI Engines</t>
  </si>
  <si>
    <t>O&amp;M Cost, Annualized (1)</t>
  </si>
  <si>
    <t>Cert, Durability &amp; Evap Testing (annualized)(1)</t>
  </si>
  <si>
    <t>Large SI</t>
  </si>
  <si>
    <t>Small SI</t>
  </si>
  <si>
    <t>Paying Certification Fee</t>
  </si>
  <si>
    <t>Components (per manufacturer)</t>
  </si>
  <si>
    <t>Engineer $79.76/hr</t>
  </si>
  <si>
    <t>Manager  $116.03/hr</t>
  </si>
  <si>
    <t>Legal  $163.42/hr</t>
  </si>
  <si>
    <t>Test Cell Operator $48.66/hr</t>
  </si>
  <si>
    <t>Transport  $37.93/hr</t>
  </si>
  <si>
    <t>Clerical $35.78/hr</t>
  </si>
  <si>
    <t>Assembler $33.79/hr</t>
  </si>
  <si>
    <t>Employee</t>
  </si>
  <si>
    <t>Rate</t>
  </si>
  <si>
    <t>Level</t>
  </si>
  <si>
    <t>Engineer</t>
  </si>
  <si>
    <t xml:space="preserve">Contracts </t>
  </si>
  <si>
    <t>Contract Support</t>
  </si>
  <si>
    <t>GS-13/6</t>
  </si>
  <si>
    <t>GS-13/7</t>
  </si>
  <si>
    <t>GS-15/1</t>
  </si>
  <si>
    <t>SES - 1</t>
  </si>
  <si>
    <t>Rate Increase by 1.6</t>
  </si>
  <si>
    <t>Number of Employees</t>
  </si>
  <si>
    <t>% of Time</t>
  </si>
  <si>
    <t>Full time hours</t>
  </si>
  <si>
    <t>Total  hr/yr</t>
  </si>
  <si>
    <t>Total Labor cost/yr</t>
  </si>
  <si>
    <t xml:space="preserve">Attorney </t>
  </si>
  <si>
    <t xml:space="preserve">SES-1 </t>
  </si>
  <si>
    <t>IT Support</t>
  </si>
  <si>
    <t>SEE Support</t>
  </si>
  <si>
    <t>Hours and Labor Cost</t>
  </si>
  <si>
    <t>Testing</t>
  </si>
  <si>
    <t xml:space="preserve">TOTAL: </t>
  </si>
  <si>
    <t>Subtotal:</t>
  </si>
  <si>
    <t>Subtotal</t>
  </si>
  <si>
    <t>Managers</t>
  </si>
  <si>
    <t>Post Bond</t>
  </si>
  <si>
    <t>Apply for Bond Waivers</t>
  </si>
  <si>
    <t>Marine SI</t>
  </si>
  <si>
    <t>Testing In-house</t>
  </si>
  <si>
    <t>Testing (Contracting out)</t>
  </si>
  <si>
    <t>Testing  Contract Out</t>
  </si>
  <si>
    <t xml:space="preserve">Contract Support -Certification </t>
  </si>
  <si>
    <t xml:space="preserve">Contract Support - Compliance </t>
  </si>
  <si>
    <t>Program</t>
  </si>
  <si>
    <t>Number of Activities</t>
  </si>
  <si>
    <t>Total Hours Per Year</t>
  </si>
  <si>
    <t>Total Labor Cost Per Year</t>
  </si>
  <si>
    <t>Total Annual Capital Costs</t>
  </si>
  <si>
    <t>Total Annual O&amp;M Costs</t>
  </si>
  <si>
    <t>Total Costs</t>
  </si>
  <si>
    <t xml:space="preserve">Certification </t>
  </si>
  <si>
    <t>AB&amp;T</t>
  </si>
  <si>
    <t>PLT</t>
  </si>
  <si>
    <t>In-use</t>
  </si>
  <si>
    <t>SEAs</t>
  </si>
  <si>
    <t>Totals:</t>
  </si>
  <si>
    <t>Respondent Burden Tally</t>
  </si>
  <si>
    <t>Number of Respond.</t>
  </si>
  <si>
    <t>O&amp;M Costs</t>
  </si>
  <si>
    <t>Other</t>
  </si>
  <si>
    <t xml:space="preserve">Table 3 - Annual Respondent Burden and Cost  - Average, Trading and Banking Program </t>
  </si>
  <si>
    <t>Table 4 - Annual Respondent Burden and Cost - Production Line Testing Program</t>
  </si>
  <si>
    <t>Table 5 - In-use Estimated Annual Respondent Burden and Cost</t>
  </si>
  <si>
    <t>Table 6 - Annual Respondent Burden and Cost - Selective Enforcement Auditing (SEA) Program</t>
  </si>
  <si>
    <t xml:space="preserve">Table 8 - Annual Agency Burden and Cost </t>
  </si>
  <si>
    <t>Table 7</t>
  </si>
  <si>
    <t>Hours per respondent:</t>
  </si>
</sst>
</file>

<file path=xl/styles.xml><?xml version="1.0" encoding="utf-8"?>
<styleSheet xmlns="http://schemas.openxmlformats.org/spreadsheetml/2006/main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"/>
    <numFmt numFmtId="166" formatCode="&quot;$&quot;#,##0.00"/>
    <numFmt numFmtId="167" formatCode="_(&quot;$&quot;* #,##0_);_(&quot;$&quot;* \(#,##0\);_(&quot;$&quot;* &quot;-&quot;??_);_(@_)"/>
    <numFmt numFmtId="168" formatCode="_(* #,##0.0_);_(* \(#,##0.0\);_(* &quot;-&quot;??_);_(@_)"/>
    <numFmt numFmtId="169" formatCode="_(* #,##0_);_(* \(#,##0\);_(* &quot;-&quot;??_);_(@_)"/>
  </numFmts>
  <fonts count="11">
    <font>
      <sz val="12"/>
      <name val="Arial"/>
    </font>
    <font>
      <sz val="8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</font>
    <font>
      <b/>
      <sz val="8"/>
      <name val="Arial"/>
      <family val="2"/>
    </font>
    <font>
      <sz val="8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top"/>
    </xf>
    <xf numFmtId="0" fontId="5" fillId="0" borderId="0">
      <alignment vertical="top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98">
    <xf numFmtId="0" fontId="0" fillId="0" borderId="0" xfId="0" applyAlignment="1"/>
    <xf numFmtId="164" fontId="0" fillId="0" borderId="0" xfId="0" applyNumberFormat="1" applyAlignment="1"/>
    <xf numFmtId="4" fontId="0" fillId="0" borderId="0" xfId="0" applyNumberFormat="1" applyAlignment="1"/>
    <xf numFmtId="0" fontId="1" fillId="0" borderId="0" xfId="0" applyFont="1" applyAlignment="1"/>
    <xf numFmtId="164" fontId="1" fillId="0" borderId="0" xfId="0" applyNumberFormat="1" applyFont="1" applyAlignment="1"/>
    <xf numFmtId="4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NumberFormat="1" applyFont="1" applyAlignment="1"/>
    <xf numFmtId="0" fontId="0" fillId="0" borderId="0" xfId="0" applyNumberFormat="1" applyFont="1" applyAlignment="1"/>
    <xf numFmtId="4" fontId="0" fillId="0" borderId="0" xfId="0" applyNumberFormat="1">
      <alignment vertical="top"/>
    </xf>
    <xf numFmtId="0" fontId="0" fillId="0" borderId="0" xfId="0" applyBorder="1">
      <alignment vertical="top"/>
    </xf>
    <xf numFmtId="164" fontId="0" fillId="0" borderId="0" xfId="0" applyNumberFormat="1">
      <alignment vertical="top"/>
    </xf>
    <xf numFmtId="3" fontId="1" fillId="0" borderId="0" xfId="0" applyNumberFormat="1" applyFont="1" applyBorder="1" applyAlignment="1">
      <alignment horizontal="right" wrapText="1"/>
    </xf>
    <xf numFmtId="3" fontId="1" fillId="0" borderId="0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 wrapText="1"/>
    </xf>
    <xf numFmtId="0" fontId="2" fillId="0" borderId="0" xfId="0" applyFont="1">
      <alignment vertical="top"/>
    </xf>
    <xf numFmtId="0" fontId="1" fillId="0" borderId="0" xfId="0" applyFont="1">
      <alignment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166" fontId="1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3" fontId="4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/>
    <xf numFmtId="3" fontId="4" fillId="0" borderId="1" xfId="0" applyNumberFormat="1" applyFont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0" fontId="3" fillId="4" borderId="1" xfId="0" applyFont="1" applyFill="1" applyBorder="1">
      <alignment vertical="top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166" fontId="3" fillId="2" borderId="1" xfId="0" applyNumberFormat="1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right"/>
    </xf>
    <xf numFmtId="0" fontId="3" fillId="4" borderId="1" xfId="0" applyNumberFormat="1" applyFont="1" applyFill="1" applyBorder="1" applyAlignment="1">
      <alignment horizontal="centerContinuous"/>
    </xf>
    <xf numFmtId="164" fontId="3" fillId="4" borderId="1" xfId="0" applyNumberFormat="1" applyFont="1" applyFill="1" applyBorder="1" applyAlignment="1">
      <alignment horizontal="centerContinuous"/>
    </xf>
    <xf numFmtId="0" fontId="4" fillId="0" borderId="1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horizontal="right"/>
    </xf>
    <xf numFmtId="0" fontId="4" fillId="4" borderId="0" xfId="0" applyNumberFormat="1" applyFont="1" applyFill="1" applyAlignme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166" fontId="4" fillId="0" borderId="1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0" fillId="0" borderId="0" xfId="0" applyFill="1" applyBorder="1">
      <alignment vertical="top"/>
    </xf>
    <xf numFmtId="3" fontId="4" fillId="0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165" fontId="7" fillId="0" borderId="1" xfId="1" applyNumberFormat="1" applyFont="1" applyBorder="1" applyAlignment="1">
      <alignment horizontal="right" wrapText="1"/>
    </xf>
    <xf numFmtId="0" fontId="4" fillId="0" borderId="0" xfId="0" applyFont="1" applyAlignment="1">
      <alignment wrapText="1"/>
    </xf>
    <xf numFmtId="3" fontId="4" fillId="0" borderId="3" xfId="1" applyNumberFormat="1" applyFont="1" applyBorder="1" applyAlignment="1">
      <alignment horizontal="right" wrapText="1"/>
    </xf>
    <xf numFmtId="0" fontId="6" fillId="2" borderId="1" xfId="1" applyFont="1" applyFill="1" applyBorder="1" applyAlignment="1">
      <alignment horizontal="center" wrapText="1"/>
    </xf>
    <xf numFmtId="0" fontId="7" fillId="0" borderId="1" xfId="1" applyFont="1" applyBorder="1" applyAlignment="1">
      <alignment wrapText="1"/>
    </xf>
    <xf numFmtId="0" fontId="6" fillId="2" borderId="1" xfId="1" applyFont="1" applyFill="1" applyBorder="1" applyAlignment="1">
      <alignment horizontal="left" wrapText="1"/>
    </xf>
    <xf numFmtId="3" fontId="4" fillId="0" borderId="4" xfId="1" applyNumberFormat="1" applyFont="1" applyBorder="1" applyAlignment="1">
      <alignment horizontal="right" wrapText="1"/>
    </xf>
    <xf numFmtId="0" fontId="4" fillId="0" borderId="2" xfId="1" applyNumberFormat="1" applyFont="1" applyBorder="1" applyAlignment="1">
      <alignment wrapText="1"/>
    </xf>
    <xf numFmtId="166" fontId="2" fillId="0" borderId="0" xfId="0" applyNumberFormat="1" applyFont="1">
      <alignment vertical="top"/>
    </xf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166" fontId="3" fillId="0" borderId="1" xfId="0" applyNumberFormat="1" applyFont="1" applyBorder="1" applyAlignment="1">
      <alignment horizontal="right" wrapText="1"/>
    </xf>
    <xf numFmtId="166" fontId="3" fillId="0" borderId="1" xfId="0" quotePrefix="1" applyNumberFormat="1" applyFont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166" fontId="3" fillId="0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 vertical="top" wrapText="1"/>
    </xf>
    <xf numFmtId="165" fontId="4" fillId="0" borderId="4" xfId="1" applyNumberFormat="1" applyFont="1" applyBorder="1" applyAlignment="1">
      <alignment horizontal="right" wrapText="1"/>
    </xf>
    <xf numFmtId="166" fontId="1" fillId="0" borderId="0" xfId="0" applyNumberFormat="1" applyFont="1" applyAlignment="1"/>
    <xf numFmtId="164" fontId="4" fillId="0" borderId="1" xfId="0" applyNumberFormat="1" applyFont="1" applyFill="1" applyBorder="1" applyAlignment="1">
      <alignment horizontal="right"/>
    </xf>
    <xf numFmtId="0" fontId="0" fillId="0" borderId="0" xfId="0" applyFill="1" applyAlignment="1"/>
    <xf numFmtId="166" fontId="0" fillId="0" borderId="0" xfId="0" applyNumberFormat="1" applyFill="1" applyAlignment="1"/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0" xfId="0" applyFont="1" applyFill="1" applyAlignment="1">
      <alignment horizontal="center" vertical="top" wrapText="1"/>
    </xf>
    <xf numFmtId="4" fontId="3" fillId="3" borderId="1" xfId="0" applyNumberFormat="1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164" fontId="3" fillId="4" borderId="1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6" xfId="1" applyNumberFormat="1" applyFont="1" applyBorder="1" applyAlignment="1">
      <alignment wrapText="1"/>
    </xf>
    <xf numFmtId="3" fontId="4" fillId="0" borderId="7" xfId="1" applyNumberFormat="1" applyFont="1" applyBorder="1" applyAlignment="1">
      <alignment horizontal="right" wrapText="1"/>
    </xf>
    <xf numFmtId="165" fontId="4" fillId="0" borderId="7" xfId="1" applyNumberFormat="1" applyFont="1" applyBorder="1" applyAlignment="1">
      <alignment horizontal="right" wrapText="1"/>
    </xf>
    <xf numFmtId="0" fontId="4" fillId="0" borderId="1" xfId="0" applyNumberFormat="1" applyFont="1" applyBorder="1" applyAlignment="1">
      <alignment horizontal="right" wrapText="1"/>
    </xf>
    <xf numFmtId="164" fontId="4" fillId="0" borderId="2" xfId="1" applyNumberFormat="1" applyFont="1" applyBorder="1" applyAlignment="1">
      <alignment horizontal="right" wrapText="1"/>
    </xf>
    <xf numFmtId="164" fontId="4" fillId="0" borderId="4" xfId="1" applyNumberFormat="1" applyFont="1" applyBorder="1" applyAlignment="1">
      <alignment horizontal="right" wrapText="1"/>
    </xf>
    <xf numFmtId="0" fontId="4" fillId="0" borderId="6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horizontal="right"/>
    </xf>
    <xf numFmtId="166" fontId="4" fillId="0" borderId="2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166" fontId="4" fillId="0" borderId="5" xfId="0" applyNumberFormat="1" applyFont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164" fontId="4" fillId="5" borderId="6" xfId="0" applyNumberFormat="1" applyFont="1" applyFill="1" applyBorder="1" applyAlignment="1">
      <alignment horizontal="right"/>
    </xf>
    <xf numFmtId="164" fontId="4" fillId="5" borderId="7" xfId="0" applyNumberFormat="1" applyFont="1" applyFill="1" applyBorder="1" applyAlignment="1">
      <alignment horizontal="right"/>
    </xf>
    <xf numFmtId="3" fontId="4" fillId="5" borderId="7" xfId="0" applyNumberFormat="1" applyFont="1" applyFill="1" applyBorder="1" applyAlignment="1">
      <alignment horizontal="right"/>
    </xf>
    <xf numFmtId="166" fontId="4" fillId="5" borderId="7" xfId="0" applyNumberFormat="1" applyFont="1" applyFill="1" applyBorder="1" applyAlignment="1">
      <alignment horizontal="right"/>
    </xf>
    <xf numFmtId="3" fontId="4" fillId="5" borderId="3" xfId="1" applyNumberFormat="1" applyFont="1" applyFill="1" applyBorder="1" applyAlignment="1">
      <alignment horizontal="right" wrapText="1"/>
    </xf>
    <xf numFmtId="166" fontId="4" fillId="5" borderId="3" xfId="0" applyNumberFormat="1" applyFont="1" applyFill="1" applyBorder="1" applyAlignment="1">
      <alignment horizontal="right"/>
    </xf>
    <xf numFmtId="164" fontId="4" fillId="5" borderId="1" xfId="0" applyNumberFormat="1" applyFont="1" applyFill="1" applyBorder="1" applyAlignment="1">
      <alignment horizontal="right"/>
    </xf>
    <xf numFmtId="3" fontId="4" fillId="5" borderId="1" xfId="0" applyNumberFormat="1" applyFont="1" applyFill="1" applyBorder="1" applyAlignment="1">
      <alignment horizontal="right"/>
    </xf>
    <xf numFmtId="166" fontId="4" fillId="5" borderId="1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center" vertical="top" wrapText="1"/>
    </xf>
    <xf numFmtId="164" fontId="4" fillId="0" borderId="2" xfId="0" applyNumberFormat="1" applyFont="1" applyFill="1" applyBorder="1" applyAlignment="1">
      <alignment horizontal="right"/>
    </xf>
    <xf numFmtId="164" fontId="4" fillId="0" borderId="5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right"/>
    </xf>
    <xf numFmtId="0" fontId="10" fillId="0" borderId="0" xfId="0" applyFont="1" applyAlignment="1">
      <alignment wrapText="1"/>
    </xf>
    <xf numFmtId="8" fontId="7" fillId="0" borderId="1" xfId="1" applyNumberFormat="1" applyFont="1" applyBorder="1" applyAlignment="1">
      <alignment wrapText="1"/>
    </xf>
    <xf numFmtId="9" fontId="7" fillId="0" borderId="1" xfId="1" applyNumberFormat="1" applyFont="1" applyBorder="1" applyAlignment="1">
      <alignment wrapText="1"/>
    </xf>
    <xf numFmtId="9" fontId="7" fillId="0" borderId="1" xfId="4" applyFont="1" applyBorder="1" applyAlignment="1">
      <alignment wrapText="1"/>
    </xf>
    <xf numFmtId="165" fontId="7" fillId="0" borderId="3" xfId="1" applyNumberFormat="1" applyFont="1" applyBorder="1" applyAlignment="1">
      <alignment horizontal="right" wrapText="1"/>
    </xf>
    <xf numFmtId="8" fontId="7" fillId="0" borderId="2" xfId="1" applyNumberFormat="1" applyFont="1" applyBorder="1" applyAlignment="1">
      <alignment wrapText="1"/>
    </xf>
    <xf numFmtId="0" fontId="7" fillId="0" borderId="2" xfId="1" applyFont="1" applyBorder="1" applyAlignment="1">
      <alignment wrapText="1"/>
    </xf>
    <xf numFmtId="9" fontId="7" fillId="0" borderId="2" xfId="4" applyFont="1" applyBorder="1" applyAlignment="1">
      <alignment wrapText="1"/>
    </xf>
    <xf numFmtId="0" fontId="6" fillId="2" borderId="8" xfId="1" applyFont="1" applyFill="1" applyBorder="1" applyAlignment="1">
      <alignment horizontal="center" wrapText="1"/>
    </xf>
    <xf numFmtId="0" fontId="7" fillId="0" borderId="1" xfId="1" applyFont="1" applyFill="1" applyBorder="1" applyAlignment="1">
      <alignment wrapText="1"/>
    </xf>
    <xf numFmtId="0" fontId="7" fillId="0" borderId="1" xfId="1" applyFont="1" applyFill="1" applyBorder="1" applyAlignment="1">
      <alignment horizontal="left" wrapText="1"/>
    </xf>
    <xf numFmtId="0" fontId="6" fillId="0" borderId="6" xfId="1" applyFont="1" applyFill="1" applyBorder="1" applyAlignment="1">
      <alignment horizontal="center" wrapText="1"/>
    </xf>
    <xf numFmtId="0" fontId="6" fillId="0" borderId="7" xfId="1" applyFont="1" applyFill="1" applyBorder="1" applyAlignment="1">
      <alignment horizontal="center" wrapText="1"/>
    </xf>
    <xf numFmtId="0" fontId="6" fillId="0" borderId="3" xfId="1" applyFont="1" applyFill="1" applyBorder="1" applyAlignment="1">
      <alignment horizontal="center" wrapText="1"/>
    </xf>
    <xf numFmtId="0" fontId="6" fillId="0" borderId="8" xfId="1" applyFont="1" applyFill="1" applyBorder="1" applyAlignment="1">
      <alignment horizontal="center" wrapText="1"/>
    </xf>
    <xf numFmtId="0" fontId="6" fillId="0" borderId="9" xfId="1" applyFont="1" applyFill="1" applyBorder="1" applyAlignment="1">
      <alignment horizontal="center" wrapText="1"/>
    </xf>
    <xf numFmtId="0" fontId="6" fillId="0" borderId="10" xfId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/>
    </xf>
    <xf numFmtId="166" fontId="4" fillId="0" borderId="5" xfId="0" applyNumberFormat="1" applyFont="1" applyFill="1" applyBorder="1" applyAlignment="1">
      <alignment horizontal="right"/>
    </xf>
    <xf numFmtId="167" fontId="3" fillId="4" borderId="1" xfId="3" applyNumberFormat="1" applyFont="1" applyFill="1" applyBorder="1" applyAlignment="1">
      <alignment horizontal="center" vertical="top" wrapText="1"/>
    </xf>
    <xf numFmtId="168" fontId="3" fillId="4" borderId="1" xfId="2" applyNumberFormat="1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vertical="top" wrapText="1"/>
    </xf>
    <xf numFmtId="3" fontId="3" fillId="6" borderId="1" xfId="0" applyNumberFormat="1" applyFont="1" applyFill="1" applyBorder="1" applyAlignment="1">
      <alignment horizontal="right" wrapText="1"/>
    </xf>
    <xf numFmtId="3" fontId="3" fillId="6" borderId="1" xfId="0" applyNumberFormat="1" applyFont="1" applyFill="1" applyBorder="1" applyAlignment="1">
      <alignment horizontal="right"/>
    </xf>
    <xf numFmtId="0" fontId="3" fillId="6" borderId="1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left" wrapText="1"/>
    </xf>
    <xf numFmtId="3" fontId="4" fillId="0" borderId="4" xfId="0" applyNumberFormat="1" applyFont="1" applyFill="1" applyBorder="1" applyAlignment="1">
      <alignment horizontal="right"/>
    </xf>
    <xf numFmtId="3" fontId="4" fillId="0" borderId="3" xfId="1" applyNumberFormat="1" applyFont="1" applyFill="1" applyBorder="1" applyAlignment="1">
      <alignment horizontal="right" wrapText="1"/>
    </xf>
    <xf numFmtId="0" fontId="0" fillId="0" borderId="0" xfId="0" applyNumberFormat="1" applyFont="1" applyFill="1" applyAlignment="1"/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right"/>
    </xf>
    <xf numFmtId="0" fontId="3" fillId="5" borderId="1" xfId="0" applyFont="1" applyFill="1" applyBorder="1" applyAlignment="1"/>
    <xf numFmtId="3" fontId="3" fillId="5" borderId="1" xfId="0" applyNumberFormat="1" applyFont="1" applyFill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165" fontId="3" fillId="5" borderId="1" xfId="0" applyNumberFormat="1" applyFont="1" applyFill="1" applyBorder="1" applyAlignment="1">
      <alignment horizontal="right"/>
    </xf>
    <xf numFmtId="165" fontId="4" fillId="0" borderId="1" xfId="0" applyNumberFormat="1" applyFont="1" applyBorder="1" applyAlignment="1"/>
    <xf numFmtId="3" fontId="4" fillId="7" borderId="1" xfId="0" applyNumberFormat="1" applyFont="1" applyFill="1" applyBorder="1" applyAlignment="1">
      <alignment horizontal="right"/>
    </xf>
    <xf numFmtId="0" fontId="4" fillId="0" borderId="6" xfId="0" applyNumberFormat="1" applyFont="1" applyBorder="1" applyAlignment="1">
      <alignment horizontal="right" wrapText="1"/>
    </xf>
    <xf numFmtId="166" fontId="4" fillId="0" borderId="10" xfId="0" applyNumberFormat="1" applyFont="1" applyFill="1" applyBorder="1" applyAlignment="1">
      <alignment horizontal="right"/>
    </xf>
    <xf numFmtId="166" fontId="4" fillId="0" borderId="3" xfId="0" applyNumberFormat="1" applyFont="1" applyFill="1" applyBorder="1" applyAlignment="1">
      <alignment horizontal="right"/>
    </xf>
    <xf numFmtId="3" fontId="4" fillId="0" borderId="5" xfId="0" applyNumberFormat="1" applyFont="1" applyBorder="1" applyAlignment="1">
      <alignment horizontal="right" wrapText="1"/>
    </xf>
    <xf numFmtId="3" fontId="4" fillId="0" borderId="5" xfId="0" applyNumberFormat="1" applyFont="1" applyBorder="1" applyAlignment="1">
      <alignment horizontal="right"/>
    </xf>
    <xf numFmtId="0" fontId="4" fillId="0" borderId="6" xfId="0" applyFont="1" applyBorder="1" applyAlignment="1">
      <alignment wrapText="1"/>
    </xf>
    <xf numFmtId="166" fontId="4" fillId="7" borderId="3" xfId="0" applyNumberFormat="1" applyFont="1" applyFill="1" applyBorder="1" applyAlignment="1">
      <alignment horizontal="right"/>
    </xf>
    <xf numFmtId="3" fontId="4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horizontal="right"/>
    </xf>
    <xf numFmtId="3" fontId="4" fillId="7" borderId="6" xfId="0" applyNumberFormat="1" applyFont="1" applyFill="1" applyBorder="1" applyAlignment="1">
      <alignment horizontal="right" wrapText="1"/>
    </xf>
    <xf numFmtId="3" fontId="4" fillId="7" borderId="7" xfId="0" applyNumberFormat="1" applyFont="1" applyFill="1" applyBorder="1" applyAlignment="1">
      <alignment horizontal="right"/>
    </xf>
    <xf numFmtId="166" fontId="4" fillId="7" borderId="7" xfId="0" applyNumberFormat="1" applyFont="1" applyFill="1" applyBorder="1" applyAlignment="1">
      <alignment horizontal="right"/>
    </xf>
    <xf numFmtId="166" fontId="4" fillId="7" borderId="10" xfId="0" applyNumberFormat="1" applyFont="1" applyFill="1" applyBorder="1" applyAlignment="1">
      <alignment horizontal="right"/>
    </xf>
    <xf numFmtId="3" fontId="4" fillId="7" borderId="8" xfId="0" applyNumberFormat="1" applyFont="1" applyFill="1" applyBorder="1" applyAlignment="1">
      <alignment horizontal="right" wrapText="1"/>
    </xf>
    <xf numFmtId="3" fontId="4" fillId="7" borderId="9" xfId="0" applyNumberFormat="1" applyFont="1" applyFill="1" applyBorder="1" applyAlignment="1">
      <alignment horizontal="right"/>
    </xf>
    <xf numFmtId="166" fontId="4" fillId="7" borderId="9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3" fontId="4" fillId="7" borderId="3" xfId="1" applyNumberFormat="1" applyFont="1" applyFill="1" applyBorder="1" applyAlignment="1">
      <alignment horizontal="right" wrapText="1"/>
    </xf>
    <xf numFmtId="165" fontId="4" fillId="7" borderId="1" xfId="0" applyNumberFormat="1" applyFont="1" applyFill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165" fontId="4" fillId="0" borderId="10" xfId="0" applyNumberFormat="1" applyFont="1" applyFill="1" applyBorder="1" applyAlignment="1">
      <alignment horizontal="right"/>
    </xf>
    <xf numFmtId="165" fontId="4" fillId="0" borderId="3" xfId="0" applyNumberFormat="1" applyFont="1" applyFill="1" applyBorder="1" applyAlignment="1">
      <alignment horizontal="right"/>
    </xf>
    <xf numFmtId="165" fontId="4" fillId="0" borderId="1" xfId="0" applyNumberFormat="1" applyFont="1" applyBorder="1" applyAlignment="1">
      <alignment horizontal="right" wrapText="1"/>
    </xf>
    <xf numFmtId="165" fontId="4" fillId="0" borderId="1" xfId="0" applyNumberFormat="1" applyFont="1" applyFill="1" applyBorder="1" applyAlignment="1">
      <alignment horizontal="right" wrapText="1"/>
    </xf>
    <xf numFmtId="165" fontId="3" fillId="6" borderId="1" xfId="0" applyNumberFormat="1" applyFont="1" applyFill="1" applyBorder="1" applyAlignment="1">
      <alignment horizontal="right"/>
    </xf>
    <xf numFmtId="165" fontId="3" fillId="6" borderId="1" xfId="0" applyNumberFormat="1" applyFont="1" applyFill="1" applyBorder="1" applyAlignment="1">
      <alignment horizontal="right" wrapText="1"/>
    </xf>
    <xf numFmtId="0" fontId="4" fillId="0" borderId="0" xfId="0" applyFont="1" applyAlignment="1"/>
    <xf numFmtId="169" fontId="4" fillId="0" borderId="0" xfId="2" applyNumberFormat="1" applyFont="1" applyAlignment="1"/>
    <xf numFmtId="167" fontId="4" fillId="0" borderId="0" xfId="3" applyNumberFormat="1" applyFont="1" applyAlignment="1"/>
    <xf numFmtId="3" fontId="4" fillId="0" borderId="0" xfId="0" applyNumberFormat="1" applyFont="1" applyAlignment="1"/>
    <xf numFmtId="0" fontId="4" fillId="7" borderId="1" xfId="0" applyFont="1" applyFill="1" applyBorder="1" applyAlignment="1">
      <alignment horizontal="center" wrapText="1"/>
    </xf>
    <xf numFmtId="0" fontId="4" fillId="7" borderId="1" xfId="0" applyFont="1" applyFill="1" applyBorder="1" applyAlignment="1"/>
    <xf numFmtId="169" fontId="4" fillId="7" borderId="1" xfId="2" applyNumberFormat="1" applyFont="1" applyFill="1" applyBorder="1" applyAlignment="1"/>
    <xf numFmtId="0" fontId="10" fillId="0" borderId="0" xfId="0" applyFont="1" applyAlignment="1">
      <alignment horizontal="center"/>
    </xf>
    <xf numFmtId="167" fontId="6" fillId="2" borderId="8" xfId="3" applyNumberFormat="1" applyFont="1" applyFill="1" applyBorder="1" applyAlignment="1">
      <alignment horizontal="center" wrapText="1"/>
    </xf>
    <xf numFmtId="169" fontId="6" fillId="2" borderId="8" xfId="2" applyNumberFormat="1" applyFont="1" applyFill="1" applyBorder="1" applyAlignment="1">
      <alignment horizontal="center" wrapText="1"/>
    </xf>
    <xf numFmtId="167" fontId="6" fillId="2" borderId="1" xfId="3" applyNumberFormat="1" applyFont="1" applyFill="1" applyBorder="1" applyAlignment="1">
      <alignment horizontal="center" wrapText="1"/>
    </xf>
    <xf numFmtId="167" fontId="0" fillId="0" borderId="0" xfId="0" applyNumberFormat="1" applyAlignment="1">
      <alignment wrapText="1"/>
    </xf>
    <xf numFmtId="167" fontId="6" fillId="2" borderId="3" xfId="3" applyNumberFormat="1" applyFont="1" applyFill="1" applyBorder="1" applyAlignment="1">
      <alignment horizontal="center" wrapText="1"/>
    </xf>
    <xf numFmtId="0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" xfId="1" applyFont="1" applyFill="1" applyBorder="1" applyAlignment="1">
      <alignment horizontal="left" wrapText="1"/>
    </xf>
    <xf numFmtId="0" fontId="3" fillId="2" borderId="7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 wrapText="1"/>
    </xf>
    <xf numFmtId="0" fontId="3" fillId="2" borderId="1" xfId="1" applyFont="1" applyFill="1" applyBorder="1" applyAlignment="1">
      <alignment horizontal="center" wrapText="1"/>
    </xf>
    <xf numFmtId="0" fontId="6" fillId="2" borderId="6" xfId="1" applyFont="1" applyFill="1" applyBorder="1" applyAlignment="1">
      <alignment horizontal="center" wrapText="1"/>
    </xf>
    <xf numFmtId="0" fontId="6" fillId="2" borderId="7" xfId="1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center" wrapText="1"/>
    </xf>
    <xf numFmtId="0" fontId="6" fillId="2" borderId="2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</cellXfs>
  <cellStyles count="5">
    <cellStyle name="Comma" xfId="2" builtinId="3"/>
    <cellStyle name="Currency" xfId="3" builtinId="4"/>
    <cellStyle name="Normal" xfId="0" builtinId="0"/>
    <cellStyle name="Normal_1722 Marine SI tables" xfId="1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0"/>
  <sheetViews>
    <sheetView topLeftCell="A13" zoomScale="85" zoomScaleNormal="100" workbookViewId="0">
      <selection sqref="A1:O1"/>
    </sheetView>
  </sheetViews>
  <sheetFormatPr defaultColWidth="9.6640625" defaultRowHeight="15"/>
  <cols>
    <col min="1" max="1" width="17.33203125" style="9" customWidth="1"/>
    <col min="2" max="2" width="8.109375" style="9" bestFit="1" customWidth="1"/>
    <col min="3" max="3" width="9" style="11" customWidth="1"/>
    <col min="4" max="4" width="7.6640625" style="11" bestFit="1" customWidth="1"/>
    <col min="5" max="5" width="7.33203125" style="9" customWidth="1"/>
    <col min="6" max="6" width="10.5546875" style="9" customWidth="1"/>
    <col min="7" max="7" width="7.6640625" style="9" customWidth="1"/>
    <col min="8" max="8" width="10.44140625" style="9" customWidth="1"/>
    <col min="9" max="9" width="13" style="10" customWidth="1"/>
    <col min="10" max="10" width="8.77734375" style="9" customWidth="1"/>
    <col min="11" max="11" width="12.44140625" style="10" customWidth="1"/>
    <col min="12" max="12" width="10.5546875" style="9" customWidth="1"/>
    <col min="13" max="13" width="10.44140625" style="9" customWidth="1"/>
    <col min="14" max="14" width="9.109375" style="12" customWidth="1"/>
    <col min="15" max="15" width="11.33203125" style="9" customWidth="1"/>
    <col min="16" max="16" width="11.6640625" style="9" customWidth="1"/>
    <col min="17" max="17" width="10.88671875" style="9" customWidth="1"/>
    <col min="18" max="19" width="11.6640625" style="9" customWidth="1"/>
    <col min="20" max="16384" width="9.6640625" style="9"/>
  </cols>
  <sheetData>
    <row r="1" spans="1:17">
      <c r="A1" s="185" t="s">
        <v>54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8"/>
      <c r="Q1" s="8"/>
    </row>
    <row r="2" spans="1:17" ht="15" customHeight="1">
      <c r="A2" s="41"/>
      <c r="B2" s="185" t="s">
        <v>55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37" t="s">
        <v>56</v>
      </c>
      <c r="N2" s="38"/>
      <c r="O2" s="37"/>
      <c r="P2" s="8"/>
      <c r="Q2" s="8"/>
    </row>
    <row r="3" spans="1:17" s="80" customFormat="1" ht="36.75" customHeight="1">
      <c r="A3" s="72" t="s">
        <v>1</v>
      </c>
      <c r="B3" s="73" t="s">
        <v>90</v>
      </c>
      <c r="C3" s="73" t="s">
        <v>91</v>
      </c>
      <c r="D3" s="73" t="s">
        <v>92</v>
      </c>
      <c r="E3" s="74" t="s">
        <v>93</v>
      </c>
      <c r="F3" s="74" t="s">
        <v>94</v>
      </c>
      <c r="G3" s="75" t="s">
        <v>95</v>
      </c>
      <c r="H3" s="73" t="s">
        <v>59</v>
      </c>
      <c r="I3" s="76" t="s">
        <v>30</v>
      </c>
      <c r="J3" s="73" t="s">
        <v>3</v>
      </c>
      <c r="K3" s="77" t="s">
        <v>84</v>
      </c>
      <c r="L3" s="73" t="s">
        <v>57</v>
      </c>
      <c r="M3" s="73" t="s">
        <v>52</v>
      </c>
      <c r="N3" s="78" t="s">
        <v>31</v>
      </c>
      <c r="O3" s="73" t="s">
        <v>32</v>
      </c>
      <c r="P3" s="79"/>
    </row>
    <row r="4" spans="1:17" ht="25.5">
      <c r="A4" s="39" t="s">
        <v>70</v>
      </c>
      <c r="B4" s="40">
        <v>18</v>
      </c>
      <c r="C4" s="40">
        <v>9</v>
      </c>
      <c r="D4" s="40">
        <v>10</v>
      </c>
      <c r="E4" s="40">
        <v>4</v>
      </c>
      <c r="F4" s="40">
        <v>0</v>
      </c>
      <c r="G4" s="40">
        <v>1</v>
      </c>
      <c r="H4" s="36">
        <f>SUM(B4:G4)</f>
        <v>42</v>
      </c>
      <c r="I4" s="27">
        <f>(B4*79.76)+(C4*116.03)+(D4*163.42)+(E4*48.66)+(F4*37.93)+(G4*35.78)</f>
        <v>4344.57</v>
      </c>
      <c r="J4" s="27">
        <v>0</v>
      </c>
      <c r="K4" s="27">
        <v>15</v>
      </c>
      <c r="L4" s="69">
        <v>1</v>
      </c>
      <c r="M4" s="36">
        <v>354</v>
      </c>
      <c r="N4" s="51">
        <f>H4*L4*M4</f>
        <v>14868</v>
      </c>
      <c r="O4" s="51">
        <f>(I4+J4+K4)*L4*M4</f>
        <v>1543287.7799999998</v>
      </c>
      <c r="P4" s="8"/>
    </row>
    <row r="5" spans="1:17" ht="25.5">
      <c r="A5" s="39" t="s">
        <v>33</v>
      </c>
      <c r="B5" s="40">
        <v>15</v>
      </c>
      <c r="C5" s="40">
        <v>3</v>
      </c>
      <c r="D5" s="40">
        <v>1</v>
      </c>
      <c r="E5" s="40">
        <v>0</v>
      </c>
      <c r="F5" s="40">
        <v>0</v>
      </c>
      <c r="G5" s="40">
        <v>1</v>
      </c>
      <c r="H5" s="36">
        <f t="shared" ref="H5:H8" si="0">SUM(B5:G5)</f>
        <v>20</v>
      </c>
      <c r="I5" s="27">
        <f>(B5*79.76)+(C5*116.03)+(D5*163.42)+(E5*48.66)+(F5*37.93)+(G5*35.78)</f>
        <v>1743.6900000000003</v>
      </c>
      <c r="J5" s="27">
        <v>0</v>
      </c>
      <c r="K5" s="27">
        <v>0</v>
      </c>
      <c r="L5" s="69">
        <v>1</v>
      </c>
      <c r="M5" s="36">
        <v>354</v>
      </c>
      <c r="N5" s="51">
        <f t="shared" ref="N5:N26" si="1">H5*L5*M5</f>
        <v>7080</v>
      </c>
      <c r="O5" s="51">
        <f t="shared" ref="O5:O8" si="2">(I5+J5+K5)*L5*M5</f>
        <v>617266.26000000013</v>
      </c>
      <c r="P5" s="8"/>
    </row>
    <row r="6" spans="1:17">
      <c r="A6" s="39" t="s">
        <v>42</v>
      </c>
      <c r="B6" s="40">
        <v>12</v>
      </c>
      <c r="C6" s="40">
        <v>5</v>
      </c>
      <c r="D6" s="40">
        <v>0</v>
      </c>
      <c r="E6" s="40">
        <v>38</v>
      </c>
      <c r="F6" s="40">
        <v>2</v>
      </c>
      <c r="G6" s="40">
        <v>3</v>
      </c>
      <c r="H6" s="36">
        <f t="shared" si="0"/>
        <v>60</v>
      </c>
      <c r="I6" s="27">
        <f>(B6*79.76)+(C6*116.03)+(D6*163.42)+(E6*48.66)+(F6*37.93)+(G6*35.78)</f>
        <v>3569.55</v>
      </c>
      <c r="J6" s="27">
        <v>0</v>
      </c>
      <c r="K6" s="27">
        <v>0</v>
      </c>
      <c r="L6" s="69">
        <v>2.9</v>
      </c>
      <c r="M6" s="36">
        <v>187</v>
      </c>
      <c r="N6" s="51">
        <f t="shared" si="1"/>
        <v>32538</v>
      </c>
      <c r="O6" s="51">
        <f t="shared" si="2"/>
        <v>1935766.9649999999</v>
      </c>
      <c r="P6" s="8"/>
    </row>
    <row r="7" spans="1:17" ht="38.25">
      <c r="A7" s="39" t="s">
        <v>43</v>
      </c>
      <c r="B7" s="40">
        <v>30</v>
      </c>
      <c r="C7" s="40">
        <v>14</v>
      </c>
      <c r="D7" s="40">
        <v>0</v>
      </c>
      <c r="E7" s="40">
        <v>22</v>
      </c>
      <c r="F7" s="40">
        <v>2</v>
      </c>
      <c r="G7" s="40">
        <v>14</v>
      </c>
      <c r="H7" s="36">
        <f t="shared" si="0"/>
        <v>82</v>
      </c>
      <c r="I7" s="27">
        <f>(B7*79.76)+(C7*116.03)+(D7*163.42)+(E7*48.66)+(F7*37.93)+(G7*35.78)</f>
        <v>5664.5199999999995</v>
      </c>
      <c r="J7" s="27">
        <v>0</v>
      </c>
      <c r="K7" s="27">
        <v>0</v>
      </c>
      <c r="L7" s="69">
        <v>2.9</v>
      </c>
      <c r="M7" s="36">
        <v>187</v>
      </c>
      <c r="N7" s="51">
        <f t="shared" si="1"/>
        <v>44468.6</v>
      </c>
      <c r="O7" s="51">
        <f t="shared" si="2"/>
        <v>3071869.1959999995</v>
      </c>
      <c r="P7" s="8"/>
    </row>
    <row r="8" spans="1:17" ht="25.5">
      <c r="A8" s="39" t="s">
        <v>69</v>
      </c>
      <c r="B8" s="89">
        <v>200</v>
      </c>
      <c r="C8" s="89">
        <v>150</v>
      </c>
      <c r="D8" s="89">
        <v>0</v>
      </c>
      <c r="E8" s="89">
        <v>400</v>
      </c>
      <c r="F8" s="89">
        <v>200</v>
      </c>
      <c r="G8" s="89">
        <v>0</v>
      </c>
      <c r="H8" s="36">
        <f t="shared" si="0"/>
        <v>950</v>
      </c>
      <c r="I8" s="27">
        <f>(B8*79.76)+(C8*116.03)+(D8*163.42)+(E8*48.66)+(F8*37.93)+(G8*35.78)</f>
        <v>60406.5</v>
      </c>
      <c r="J8" s="90">
        <v>0</v>
      </c>
      <c r="K8" s="90">
        <v>73300</v>
      </c>
      <c r="L8" s="104">
        <v>1</v>
      </c>
      <c r="M8" s="93">
        <v>42</v>
      </c>
      <c r="N8" s="51">
        <f t="shared" si="1"/>
        <v>39900</v>
      </c>
      <c r="O8" s="51">
        <f t="shared" si="2"/>
        <v>5615673</v>
      </c>
    </row>
    <row r="9" spans="1:17" ht="25.5">
      <c r="A9" s="88" t="s">
        <v>85</v>
      </c>
      <c r="B9" s="94"/>
      <c r="C9" s="95"/>
      <c r="D9" s="95"/>
      <c r="E9" s="95"/>
      <c r="F9" s="95"/>
      <c r="G9" s="95"/>
      <c r="H9" s="96"/>
      <c r="I9" s="97"/>
      <c r="J9" s="97"/>
      <c r="K9" s="97"/>
      <c r="L9" s="95"/>
      <c r="M9" s="96"/>
      <c r="N9" s="98"/>
      <c r="O9" s="99"/>
    </row>
    <row r="10" spans="1:17">
      <c r="A10" s="85" t="s">
        <v>87</v>
      </c>
      <c r="B10" s="91">
        <v>0</v>
      </c>
      <c r="C10" s="91">
        <v>0</v>
      </c>
      <c r="D10" s="91">
        <v>0</v>
      </c>
      <c r="E10" s="91">
        <v>0</v>
      </c>
      <c r="F10" s="91">
        <v>0</v>
      </c>
      <c r="G10" s="91">
        <v>0</v>
      </c>
      <c r="H10" s="36">
        <f t="shared" ref="H10:H17" si="3">SUM(B10:G10)</f>
        <v>0</v>
      </c>
      <c r="I10" s="27">
        <f t="shared" ref="I10:I18" si="4">(B10*79.76)+(C10*116.03)+(D10*163.42)+(E10*48.66)+(F10*37.93)+(G10*35.78)</f>
        <v>0</v>
      </c>
      <c r="J10" s="92">
        <v>0</v>
      </c>
      <c r="K10" s="126">
        <f>17000/3</f>
        <v>5666.666666666667</v>
      </c>
      <c r="L10" s="105">
        <v>2.4</v>
      </c>
      <c r="M10" s="106">
        <v>86</v>
      </c>
      <c r="N10" s="51">
        <f t="shared" si="1"/>
        <v>0</v>
      </c>
      <c r="O10" s="51">
        <f>(I10+J10+K10)*L10*M10</f>
        <v>1169600</v>
      </c>
    </row>
    <row r="11" spans="1:17">
      <c r="A11" s="85" t="s">
        <v>86</v>
      </c>
      <c r="B11" s="40"/>
      <c r="C11" s="40"/>
      <c r="D11" s="40"/>
      <c r="E11" s="40"/>
      <c r="F11" s="40"/>
      <c r="G11" s="40"/>
      <c r="H11" s="36">
        <f t="shared" si="3"/>
        <v>0</v>
      </c>
      <c r="I11" s="27">
        <f t="shared" si="4"/>
        <v>0</v>
      </c>
      <c r="J11" s="27"/>
      <c r="K11" s="44">
        <f>35510/3</f>
        <v>11836.666666666666</v>
      </c>
      <c r="L11" s="69">
        <v>1.4</v>
      </c>
      <c r="M11" s="36">
        <v>5</v>
      </c>
      <c r="N11" s="51">
        <f t="shared" si="1"/>
        <v>0</v>
      </c>
      <c r="O11" s="51">
        <f t="shared" ref="O11:O18" si="5">(I11+J11+K11)*L11*M11</f>
        <v>82856.666666666657</v>
      </c>
    </row>
    <row r="12" spans="1:17">
      <c r="A12" s="85" t="s">
        <v>79</v>
      </c>
      <c r="B12" s="40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  <c r="H12" s="36">
        <f t="shared" si="3"/>
        <v>0</v>
      </c>
      <c r="I12" s="27">
        <f t="shared" si="4"/>
        <v>0</v>
      </c>
      <c r="J12" s="27">
        <v>0</v>
      </c>
      <c r="K12" s="44">
        <f>22000/3</f>
        <v>7333.333333333333</v>
      </c>
      <c r="L12" s="69">
        <v>1.7</v>
      </c>
      <c r="M12" s="36">
        <v>34</v>
      </c>
      <c r="N12" s="51">
        <f t="shared" si="1"/>
        <v>0</v>
      </c>
      <c r="O12" s="51">
        <f t="shared" si="5"/>
        <v>423866.66666666663</v>
      </c>
    </row>
    <row r="13" spans="1:17">
      <c r="A13" s="85" t="s">
        <v>80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36">
        <f t="shared" si="3"/>
        <v>0</v>
      </c>
      <c r="I13" s="27">
        <f t="shared" si="4"/>
        <v>0</v>
      </c>
      <c r="J13" s="27">
        <v>0</v>
      </c>
      <c r="K13" s="44">
        <f>45000/3</f>
        <v>15000</v>
      </c>
      <c r="L13" s="69">
        <v>1.7</v>
      </c>
      <c r="M13" s="36">
        <v>7</v>
      </c>
      <c r="N13" s="51">
        <f t="shared" si="1"/>
        <v>0</v>
      </c>
      <c r="O13" s="51">
        <f t="shared" si="5"/>
        <v>178500</v>
      </c>
    </row>
    <row r="14" spans="1:17" ht="25.5">
      <c r="A14" s="85" t="s">
        <v>89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36">
        <f t="shared" si="3"/>
        <v>0</v>
      </c>
      <c r="I14" s="27">
        <f t="shared" si="4"/>
        <v>0</v>
      </c>
      <c r="J14" s="27">
        <v>0</v>
      </c>
      <c r="K14" s="44">
        <f>1000/3</f>
        <v>333.33333333333331</v>
      </c>
      <c r="L14" s="69">
        <v>2.2000000000000002</v>
      </c>
      <c r="M14" s="36">
        <v>133</v>
      </c>
      <c r="N14" s="51">
        <f t="shared" si="1"/>
        <v>0</v>
      </c>
      <c r="O14" s="51">
        <f t="shared" si="5"/>
        <v>97533.333333333343</v>
      </c>
    </row>
    <row r="15" spans="1:17" ht="25.5">
      <c r="A15" s="39" t="s">
        <v>34</v>
      </c>
      <c r="B15" s="40">
        <v>6</v>
      </c>
      <c r="C15" s="40">
        <v>4</v>
      </c>
      <c r="D15" s="40">
        <v>1</v>
      </c>
      <c r="E15" s="40">
        <v>0</v>
      </c>
      <c r="F15" s="40">
        <v>0</v>
      </c>
      <c r="G15" s="40">
        <v>1</v>
      </c>
      <c r="H15" s="36">
        <f t="shared" si="3"/>
        <v>12</v>
      </c>
      <c r="I15" s="27">
        <f t="shared" si="4"/>
        <v>1141.8800000000001</v>
      </c>
      <c r="J15" s="27">
        <v>0</v>
      </c>
      <c r="K15" s="27">
        <v>0</v>
      </c>
      <c r="L15" s="69">
        <v>2.9</v>
      </c>
      <c r="M15" s="36">
        <v>187</v>
      </c>
      <c r="N15" s="51">
        <f t="shared" si="1"/>
        <v>6507.5999999999995</v>
      </c>
      <c r="O15" s="51">
        <f t="shared" si="5"/>
        <v>619241.52400000009</v>
      </c>
    </row>
    <row r="16" spans="1:17" ht="25.5">
      <c r="A16" s="39" t="s">
        <v>51</v>
      </c>
      <c r="B16" s="40">
        <v>2</v>
      </c>
      <c r="C16" s="40">
        <v>0.5</v>
      </c>
      <c r="D16" s="40">
        <v>1</v>
      </c>
      <c r="E16" s="40">
        <v>0</v>
      </c>
      <c r="F16" s="40">
        <v>0</v>
      </c>
      <c r="G16" s="40">
        <v>1</v>
      </c>
      <c r="H16" s="36">
        <f t="shared" si="3"/>
        <v>4.5</v>
      </c>
      <c r="I16" s="27">
        <f t="shared" si="4"/>
        <v>416.73500000000001</v>
      </c>
      <c r="J16" s="27">
        <v>0</v>
      </c>
      <c r="K16" s="27">
        <v>6</v>
      </c>
      <c r="L16" s="69">
        <v>2.9</v>
      </c>
      <c r="M16" s="36">
        <v>187</v>
      </c>
      <c r="N16" s="51">
        <f t="shared" si="1"/>
        <v>2440.35</v>
      </c>
      <c r="O16" s="51">
        <f t="shared" si="5"/>
        <v>229249.1905</v>
      </c>
    </row>
    <row r="17" spans="1:15" ht="25.5">
      <c r="A17" s="39" t="s">
        <v>35</v>
      </c>
      <c r="B17" s="89">
        <v>1</v>
      </c>
      <c r="C17" s="89">
        <v>0.5</v>
      </c>
      <c r="D17" s="89">
        <v>0</v>
      </c>
      <c r="E17" s="89">
        <v>0</v>
      </c>
      <c r="F17" s="89">
        <v>0</v>
      </c>
      <c r="G17" s="89">
        <v>2</v>
      </c>
      <c r="H17" s="36">
        <f t="shared" si="3"/>
        <v>3.5</v>
      </c>
      <c r="I17" s="27">
        <f t="shared" si="4"/>
        <v>209.33500000000001</v>
      </c>
      <c r="J17" s="90">
        <v>0</v>
      </c>
      <c r="K17" s="90">
        <v>3</v>
      </c>
      <c r="L17" s="104">
        <v>3.9</v>
      </c>
      <c r="M17" s="93">
        <v>354</v>
      </c>
      <c r="N17" s="51">
        <f t="shared" si="1"/>
        <v>4832.1000000000004</v>
      </c>
      <c r="O17" s="51">
        <f t="shared" si="5"/>
        <v>293149.701</v>
      </c>
    </row>
    <row r="18" spans="1:15">
      <c r="A18" s="88" t="s">
        <v>88</v>
      </c>
      <c r="B18" s="89">
        <v>0.5</v>
      </c>
      <c r="C18" s="89">
        <v>0.5</v>
      </c>
      <c r="D18" s="89">
        <v>0</v>
      </c>
      <c r="E18" s="89">
        <v>0</v>
      </c>
      <c r="F18" s="89">
        <v>0</v>
      </c>
      <c r="G18" s="89">
        <v>0.5</v>
      </c>
      <c r="H18" s="93">
        <v>3</v>
      </c>
      <c r="I18" s="27">
        <f t="shared" si="4"/>
        <v>115.78500000000001</v>
      </c>
      <c r="J18" s="90">
        <v>0</v>
      </c>
      <c r="K18" s="90">
        <v>1</v>
      </c>
      <c r="L18" s="104">
        <v>5.3</v>
      </c>
      <c r="M18" s="36">
        <v>354</v>
      </c>
      <c r="N18" s="51">
        <f t="shared" si="1"/>
        <v>5628.5999999999995</v>
      </c>
      <c r="O18" s="51">
        <f t="shared" si="5"/>
        <v>219112.01700000002</v>
      </c>
    </row>
    <row r="19" spans="1:15">
      <c r="A19" s="88" t="s">
        <v>81</v>
      </c>
      <c r="B19" s="100"/>
      <c r="C19" s="100"/>
      <c r="D19" s="100"/>
      <c r="E19" s="100"/>
      <c r="F19" s="100"/>
      <c r="G19" s="100"/>
      <c r="H19" s="101"/>
      <c r="I19" s="102"/>
      <c r="J19" s="102"/>
      <c r="K19" s="102"/>
      <c r="L19" s="100"/>
      <c r="M19" s="101"/>
      <c r="N19" s="98"/>
      <c r="O19" s="102"/>
    </row>
    <row r="20" spans="1:15">
      <c r="A20" s="85" t="s">
        <v>82</v>
      </c>
      <c r="B20" s="91">
        <v>0</v>
      </c>
      <c r="C20" s="91">
        <v>0</v>
      </c>
      <c r="D20" s="91">
        <v>0</v>
      </c>
      <c r="E20" s="91">
        <v>0</v>
      </c>
      <c r="F20" s="91">
        <v>0</v>
      </c>
      <c r="G20" s="91">
        <v>0</v>
      </c>
      <c r="H20" s="36">
        <f t="shared" ref="H20:H26" si="6">SUM(B20:G20)</f>
        <v>0</v>
      </c>
      <c r="I20" s="27">
        <f t="shared" ref="I20:I26" si="7">(B20*79.76)+(C20*116.03)+(D20*163.42)+(E20*48.66)+(F20*37.93)+(G20*35.78)</f>
        <v>0</v>
      </c>
      <c r="J20" s="92">
        <v>0</v>
      </c>
      <c r="K20" s="92">
        <v>241</v>
      </c>
      <c r="L20" s="105">
        <v>1.7</v>
      </c>
      <c r="M20" s="106">
        <v>171</v>
      </c>
      <c r="N20" s="51">
        <f t="shared" si="1"/>
        <v>0</v>
      </c>
      <c r="O20" s="51">
        <f t="shared" ref="O20:O26" si="8">(I20+J20+K20)*L20*M20</f>
        <v>70058.7</v>
      </c>
    </row>
    <row r="21" spans="1:15">
      <c r="A21" s="85" t="s">
        <v>83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36">
        <f t="shared" si="6"/>
        <v>0</v>
      </c>
      <c r="I21" s="27">
        <f t="shared" si="7"/>
        <v>0</v>
      </c>
      <c r="J21" s="27">
        <v>0</v>
      </c>
      <c r="K21" s="27">
        <v>563</v>
      </c>
      <c r="L21" s="69">
        <v>5.8</v>
      </c>
      <c r="M21" s="36">
        <v>249</v>
      </c>
      <c r="N21" s="51">
        <f t="shared" si="1"/>
        <v>0</v>
      </c>
      <c r="O21" s="51">
        <f t="shared" si="8"/>
        <v>813084.6</v>
      </c>
    </row>
    <row r="22" spans="1:15" s="136" customFormat="1">
      <c r="A22" s="133" t="s">
        <v>123</v>
      </c>
      <c r="B22" s="69">
        <v>1</v>
      </c>
      <c r="C22" s="69">
        <v>1</v>
      </c>
      <c r="D22" s="69">
        <v>0.5</v>
      </c>
      <c r="E22" s="69">
        <v>0</v>
      </c>
      <c r="F22" s="69">
        <v>0</v>
      </c>
      <c r="G22" s="69">
        <v>1</v>
      </c>
      <c r="H22" s="36">
        <f t="shared" si="6"/>
        <v>3.5</v>
      </c>
      <c r="I22" s="44">
        <f t="shared" si="7"/>
        <v>313.27999999999997</v>
      </c>
      <c r="J22" s="44">
        <v>0</v>
      </c>
      <c r="K22" s="44">
        <v>20</v>
      </c>
      <c r="L22" s="69">
        <f>409/76</f>
        <v>5.3815789473684212</v>
      </c>
      <c r="M22" s="134">
        <v>76</v>
      </c>
      <c r="N22" s="135">
        <f t="shared" ref="N22:N23" si="9">H22*L22*M22</f>
        <v>1431.5</v>
      </c>
      <c r="O22" s="135">
        <f t="shared" ref="O22:O23" si="10">(I22+J22+K22)*L22*M22</f>
        <v>136311.51999999999</v>
      </c>
    </row>
    <row r="23" spans="1:15" s="136" customFormat="1">
      <c r="A23" s="133" t="s">
        <v>124</v>
      </c>
      <c r="B23" s="69">
        <v>2</v>
      </c>
      <c r="C23" s="69">
        <v>0.5</v>
      </c>
      <c r="D23" s="69">
        <v>0.5</v>
      </c>
      <c r="E23" s="69">
        <v>0</v>
      </c>
      <c r="F23" s="69">
        <v>0</v>
      </c>
      <c r="G23" s="69">
        <v>1</v>
      </c>
      <c r="H23" s="36">
        <f t="shared" si="6"/>
        <v>4</v>
      </c>
      <c r="I23" s="44">
        <f t="shared" si="7"/>
        <v>335.02499999999998</v>
      </c>
      <c r="J23" s="44">
        <v>0</v>
      </c>
      <c r="K23" s="44">
        <v>2</v>
      </c>
      <c r="L23" s="69">
        <v>1</v>
      </c>
      <c r="M23" s="134">
        <v>20</v>
      </c>
      <c r="N23" s="135">
        <f t="shared" si="9"/>
        <v>80</v>
      </c>
      <c r="O23" s="135">
        <f t="shared" si="10"/>
        <v>6740.5</v>
      </c>
    </row>
    <row r="24" spans="1:15" ht="25.5">
      <c r="A24" s="39" t="s">
        <v>36</v>
      </c>
      <c r="B24" s="40">
        <v>3</v>
      </c>
      <c r="C24" s="40">
        <v>2</v>
      </c>
      <c r="D24" s="40">
        <v>1</v>
      </c>
      <c r="E24" s="40">
        <v>3</v>
      </c>
      <c r="F24" s="40">
        <v>0</v>
      </c>
      <c r="G24" s="40">
        <v>2</v>
      </c>
      <c r="H24" s="36">
        <f t="shared" si="6"/>
        <v>11</v>
      </c>
      <c r="I24" s="27">
        <f t="shared" si="7"/>
        <v>852.3</v>
      </c>
      <c r="J24" s="44">
        <v>0</v>
      </c>
      <c r="K24" s="44">
        <v>6</v>
      </c>
      <c r="L24" s="69">
        <v>3.9</v>
      </c>
      <c r="M24" s="36">
        <v>354</v>
      </c>
      <c r="N24" s="51">
        <f t="shared" si="1"/>
        <v>15186.6</v>
      </c>
      <c r="O24" s="51">
        <f t="shared" si="8"/>
        <v>1184968.98</v>
      </c>
    </row>
    <row r="25" spans="1:15" ht="25.5">
      <c r="A25" s="39" t="s">
        <v>14</v>
      </c>
      <c r="B25" s="40">
        <v>3</v>
      </c>
      <c r="C25" s="40">
        <v>1</v>
      </c>
      <c r="D25" s="40">
        <v>1</v>
      </c>
      <c r="E25" s="40">
        <v>0</v>
      </c>
      <c r="F25" s="40">
        <v>0</v>
      </c>
      <c r="G25" s="40">
        <v>7</v>
      </c>
      <c r="H25" s="36">
        <f t="shared" si="6"/>
        <v>12</v>
      </c>
      <c r="I25" s="27">
        <f t="shared" si="7"/>
        <v>769.19</v>
      </c>
      <c r="J25" s="44">
        <v>0</v>
      </c>
      <c r="K25" s="44">
        <v>6</v>
      </c>
      <c r="L25" s="69">
        <v>1</v>
      </c>
      <c r="M25" s="36">
        <v>354</v>
      </c>
      <c r="N25" s="51">
        <f t="shared" si="1"/>
        <v>4248</v>
      </c>
      <c r="O25" s="51">
        <f t="shared" si="8"/>
        <v>274417.26</v>
      </c>
    </row>
    <row r="26" spans="1:15" s="50" customFormat="1" ht="38.25">
      <c r="A26" s="56" t="s">
        <v>78</v>
      </c>
      <c r="B26" s="86">
        <v>12</v>
      </c>
      <c r="C26" s="87">
        <v>2</v>
      </c>
      <c r="D26" s="87">
        <v>1</v>
      </c>
      <c r="E26" s="87">
        <v>0</v>
      </c>
      <c r="F26" s="87">
        <v>0</v>
      </c>
      <c r="G26" s="87">
        <v>2</v>
      </c>
      <c r="H26" s="36">
        <f t="shared" si="6"/>
        <v>17</v>
      </c>
      <c r="I26" s="27">
        <f t="shared" si="7"/>
        <v>1424.16</v>
      </c>
      <c r="J26" s="55">
        <v>0</v>
      </c>
      <c r="K26" s="67">
        <v>3</v>
      </c>
      <c r="L26" s="69">
        <v>1</v>
      </c>
      <c r="M26" s="36">
        <v>354</v>
      </c>
      <c r="N26" s="51">
        <f t="shared" si="1"/>
        <v>6018</v>
      </c>
      <c r="O26" s="51">
        <f t="shared" si="8"/>
        <v>505214.64</v>
      </c>
    </row>
    <row r="27" spans="1:15" s="81" customFormat="1" ht="12.75">
      <c r="A27" s="82"/>
      <c r="B27" s="83"/>
      <c r="C27" s="83"/>
      <c r="D27" s="83"/>
      <c r="E27" s="83"/>
      <c r="F27" s="83"/>
      <c r="G27" s="83"/>
      <c r="H27" s="83"/>
      <c r="I27" s="84"/>
      <c r="J27" s="83"/>
      <c r="K27" s="84"/>
      <c r="L27" s="83"/>
      <c r="M27" s="83"/>
      <c r="N27" s="83"/>
      <c r="O27" s="51"/>
    </row>
    <row r="28" spans="1:15">
      <c r="A28" s="73" t="s">
        <v>37</v>
      </c>
      <c r="B28" s="73">
        <f>SUM(B4:B26)</f>
        <v>305.5</v>
      </c>
      <c r="C28" s="73">
        <f t="shared" ref="C28:G28" si="11">SUM(C4:C26)</f>
        <v>193</v>
      </c>
      <c r="D28" s="73">
        <f t="shared" si="11"/>
        <v>17</v>
      </c>
      <c r="E28" s="73">
        <f t="shared" si="11"/>
        <v>467</v>
      </c>
      <c r="F28" s="73">
        <f t="shared" si="11"/>
        <v>204</v>
      </c>
      <c r="G28" s="73">
        <f t="shared" si="11"/>
        <v>36.5</v>
      </c>
      <c r="H28" s="128">
        <f>SUM(H4:H26)</f>
        <v>1224.5</v>
      </c>
      <c r="I28" s="127">
        <f>SUM(I4:I26)</f>
        <v>81306.520000000019</v>
      </c>
      <c r="J28" s="73">
        <v>0</v>
      </c>
      <c r="K28" s="73" t="s">
        <v>16</v>
      </c>
      <c r="L28" s="73" t="s">
        <v>16</v>
      </c>
      <c r="M28" s="73" t="s">
        <v>17</v>
      </c>
      <c r="N28" s="73" t="s">
        <v>17</v>
      </c>
      <c r="O28" s="73" t="s">
        <v>17</v>
      </c>
    </row>
    <row r="29" spans="1:15">
      <c r="A29" s="73" t="s">
        <v>18</v>
      </c>
      <c r="B29" s="73" t="s">
        <v>17</v>
      </c>
      <c r="C29" s="73" t="s">
        <v>17</v>
      </c>
      <c r="D29" s="73" t="s">
        <v>17</v>
      </c>
      <c r="E29" s="73" t="s">
        <v>17</v>
      </c>
      <c r="F29" s="73" t="s">
        <v>17</v>
      </c>
      <c r="G29" s="73" t="s">
        <v>17</v>
      </c>
      <c r="H29" s="73" t="s">
        <v>17</v>
      </c>
      <c r="I29" s="127">
        <f>SUMPRODUCT(I4:I26, L4:L26, M4:M26)</f>
        <v>13139397.1335</v>
      </c>
      <c r="J29" s="73">
        <v>0</v>
      </c>
      <c r="K29" s="127">
        <f>SUMPRODUCT(K4:K26, L4:L26, M4:M26)</f>
        <v>5948371.3666666662</v>
      </c>
      <c r="L29" s="73" t="s">
        <v>16</v>
      </c>
      <c r="M29" s="73">
        <v>354</v>
      </c>
      <c r="N29" s="128">
        <f>SUM(N4:N26)</f>
        <v>185227.35000000003</v>
      </c>
      <c r="O29" s="127">
        <f>SUM(O4:O26)</f>
        <v>19087768.500166669</v>
      </c>
    </row>
    <row r="30" spans="1:15">
      <c r="A30" s="8" t="s">
        <v>38</v>
      </c>
      <c r="B30" s="8"/>
      <c r="E30" s="8"/>
      <c r="F30" s="8"/>
      <c r="G30" s="8"/>
      <c r="J30" s="3"/>
      <c r="L30" s="8"/>
      <c r="N30" s="4"/>
      <c r="O30" s="8"/>
    </row>
    <row r="31" spans="1:15">
      <c r="A31" s="8" t="s">
        <v>40</v>
      </c>
      <c r="B31" s="8"/>
      <c r="C31" s="9"/>
      <c r="E31" s="8"/>
      <c r="F31" s="8"/>
      <c r="G31" s="8"/>
      <c r="H31" s="5"/>
      <c r="I31" s="8"/>
      <c r="J31" s="8"/>
      <c r="K31" s="4"/>
      <c r="L31" s="8"/>
      <c r="N31" s="9"/>
    </row>
    <row r="32" spans="1:15">
      <c r="A32" s="5" t="s">
        <v>39</v>
      </c>
      <c r="B32" s="8"/>
      <c r="C32" s="5"/>
      <c r="E32" s="8"/>
      <c r="F32" s="8"/>
      <c r="G32" s="8"/>
      <c r="H32" s="5"/>
      <c r="I32" s="8"/>
      <c r="J32" s="8"/>
      <c r="K32" s="4"/>
      <c r="L32" s="8"/>
      <c r="N32" s="9"/>
    </row>
    <row r="33" spans="1:15">
      <c r="A33" s="5"/>
      <c r="B33" s="8"/>
      <c r="C33" s="5"/>
      <c r="E33" s="8"/>
      <c r="F33" s="8"/>
      <c r="G33" s="8"/>
      <c r="H33" s="7"/>
      <c r="I33" s="6"/>
      <c r="J33" s="3"/>
      <c r="K33" s="5"/>
      <c r="L33" s="8"/>
      <c r="M33" s="8"/>
      <c r="N33" s="4"/>
      <c r="O33" s="8"/>
    </row>
    <row r="34" spans="1:15">
      <c r="A34" s="20"/>
      <c r="B34" s="3"/>
      <c r="C34" s="5"/>
      <c r="E34" s="8"/>
      <c r="F34" s="8"/>
      <c r="G34" s="8"/>
      <c r="H34" s="7"/>
      <c r="I34" s="6"/>
      <c r="J34" s="3"/>
      <c r="K34" s="5"/>
      <c r="L34" s="8"/>
      <c r="M34" s="8"/>
      <c r="N34" s="4"/>
      <c r="O34" s="8"/>
    </row>
    <row r="35" spans="1:15">
      <c r="F35" s="8"/>
    </row>
    <row r="36" spans="1:15">
      <c r="F36" s="8"/>
    </row>
    <row r="37" spans="1:15">
      <c r="D37" s="46"/>
      <c r="E37" s="8"/>
      <c r="F37" s="8"/>
    </row>
    <row r="38" spans="1:15">
      <c r="D38" s="46"/>
      <c r="E38" s="8"/>
      <c r="F38" s="8"/>
    </row>
    <row r="39" spans="1:15">
      <c r="D39" s="46"/>
      <c r="E39" s="8"/>
      <c r="F39" s="8"/>
    </row>
    <row r="40" spans="1:15">
      <c r="F40" s="8"/>
    </row>
  </sheetData>
  <mergeCells count="2">
    <mergeCell ref="A1:O1"/>
    <mergeCell ref="B2:L2"/>
  </mergeCells>
  <phoneticPr fontId="1" type="noConversion"/>
  <printOptions horizontalCentered="1" verticalCentered="1"/>
  <pageMargins left="0.75" right="0.75" top="1" bottom="1" header="0.5" footer="0.5"/>
  <pageSetup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"/>
  <sheetViews>
    <sheetView zoomScale="85" zoomScaleNormal="85" workbookViewId="0">
      <selection activeCell="A2" sqref="A2"/>
    </sheetView>
  </sheetViews>
  <sheetFormatPr defaultRowHeight="12.75"/>
  <cols>
    <col min="1" max="1" width="17" style="16" customWidth="1"/>
    <col min="2" max="2" width="7.77734375" style="16" customWidth="1"/>
    <col min="3" max="3" width="8.88671875" style="16"/>
    <col min="4" max="4" width="8.21875" style="16" customWidth="1"/>
    <col min="5" max="5" width="8" style="16" customWidth="1"/>
    <col min="6" max="6" width="10.6640625" style="16" bestFit="1" customWidth="1"/>
    <col min="7" max="7" width="11.21875" style="16" customWidth="1"/>
    <col min="8" max="8" width="6.21875" style="16" customWidth="1"/>
    <col min="9" max="9" width="7.21875" style="16" bestFit="1" customWidth="1"/>
    <col min="10" max="10" width="11.109375" style="16" customWidth="1"/>
    <col min="11" max="11" width="7.44140625" style="16" customWidth="1"/>
    <col min="12" max="12" width="9.88671875" style="16" bestFit="1" customWidth="1"/>
    <col min="13" max="16384" width="8.88671875" style="16"/>
  </cols>
  <sheetData>
    <row r="1" spans="1:12">
      <c r="A1" s="186" t="s">
        <v>148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2">
      <c r="A2" s="28"/>
      <c r="B2" s="186" t="s">
        <v>55</v>
      </c>
      <c r="C2" s="186"/>
      <c r="D2" s="186"/>
      <c r="E2" s="186"/>
      <c r="F2" s="186"/>
      <c r="G2" s="186"/>
      <c r="H2" s="186"/>
      <c r="I2" s="186"/>
      <c r="J2" s="186" t="s">
        <v>56</v>
      </c>
      <c r="K2" s="186"/>
      <c r="L2" s="186"/>
    </row>
    <row r="3" spans="1:12" ht="38.25">
      <c r="A3" s="29" t="s">
        <v>1</v>
      </c>
      <c r="B3" s="73" t="s">
        <v>90</v>
      </c>
      <c r="C3" s="73" t="s">
        <v>91</v>
      </c>
      <c r="D3" s="73" t="s">
        <v>92</v>
      </c>
      <c r="E3" s="75" t="s">
        <v>95</v>
      </c>
      <c r="F3" s="30" t="s">
        <v>53</v>
      </c>
      <c r="G3" s="30" t="s">
        <v>22</v>
      </c>
      <c r="H3" s="30" t="s">
        <v>3</v>
      </c>
      <c r="I3" s="30" t="s">
        <v>60</v>
      </c>
      <c r="J3" s="30" t="s">
        <v>52</v>
      </c>
      <c r="K3" s="30" t="s">
        <v>31</v>
      </c>
      <c r="L3" s="30" t="s">
        <v>32</v>
      </c>
    </row>
    <row r="4" spans="1:12" ht="38.25">
      <c r="A4" s="18" t="s">
        <v>44</v>
      </c>
      <c r="B4" s="25">
        <v>60</v>
      </c>
      <c r="C4" s="25">
        <v>2</v>
      </c>
      <c r="D4" s="25">
        <v>2</v>
      </c>
      <c r="E4" s="25">
        <v>0</v>
      </c>
      <c r="F4" s="25">
        <v>64</v>
      </c>
      <c r="G4" s="141">
        <f t="shared" ref="G4:G9" si="0">(B4+79.76)+(C4*116.03)+(D4*163.42)+(E4*35.78)</f>
        <v>698.66</v>
      </c>
      <c r="H4" s="143">
        <v>0</v>
      </c>
      <c r="I4" s="143">
        <v>25</v>
      </c>
      <c r="J4" s="25">
        <v>50</v>
      </c>
      <c r="K4" s="26">
        <f>F4*J4</f>
        <v>3200</v>
      </c>
      <c r="L4" s="141">
        <f>(G4+H4+I4)*J4</f>
        <v>36183</v>
      </c>
    </row>
    <row r="5" spans="1:12" ht="38.25">
      <c r="A5" s="18" t="s">
        <v>45</v>
      </c>
      <c r="B5" s="25">
        <v>160</v>
      </c>
      <c r="C5" s="25">
        <v>3</v>
      </c>
      <c r="D5" s="25">
        <v>1</v>
      </c>
      <c r="E5" s="25">
        <v>24</v>
      </c>
      <c r="F5" s="25">
        <v>188</v>
      </c>
      <c r="G5" s="141">
        <f t="shared" si="0"/>
        <v>1609.99</v>
      </c>
      <c r="H5" s="143">
        <v>0</v>
      </c>
      <c r="I5" s="143">
        <v>100</v>
      </c>
      <c r="J5" s="25">
        <v>50</v>
      </c>
      <c r="K5" s="26">
        <f>F5*J5</f>
        <v>9400</v>
      </c>
      <c r="L5" s="141">
        <f>(G5+H5+I5)*J5</f>
        <v>85499.5</v>
      </c>
    </row>
    <row r="6" spans="1:12" ht="25.5">
      <c r="A6" s="18" t="s">
        <v>46</v>
      </c>
      <c r="B6" s="25">
        <v>35</v>
      </c>
      <c r="C6" s="25">
        <v>2</v>
      </c>
      <c r="D6" s="25">
        <v>2</v>
      </c>
      <c r="E6" s="25">
        <v>4</v>
      </c>
      <c r="F6" s="25">
        <v>43</v>
      </c>
      <c r="G6" s="141">
        <f t="shared" si="0"/>
        <v>816.78</v>
      </c>
      <c r="H6" s="143">
        <v>0</v>
      </c>
      <c r="I6" s="143">
        <v>25</v>
      </c>
      <c r="J6" s="25">
        <v>50</v>
      </c>
      <c r="K6" s="26">
        <f>F6*J6</f>
        <v>2150</v>
      </c>
      <c r="L6" s="141">
        <f>(G6+H6+I6)*J6</f>
        <v>42089</v>
      </c>
    </row>
    <row r="7" spans="1:12" ht="25.5">
      <c r="A7" s="18" t="s">
        <v>47</v>
      </c>
      <c r="B7" s="25">
        <v>20</v>
      </c>
      <c r="C7" s="25">
        <v>1</v>
      </c>
      <c r="D7" s="25">
        <v>1</v>
      </c>
      <c r="E7" s="25">
        <v>4</v>
      </c>
      <c r="F7" s="25">
        <v>26</v>
      </c>
      <c r="G7" s="141">
        <f t="shared" si="0"/>
        <v>522.33000000000004</v>
      </c>
      <c r="H7" s="143">
        <v>0</v>
      </c>
      <c r="I7" s="143">
        <v>14</v>
      </c>
      <c r="J7" s="25">
        <v>50</v>
      </c>
      <c r="K7" s="26">
        <f>F7*J7</f>
        <v>1300</v>
      </c>
      <c r="L7" s="141">
        <f>(G7+H7+I7)*J7</f>
        <v>26816.500000000004</v>
      </c>
    </row>
    <row r="8" spans="1:12">
      <c r="A8" s="18" t="s">
        <v>48</v>
      </c>
      <c r="B8" s="25">
        <v>24</v>
      </c>
      <c r="C8" s="25"/>
      <c r="D8" s="25">
        <v>4</v>
      </c>
      <c r="E8" s="25"/>
      <c r="F8" s="25">
        <v>28</v>
      </c>
      <c r="G8" s="141">
        <f t="shared" si="0"/>
        <v>757.43999999999994</v>
      </c>
      <c r="H8" s="143">
        <v>0</v>
      </c>
      <c r="I8" s="143">
        <v>14</v>
      </c>
      <c r="J8" s="25">
        <v>50</v>
      </c>
      <c r="K8" s="26">
        <f>F8*J8</f>
        <v>1400</v>
      </c>
      <c r="L8" s="141">
        <f>(G8+H8+I8)*J8</f>
        <v>38572</v>
      </c>
    </row>
    <row r="9" spans="1:12" ht="18" customHeight="1">
      <c r="A9" s="137" t="s">
        <v>29</v>
      </c>
      <c r="B9" s="138">
        <v>299</v>
      </c>
      <c r="C9" s="138">
        <v>8</v>
      </c>
      <c r="D9" s="138">
        <v>10</v>
      </c>
      <c r="E9" s="138">
        <v>32</v>
      </c>
      <c r="F9" s="138">
        <v>349</v>
      </c>
      <c r="G9" s="142">
        <f t="shared" si="0"/>
        <v>4086.16</v>
      </c>
      <c r="H9" s="142">
        <v>0</v>
      </c>
      <c r="I9" s="142">
        <f>SUM(I4:I8)</f>
        <v>178</v>
      </c>
      <c r="J9" s="138" t="s">
        <v>17</v>
      </c>
      <c r="K9" s="138" t="s">
        <v>17</v>
      </c>
      <c r="L9" s="142" t="s">
        <v>17</v>
      </c>
    </row>
    <row r="10" spans="1:12" ht="21" customHeight="1">
      <c r="A10" s="137" t="s">
        <v>18</v>
      </c>
      <c r="B10" s="138" t="s">
        <v>17</v>
      </c>
      <c r="C10" s="138" t="s">
        <v>17</v>
      </c>
      <c r="D10" s="138" t="s">
        <v>17</v>
      </c>
      <c r="E10" s="138" t="s">
        <v>17</v>
      </c>
      <c r="F10" s="138" t="s">
        <v>17</v>
      </c>
      <c r="G10" s="142">
        <f>SUMPRODUCT(G4:G8, J4:J8)</f>
        <v>220260</v>
      </c>
      <c r="H10" s="142">
        <v>0</v>
      </c>
      <c r="I10" s="142">
        <f>I9*J10</f>
        <v>8900</v>
      </c>
      <c r="J10" s="139">
        <v>50</v>
      </c>
      <c r="K10" s="140">
        <f>SUM(K4:K8)</f>
        <v>17450</v>
      </c>
      <c r="L10" s="142">
        <f>SUM(L4:L8)</f>
        <v>229160</v>
      </c>
    </row>
    <row r="11" spans="1:12">
      <c r="A11" s="17" t="s">
        <v>38</v>
      </c>
      <c r="L11" s="57"/>
    </row>
    <row r="12" spans="1:12">
      <c r="A12" s="17" t="s">
        <v>49</v>
      </c>
    </row>
  </sheetData>
  <mergeCells count="3">
    <mergeCell ref="A1:L1"/>
    <mergeCell ref="B2:I2"/>
    <mergeCell ref="J2:L2"/>
  </mergeCells>
  <phoneticPr fontId="1" type="noConversion"/>
  <printOptions horizontalCentered="1" verticalCentered="1"/>
  <pageMargins left="0.75" right="0.75" top="1" bottom="1" header="0.5" footer="0.5"/>
  <pageSetup scale="8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zoomScale="85" workbookViewId="0">
      <selection sqref="A1:P1"/>
    </sheetView>
  </sheetViews>
  <sheetFormatPr defaultColWidth="9.77734375" defaultRowHeight="15"/>
  <cols>
    <col min="1" max="1" width="17" customWidth="1"/>
    <col min="2" max="2" width="7.6640625" customWidth="1"/>
    <col min="3" max="3" width="9.6640625" customWidth="1"/>
    <col min="4" max="4" width="8.6640625" customWidth="1"/>
    <col min="5" max="5" width="8.21875" customWidth="1"/>
    <col min="6" max="6" width="8.109375" customWidth="1"/>
    <col min="7" max="7" width="9.5546875" customWidth="1"/>
    <col min="8" max="8" width="9.44140625" customWidth="1"/>
    <col min="9" max="9" width="11.6640625" customWidth="1"/>
    <col min="10" max="10" width="9.88671875" style="2" bestFit="1" customWidth="1"/>
    <col min="11" max="11" width="7.109375" customWidth="1"/>
    <col min="12" max="12" width="12.44140625" style="2" customWidth="1"/>
    <col min="13" max="13" width="9.44140625" customWidth="1"/>
    <col min="14" max="14" width="10.44140625" customWidth="1"/>
    <col min="15" max="15" width="7.21875" style="1" customWidth="1"/>
    <col min="16" max="16" width="13.77734375" customWidth="1"/>
    <col min="17" max="17" width="10.21875" customWidth="1"/>
    <col min="18" max="18" width="8.21875" customWidth="1"/>
    <col min="19" max="20" width="12.33203125" customWidth="1"/>
    <col min="21" max="253" width="10.21875" customWidth="1"/>
  </cols>
  <sheetData>
    <row r="1" spans="1:18">
      <c r="A1" s="187" t="s">
        <v>149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3"/>
      <c r="R1" s="3"/>
    </row>
    <row r="2" spans="1:18">
      <c r="A2" s="22"/>
      <c r="B2" s="187" t="s">
        <v>61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 t="s">
        <v>56</v>
      </c>
      <c r="N2" s="187"/>
      <c r="O2" s="187"/>
      <c r="P2" s="187"/>
      <c r="Q2" s="3"/>
      <c r="R2" s="3"/>
    </row>
    <row r="3" spans="1:18" ht="38.25">
      <c r="A3" s="23" t="s">
        <v>1</v>
      </c>
      <c r="B3" s="73" t="s">
        <v>90</v>
      </c>
      <c r="C3" s="73" t="s">
        <v>91</v>
      </c>
      <c r="D3" s="73" t="s">
        <v>92</v>
      </c>
      <c r="E3" s="75" t="s">
        <v>95</v>
      </c>
      <c r="F3" s="74" t="s">
        <v>93</v>
      </c>
      <c r="G3" s="32" t="s">
        <v>96</v>
      </c>
      <c r="H3" s="74" t="s">
        <v>94</v>
      </c>
      <c r="I3" s="32" t="s">
        <v>59</v>
      </c>
      <c r="J3" s="32" t="s">
        <v>2</v>
      </c>
      <c r="K3" s="32" t="s">
        <v>3</v>
      </c>
      <c r="L3" s="32" t="s">
        <v>68</v>
      </c>
      <c r="M3" s="32" t="s">
        <v>4</v>
      </c>
      <c r="N3" s="32" t="s">
        <v>52</v>
      </c>
      <c r="O3" s="32" t="s">
        <v>5</v>
      </c>
      <c r="P3" s="32" t="s">
        <v>6</v>
      </c>
      <c r="Q3" s="3"/>
      <c r="R3" s="3"/>
    </row>
    <row r="4" spans="1:18" ht="25.5">
      <c r="A4" s="18" t="s">
        <v>7</v>
      </c>
      <c r="B4" s="24">
        <v>45</v>
      </c>
      <c r="C4" s="26">
        <v>5</v>
      </c>
      <c r="D4" s="26">
        <v>8</v>
      </c>
      <c r="E4" s="26">
        <v>0</v>
      </c>
      <c r="F4" s="26">
        <v>0</v>
      </c>
      <c r="G4" s="26">
        <v>0</v>
      </c>
      <c r="H4" s="26">
        <v>0</v>
      </c>
      <c r="I4" s="26">
        <v>58</v>
      </c>
      <c r="J4" s="27">
        <f t="shared" ref="J4:J19" si="0">(B4*79.76)+(C4*116.03)+(D4*163.42)+(E4*35.78)+(F4*48.66)+(G4*33.79)+(H4*37.93)</f>
        <v>5476.71</v>
      </c>
      <c r="K4" s="27">
        <v>0</v>
      </c>
      <c r="L4" s="27">
        <v>0</v>
      </c>
      <c r="M4" s="26">
        <v>1</v>
      </c>
      <c r="N4" s="26">
        <v>179</v>
      </c>
      <c r="O4" s="135">
        <f>I4*M4*N4</f>
        <v>10382</v>
      </c>
      <c r="P4" s="27">
        <f t="shared" ref="P4:P9" si="1">(J4+K4+L4)*M4*N4</f>
        <v>980331.09</v>
      </c>
      <c r="Q4" s="3"/>
      <c r="R4" s="3"/>
    </row>
    <row r="5" spans="1:18">
      <c r="A5" s="18" t="s">
        <v>8</v>
      </c>
      <c r="B5" s="24">
        <v>8</v>
      </c>
      <c r="C5" s="26">
        <v>0</v>
      </c>
      <c r="D5" s="26">
        <v>0</v>
      </c>
      <c r="E5" s="26">
        <v>0</v>
      </c>
      <c r="F5" s="26">
        <v>1</v>
      </c>
      <c r="G5" s="26">
        <v>0</v>
      </c>
      <c r="H5" s="26">
        <v>0</v>
      </c>
      <c r="I5" s="26">
        <v>9</v>
      </c>
      <c r="J5" s="27">
        <f t="shared" si="0"/>
        <v>686.74</v>
      </c>
      <c r="K5" s="27">
        <v>0</v>
      </c>
      <c r="L5" s="27">
        <v>40</v>
      </c>
      <c r="M5" s="26">
        <v>1</v>
      </c>
      <c r="N5" s="26">
        <v>179</v>
      </c>
      <c r="O5" s="135">
        <f>I5*M5*N5</f>
        <v>1611</v>
      </c>
      <c r="P5" s="27">
        <f t="shared" si="1"/>
        <v>130086.46</v>
      </c>
      <c r="Q5" s="3"/>
      <c r="R5" s="3"/>
    </row>
    <row r="6" spans="1:18" ht="38.25">
      <c r="A6" s="18" t="s">
        <v>9</v>
      </c>
      <c r="B6" s="24">
        <v>11</v>
      </c>
      <c r="C6" s="26">
        <v>1</v>
      </c>
      <c r="D6" s="26">
        <v>0</v>
      </c>
      <c r="E6" s="26">
        <v>1</v>
      </c>
      <c r="F6" s="26">
        <v>0</v>
      </c>
      <c r="G6" s="26">
        <v>0</v>
      </c>
      <c r="H6" s="26">
        <v>0</v>
      </c>
      <c r="I6" s="26">
        <v>13</v>
      </c>
      <c r="J6" s="27">
        <f t="shared" si="0"/>
        <v>1029.17</v>
      </c>
      <c r="K6" s="27">
        <v>0</v>
      </c>
      <c r="L6" s="27">
        <v>20</v>
      </c>
      <c r="M6" s="26">
        <v>1</v>
      </c>
      <c r="N6" s="26">
        <v>179</v>
      </c>
      <c r="O6" s="135">
        <f t="shared" ref="O6:O11" si="2">I6*M6*N6</f>
        <v>2327</v>
      </c>
      <c r="P6" s="27">
        <f t="shared" si="1"/>
        <v>187801.43000000002</v>
      </c>
      <c r="Q6" s="3"/>
      <c r="R6" s="3"/>
    </row>
    <row r="7" spans="1:18" ht="25.5">
      <c r="A7" s="18" t="s">
        <v>41</v>
      </c>
      <c r="B7" s="24">
        <v>4</v>
      </c>
      <c r="C7" s="26">
        <v>0</v>
      </c>
      <c r="D7" s="26">
        <v>0</v>
      </c>
      <c r="E7" s="26">
        <v>0</v>
      </c>
      <c r="F7" s="26">
        <v>1</v>
      </c>
      <c r="G7" s="26">
        <v>1</v>
      </c>
      <c r="H7" s="26">
        <v>1</v>
      </c>
      <c r="I7" s="26">
        <v>7</v>
      </c>
      <c r="J7" s="27">
        <f t="shared" si="0"/>
        <v>439.42000000000007</v>
      </c>
      <c r="K7" s="27">
        <v>0</v>
      </c>
      <c r="L7" s="27">
        <v>20</v>
      </c>
      <c r="M7" s="26">
        <v>1</v>
      </c>
      <c r="N7" s="26">
        <v>179</v>
      </c>
      <c r="O7" s="135">
        <f t="shared" si="2"/>
        <v>1253</v>
      </c>
      <c r="P7" s="27">
        <f t="shared" si="1"/>
        <v>82236.180000000008</v>
      </c>
      <c r="Q7" s="3"/>
      <c r="R7" s="3"/>
    </row>
    <row r="8" spans="1:18">
      <c r="A8" s="18" t="s">
        <v>10</v>
      </c>
      <c r="B8" s="24">
        <v>1</v>
      </c>
      <c r="C8" s="26">
        <v>0</v>
      </c>
      <c r="D8" s="26">
        <v>0</v>
      </c>
      <c r="E8" s="26">
        <v>0</v>
      </c>
      <c r="F8" s="26">
        <v>6</v>
      </c>
      <c r="G8" s="26">
        <v>0</v>
      </c>
      <c r="H8" s="26">
        <v>0</v>
      </c>
      <c r="I8" s="26">
        <v>7</v>
      </c>
      <c r="J8" s="27">
        <f t="shared" si="0"/>
        <v>371.71999999999997</v>
      </c>
      <c r="K8" s="27">
        <v>0</v>
      </c>
      <c r="L8" s="27">
        <v>0</v>
      </c>
      <c r="M8" s="26">
        <v>4</v>
      </c>
      <c r="N8" s="26">
        <v>179</v>
      </c>
      <c r="O8" s="135">
        <f t="shared" si="2"/>
        <v>5012</v>
      </c>
      <c r="P8" s="27">
        <f t="shared" si="1"/>
        <v>266151.51999999996</v>
      </c>
      <c r="Q8" s="3"/>
      <c r="R8" s="3"/>
    </row>
    <row r="9" spans="1:18">
      <c r="A9" s="18" t="s">
        <v>11</v>
      </c>
      <c r="B9" s="24">
        <v>8</v>
      </c>
      <c r="C9" s="26">
        <v>0</v>
      </c>
      <c r="D9" s="26">
        <v>0</v>
      </c>
      <c r="E9" s="26">
        <v>0</v>
      </c>
      <c r="F9" s="26">
        <v>12</v>
      </c>
      <c r="G9" s="26">
        <v>2</v>
      </c>
      <c r="H9" s="26">
        <v>0</v>
      </c>
      <c r="I9" s="26">
        <v>22</v>
      </c>
      <c r="J9" s="27">
        <f t="shared" si="0"/>
        <v>1289.58</v>
      </c>
      <c r="K9" s="27">
        <v>0</v>
      </c>
      <c r="L9" s="27">
        <v>300</v>
      </c>
      <c r="M9" s="36">
        <v>10</v>
      </c>
      <c r="N9" s="26">
        <v>37</v>
      </c>
      <c r="O9" s="135">
        <f t="shared" si="2"/>
        <v>8140</v>
      </c>
      <c r="P9" s="27">
        <f t="shared" si="1"/>
        <v>588144.6</v>
      </c>
    </row>
    <row r="10" spans="1:18">
      <c r="A10" s="18" t="s">
        <v>71</v>
      </c>
      <c r="B10" s="24">
        <v>8</v>
      </c>
      <c r="C10" s="26">
        <v>0</v>
      </c>
      <c r="D10" s="26">
        <v>0</v>
      </c>
      <c r="E10" s="26">
        <v>1</v>
      </c>
      <c r="F10" s="26">
        <v>0</v>
      </c>
      <c r="G10" s="26">
        <v>0</v>
      </c>
      <c r="H10" s="26">
        <v>0</v>
      </c>
      <c r="I10" s="26">
        <v>9</v>
      </c>
      <c r="J10" s="27">
        <f t="shared" si="0"/>
        <v>673.86</v>
      </c>
      <c r="K10" s="27">
        <v>0</v>
      </c>
      <c r="L10" s="27">
        <v>30</v>
      </c>
      <c r="M10" s="26">
        <v>4</v>
      </c>
      <c r="N10" s="26">
        <v>37</v>
      </c>
      <c r="O10" s="135">
        <f t="shared" si="2"/>
        <v>1332</v>
      </c>
      <c r="P10" s="27">
        <f t="shared" ref="P10:P18" si="3">(J10+K10+L10)*M10*N10</f>
        <v>104171.28</v>
      </c>
    </row>
    <row r="11" spans="1:18" ht="38.25">
      <c r="A11" s="42" t="s">
        <v>72</v>
      </c>
      <c r="B11" s="152">
        <v>4</v>
      </c>
      <c r="C11" s="153">
        <v>0</v>
      </c>
      <c r="D11" s="153">
        <v>0</v>
      </c>
      <c r="E11" s="153">
        <v>0</v>
      </c>
      <c r="F11" s="153">
        <v>60</v>
      </c>
      <c r="G11" s="153">
        <v>0</v>
      </c>
      <c r="H11" s="153">
        <v>0</v>
      </c>
      <c r="I11" s="153">
        <v>64</v>
      </c>
      <c r="J11" s="90">
        <f t="shared" si="0"/>
        <v>3238.64</v>
      </c>
      <c r="K11" s="90">
        <v>0</v>
      </c>
      <c r="L11" s="90">
        <v>100</v>
      </c>
      <c r="M11" s="153">
        <v>1</v>
      </c>
      <c r="N11" s="153">
        <v>179</v>
      </c>
      <c r="O11" s="135">
        <f t="shared" si="2"/>
        <v>11456</v>
      </c>
      <c r="P11" s="90">
        <f t="shared" si="3"/>
        <v>597616.55999999994</v>
      </c>
    </row>
    <row r="12" spans="1:18">
      <c r="A12" s="150" t="s">
        <v>12</v>
      </c>
      <c r="B12" s="154"/>
      <c r="C12" s="155"/>
      <c r="D12" s="155"/>
      <c r="E12" s="155"/>
      <c r="F12" s="155"/>
      <c r="G12" s="155"/>
      <c r="H12" s="155"/>
      <c r="I12" s="155"/>
      <c r="J12" s="156"/>
      <c r="K12" s="156"/>
      <c r="L12" s="156"/>
      <c r="M12" s="156"/>
      <c r="N12" s="156"/>
      <c r="O12" s="156"/>
      <c r="P12" s="151"/>
    </row>
    <row r="13" spans="1:18">
      <c r="A13" s="145" t="s">
        <v>87</v>
      </c>
      <c r="B13" s="158"/>
      <c r="C13" s="159"/>
      <c r="D13" s="159"/>
      <c r="E13" s="159"/>
      <c r="F13" s="159"/>
      <c r="G13" s="159"/>
      <c r="H13" s="159"/>
      <c r="I13" s="159"/>
      <c r="J13" s="160"/>
      <c r="K13" s="157"/>
      <c r="L13" s="146">
        <f>17000/3</f>
        <v>5666.666666666667</v>
      </c>
      <c r="M13" s="106">
        <f>240/N13</f>
        <v>11.428571428571429</v>
      </c>
      <c r="N13" s="149">
        <v>21</v>
      </c>
      <c r="O13" s="135">
        <f t="shared" ref="O13:O18" si="4">I13*M13*N13</f>
        <v>0</v>
      </c>
      <c r="P13" s="92">
        <f t="shared" ref="P13:P15" si="5">(J13+K13+L13)*M13*N13</f>
        <v>1360000</v>
      </c>
    </row>
    <row r="14" spans="1:18">
      <c r="A14" s="145" t="s">
        <v>86</v>
      </c>
      <c r="B14" s="154"/>
      <c r="C14" s="155"/>
      <c r="D14" s="155"/>
      <c r="E14" s="155"/>
      <c r="F14" s="155"/>
      <c r="G14" s="155"/>
      <c r="H14" s="155"/>
      <c r="I14" s="155"/>
      <c r="J14" s="156"/>
      <c r="K14" s="151"/>
      <c r="L14" s="147">
        <f>35510/3</f>
        <v>11836.666666666666</v>
      </c>
      <c r="M14" s="36">
        <f>42/N14</f>
        <v>6</v>
      </c>
      <c r="N14" s="26">
        <v>7</v>
      </c>
      <c r="O14" s="135">
        <f t="shared" si="4"/>
        <v>0</v>
      </c>
      <c r="P14" s="27">
        <f t="shared" si="5"/>
        <v>497140</v>
      </c>
    </row>
    <row r="15" spans="1:18">
      <c r="A15" s="145" t="s">
        <v>125</v>
      </c>
      <c r="B15" s="154"/>
      <c r="C15" s="155"/>
      <c r="D15" s="155"/>
      <c r="E15" s="155"/>
      <c r="F15" s="155"/>
      <c r="G15" s="155"/>
      <c r="H15" s="155"/>
      <c r="I15" s="155"/>
      <c r="J15" s="156"/>
      <c r="K15" s="151"/>
      <c r="L15" s="147">
        <f>45000/3</f>
        <v>15000</v>
      </c>
      <c r="M15" s="36">
        <f>39/N15</f>
        <v>3.25</v>
      </c>
      <c r="N15" s="26">
        <v>12</v>
      </c>
      <c r="O15" s="135">
        <f t="shared" si="4"/>
        <v>0</v>
      </c>
      <c r="P15" s="27">
        <f t="shared" si="5"/>
        <v>585000</v>
      </c>
    </row>
    <row r="16" spans="1:18">
      <c r="A16" s="18" t="s">
        <v>73</v>
      </c>
      <c r="B16" s="148">
        <v>2</v>
      </c>
      <c r="C16" s="149">
        <v>1</v>
      </c>
      <c r="D16" s="149">
        <v>2</v>
      </c>
      <c r="E16" s="149">
        <v>2</v>
      </c>
      <c r="F16" s="149">
        <v>0</v>
      </c>
      <c r="G16" s="149">
        <v>0</v>
      </c>
      <c r="H16" s="149">
        <v>0</v>
      </c>
      <c r="I16" s="149">
        <v>7</v>
      </c>
      <c r="J16" s="92">
        <f t="shared" si="0"/>
        <v>673.95</v>
      </c>
      <c r="K16" s="92">
        <v>0</v>
      </c>
      <c r="L16" s="27">
        <v>21</v>
      </c>
      <c r="M16" s="26">
        <v>1</v>
      </c>
      <c r="N16" s="26">
        <v>142</v>
      </c>
      <c r="O16" s="135">
        <f t="shared" si="4"/>
        <v>994</v>
      </c>
      <c r="P16" s="27">
        <f t="shared" si="3"/>
        <v>98682.900000000009</v>
      </c>
    </row>
    <row r="17" spans="1:16" ht="25.5">
      <c r="A17" s="18" t="s">
        <v>13</v>
      </c>
      <c r="B17" s="24">
        <v>8</v>
      </c>
      <c r="C17" s="26">
        <v>1</v>
      </c>
      <c r="D17" s="26">
        <v>1</v>
      </c>
      <c r="E17" s="26">
        <v>2</v>
      </c>
      <c r="F17" s="26">
        <v>0</v>
      </c>
      <c r="G17" s="26">
        <v>0</v>
      </c>
      <c r="H17" s="26">
        <v>0</v>
      </c>
      <c r="I17" s="26">
        <v>12</v>
      </c>
      <c r="J17" s="27">
        <f t="shared" si="0"/>
        <v>989.08999999999992</v>
      </c>
      <c r="K17" s="27">
        <v>0</v>
      </c>
      <c r="L17" s="27">
        <v>5</v>
      </c>
      <c r="M17" s="26">
        <v>4</v>
      </c>
      <c r="N17" s="26">
        <v>179</v>
      </c>
      <c r="O17" s="135">
        <f t="shared" si="4"/>
        <v>8592</v>
      </c>
      <c r="P17" s="27">
        <f t="shared" si="3"/>
        <v>711768.44</v>
      </c>
    </row>
    <row r="18" spans="1:16" ht="25.5">
      <c r="A18" s="18" t="s">
        <v>14</v>
      </c>
      <c r="B18" s="26">
        <v>2</v>
      </c>
      <c r="C18" s="26">
        <v>0</v>
      </c>
      <c r="D18" s="26">
        <v>0</v>
      </c>
      <c r="E18" s="26">
        <v>3</v>
      </c>
      <c r="F18" s="26">
        <v>0</v>
      </c>
      <c r="G18" s="26">
        <v>1</v>
      </c>
      <c r="H18" s="26">
        <v>0</v>
      </c>
      <c r="I18" s="26">
        <v>6</v>
      </c>
      <c r="J18" s="27">
        <f t="shared" si="0"/>
        <v>300.65000000000003</v>
      </c>
      <c r="K18" s="27">
        <v>0</v>
      </c>
      <c r="L18" s="27">
        <v>2</v>
      </c>
      <c r="M18" s="26">
        <v>4</v>
      </c>
      <c r="N18" s="26">
        <v>179</v>
      </c>
      <c r="O18" s="135">
        <f t="shared" si="4"/>
        <v>4296</v>
      </c>
      <c r="P18" s="27">
        <f t="shared" si="3"/>
        <v>216697.40000000002</v>
      </c>
    </row>
    <row r="19" spans="1:16" ht="25.5">
      <c r="A19" s="58" t="s">
        <v>15</v>
      </c>
      <c r="B19" s="59">
        <v>101</v>
      </c>
      <c r="C19" s="59">
        <v>8</v>
      </c>
      <c r="D19" s="59">
        <v>11</v>
      </c>
      <c r="E19" s="59">
        <v>9</v>
      </c>
      <c r="F19" s="59">
        <v>80</v>
      </c>
      <c r="G19" s="59">
        <v>4</v>
      </c>
      <c r="H19" s="59">
        <v>1</v>
      </c>
      <c r="I19" s="60">
        <v>214</v>
      </c>
      <c r="J19" s="61">
        <f t="shared" si="0"/>
        <v>15169.529999999999</v>
      </c>
      <c r="K19" s="62">
        <v>0</v>
      </c>
      <c r="L19" s="63" t="s">
        <v>16</v>
      </c>
      <c r="M19" s="60" t="s">
        <v>16</v>
      </c>
      <c r="N19" s="60" t="s">
        <v>17</v>
      </c>
      <c r="O19" s="60" t="s">
        <v>17</v>
      </c>
      <c r="P19" s="61" t="s">
        <v>17</v>
      </c>
    </row>
    <row r="20" spans="1:16">
      <c r="A20" s="58" t="s">
        <v>18</v>
      </c>
      <c r="B20" s="60" t="s">
        <v>17</v>
      </c>
      <c r="C20" s="60" t="s">
        <v>17</v>
      </c>
      <c r="D20" s="60" t="s">
        <v>17</v>
      </c>
      <c r="E20" s="60" t="s">
        <v>17</v>
      </c>
      <c r="F20" s="60" t="s">
        <v>17</v>
      </c>
      <c r="G20" s="60" t="s">
        <v>17</v>
      </c>
      <c r="H20" s="60" t="s">
        <v>17</v>
      </c>
      <c r="I20" s="60" t="s">
        <v>17</v>
      </c>
      <c r="J20" s="65">
        <f>SUMPRODUCT(J4:J18, M4:M18, N4:N18)</f>
        <v>3808033.8599999994</v>
      </c>
      <c r="K20" s="65">
        <v>0</v>
      </c>
      <c r="L20" s="65">
        <f>SUMPRODUCT(L4:L18, M4:M18, N4:N18)</f>
        <v>2597794</v>
      </c>
      <c r="M20" s="64" t="s">
        <v>17</v>
      </c>
      <c r="N20" s="64">
        <v>179</v>
      </c>
      <c r="O20" s="64">
        <f>SUM(O4:O18)</f>
        <v>55395</v>
      </c>
      <c r="P20" s="64">
        <f>SUM(P4:P18)</f>
        <v>6405827.8599999994</v>
      </c>
    </row>
    <row r="21" spans="1:16">
      <c r="A21" s="3" t="s">
        <v>19</v>
      </c>
      <c r="B21" s="3"/>
      <c r="C21" s="3"/>
      <c r="D21" s="3"/>
      <c r="E21" s="3"/>
      <c r="F21" s="3"/>
      <c r="G21" s="3"/>
      <c r="H21" s="3"/>
      <c r="I21" s="3"/>
      <c r="J21" s="5"/>
      <c r="K21" s="3"/>
      <c r="L21" s="5"/>
      <c r="M21" s="3"/>
      <c r="N21" s="3"/>
      <c r="O21" s="4"/>
      <c r="P21" s="68"/>
    </row>
    <row r="22" spans="1:16">
      <c r="A22" s="3" t="s">
        <v>20</v>
      </c>
      <c r="B22" s="3"/>
      <c r="C22" s="3"/>
      <c r="D22" s="3"/>
      <c r="E22" s="3"/>
      <c r="F22" s="3"/>
      <c r="G22" s="3"/>
      <c r="H22" s="3"/>
      <c r="I22" s="3"/>
      <c r="M22" s="3"/>
      <c r="N22" s="3"/>
      <c r="O22" s="4"/>
      <c r="P22" s="3"/>
    </row>
    <row r="23" spans="1:16">
      <c r="A23" s="20" t="s">
        <v>75</v>
      </c>
      <c r="B23" s="3"/>
      <c r="C23" s="3"/>
      <c r="D23" s="3"/>
      <c r="E23" s="3"/>
      <c r="F23" s="3"/>
      <c r="G23" s="3"/>
      <c r="H23" s="3"/>
      <c r="I23" s="3"/>
      <c r="J23" s="5"/>
      <c r="K23" s="7"/>
      <c r="L23" s="3"/>
      <c r="M23" s="3"/>
      <c r="N23" s="3"/>
      <c r="O23" s="4"/>
      <c r="P23" s="3"/>
    </row>
  </sheetData>
  <mergeCells count="3">
    <mergeCell ref="B2:L2"/>
    <mergeCell ref="M2:P2"/>
    <mergeCell ref="A1:P1"/>
  </mergeCells>
  <phoneticPr fontId="1" type="noConversion"/>
  <pageMargins left="0.75" right="0.75" top="1" bottom="1" header="0.5" footer="0.5"/>
  <pageSetup scale="63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4"/>
  <sheetViews>
    <sheetView tabSelected="1" topLeftCell="C1" zoomScale="85" workbookViewId="0">
      <selection activeCell="O21" sqref="O21"/>
    </sheetView>
  </sheetViews>
  <sheetFormatPr defaultRowHeight="11.25"/>
  <cols>
    <col min="1" max="1" width="16.21875" style="3" customWidth="1"/>
    <col min="2" max="2" width="7.77734375" style="3" customWidth="1"/>
    <col min="3" max="4" width="8.33203125" style="3" customWidth="1"/>
    <col min="5" max="5" width="7.44140625" style="3" customWidth="1"/>
    <col min="6" max="6" width="8.5546875" style="3" customWidth="1"/>
    <col min="7" max="7" width="9.21875" style="3" customWidth="1"/>
    <col min="8" max="8" width="8.77734375" style="3" customWidth="1"/>
    <col min="9" max="9" width="10.6640625" style="3" customWidth="1"/>
    <col min="10" max="10" width="10.33203125" style="3" customWidth="1"/>
    <col min="11" max="11" width="6.6640625" style="3" customWidth="1"/>
    <col min="12" max="12" width="11.21875" style="3" customWidth="1"/>
    <col min="13" max="13" width="8.5546875" style="3" customWidth="1"/>
    <col min="14" max="14" width="10.88671875" style="3" customWidth="1"/>
    <col min="15" max="15" width="5.6640625" style="3" customWidth="1"/>
    <col min="16" max="16" width="10" style="3" customWidth="1"/>
    <col min="17" max="16384" width="8.88671875" style="3"/>
  </cols>
  <sheetData>
    <row r="1" spans="1:16" ht="12.75">
      <c r="A1" s="187" t="s">
        <v>150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2" spans="1:16" ht="12.75">
      <c r="A2" s="22"/>
      <c r="B2" s="187" t="s">
        <v>21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 t="s">
        <v>0</v>
      </c>
      <c r="O2" s="187"/>
      <c r="P2" s="187"/>
    </row>
    <row r="3" spans="1:16" ht="38.25">
      <c r="A3" s="23" t="s">
        <v>1</v>
      </c>
      <c r="B3" s="73" t="s">
        <v>90</v>
      </c>
      <c r="C3" s="73" t="s">
        <v>91</v>
      </c>
      <c r="D3" s="73" t="s">
        <v>92</v>
      </c>
      <c r="E3" s="103" t="s">
        <v>95</v>
      </c>
      <c r="F3" s="74" t="s">
        <v>93</v>
      </c>
      <c r="G3" s="32" t="s">
        <v>96</v>
      </c>
      <c r="H3" s="74" t="s">
        <v>94</v>
      </c>
      <c r="I3" s="35" t="s">
        <v>64</v>
      </c>
      <c r="J3" s="35" t="s">
        <v>22</v>
      </c>
      <c r="K3" s="35" t="s">
        <v>3</v>
      </c>
      <c r="L3" s="35" t="s">
        <v>58</v>
      </c>
      <c r="M3" s="35" t="s">
        <v>4</v>
      </c>
      <c r="N3" s="35" t="s">
        <v>52</v>
      </c>
      <c r="O3" s="35" t="s">
        <v>5</v>
      </c>
      <c r="P3" s="35" t="s">
        <v>6</v>
      </c>
    </row>
    <row r="4" spans="1:16" ht="25.5">
      <c r="A4" s="19" t="s">
        <v>7</v>
      </c>
      <c r="B4" s="26">
        <v>7</v>
      </c>
      <c r="C4" s="26">
        <v>1</v>
      </c>
      <c r="D4" s="26">
        <v>1</v>
      </c>
      <c r="E4" s="26">
        <v>0</v>
      </c>
      <c r="F4" s="26">
        <v>0</v>
      </c>
      <c r="G4" s="26">
        <v>0</v>
      </c>
      <c r="H4" s="26">
        <v>0</v>
      </c>
      <c r="I4" s="26">
        <v>9</v>
      </c>
      <c r="J4" s="141">
        <f t="shared" ref="J4:J19" si="0">(B4*79.76)+(C4*116.03)+(D4*163.42)+(E4*35.78)+(F4*48.66)+(G4*33.79)+(H4*37.93)</f>
        <v>837.77</v>
      </c>
      <c r="K4" s="141">
        <v>0</v>
      </c>
      <c r="L4" s="141">
        <v>0</v>
      </c>
      <c r="M4" s="26">
        <v>1</v>
      </c>
      <c r="N4" s="26">
        <v>40</v>
      </c>
      <c r="O4" s="135">
        <f>I4*M4*N4</f>
        <v>360</v>
      </c>
      <c r="P4" s="141">
        <f>(J4+K4+L4)*M4*N4</f>
        <v>33510.800000000003</v>
      </c>
    </row>
    <row r="5" spans="1:16" ht="12.75">
      <c r="A5" s="19" t="s">
        <v>8</v>
      </c>
      <c r="B5" s="26">
        <v>2</v>
      </c>
      <c r="C5" s="26">
        <v>0</v>
      </c>
      <c r="D5" s="26">
        <v>0</v>
      </c>
      <c r="E5" s="26">
        <v>0</v>
      </c>
      <c r="F5" s="26">
        <v>1</v>
      </c>
      <c r="G5" s="26">
        <v>0</v>
      </c>
      <c r="H5" s="26">
        <v>0</v>
      </c>
      <c r="I5" s="26">
        <v>3</v>
      </c>
      <c r="J5" s="141">
        <f t="shared" si="0"/>
        <v>208.18</v>
      </c>
      <c r="K5" s="141">
        <v>0</v>
      </c>
      <c r="L5" s="141">
        <v>120</v>
      </c>
      <c r="M5" s="26">
        <v>1</v>
      </c>
      <c r="N5" s="26">
        <v>40</v>
      </c>
      <c r="O5" s="135">
        <f t="shared" ref="O5:O18" si="1">I5*M5*N5</f>
        <v>120</v>
      </c>
      <c r="P5" s="141">
        <f t="shared" ref="P5:P18" si="2">(J5+K5+L5)*M5*N5</f>
        <v>13127.2</v>
      </c>
    </row>
    <row r="6" spans="1:16" ht="12.75">
      <c r="A6" s="19" t="s">
        <v>23</v>
      </c>
      <c r="B6" s="26">
        <v>16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16</v>
      </c>
      <c r="J6" s="141">
        <f t="shared" si="0"/>
        <v>1276.1600000000001</v>
      </c>
      <c r="K6" s="141">
        <v>0</v>
      </c>
      <c r="L6" s="141">
        <v>20</v>
      </c>
      <c r="M6" s="26">
        <v>1</v>
      </c>
      <c r="N6" s="26">
        <v>40</v>
      </c>
      <c r="O6" s="135">
        <f t="shared" si="1"/>
        <v>640</v>
      </c>
      <c r="P6" s="141">
        <f t="shared" si="2"/>
        <v>51846.400000000001</v>
      </c>
    </row>
    <row r="7" spans="1:16" ht="12.75">
      <c r="A7" s="19" t="s">
        <v>24</v>
      </c>
      <c r="B7" s="26">
        <v>2</v>
      </c>
      <c r="C7" s="26">
        <v>1</v>
      </c>
      <c r="D7" s="26">
        <v>0</v>
      </c>
      <c r="E7" s="26">
        <v>2</v>
      </c>
      <c r="F7" s="26">
        <v>0</v>
      </c>
      <c r="G7" s="26">
        <v>0</v>
      </c>
      <c r="H7" s="26">
        <v>0</v>
      </c>
      <c r="I7" s="26">
        <v>5</v>
      </c>
      <c r="J7" s="141">
        <f t="shared" si="0"/>
        <v>347.11</v>
      </c>
      <c r="K7" s="141">
        <v>0</v>
      </c>
      <c r="L7" s="141">
        <v>100</v>
      </c>
      <c r="M7" s="26">
        <v>1</v>
      </c>
      <c r="N7" s="26">
        <v>40</v>
      </c>
      <c r="O7" s="135">
        <f t="shared" si="1"/>
        <v>200</v>
      </c>
      <c r="P7" s="141">
        <f t="shared" si="2"/>
        <v>17884.400000000001</v>
      </c>
    </row>
    <row r="8" spans="1:16" ht="12.75">
      <c r="A8" s="19" t="s">
        <v>25</v>
      </c>
      <c r="B8" s="26">
        <v>1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4</v>
      </c>
      <c r="I8" s="26">
        <v>5</v>
      </c>
      <c r="J8" s="141">
        <f t="shared" si="0"/>
        <v>231.48000000000002</v>
      </c>
      <c r="K8" s="141">
        <v>0</v>
      </c>
      <c r="L8" s="141">
        <v>200</v>
      </c>
      <c r="M8" s="26">
        <v>1</v>
      </c>
      <c r="N8" s="26">
        <v>40</v>
      </c>
      <c r="O8" s="135">
        <f t="shared" si="1"/>
        <v>200</v>
      </c>
      <c r="P8" s="141">
        <f t="shared" si="2"/>
        <v>17259.2</v>
      </c>
    </row>
    <row r="9" spans="1:16" ht="12.75">
      <c r="A9" s="19" t="s">
        <v>26</v>
      </c>
      <c r="B9" s="26">
        <v>1</v>
      </c>
      <c r="C9" s="26">
        <v>0</v>
      </c>
      <c r="D9" s="26">
        <v>0</v>
      </c>
      <c r="E9" s="26">
        <v>0</v>
      </c>
      <c r="F9" s="26">
        <v>3</v>
      </c>
      <c r="G9" s="26">
        <v>33</v>
      </c>
      <c r="H9" s="26">
        <v>0</v>
      </c>
      <c r="I9" s="26">
        <v>37</v>
      </c>
      <c r="J9" s="141">
        <f t="shared" si="0"/>
        <v>1340.81</v>
      </c>
      <c r="K9" s="141">
        <v>0</v>
      </c>
      <c r="L9" s="141">
        <v>210</v>
      </c>
      <c r="M9" s="26">
        <v>1</v>
      </c>
      <c r="N9" s="26">
        <v>40</v>
      </c>
      <c r="O9" s="135">
        <f t="shared" si="1"/>
        <v>1480</v>
      </c>
      <c r="P9" s="141">
        <f t="shared" si="2"/>
        <v>62032.399999999994</v>
      </c>
    </row>
    <row r="10" spans="1:16" ht="12.75">
      <c r="A10" s="43" t="s">
        <v>126</v>
      </c>
      <c r="B10" s="26">
        <v>8</v>
      </c>
      <c r="C10" s="26">
        <v>0</v>
      </c>
      <c r="D10" s="26">
        <v>0</v>
      </c>
      <c r="E10" s="26">
        <v>0</v>
      </c>
      <c r="F10" s="26">
        <v>38</v>
      </c>
      <c r="G10" s="26">
        <v>1</v>
      </c>
      <c r="H10" s="26">
        <v>1</v>
      </c>
      <c r="I10" s="26">
        <v>48</v>
      </c>
      <c r="J10" s="141">
        <f t="shared" si="0"/>
        <v>2558.8799999999997</v>
      </c>
      <c r="K10" s="141">
        <v>0</v>
      </c>
      <c r="L10" s="141">
        <v>900</v>
      </c>
      <c r="M10" s="26">
        <v>1</v>
      </c>
      <c r="N10" s="26">
        <v>35</v>
      </c>
      <c r="O10" s="135">
        <f t="shared" si="1"/>
        <v>1680</v>
      </c>
      <c r="P10" s="141">
        <f t="shared" si="2"/>
        <v>121060.79999999999</v>
      </c>
    </row>
    <row r="11" spans="1:16" ht="12.75">
      <c r="A11" s="43" t="s">
        <v>73</v>
      </c>
      <c r="B11" s="26">
        <v>2</v>
      </c>
      <c r="C11" s="26">
        <v>1</v>
      </c>
      <c r="D11" s="26">
        <v>2</v>
      </c>
      <c r="E11" s="26">
        <v>2</v>
      </c>
      <c r="F11" s="26">
        <v>0</v>
      </c>
      <c r="G11" s="26">
        <v>0</v>
      </c>
      <c r="H11" s="26">
        <v>0</v>
      </c>
      <c r="I11" s="26">
        <v>7</v>
      </c>
      <c r="J11" s="141">
        <f t="shared" si="0"/>
        <v>673.95</v>
      </c>
      <c r="K11" s="141">
        <v>0</v>
      </c>
      <c r="L11" s="141">
        <v>25</v>
      </c>
      <c r="M11" s="26">
        <v>1</v>
      </c>
      <c r="N11" s="26">
        <v>9</v>
      </c>
      <c r="O11" s="135">
        <f t="shared" si="1"/>
        <v>63</v>
      </c>
      <c r="P11" s="141">
        <f t="shared" si="2"/>
        <v>6290.55</v>
      </c>
    </row>
    <row r="12" spans="1:16" ht="16.5" customHeight="1">
      <c r="A12" s="161" t="s">
        <v>127</v>
      </c>
      <c r="B12" s="144"/>
      <c r="C12" s="144"/>
      <c r="D12" s="144"/>
      <c r="E12" s="144"/>
      <c r="F12" s="144"/>
      <c r="G12" s="144"/>
      <c r="H12" s="144"/>
      <c r="I12" s="144"/>
      <c r="J12" s="163"/>
      <c r="K12" s="163"/>
      <c r="L12" s="163"/>
      <c r="M12" s="144"/>
      <c r="N12" s="144"/>
      <c r="O12" s="162"/>
      <c r="P12" s="163"/>
    </row>
    <row r="13" spans="1:16" ht="12.75">
      <c r="A13" s="145" t="s">
        <v>87</v>
      </c>
      <c r="B13" s="144"/>
      <c r="C13" s="144"/>
      <c r="D13" s="144"/>
      <c r="E13" s="144"/>
      <c r="F13" s="144"/>
      <c r="G13" s="144"/>
      <c r="H13" s="144"/>
      <c r="I13" s="144"/>
      <c r="J13" s="163"/>
      <c r="K13" s="163"/>
      <c r="L13" s="166">
        <f>17000/3</f>
        <v>5666.666666666667</v>
      </c>
      <c r="M13" s="26">
        <v>16</v>
      </c>
      <c r="N13" s="26">
        <v>8</v>
      </c>
      <c r="O13" s="135">
        <f t="shared" si="1"/>
        <v>0</v>
      </c>
      <c r="P13" s="141">
        <f t="shared" ref="P13:P15" si="3">(J13+K13+L13)*M13*N13</f>
        <v>725333.33333333337</v>
      </c>
    </row>
    <row r="14" spans="1:16" ht="12.75">
      <c r="A14" s="145" t="s">
        <v>86</v>
      </c>
      <c r="B14" s="144"/>
      <c r="C14" s="144"/>
      <c r="D14" s="144"/>
      <c r="E14" s="144"/>
      <c r="F14" s="144"/>
      <c r="G14" s="144"/>
      <c r="H14" s="144"/>
      <c r="I14" s="144"/>
      <c r="J14" s="163"/>
      <c r="K14" s="163"/>
      <c r="L14" s="167">
        <f>35510/3</f>
        <v>11836.666666666666</v>
      </c>
      <c r="M14" s="26">
        <v>2</v>
      </c>
      <c r="N14" s="26">
        <v>4</v>
      </c>
      <c r="O14" s="135">
        <f t="shared" si="1"/>
        <v>0</v>
      </c>
      <c r="P14" s="141">
        <f t="shared" si="3"/>
        <v>94693.333333333328</v>
      </c>
    </row>
    <row r="15" spans="1:16" ht="12.75">
      <c r="A15" s="145" t="s">
        <v>125</v>
      </c>
      <c r="B15" s="144"/>
      <c r="C15" s="144"/>
      <c r="D15" s="144"/>
      <c r="E15" s="144"/>
      <c r="F15" s="144"/>
      <c r="G15" s="144"/>
      <c r="H15" s="144"/>
      <c r="I15" s="144"/>
      <c r="J15" s="163"/>
      <c r="K15" s="163"/>
      <c r="L15" s="167">
        <f>45000/3</f>
        <v>15000</v>
      </c>
      <c r="M15" s="26">
        <v>2</v>
      </c>
      <c r="N15" s="26">
        <v>5</v>
      </c>
      <c r="O15" s="135">
        <f t="shared" si="1"/>
        <v>0</v>
      </c>
      <c r="P15" s="141">
        <f t="shared" si="3"/>
        <v>150000</v>
      </c>
    </row>
    <row r="16" spans="1:16" ht="12.75">
      <c r="A16" s="19" t="s">
        <v>27</v>
      </c>
      <c r="B16" s="26">
        <v>22</v>
      </c>
      <c r="C16" s="26">
        <v>0</v>
      </c>
      <c r="D16" s="26">
        <v>0</v>
      </c>
      <c r="E16" s="26">
        <v>5</v>
      </c>
      <c r="F16" s="26">
        <v>2</v>
      </c>
      <c r="G16" s="26">
        <v>0</v>
      </c>
      <c r="H16" s="26">
        <v>0</v>
      </c>
      <c r="I16" s="26">
        <v>29</v>
      </c>
      <c r="J16" s="141">
        <f t="shared" si="0"/>
        <v>2030.94</v>
      </c>
      <c r="K16" s="141">
        <v>0</v>
      </c>
      <c r="L16" s="141">
        <v>10</v>
      </c>
      <c r="M16" s="26">
        <v>1</v>
      </c>
      <c r="N16" s="26">
        <v>40</v>
      </c>
      <c r="O16" s="135">
        <f t="shared" si="1"/>
        <v>1160</v>
      </c>
      <c r="P16" s="141">
        <f t="shared" si="2"/>
        <v>81637.600000000006</v>
      </c>
    </row>
    <row r="17" spans="1:16" ht="25.5">
      <c r="A17" s="19" t="s">
        <v>28</v>
      </c>
      <c r="B17" s="26">
        <v>18</v>
      </c>
      <c r="C17" s="26">
        <v>1</v>
      </c>
      <c r="D17" s="26">
        <v>1</v>
      </c>
      <c r="E17" s="26">
        <v>1</v>
      </c>
      <c r="F17" s="26">
        <v>0</v>
      </c>
      <c r="G17" s="26">
        <v>0</v>
      </c>
      <c r="H17" s="26">
        <v>0</v>
      </c>
      <c r="I17" s="26">
        <v>21</v>
      </c>
      <c r="J17" s="141">
        <f t="shared" si="0"/>
        <v>1750.91</v>
      </c>
      <c r="K17" s="141">
        <v>0</v>
      </c>
      <c r="L17" s="141">
        <v>15</v>
      </c>
      <c r="M17" s="26">
        <v>1</v>
      </c>
      <c r="N17" s="26">
        <v>40</v>
      </c>
      <c r="O17" s="135">
        <f t="shared" si="1"/>
        <v>840</v>
      </c>
      <c r="P17" s="141">
        <f t="shared" si="2"/>
        <v>70636.400000000009</v>
      </c>
    </row>
    <row r="18" spans="1:16" ht="25.5">
      <c r="A18" s="19" t="s">
        <v>14</v>
      </c>
      <c r="B18" s="26">
        <v>8</v>
      </c>
      <c r="C18" s="26">
        <v>0</v>
      </c>
      <c r="D18" s="26">
        <v>0</v>
      </c>
      <c r="E18" s="26">
        <v>1</v>
      </c>
      <c r="F18" s="26">
        <v>0</v>
      </c>
      <c r="G18" s="26">
        <v>0</v>
      </c>
      <c r="H18" s="26">
        <v>0</v>
      </c>
      <c r="I18" s="26">
        <v>9</v>
      </c>
      <c r="J18" s="141">
        <f t="shared" si="0"/>
        <v>673.86</v>
      </c>
      <c r="K18" s="141">
        <v>0</v>
      </c>
      <c r="L18" s="141">
        <v>5</v>
      </c>
      <c r="M18" s="26">
        <v>1</v>
      </c>
      <c r="N18" s="26">
        <v>40</v>
      </c>
      <c r="O18" s="135">
        <f t="shared" si="1"/>
        <v>360</v>
      </c>
      <c r="P18" s="141">
        <f t="shared" si="2"/>
        <v>27154.400000000001</v>
      </c>
    </row>
    <row r="19" spans="1:16" ht="25.5">
      <c r="A19" s="66" t="s">
        <v>15</v>
      </c>
      <c r="B19" s="60">
        <v>95</v>
      </c>
      <c r="C19" s="60">
        <v>4</v>
      </c>
      <c r="D19" s="60">
        <v>4</v>
      </c>
      <c r="E19" s="60">
        <v>11</v>
      </c>
      <c r="F19" s="60">
        <v>82</v>
      </c>
      <c r="G19" s="60">
        <v>35</v>
      </c>
      <c r="H19" s="60">
        <v>6</v>
      </c>
      <c r="I19" s="60">
        <v>237</v>
      </c>
      <c r="J19" s="164">
        <f t="shared" si="0"/>
        <v>14488.93</v>
      </c>
      <c r="K19" s="164">
        <v>0</v>
      </c>
      <c r="L19" s="164" t="s">
        <v>16</v>
      </c>
      <c r="M19" s="60" t="s">
        <v>16</v>
      </c>
      <c r="N19" s="60" t="s">
        <v>17</v>
      </c>
      <c r="O19" s="60" t="s">
        <v>17</v>
      </c>
      <c r="P19" s="164" t="s">
        <v>17</v>
      </c>
    </row>
    <row r="20" spans="1:16" ht="12.75">
      <c r="A20" s="66" t="s">
        <v>18</v>
      </c>
      <c r="B20" s="60" t="s">
        <v>17</v>
      </c>
      <c r="C20" s="60" t="s">
        <v>17</v>
      </c>
      <c r="D20" s="60" t="s">
        <v>17</v>
      </c>
      <c r="E20" s="60" t="s">
        <v>17</v>
      </c>
      <c r="F20" s="60" t="s">
        <v>17</v>
      </c>
      <c r="G20" s="60" t="s">
        <v>17</v>
      </c>
      <c r="H20" s="60" t="s">
        <v>17</v>
      </c>
      <c r="I20" s="60" t="s">
        <v>17</v>
      </c>
      <c r="J20" s="165">
        <f>SUMPRODUCT(J4:J18, M4:M18, N4:N18)</f>
        <v>443515.15</v>
      </c>
      <c r="K20" s="165">
        <v>0</v>
      </c>
      <c r="L20" s="165">
        <f>SUMPRODUCT(L4:L18, M4:M18, N4:N18)</f>
        <v>1028951.6666666667</v>
      </c>
      <c r="M20" s="64" t="s">
        <v>17</v>
      </c>
      <c r="N20" s="64">
        <v>40</v>
      </c>
      <c r="O20" s="64">
        <f>SUM(O4:O18)</f>
        <v>7103</v>
      </c>
      <c r="P20" s="165">
        <f>J20+L20</f>
        <v>1472466.8166666669</v>
      </c>
    </row>
    <row r="21" spans="1:16">
      <c r="A21" s="3" t="s">
        <v>19</v>
      </c>
      <c r="D21" s="14"/>
      <c r="E21" s="14"/>
      <c r="F21" s="14"/>
      <c r="G21" s="14"/>
      <c r="H21" s="14"/>
      <c r="I21" s="14"/>
      <c r="J21" s="21"/>
      <c r="K21" s="21"/>
      <c r="L21" s="21"/>
      <c r="M21" s="14"/>
      <c r="N21" s="14"/>
      <c r="O21" s="14"/>
      <c r="P21" s="21"/>
    </row>
    <row r="22" spans="1:16">
      <c r="A22" s="3" t="s">
        <v>65</v>
      </c>
      <c r="D22" s="14"/>
      <c r="E22" s="14"/>
      <c r="F22" s="14"/>
      <c r="G22" s="14"/>
      <c r="H22" s="14"/>
      <c r="I22" s="14"/>
      <c r="J22" s="21"/>
      <c r="K22" s="21"/>
      <c r="L22" s="21"/>
      <c r="M22" s="14"/>
      <c r="N22" s="14"/>
      <c r="O22" s="14"/>
      <c r="P22" s="21"/>
    </row>
    <row r="23" spans="1:16">
      <c r="A23" s="3" t="s">
        <v>62</v>
      </c>
      <c r="D23" s="14"/>
      <c r="E23" s="14"/>
      <c r="F23" s="14"/>
      <c r="G23" s="14"/>
      <c r="H23" s="14"/>
      <c r="I23" s="14"/>
      <c r="J23" s="21"/>
      <c r="K23" s="21"/>
      <c r="L23" s="21"/>
      <c r="M23" s="14"/>
      <c r="N23" s="14"/>
      <c r="O23" s="14"/>
      <c r="P23" s="21"/>
    </row>
    <row r="24" spans="1:16">
      <c r="A24" s="3" t="s">
        <v>66</v>
      </c>
      <c r="D24" s="14"/>
      <c r="E24" s="14"/>
      <c r="F24" s="14"/>
      <c r="G24" s="14"/>
      <c r="H24" s="14"/>
      <c r="I24" s="14"/>
      <c r="J24" s="21"/>
      <c r="K24" s="21"/>
      <c r="L24" s="21"/>
      <c r="M24" s="14"/>
      <c r="N24" s="14"/>
      <c r="O24" s="14"/>
      <c r="P24" s="21"/>
    </row>
  </sheetData>
  <mergeCells count="3">
    <mergeCell ref="B2:M2"/>
    <mergeCell ref="N2:P2"/>
    <mergeCell ref="A1:P1"/>
  </mergeCells>
  <phoneticPr fontId="1" type="noConversion"/>
  <printOptions horizontalCentered="1" verticalCentered="1"/>
  <pageMargins left="0.75" right="0.75" top="1" bottom="1" header="0.5" footer="0.5"/>
  <pageSetup scale="68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8"/>
  <sheetViews>
    <sheetView zoomScale="85" zoomScaleNormal="85" workbookViewId="0">
      <selection activeCell="A2" sqref="A2"/>
    </sheetView>
  </sheetViews>
  <sheetFormatPr defaultRowHeight="15"/>
  <cols>
    <col min="1" max="1" width="15.6640625" customWidth="1"/>
    <col min="2" max="2" width="7.21875" customWidth="1"/>
    <col min="3" max="3" width="8.21875" bestFit="1" customWidth="1"/>
    <col min="4" max="4" width="7.6640625" bestFit="1" customWidth="1"/>
    <col min="5" max="5" width="7.44140625" bestFit="1" customWidth="1"/>
    <col min="6" max="6" width="7.6640625" bestFit="1" customWidth="1"/>
    <col min="7" max="7" width="9.88671875" customWidth="1"/>
    <col min="8" max="8" width="9.77734375" customWidth="1"/>
    <col min="9" max="9" width="11.33203125" customWidth="1"/>
    <col min="10" max="10" width="10.44140625" customWidth="1"/>
    <col min="11" max="11" width="6.109375" bestFit="1" customWidth="1"/>
    <col min="12" max="12" width="8.77734375" customWidth="1"/>
    <col min="13" max="13" width="9.6640625" customWidth="1"/>
    <col min="14" max="14" width="13.109375" customWidth="1"/>
    <col min="15" max="15" width="5.33203125" customWidth="1"/>
    <col min="16" max="16" width="9.109375" customWidth="1"/>
    <col min="17" max="17" width="10.33203125" bestFit="1" customWidth="1"/>
  </cols>
  <sheetData>
    <row r="1" spans="1:17">
      <c r="A1" s="187" t="s">
        <v>151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2" spans="1:17">
      <c r="A2" s="22"/>
      <c r="B2" s="187" t="s">
        <v>55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 t="s">
        <v>56</v>
      </c>
      <c r="O2" s="187"/>
      <c r="P2" s="187"/>
    </row>
    <row r="3" spans="1:17" ht="38.25">
      <c r="A3" s="23" t="s">
        <v>1</v>
      </c>
      <c r="B3" s="73" t="s">
        <v>90</v>
      </c>
      <c r="C3" s="73" t="s">
        <v>91</v>
      </c>
      <c r="D3" s="73" t="s">
        <v>92</v>
      </c>
      <c r="E3" s="103" t="s">
        <v>95</v>
      </c>
      <c r="F3" s="74" t="s">
        <v>93</v>
      </c>
      <c r="G3" s="32" t="s">
        <v>96</v>
      </c>
      <c r="H3" s="74" t="s">
        <v>94</v>
      </c>
      <c r="I3" s="31" t="s">
        <v>63</v>
      </c>
      <c r="J3" s="33" t="s">
        <v>22</v>
      </c>
      <c r="K3" s="31" t="s">
        <v>3</v>
      </c>
      <c r="L3" s="33" t="s">
        <v>58</v>
      </c>
      <c r="M3" s="31" t="s">
        <v>4</v>
      </c>
      <c r="N3" s="31" t="s">
        <v>67</v>
      </c>
      <c r="O3" s="34" t="s">
        <v>5</v>
      </c>
      <c r="P3" s="31" t="s">
        <v>6</v>
      </c>
    </row>
    <row r="4" spans="1:17" ht="25.5">
      <c r="A4" s="19" t="s">
        <v>50</v>
      </c>
      <c r="B4" s="24">
        <v>20</v>
      </c>
      <c r="C4" s="24">
        <v>10</v>
      </c>
      <c r="D4" s="24">
        <v>2</v>
      </c>
      <c r="E4" s="24">
        <v>5</v>
      </c>
      <c r="F4" s="26">
        <v>0</v>
      </c>
      <c r="G4" s="26">
        <v>0</v>
      </c>
      <c r="H4" s="26">
        <v>0</v>
      </c>
      <c r="I4" s="24">
        <f>B4+C4+D4+E4+F4+G4+H4</f>
        <v>37</v>
      </c>
      <c r="J4" s="141">
        <f t="shared" ref="J4:J13" si="0">(B4*79.76)+(C4*116.03)+(D4*163.42)+(E4*35.78)+(F4*48.66)+(G4*33.79)+(H4*37.93)</f>
        <v>3261.2400000000002</v>
      </c>
      <c r="K4" s="168">
        <v>0</v>
      </c>
      <c r="L4" s="168">
        <v>0</v>
      </c>
      <c r="M4" s="24">
        <v>1</v>
      </c>
      <c r="N4" s="24">
        <v>2</v>
      </c>
      <c r="O4" s="24">
        <f t="shared" ref="O4:O12" si="1">I4*M4*N4</f>
        <v>74</v>
      </c>
      <c r="P4" s="168">
        <f>(J4+K4+L4)*M4*N4</f>
        <v>6522.4800000000005</v>
      </c>
    </row>
    <row r="5" spans="1:17" ht="25.5">
      <c r="A5" s="19" t="s">
        <v>7</v>
      </c>
      <c r="B5" s="24">
        <v>7</v>
      </c>
      <c r="C5" s="24">
        <v>1</v>
      </c>
      <c r="D5" s="24">
        <v>1</v>
      </c>
      <c r="E5" s="24">
        <v>0</v>
      </c>
      <c r="F5" s="26">
        <v>0</v>
      </c>
      <c r="G5" s="26">
        <v>0</v>
      </c>
      <c r="H5" s="26">
        <v>0</v>
      </c>
      <c r="I5" s="24">
        <f t="shared" ref="I5:I12" si="2">B5+C5+D5+E5+F5+G5+H5</f>
        <v>9</v>
      </c>
      <c r="J5" s="141">
        <f t="shared" si="0"/>
        <v>837.77</v>
      </c>
      <c r="K5" s="168">
        <v>0</v>
      </c>
      <c r="L5" s="168">
        <v>0</v>
      </c>
      <c r="M5" s="24">
        <v>1</v>
      </c>
      <c r="N5" s="24">
        <v>2</v>
      </c>
      <c r="O5" s="24">
        <f t="shared" si="1"/>
        <v>18</v>
      </c>
      <c r="P5" s="168">
        <f t="shared" ref="P5:P12" si="3">(J5+K5+L5)*M5*N5</f>
        <v>1675.54</v>
      </c>
    </row>
    <row r="6" spans="1:17">
      <c r="A6" s="19" t="s">
        <v>8</v>
      </c>
      <c r="B6" s="24">
        <v>3</v>
      </c>
      <c r="C6" s="24">
        <v>1</v>
      </c>
      <c r="D6" s="24">
        <v>0</v>
      </c>
      <c r="E6" s="24">
        <v>0</v>
      </c>
      <c r="F6" s="26">
        <v>1</v>
      </c>
      <c r="G6" s="26">
        <v>0</v>
      </c>
      <c r="H6" s="26">
        <v>0</v>
      </c>
      <c r="I6" s="24">
        <f t="shared" si="2"/>
        <v>5</v>
      </c>
      <c r="J6" s="141">
        <f t="shared" si="0"/>
        <v>403.97</v>
      </c>
      <c r="K6" s="168">
        <v>0</v>
      </c>
      <c r="L6" s="168">
        <v>32</v>
      </c>
      <c r="M6" s="24">
        <v>1</v>
      </c>
      <c r="N6" s="24">
        <v>2</v>
      </c>
      <c r="O6" s="24">
        <f t="shared" si="1"/>
        <v>10</v>
      </c>
      <c r="P6" s="168">
        <f t="shared" si="3"/>
        <v>871.94</v>
      </c>
    </row>
    <row r="7" spans="1:17">
      <c r="A7" s="19" t="s">
        <v>23</v>
      </c>
      <c r="B7" s="24">
        <v>16</v>
      </c>
      <c r="C7" s="24">
        <v>0</v>
      </c>
      <c r="D7" s="24">
        <v>0</v>
      </c>
      <c r="E7" s="24">
        <v>0</v>
      </c>
      <c r="F7" s="26">
        <v>0</v>
      </c>
      <c r="G7" s="26">
        <v>0</v>
      </c>
      <c r="H7" s="26">
        <v>0</v>
      </c>
      <c r="I7" s="24">
        <f t="shared" si="2"/>
        <v>16</v>
      </c>
      <c r="J7" s="141">
        <f t="shared" si="0"/>
        <v>1276.1600000000001</v>
      </c>
      <c r="K7" s="168">
        <v>0</v>
      </c>
      <c r="L7" s="168">
        <v>32</v>
      </c>
      <c r="M7" s="24">
        <v>1</v>
      </c>
      <c r="N7" s="24">
        <v>2</v>
      </c>
      <c r="O7" s="24">
        <f t="shared" si="1"/>
        <v>32</v>
      </c>
      <c r="P7" s="168">
        <f t="shared" si="3"/>
        <v>2616.3200000000002</v>
      </c>
    </row>
    <row r="8" spans="1:17">
      <c r="A8" s="19" t="s">
        <v>126</v>
      </c>
      <c r="B8" s="24">
        <v>8</v>
      </c>
      <c r="C8" s="24">
        <v>0</v>
      </c>
      <c r="D8" s="24">
        <v>0</v>
      </c>
      <c r="E8" s="24">
        <v>0</v>
      </c>
      <c r="F8" s="24">
        <v>38</v>
      </c>
      <c r="G8" s="24">
        <v>1</v>
      </c>
      <c r="H8" s="26">
        <v>1</v>
      </c>
      <c r="I8" s="24">
        <f t="shared" si="2"/>
        <v>48</v>
      </c>
      <c r="J8" s="141">
        <f t="shared" si="0"/>
        <v>2558.8799999999997</v>
      </c>
      <c r="K8" s="168">
        <v>0</v>
      </c>
      <c r="L8" s="168">
        <v>200</v>
      </c>
      <c r="M8" s="24">
        <v>1</v>
      </c>
      <c r="N8" s="24">
        <v>1</v>
      </c>
      <c r="O8" s="24">
        <f t="shared" si="1"/>
        <v>48</v>
      </c>
      <c r="P8" s="168">
        <f t="shared" si="3"/>
        <v>2758.8799999999997</v>
      </c>
    </row>
    <row r="9" spans="1:17">
      <c r="A9" s="19" t="s">
        <v>128</v>
      </c>
      <c r="B9" s="24">
        <v>0</v>
      </c>
      <c r="C9" s="24">
        <v>0</v>
      </c>
      <c r="D9" s="24">
        <v>0</v>
      </c>
      <c r="E9" s="24">
        <v>0</v>
      </c>
      <c r="F9" s="26">
        <v>0</v>
      </c>
      <c r="G9" s="26">
        <v>0</v>
      </c>
      <c r="H9" s="26">
        <v>0</v>
      </c>
      <c r="I9" s="24">
        <f t="shared" si="2"/>
        <v>0</v>
      </c>
      <c r="J9" s="141">
        <f t="shared" si="0"/>
        <v>0</v>
      </c>
      <c r="K9" s="168">
        <v>0</v>
      </c>
      <c r="L9" s="168">
        <v>20000</v>
      </c>
      <c r="M9" s="24">
        <v>1</v>
      </c>
      <c r="N9" s="24">
        <v>1</v>
      </c>
      <c r="O9" s="24">
        <f t="shared" si="1"/>
        <v>0</v>
      </c>
      <c r="P9" s="168">
        <f t="shared" si="3"/>
        <v>20000</v>
      </c>
    </row>
    <row r="10" spans="1:17" ht="25.5">
      <c r="A10" s="19" t="s">
        <v>27</v>
      </c>
      <c r="B10" s="24">
        <v>22</v>
      </c>
      <c r="C10" s="26">
        <v>0</v>
      </c>
      <c r="D10" s="26">
        <v>0</v>
      </c>
      <c r="E10" s="26">
        <v>5</v>
      </c>
      <c r="F10" s="26">
        <v>2</v>
      </c>
      <c r="G10" s="26">
        <v>0</v>
      </c>
      <c r="H10" s="26">
        <v>0</v>
      </c>
      <c r="I10" s="24">
        <f t="shared" si="2"/>
        <v>29</v>
      </c>
      <c r="J10" s="141">
        <f t="shared" si="0"/>
        <v>2030.94</v>
      </c>
      <c r="K10" s="141">
        <v>0</v>
      </c>
      <c r="L10" s="141">
        <v>1</v>
      </c>
      <c r="M10" s="26">
        <v>1</v>
      </c>
      <c r="N10" s="26">
        <v>2</v>
      </c>
      <c r="O10" s="24">
        <f t="shared" si="1"/>
        <v>58</v>
      </c>
      <c r="P10" s="141">
        <f t="shared" si="3"/>
        <v>4063.88</v>
      </c>
    </row>
    <row r="11" spans="1:17" ht="25.5">
      <c r="A11" s="19" t="s">
        <v>28</v>
      </c>
      <c r="B11" s="24">
        <v>18</v>
      </c>
      <c r="C11" s="24">
        <v>1</v>
      </c>
      <c r="D11" s="24">
        <v>1</v>
      </c>
      <c r="E11" s="24">
        <v>1</v>
      </c>
      <c r="F11" s="26">
        <v>0</v>
      </c>
      <c r="G11" s="26">
        <v>0</v>
      </c>
      <c r="H11" s="26">
        <v>0</v>
      </c>
      <c r="I11" s="24">
        <f t="shared" si="2"/>
        <v>21</v>
      </c>
      <c r="J11" s="141">
        <f t="shared" si="0"/>
        <v>1750.91</v>
      </c>
      <c r="K11" s="168">
        <v>0</v>
      </c>
      <c r="L11" s="168">
        <v>3</v>
      </c>
      <c r="M11" s="24">
        <v>1</v>
      </c>
      <c r="N11" s="24">
        <v>2</v>
      </c>
      <c r="O11" s="24">
        <f t="shared" si="1"/>
        <v>42</v>
      </c>
      <c r="P11" s="168">
        <f t="shared" si="3"/>
        <v>3507.82</v>
      </c>
    </row>
    <row r="12" spans="1:17" ht="25.5">
      <c r="A12" s="19" t="s">
        <v>14</v>
      </c>
      <c r="B12" s="24">
        <v>8</v>
      </c>
      <c r="C12" s="24">
        <v>0</v>
      </c>
      <c r="D12" s="24">
        <v>0</v>
      </c>
      <c r="E12" s="24">
        <v>1</v>
      </c>
      <c r="F12" s="26">
        <v>0</v>
      </c>
      <c r="G12" s="26">
        <v>0</v>
      </c>
      <c r="H12" s="26">
        <v>0</v>
      </c>
      <c r="I12" s="47">
        <f t="shared" si="2"/>
        <v>9</v>
      </c>
      <c r="J12" s="141">
        <f t="shared" si="0"/>
        <v>673.86</v>
      </c>
      <c r="K12" s="169">
        <v>0</v>
      </c>
      <c r="L12" s="169">
        <v>1</v>
      </c>
      <c r="M12" s="47">
        <v>1</v>
      </c>
      <c r="N12" s="47">
        <v>2</v>
      </c>
      <c r="O12" s="47">
        <f t="shared" si="1"/>
        <v>18</v>
      </c>
      <c r="P12" s="169">
        <f t="shared" si="3"/>
        <v>1349.72</v>
      </c>
      <c r="Q12" s="70"/>
    </row>
    <row r="13" spans="1:17" ht="25.5">
      <c r="A13" s="129" t="s">
        <v>15</v>
      </c>
      <c r="B13" s="130">
        <v>95</v>
      </c>
      <c r="C13" s="130">
        <v>5</v>
      </c>
      <c r="D13" s="130">
        <v>2</v>
      </c>
      <c r="E13" s="130">
        <v>8</v>
      </c>
      <c r="F13" s="131">
        <v>79</v>
      </c>
      <c r="G13" s="131">
        <v>2</v>
      </c>
      <c r="H13" s="131">
        <v>2</v>
      </c>
      <c r="I13" s="130">
        <f>SUM(I4:I12)</f>
        <v>174</v>
      </c>
      <c r="J13" s="170">
        <f t="shared" si="0"/>
        <v>12758.01</v>
      </c>
      <c r="K13" s="171">
        <v>0</v>
      </c>
      <c r="L13" s="171" t="s">
        <v>16</v>
      </c>
      <c r="M13" s="130" t="s">
        <v>16</v>
      </c>
      <c r="N13" s="130" t="s">
        <v>17</v>
      </c>
      <c r="O13" s="130" t="s">
        <v>17</v>
      </c>
      <c r="P13" s="171" t="s">
        <v>17</v>
      </c>
      <c r="Q13" s="70"/>
    </row>
    <row r="14" spans="1:17">
      <c r="A14" s="132" t="s">
        <v>18</v>
      </c>
      <c r="B14" s="130" t="s">
        <v>17</v>
      </c>
      <c r="C14" s="130" t="s">
        <v>17</v>
      </c>
      <c r="D14" s="130" t="s">
        <v>17</v>
      </c>
      <c r="E14" s="130" t="s">
        <v>17</v>
      </c>
      <c r="F14" s="130" t="s">
        <v>17</v>
      </c>
      <c r="G14" s="130" t="s">
        <v>17</v>
      </c>
      <c r="H14" s="130" t="s">
        <v>17</v>
      </c>
      <c r="I14" s="131" t="s">
        <v>17</v>
      </c>
      <c r="J14" s="171">
        <f>SUMPRODUCT(J2:J12,M2:M12,N2:N12)</f>
        <v>23028.58</v>
      </c>
      <c r="K14" s="171">
        <v>0</v>
      </c>
      <c r="L14" s="171">
        <f>SUMPRODUCT(L4:L12,M4:M12,N4:N12)</f>
        <v>20338</v>
      </c>
      <c r="M14" s="130" t="s">
        <v>17</v>
      </c>
      <c r="N14" s="130">
        <v>2</v>
      </c>
      <c r="O14" s="130">
        <f>SUM(O4:O12)</f>
        <v>300</v>
      </c>
      <c r="P14" s="171">
        <f>SUM(P4:P12)</f>
        <v>43366.58</v>
      </c>
      <c r="Q14" s="71"/>
    </row>
    <row r="15" spans="1:17">
      <c r="A15" s="3" t="s">
        <v>19</v>
      </c>
      <c r="B15" s="13"/>
      <c r="C15" s="13"/>
      <c r="D15" s="13"/>
      <c r="E15" s="13"/>
      <c r="F15" s="13"/>
      <c r="G15" s="13"/>
      <c r="H15" s="13"/>
      <c r="I15" s="14"/>
      <c r="J15" s="15"/>
      <c r="K15" s="13"/>
      <c r="L15" s="15"/>
      <c r="M15" s="13"/>
      <c r="N15" s="13"/>
      <c r="O15" s="13"/>
      <c r="P15" s="13"/>
    </row>
    <row r="16" spans="1:17">
      <c r="A16" s="3" t="s">
        <v>74</v>
      </c>
      <c r="B16" s="13"/>
      <c r="C16" s="13"/>
      <c r="D16" s="13"/>
      <c r="E16" s="13"/>
      <c r="F16" s="13"/>
      <c r="G16" s="13"/>
      <c r="H16" s="13"/>
      <c r="I16" s="14"/>
      <c r="J16" s="15"/>
      <c r="K16" s="13"/>
      <c r="L16" s="15"/>
      <c r="M16" s="13"/>
      <c r="N16" s="13"/>
      <c r="O16" s="13"/>
      <c r="P16" s="13"/>
    </row>
    <row r="17" spans="1:16">
      <c r="A17" s="45" t="s">
        <v>77</v>
      </c>
      <c r="B17" s="13"/>
      <c r="C17" s="13"/>
      <c r="D17" s="13"/>
      <c r="E17" s="13"/>
      <c r="F17" s="13"/>
      <c r="G17" s="13"/>
      <c r="H17" s="13"/>
      <c r="I17" s="14"/>
      <c r="J17" s="15"/>
      <c r="K17" s="13"/>
      <c r="L17" s="15"/>
      <c r="M17" s="13"/>
      <c r="N17" s="13"/>
      <c r="O17" s="13"/>
      <c r="P17" s="13"/>
    </row>
    <row r="18" spans="1:16">
      <c r="A18" s="3" t="s">
        <v>76</v>
      </c>
      <c r="B18" s="13"/>
      <c r="C18" s="13"/>
      <c r="D18" s="13"/>
      <c r="E18" s="13"/>
      <c r="F18" s="13"/>
      <c r="G18" s="13"/>
      <c r="H18" s="13"/>
      <c r="I18" s="14"/>
      <c r="J18" s="15"/>
      <c r="K18" s="13"/>
      <c r="L18" s="15"/>
      <c r="M18" s="13"/>
      <c r="N18" s="13"/>
      <c r="O18" s="13"/>
      <c r="P18" s="13"/>
    </row>
  </sheetData>
  <mergeCells count="3">
    <mergeCell ref="A1:P1"/>
    <mergeCell ref="B2:M2"/>
    <mergeCell ref="N2:P2"/>
  </mergeCells>
  <phoneticPr fontId="1" type="noConversion"/>
  <printOptions horizontalCentered="1" verticalCentered="1"/>
  <pageMargins left="0.75" right="0.75" top="1" bottom="1" header="0.5" footer="0.5"/>
  <pageSetup scale="6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F20" sqref="F20"/>
    </sheetView>
  </sheetViews>
  <sheetFormatPr defaultRowHeight="15"/>
  <cols>
    <col min="1" max="1" width="15.88671875" style="48" customWidth="1"/>
    <col min="2" max="8" width="8.88671875" style="48"/>
    <col min="9" max="9" width="10.77734375" style="48" bestFit="1" customWidth="1"/>
    <col min="10" max="16384" width="8.88671875" style="48"/>
  </cols>
  <sheetData>
    <row r="1" spans="1:9">
      <c r="A1" s="191" t="s">
        <v>152</v>
      </c>
      <c r="B1" s="191"/>
      <c r="C1" s="191"/>
      <c r="D1" s="191"/>
      <c r="E1" s="191"/>
      <c r="F1" s="191"/>
      <c r="G1" s="191"/>
      <c r="H1" s="191"/>
      <c r="I1" s="191"/>
    </row>
    <row r="2" spans="1:9">
      <c r="A2" s="195" t="s">
        <v>97</v>
      </c>
      <c r="B2" s="191" t="s">
        <v>117</v>
      </c>
      <c r="C2" s="191"/>
      <c r="D2" s="191"/>
      <c r="E2" s="191"/>
      <c r="F2" s="191"/>
      <c r="G2" s="191"/>
      <c r="H2" s="191"/>
      <c r="I2" s="191"/>
    </row>
    <row r="3" spans="1:9" ht="33.75">
      <c r="A3" s="196"/>
      <c r="B3" s="54" t="s">
        <v>99</v>
      </c>
      <c r="C3" s="54" t="s">
        <v>98</v>
      </c>
      <c r="D3" s="54" t="s">
        <v>107</v>
      </c>
      <c r="E3" s="54" t="s">
        <v>108</v>
      </c>
      <c r="F3" s="54" t="s">
        <v>110</v>
      </c>
      <c r="G3" s="54" t="s">
        <v>109</v>
      </c>
      <c r="H3" s="52" t="s">
        <v>111</v>
      </c>
      <c r="I3" s="52" t="s">
        <v>112</v>
      </c>
    </row>
    <row r="4" spans="1:9">
      <c r="A4" s="116"/>
      <c r="B4" s="108"/>
      <c r="C4" s="53"/>
      <c r="D4" s="53"/>
      <c r="E4" s="53"/>
      <c r="F4" s="53"/>
      <c r="G4" s="53"/>
      <c r="H4" s="53"/>
      <c r="I4" s="49"/>
    </row>
    <row r="5" spans="1:9">
      <c r="A5" s="117" t="s">
        <v>100</v>
      </c>
      <c r="B5" s="108" t="s">
        <v>103</v>
      </c>
      <c r="C5" s="108">
        <v>49.72</v>
      </c>
      <c r="D5" s="108">
        <v>79.55</v>
      </c>
      <c r="E5" s="53">
        <v>5</v>
      </c>
      <c r="F5" s="53">
        <f t="shared" ref="F5" si="0">80*26</f>
        <v>2080</v>
      </c>
      <c r="G5" s="109">
        <v>1</v>
      </c>
      <c r="H5" s="53">
        <f>E5*(F5*G5)</f>
        <v>10400</v>
      </c>
      <c r="I5" s="49">
        <f>D5*E5*(F5*G5)</f>
        <v>827320</v>
      </c>
    </row>
    <row r="6" spans="1:9">
      <c r="A6" s="117" t="s">
        <v>101</v>
      </c>
      <c r="B6" s="108" t="s">
        <v>103</v>
      </c>
      <c r="C6" s="108">
        <v>49.72</v>
      </c>
      <c r="D6" s="108">
        <v>79.55</v>
      </c>
      <c r="E6" s="53">
        <v>3</v>
      </c>
      <c r="F6" s="53">
        <f>80*26</f>
        <v>2080</v>
      </c>
      <c r="G6" s="110">
        <v>0.3</v>
      </c>
      <c r="H6" s="53">
        <f t="shared" ref="H6:H9" si="1">E6*(F6*G6)</f>
        <v>1872</v>
      </c>
      <c r="I6" s="49">
        <f t="shared" ref="I6:I9" si="2">D6*E6*(F6*G6)</f>
        <v>148917.59999999998</v>
      </c>
    </row>
    <row r="7" spans="1:9">
      <c r="A7" s="117" t="s">
        <v>113</v>
      </c>
      <c r="B7" s="108" t="s">
        <v>104</v>
      </c>
      <c r="C7" s="108">
        <v>51.14</v>
      </c>
      <c r="D7" s="108">
        <v>81.819999999999993</v>
      </c>
      <c r="E7" s="53">
        <v>3</v>
      </c>
      <c r="F7" s="53">
        <f t="shared" ref="F7:F10" si="3">80*26</f>
        <v>2080</v>
      </c>
      <c r="G7" s="110">
        <v>0.2</v>
      </c>
      <c r="H7" s="53">
        <f t="shared" si="1"/>
        <v>1248</v>
      </c>
      <c r="I7" s="49">
        <f t="shared" si="2"/>
        <v>102111.35999999999</v>
      </c>
    </row>
    <row r="8" spans="1:9">
      <c r="A8" s="117" t="s">
        <v>122</v>
      </c>
      <c r="B8" s="108" t="s">
        <v>105</v>
      </c>
      <c r="C8" s="108">
        <v>59.24</v>
      </c>
      <c r="D8" s="108">
        <v>94.78</v>
      </c>
      <c r="E8" s="53">
        <v>1.5</v>
      </c>
      <c r="F8" s="53">
        <f t="shared" si="3"/>
        <v>2080</v>
      </c>
      <c r="G8" s="110">
        <v>1</v>
      </c>
      <c r="H8" s="53">
        <f t="shared" si="1"/>
        <v>3120</v>
      </c>
      <c r="I8" s="49">
        <f t="shared" si="2"/>
        <v>295713.60000000003</v>
      </c>
    </row>
    <row r="9" spans="1:9">
      <c r="A9" s="117" t="s">
        <v>114</v>
      </c>
      <c r="B9" s="108" t="s">
        <v>106</v>
      </c>
      <c r="C9" s="108">
        <v>96.01</v>
      </c>
      <c r="D9" s="108">
        <v>153.62</v>
      </c>
      <c r="E9" s="53">
        <v>3</v>
      </c>
      <c r="F9" s="53">
        <f t="shared" si="3"/>
        <v>2080</v>
      </c>
      <c r="G9" s="110">
        <v>0.3</v>
      </c>
      <c r="H9" s="53">
        <f t="shared" si="1"/>
        <v>1872</v>
      </c>
      <c r="I9" s="49">
        <f t="shared" si="2"/>
        <v>287576.64</v>
      </c>
    </row>
    <row r="10" spans="1:9">
      <c r="A10" s="117" t="s">
        <v>115</v>
      </c>
      <c r="B10" s="112" t="s">
        <v>103</v>
      </c>
      <c r="C10" s="112">
        <v>49.72</v>
      </c>
      <c r="D10" s="112">
        <v>79.55</v>
      </c>
      <c r="E10" s="113">
        <v>5</v>
      </c>
      <c r="F10" s="113">
        <f t="shared" si="3"/>
        <v>2080</v>
      </c>
      <c r="G10" s="114">
        <v>0.3</v>
      </c>
      <c r="H10" s="113">
        <f t="shared" ref="H10" si="4">E10*(F10*G10)</f>
        <v>3120</v>
      </c>
      <c r="I10" s="49">
        <f t="shared" ref="I10" si="5">D10*E10*(F10*G10)</f>
        <v>248196</v>
      </c>
    </row>
    <row r="11" spans="1:9">
      <c r="A11" s="117" t="s">
        <v>116</v>
      </c>
      <c r="B11" s="118"/>
      <c r="C11" s="119"/>
      <c r="D11" s="119"/>
      <c r="E11" s="119"/>
      <c r="F11" s="119"/>
      <c r="G11" s="119"/>
      <c r="H11" s="120"/>
      <c r="I11" s="111">
        <v>177066</v>
      </c>
    </row>
    <row r="12" spans="1:9" ht="15" customHeight="1">
      <c r="A12" s="117" t="s">
        <v>102</v>
      </c>
      <c r="B12" s="121"/>
      <c r="C12" s="122"/>
      <c r="D12" s="122"/>
      <c r="E12" s="122"/>
      <c r="F12" s="122"/>
      <c r="G12" s="122"/>
      <c r="H12" s="123"/>
      <c r="I12" s="111">
        <v>83000</v>
      </c>
    </row>
    <row r="13" spans="1:9">
      <c r="A13" s="115" t="s">
        <v>121</v>
      </c>
      <c r="B13" s="192"/>
      <c r="C13" s="193"/>
      <c r="D13" s="194"/>
      <c r="E13" s="115">
        <f>SUM(E4:E12)</f>
        <v>20.5</v>
      </c>
      <c r="F13" s="115" t="s">
        <v>17</v>
      </c>
      <c r="G13" s="115" t="s">
        <v>17</v>
      </c>
      <c r="H13" s="181">
        <f>SUM(H4:H12)</f>
        <v>21632</v>
      </c>
      <c r="I13" s="180">
        <f>SUM(I4:I12)</f>
        <v>2169901.2000000002</v>
      </c>
    </row>
    <row r="15" spans="1:9">
      <c r="A15" s="188" t="s">
        <v>146</v>
      </c>
      <c r="B15" s="189"/>
      <c r="C15" s="189"/>
      <c r="D15" s="189"/>
      <c r="E15" s="189"/>
      <c r="F15" s="189"/>
      <c r="G15" s="189"/>
      <c r="H15" s="189"/>
      <c r="I15" s="190"/>
    </row>
    <row r="16" spans="1:9" ht="15.75" customHeight="1">
      <c r="A16" s="124" t="s">
        <v>118</v>
      </c>
      <c r="B16" s="118"/>
      <c r="C16" s="119"/>
      <c r="D16" s="119"/>
      <c r="E16" s="119"/>
      <c r="F16" s="119"/>
      <c r="G16" s="119"/>
      <c r="H16" s="120"/>
      <c r="I16" s="111">
        <v>200000</v>
      </c>
    </row>
    <row r="17" spans="1:9">
      <c r="A17" s="117" t="s">
        <v>147</v>
      </c>
      <c r="B17" s="118"/>
      <c r="C17" s="119"/>
      <c r="D17" s="119"/>
      <c r="E17" s="119"/>
      <c r="F17" s="119"/>
      <c r="G17" s="119"/>
      <c r="H17" s="120"/>
      <c r="I17" s="111">
        <v>20000</v>
      </c>
    </row>
    <row r="18" spans="1:9">
      <c r="A18" s="117" t="s">
        <v>116</v>
      </c>
      <c r="B18" s="118"/>
      <c r="C18" s="119"/>
      <c r="D18" s="119"/>
      <c r="E18" s="119"/>
      <c r="F18" s="119"/>
      <c r="G18" s="119"/>
      <c r="H18" s="120"/>
      <c r="I18" s="111">
        <v>177066</v>
      </c>
    </row>
    <row r="19" spans="1:9" ht="22.5">
      <c r="A19" s="117" t="s">
        <v>130</v>
      </c>
      <c r="B19" s="121"/>
      <c r="C19" s="122"/>
      <c r="D19" s="122"/>
      <c r="E19" s="122"/>
      <c r="F19" s="122"/>
      <c r="G19" s="122"/>
      <c r="H19" s="123"/>
      <c r="I19" s="111">
        <v>83000</v>
      </c>
    </row>
    <row r="20" spans="1:9" ht="22.5">
      <c r="A20" s="117" t="s">
        <v>129</v>
      </c>
      <c r="B20" s="121"/>
      <c r="C20" s="122"/>
      <c r="D20" s="122"/>
      <c r="E20" s="122"/>
      <c r="F20" s="122"/>
      <c r="G20" s="122"/>
      <c r="H20" s="123"/>
      <c r="I20" s="111">
        <v>200000</v>
      </c>
    </row>
    <row r="21" spans="1:9">
      <c r="A21" s="107"/>
      <c r="B21" s="107"/>
      <c r="C21" s="107"/>
      <c r="H21" s="52" t="s">
        <v>120</v>
      </c>
      <c r="I21" s="182">
        <f>SUM(I16:I20)</f>
        <v>680066</v>
      </c>
    </row>
    <row r="22" spans="1:9">
      <c r="I22" s="183"/>
    </row>
    <row r="23" spans="1:9">
      <c r="F23" s="125"/>
      <c r="H23" s="52" t="s">
        <v>119</v>
      </c>
      <c r="I23" s="184">
        <f>I13+I21</f>
        <v>2849967.2</v>
      </c>
    </row>
  </sheetData>
  <mergeCells count="5">
    <mergeCell ref="A15:I15"/>
    <mergeCell ref="A1:I1"/>
    <mergeCell ref="B2:I2"/>
    <mergeCell ref="B13:D13"/>
    <mergeCell ref="A2:A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I23"/>
  <sheetViews>
    <sheetView workbookViewId="0">
      <selection activeCell="E9" sqref="E9"/>
    </sheetView>
  </sheetViews>
  <sheetFormatPr defaultRowHeight="15"/>
  <cols>
    <col min="2" max="2" width="8.21875" customWidth="1"/>
    <col min="3" max="3" width="7.88671875" customWidth="1"/>
    <col min="6" max="6" width="10.33203125" customWidth="1"/>
    <col min="7" max="7" width="9" bestFit="1" customWidth="1"/>
    <col min="8" max="8" width="8.109375" customWidth="1"/>
    <col min="9" max="9" width="9.6640625" customWidth="1"/>
  </cols>
  <sheetData>
    <row r="1" spans="2:9">
      <c r="B1" s="197" t="s">
        <v>153</v>
      </c>
      <c r="C1" s="197"/>
      <c r="D1" s="197"/>
      <c r="E1" s="197"/>
      <c r="F1" s="197"/>
      <c r="G1" s="197"/>
      <c r="H1" s="197"/>
      <c r="I1" s="197"/>
    </row>
    <row r="2" spans="2:9">
      <c r="B2" s="197" t="s">
        <v>144</v>
      </c>
      <c r="C2" s="197"/>
      <c r="D2" s="197"/>
      <c r="E2" s="197"/>
      <c r="F2" s="197"/>
      <c r="G2" s="197"/>
      <c r="H2" s="197"/>
      <c r="I2" s="197"/>
    </row>
    <row r="3" spans="2:9">
      <c r="B3" s="179"/>
      <c r="C3" s="179"/>
      <c r="D3" s="179"/>
      <c r="E3" s="179"/>
      <c r="F3" s="179"/>
      <c r="G3" s="179"/>
      <c r="H3" s="179"/>
      <c r="I3" s="179"/>
    </row>
    <row r="4" spans="2:9" ht="51">
      <c r="B4" s="176" t="s">
        <v>131</v>
      </c>
      <c r="C4" s="176" t="s">
        <v>145</v>
      </c>
      <c r="D4" s="176" t="s">
        <v>132</v>
      </c>
      <c r="E4" s="176" t="s">
        <v>133</v>
      </c>
      <c r="F4" s="176" t="s">
        <v>134</v>
      </c>
      <c r="G4" s="176" t="s">
        <v>135</v>
      </c>
      <c r="H4" s="176" t="s">
        <v>136</v>
      </c>
      <c r="I4" s="176" t="s">
        <v>137</v>
      </c>
    </row>
    <row r="5" spans="2:9">
      <c r="B5" s="172" t="s">
        <v>138</v>
      </c>
      <c r="C5" s="172">
        <f>'Tbl2-SI Cert All'!M29</f>
        <v>354</v>
      </c>
      <c r="D5" s="172">
        <v>15</v>
      </c>
      <c r="E5" s="173">
        <f>'Tbl2-SI Cert All'!N29</f>
        <v>185227.35000000003</v>
      </c>
      <c r="F5" s="173">
        <f>'Tbl2-SI Cert All'!I29</f>
        <v>13139397.1335</v>
      </c>
      <c r="G5" s="173">
        <v>0</v>
      </c>
      <c r="H5" s="173">
        <f>'Tbl2-SI Cert All'!K29</f>
        <v>5948371.3666666662</v>
      </c>
      <c r="I5" s="173">
        <f>'Tbl2-SI Cert All'!O29</f>
        <v>19087768.500166669</v>
      </c>
    </row>
    <row r="6" spans="2:9">
      <c r="B6" s="172" t="s">
        <v>139</v>
      </c>
      <c r="C6" s="172">
        <f>'Tbl3-ABT-All'!J10</f>
        <v>50</v>
      </c>
      <c r="D6" s="172">
        <v>5</v>
      </c>
      <c r="E6" s="173">
        <f>'Tbl3-ABT-All'!K10</f>
        <v>17450</v>
      </c>
      <c r="F6" s="173">
        <f>'Tbl3-ABT-All'!G10</f>
        <v>220260</v>
      </c>
      <c r="G6" s="173">
        <v>0</v>
      </c>
      <c r="H6" s="173">
        <f>'Tbl3-ABT-All'!I10</f>
        <v>8900</v>
      </c>
      <c r="I6" s="173">
        <f>'Tbl3-ABT-All'!L10</f>
        <v>229160</v>
      </c>
    </row>
    <row r="7" spans="2:9">
      <c r="B7" s="172" t="s">
        <v>140</v>
      </c>
      <c r="C7" s="175">
        <f>'Tbl4-SI PLT'!N20</f>
        <v>179</v>
      </c>
      <c r="D7" s="172">
        <v>11</v>
      </c>
      <c r="E7" s="173">
        <f>'Tbl4-SI PLT'!O20</f>
        <v>55395</v>
      </c>
      <c r="F7" s="173">
        <f>'Tbl4-SI PLT'!J20</f>
        <v>3808033.8599999994</v>
      </c>
      <c r="G7" s="173">
        <v>0</v>
      </c>
      <c r="H7" s="173">
        <f>'Tbl4-SI PLT'!L20</f>
        <v>2597794</v>
      </c>
      <c r="I7" s="173">
        <f>'Tbl4-SI PLT'!P20</f>
        <v>6405827.8599999994</v>
      </c>
    </row>
    <row r="8" spans="2:9">
      <c r="B8" s="172" t="s">
        <v>141</v>
      </c>
      <c r="C8" s="175">
        <f>'Tbl5-SI InUse'!N20</f>
        <v>40</v>
      </c>
      <c r="D8" s="172">
        <v>12</v>
      </c>
      <c r="E8" s="173">
        <v>7103</v>
      </c>
      <c r="F8" s="173">
        <f>'Tbl5-SI InUse'!J20</f>
        <v>443515.15</v>
      </c>
      <c r="G8" s="173">
        <v>0</v>
      </c>
      <c r="H8" s="173">
        <f>'Tbl5-SI InUse'!L20</f>
        <v>1028951.6666666667</v>
      </c>
      <c r="I8" s="173">
        <f>'Tbl5-SI InUse'!P20</f>
        <v>1472466.8166666669</v>
      </c>
    </row>
    <row r="9" spans="2:9">
      <c r="B9" s="172" t="s">
        <v>142</v>
      </c>
      <c r="C9" s="175">
        <f>'Tbl6-SEA'!N14</f>
        <v>2</v>
      </c>
      <c r="D9" s="172">
        <v>8</v>
      </c>
      <c r="E9" s="173">
        <f>'Tbl6-SEA'!O14</f>
        <v>300</v>
      </c>
      <c r="F9" s="173">
        <f>'Tbl6-SEA'!J14</f>
        <v>23028.58</v>
      </c>
      <c r="G9" s="173">
        <v>0</v>
      </c>
      <c r="H9" s="173">
        <f>'Tbl6-SEA'!L14</f>
        <v>20338</v>
      </c>
      <c r="I9" s="173">
        <f>'Tbl6-SEA'!P14</f>
        <v>43366.58</v>
      </c>
    </row>
    <row r="10" spans="2:9">
      <c r="B10" s="177" t="s">
        <v>143</v>
      </c>
      <c r="C10" s="177">
        <v>354</v>
      </c>
      <c r="D10" s="177">
        <f>SUM(D5:D9)</f>
        <v>51</v>
      </c>
      <c r="E10" s="178">
        <f t="shared" ref="E10:I10" si="0">SUM(E5:E9)</f>
        <v>265475.35000000003</v>
      </c>
      <c r="F10" s="178">
        <f t="shared" si="0"/>
        <v>17634234.723499998</v>
      </c>
      <c r="G10" s="178">
        <f t="shared" si="0"/>
        <v>0</v>
      </c>
      <c r="H10" s="178">
        <f t="shared" si="0"/>
        <v>9604355.0333333332</v>
      </c>
      <c r="I10" s="178">
        <f t="shared" si="0"/>
        <v>27238589.756833334</v>
      </c>
    </row>
    <row r="11" spans="2:9">
      <c r="E11" s="173"/>
      <c r="F11" s="174"/>
      <c r="G11" s="174"/>
      <c r="H11" s="174"/>
      <c r="I11" s="174"/>
    </row>
    <row r="12" spans="2:9">
      <c r="B12" s="172"/>
      <c r="C12" s="172" t="s">
        <v>154</v>
      </c>
      <c r="D12" s="172"/>
      <c r="E12" s="173">
        <f>E10/C10</f>
        <v>749.93036723163857</v>
      </c>
      <c r="F12" s="174"/>
      <c r="G12" s="174"/>
      <c r="H12" s="174"/>
      <c r="I12" s="174"/>
    </row>
    <row r="13" spans="2:9">
      <c r="B13" s="172"/>
      <c r="C13" s="172"/>
      <c r="D13" s="172"/>
      <c r="E13" s="173"/>
      <c r="F13" s="174"/>
      <c r="G13" s="174"/>
      <c r="H13" s="174"/>
      <c r="I13" s="174"/>
    </row>
    <row r="14" spans="2:9">
      <c r="B14" s="172"/>
      <c r="C14" s="172"/>
      <c r="D14" s="172"/>
      <c r="E14" s="173"/>
      <c r="F14" s="174"/>
      <c r="G14" s="174"/>
      <c r="H14" s="174"/>
      <c r="I14" s="174"/>
    </row>
    <row r="15" spans="2:9">
      <c r="B15" s="172"/>
      <c r="C15" s="172"/>
      <c r="D15" s="172"/>
      <c r="E15" s="173"/>
      <c r="F15" s="174"/>
      <c r="G15" s="174"/>
      <c r="H15" s="174"/>
      <c r="I15" s="174"/>
    </row>
    <row r="16" spans="2:9">
      <c r="B16" s="172"/>
      <c r="C16" s="172"/>
      <c r="D16" s="172"/>
      <c r="E16" s="173"/>
      <c r="F16" s="174"/>
      <c r="G16" s="174"/>
      <c r="H16" s="174"/>
      <c r="I16" s="174"/>
    </row>
    <row r="17" spans="2:9">
      <c r="B17" s="172"/>
      <c r="C17" s="172"/>
      <c r="D17" s="172"/>
      <c r="E17" s="172"/>
      <c r="F17" s="172"/>
      <c r="G17" s="172"/>
      <c r="H17" s="172"/>
      <c r="I17" s="172"/>
    </row>
    <row r="18" spans="2:9">
      <c r="B18" s="172"/>
      <c r="C18" s="172"/>
      <c r="D18" s="172"/>
      <c r="E18" s="172"/>
      <c r="F18" s="172"/>
      <c r="G18" s="172"/>
      <c r="H18" s="172"/>
      <c r="I18" s="172"/>
    </row>
    <row r="19" spans="2:9">
      <c r="B19" s="172"/>
      <c r="C19" s="172"/>
      <c r="D19" s="172"/>
      <c r="E19" s="172"/>
      <c r="F19" s="172"/>
      <c r="G19" s="172"/>
      <c r="H19" s="172"/>
      <c r="I19" s="172"/>
    </row>
    <row r="20" spans="2:9">
      <c r="B20" s="172"/>
      <c r="C20" s="172"/>
      <c r="D20" s="172"/>
      <c r="E20" s="172"/>
      <c r="F20" s="172"/>
      <c r="G20" s="172"/>
      <c r="H20" s="172"/>
      <c r="I20" s="172"/>
    </row>
    <row r="21" spans="2:9">
      <c r="B21" s="172"/>
      <c r="C21" s="172"/>
      <c r="D21" s="172"/>
      <c r="E21" s="172"/>
      <c r="F21" s="172"/>
      <c r="G21" s="172"/>
      <c r="H21" s="172"/>
      <c r="I21" s="172"/>
    </row>
    <row r="22" spans="2:9">
      <c r="B22" s="172"/>
      <c r="C22" s="172"/>
      <c r="D22" s="172"/>
      <c r="E22" s="172"/>
      <c r="F22" s="172"/>
      <c r="G22" s="172"/>
      <c r="H22" s="172"/>
      <c r="I22" s="172"/>
    </row>
    <row r="23" spans="2:9">
      <c r="B23" s="172"/>
      <c r="C23" s="172"/>
      <c r="D23" s="172"/>
      <c r="E23" s="172"/>
      <c r="F23" s="172"/>
      <c r="G23" s="172"/>
      <c r="H23" s="172"/>
      <c r="I23" s="172"/>
    </row>
  </sheetData>
  <mergeCells count="2">
    <mergeCell ref="B1:I1"/>
    <mergeCell ref="B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Tbl2-SI Cert All</vt:lpstr>
      <vt:lpstr>Tbl3-ABT-All</vt:lpstr>
      <vt:lpstr>Tbl4-SI PLT</vt:lpstr>
      <vt:lpstr>Tbl5-SI InUse</vt:lpstr>
      <vt:lpstr>Tbl6-SEA</vt:lpstr>
      <vt:lpstr>Tbl8-Agency Burden</vt:lpstr>
      <vt:lpstr>Resp Tally</vt:lpstr>
      <vt:lpstr>'Tbl2-SI Cert All'!Print_Area</vt:lpstr>
      <vt:lpstr>'Tbl4-SI PLT'!Print_Area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Courtney Kerwin</cp:lastModifiedBy>
  <cp:lastPrinted>2012-08-15T12:20:12Z</cp:lastPrinted>
  <dcterms:created xsi:type="dcterms:W3CDTF">2004-08-16T00:46:20Z</dcterms:created>
  <dcterms:modified xsi:type="dcterms:W3CDTF">2012-08-21T11:10:01Z</dcterms:modified>
</cp:coreProperties>
</file>