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820" windowHeight="6945"/>
  </bookViews>
  <sheets>
    <sheet name="2012" sheetId="2" r:id="rId1"/>
    <sheet name="2009" sheetId="4" r:id="rId2"/>
  </sheets>
  <definedNames>
    <definedName name="_xlnm.Print_Area" localSheetId="1">'2009'!$A$1:$J$85</definedName>
  </definedNames>
  <calcPr calcId="125725"/>
</workbook>
</file>

<file path=xl/calcChain.xml><?xml version="1.0" encoding="utf-8"?>
<calcChain xmlns="http://schemas.openxmlformats.org/spreadsheetml/2006/main">
  <c r="Q14" i="2"/>
  <c r="C69"/>
  <c r="E67"/>
  <c r="C81"/>
  <c r="C72"/>
  <c r="C66" i="4"/>
  <c r="C62"/>
  <c r="J61"/>
  <c r="I61"/>
  <c r="H61"/>
  <c r="F61"/>
  <c r="D61"/>
  <c r="E59"/>
  <c r="G59" s="1"/>
  <c r="E58"/>
  <c r="G58" s="1"/>
  <c r="E57"/>
  <c r="E61" s="1"/>
  <c r="J55"/>
  <c r="I55"/>
  <c r="H55"/>
  <c r="F55"/>
  <c r="E55"/>
  <c r="D55"/>
  <c r="G54"/>
  <c r="E54"/>
  <c r="G53"/>
  <c r="G52"/>
  <c r="G51"/>
  <c r="G55" s="1"/>
  <c r="E51"/>
  <c r="J48"/>
  <c r="I48"/>
  <c r="H48"/>
  <c r="F48"/>
  <c r="D48"/>
  <c r="G47"/>
  <c r="E47"/>
  <c r="G46"/>
  <c r="E46"/>
  <c r="G45"/>
  <c r="E45"/>
  <c r="G44"/>
  <c r="E44"/>
  <c r="G43"/>
  <c r="E43"/>
  <c r="G42"/>
  <c r="E42"/>
  <c r="G41"/>
  <c r="E41"/>
  <c r="E40"/>
  <c r="G40" s="1"/>
  <c r="E39"/>
  <c r="G39" s="1"/>
  <c r="E38"/>
  <c r="E37"/>
  <c r="G37" s="1"/>
  <c r="G36"/>
  <c r="G35"/>
  <c r="J33"/>
  <c r="J49" s="1"/>
  <c r="I33"/>
  <c r="I49" s="1"/>
  <c r="I62" s="1"/>
  <c r="C72" s="1"/>
  <c r="H33"/>
  <c r="H49" s="1"/>
  <c r="H62" s="1"/>
  <c r="C71" s="1"/>
  <c r="F33"/>
  <c r="F49" s="1"/>
  <c r="F62" s="1"/>
  <c r="D33"/>
  <c r="D49" s="1"/>
  <c r="D62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G19"/>
  <c r="G18"/>
  <c r="E18"/>
  <c r="G17"/>
  <c r="E17"/>
  <c r="G16"/>
  <c r="E16"/>
  <c r="G15"/>
  <c r="E15"/>
  <c r="G14"/>
  <c r="E14"/>
  <c r="G13"/>
  <c r="E13"/>
  <c r="G12"/>
  <c r="E12"/>
  <c r="G11"/>
  <c r="E11"/>
  <c r="G10"/>
  <c r="E10"/>
  <c r="G9"/>
  <c r="E9"/>
  <c r="G8"/>
  <c r="G33" s="1"/>
  <c r="E8"/>
  <c r="E33" s="1"/>
  <c r="G48" l="1"/>
  <c r="G49" s="1"/>
  <c r="G62" s="1"/>
  <c r="E48"/>
  <c r="E49" s="1"/>
  <c r="E62" s="1"/>
  <c r="G57"/>
  <c r="G61" s="1"/>
  <c r="C67" l="1"/>
  <c r="C68"/>
  <c r="C69"/>
  <c r="C70"/>
  <c r="Q13" i="2" l="1"/>
  <c r="Q12"/>
  <c r="Q11"/>
  <c r="Q10"/>
  <c r="Q9"/>
  <c r="Q8"/>
  <c r="Q7"/>
  <c r="Q6"/>
  <c r="Q5"/>
  <c r="Q4"/>
  <c r="Q3"/>
  <c r="C53"/>
  <c r="C45"/>
  <c r="D11"/>
  <c r="C29"/>
  <c r="D23"/>
  <c r="D19"/>
  <c r="D12"/>
  <c r="D10"/>
  <c r="E50"/>
  <c r="G50"/>
  <c r="I40"/>
  <c r="H35"/>
  <c r="H32"/>
  <c r="I46"/>
  <c r="D61" l="1"/>
  <c r="D60"/>
  <c r="C39"/>
  <c r="H40" l="1"/>
  <c r="C43" l="1"/>
  <c r="C63"/>
  <c r="C76" s="1"/>
  <c r="C62"/>
  <c r="C59"/>
  <c r="D57"/>
  <c r="E57" s="1"/>
  <c r="D56"/>
  <c r="D55"/>
  <c r="C52"/>
  <c r="C44"/>
  <c r="D27" l="1"/>
  <c r="D18"/>
  <c r="D16"/>
  <c r="D30"/>
  <c r="D28"/>
  <c r="D24"/>
  <c r="D22"/>
  <c r="H63"/>
  <c r="C38"/>
  <c r="E38" s="1"/>
  <c r="G38" s="1"/>
  <c r="J38" s="1"/>
  <c r="I50" l="1"/>
  <c r="J50"/>
  <c r="E18"/>
  <c r="D14"/>
  <c r="E19"/>
  <c r="C32"/>
  <c r="C47" s="1"/>
  <c r="C7"/>
  <c r="C6"/>
  <c r="C8"/>
  <c r="E52"/>
  <c r="G52" s="1"/>
  <c r="J52" s="1"/>
  <c r="E53"/>
  <c r="G53" s="1"/>
  <c r="E54"/>
  <c r="G54" s="1"/>
  <c r="E55"/>
  <c r="G55" s="1"/>
  <c r="J55" s="1"/>
  <c r="E56"/>
  <c r="G56" s="1"/>
  <c r="J56" s="1"/>
  <c r="G57"/>
  <c r="E58"/>
  <c r="G58" s="1"/>
  <c r="E59"/>
  <c r="G59" s="1"/>
  <c r="J59" s="1"/>
  <c r="E60"/>
  <c r="G60" s="1"/>
  <c r="J60" s="1"/>
  <c r="E61"/>
  <c r="G61" s="1"/>
  <c r="J61" s="1"/>
  <c r="E62"/>
  <c r="G62" s="1"/>
  <c r="J62" s="1"/>
  <c r="E51"/>
  <c r="G51" s="1"/>
  <c r="E43"/>
  <c r="G43" s="1"/>
  <c r="J43" s="1"/>
  <c r="E44"/>
  <c r="G44" s="1"/>
  <c r="J44" s="1"/>
  <c r="E45"/>
  <c r="G45" s="1"/>
  <c r="E42"/>
  <c r="G42" s="1"/>
  <c r="E36"/>
  <c r="G36" s="1"/>
  <c r="J36" s="1"/>
  <c r="E37"/>
  <c r="G37" s="1"/>
  <c r="J37" s="1"/>
  <c r="E39"/>
  <c r="G39" s="1"/>
  <c r="J39" s="1"/>
  <c r="E35"/>
  <c r="E13"/>
  <c r="E15"/>
  <c r="E16"/>
  <c r="E17"/>
  <c r="E20"/>
  <c r="E21"/>
  <c r="E22"/>
  <c r="E23"/>
  <c r="E24"/>
  <c r="E25"/>
  <c r="E26"/>
  <c r="E27"/>
  <c r="E28"/>
  <c r="E29"/>
  <c r="E30"/>
  <c r="E31"/>
  <c r="E5"/>
  <c r="H46"/>
  <c r="G35" l="1"/>
  <c r="J35" s="1"/>
  <c r="J40" s="1"/>
  <c r="E40"/>
  <c r="E14"/>
  <c r="J45"/>
  <c r="C64"/>
  <c r="C67"/>
  <c r="J42"/>
  <c r="G16"/>
  <c r="J53"/>
  <c r="E12"/>
  <c r="G12" s="1"/>
  <c r="G31"/>
  <c r="G27"/>
  <c r="G23"/>
  <c r="G17"/>
  <c r="G13"/>
  <c r="G5"/>
  <c r="G28"/>
  <c r="G24"/>
  <c r="G20"/>
  <c r="J20" s="1"/>
  <c r="J57"/>
  <c r="I57"/>
  <c r="E6"/>
  <c r="G19"/>
  <c r="G29"/>
  <c r="G25"/>
  <c r="G21"/>
  <c r="G15"/>
  <c r="J58"/>
  <c r="I58"/>
  <c r="I54"/>
  <c r="J54"/>
  <c r="E8"/>
  <c r="G18"/>
  <c r="J18" s="1"/>
  <c r="G30"/>
  <c r="G26"/>
  <c r="G22"/>
  <c r="G63"/>
  <c r="I51"/>
  <c r="J51"/>
  <c r="E7"/>
  <c r="E11"/>
  <c r="E10"/>
  <c r="E63"/>
  <c r="D40"/>
  <c r="G46"/>
  <c r="E46"/>
  <c r="D46" s="1"/>
  <c r="C80" l="1"/>
  <c r="J46"/>
  <c r="G40"/>
  <c r="J63"/>
  <c r="G14"/>
  <c r="I63"/>
  <c r="E32"/>
  <c r="D32" s="1"/>
  <c r="D63"/>
  <c r="C78"/>
  <c r="C77" s="1"/>
  <c r="J16"/>
  <c r="F63"/>
  <c r="G8"/>
  <c r="J29"/>
  <c r="J12"/>
  <c r="G7"/>
  <c r="G11"/>
  <c r="J22"/>
  <c r="J30"/>
  <c r="J19"/>
  <c r="J5"/>
  <c r="J17"/>
  <c r="J27"/>
  <c r="G6"/>
  <c r="J23"/>
  <c r="G10"/>
  <c r="F46"/>
  <c r="F40"/>
  <c r="C82" l="1"/>
  <c r="G32"/>
  <c r="J11"/>
  <c r="I11"/>
  <c r="J14"/>
  <c r="G9"/>
  <c r="J10"/>
  <c r="E47"/>
  <c r="C79"/>
  <c r="J6"/>
  <c r="J7"/>
  <c r="J8"/>
  <c r="C68" l="1"/>
  <c r="C85"/>
  <c r="I32"/>
  <c r="I47" s="1"/>
  <c r="I64" s="1"/>
  <c r="J32"/>
  <c r="J47" s="1"/>
  <c r="J64" s="1"/>
  <c r="H47"/>
  <c r="D47"/>
  <c r="D64" s="1"/>
  <c r="E64"/>
  <c r="G47"/>
  <c r="F32"/>
  <c r="H64" l="1"/>
  <c r="G64"/>
  <c r="C71"/>
  <c r="D86" s="1"/>
  <c r="C88" s="1"/>
  <c r="F47"/>
  <c r="F64" s="1"/>
  <c r="C70" l="1"/>
  <c r="C73"/>
</calcChain>
</file>

<file path=xl/comments1.xml><?xml version="1.0" encoding="utf-8"?>
<comments xmlns="http://schemas.openxmlformats.org/spreadsheetml/2006/main">
  <authors>
    <author>lywilliams</author>
  </authors>
  <commentList>
    <comment ref="H10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Previous submission=1870*2084.65*.17 = 662,710.66
2084.65 = (2*1949149)/1870</t>
        </r>
      </text>
    </comment>
    <comment ref="H11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= 1870*4268.92*.17
4268.92 = (2*3991439)/1870</t>
        </r>
      </text>
    </comment>
    <comment ref="I11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Reduced certification from 2 times a year to 1.5.  This is a 25% reduction attributable to program changes only.</t>
        </r>
      </text>
    </comment>
    <comment ref="K36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There was a decrease in children and a decrease in the frequency that the LA must make a record for children (from 2 to 1.5) BUT the prior ICR did not explicity include certification for children, thus this increase reflects the correction to the calculation.  </t>
        </r>
      </text>
    </comment>
    <comment ref="K39" authorId="0">
      <text>
        <r>
          <rPr>
            <b/>
            <sz val="8"/>
            <color indexed="81"/>
            <rFont val="Tahoma"/>
            <family val="2"/>
          </rPr>
          <t>lywilliams:</t>
        </r>
        <r>
          <rPr>
            <sz val="8"/>
            <color indexed="81"/>
            <rFont val="Tahoma"/>
            <family val="2"/>
          </rPr>
          <t xml:space="preserve">
The calculation has been corrected to reflect 1% of participants + 1% of women + 1% of children.  The slight decrease is due to the decrease in the number of child participants.</t>
        </r>
      </text>
    </comment>
  </commentList>
</comments>
</file>

<file path=xl/sharedStrings.xml><?xml version="1.0" encoding="utf-8"?>
<sst xmlns="http://schemas.openxmlformats.org/spreadsheetml/2006/main" count="359" uniqueCount="195">
  <si>
    <t>Annual</t>
  </si>
  <si>
    <t>Number of</t>
  </si>
  <si>
    <t>Estimated</t>
  </si>
  <si>
    <t>Previous</t>
  </si>
  <si>
    <t>Difference</t>
  </si>
  <si>
    <t xml:space="preserve">Estimated </t>
  </si>
  <si>
    <t>Total</t>
  </si>
  <si>
    <t>Submission</t>
  </si>
  <si>
    <t>Due To</t>
  </si>
  <si>
    <t>Regulation</t>
  </si>
  <si>
    <t>TITLE</t>
  </si>
  <si>
    <t>Hours Per</t>
  </si>
  <si>
    <t>Program</t>
  </si>
  <si>
    <t>Adjust-</t>
  </si>
  <si>
    <t>Section</t>
  </si>
  <si>
    <t>Respondents</t>
  </si>
  <si>
    <t>Responses</t>
  </si>
  <si>
    <t>Response</t>
  </si>
  <si>
    <t>Hours</t>
  </si>
  <si>
    <t>PersonHours</t>
  </si>
  <si>
    <t>Changes</t>
  </si>
  <si>
    <t>ments</t>
  </si>
  <si>
    <t>State Plan</t>
  </si>
  <si>
    <t>246.5(b)</t>
  </si>
  <si>
    <t>Local Agency (LA) applications</t>
  </si>
  <si>
    <t>LA Agreements</t>
  </si>
  <si>
    <t>LA requests for notice extension</t>
  </si>
  <si>
    <t>246.7(i)</t>
  </si>
  <si>
    <t xml:space="preserve">Cert. data for women &amp; children </t>
  </si>
  <si>
    <t>"</t>
  </si>
  <si>
    <t xml:space="preserve">Certification data for infants </t>
  </si>
  <si>
    <t>SA notification re funding shortfall</t>
  </si>
  <si>
    <t>246.7(k)</t>
  </si>
  <si>
    <t>246.11(d)(2)</t>
  </si>
  <si>
    <t>LA nutrition education plan</t>
  </si>
  <si>
    <t>246.12(h)</t>
  </si>
  <si>
    <t>246.12(i)(1)</t>
  </si>
  <si>
    <t>Vendor training development</t>
  </si>
  <si>
    <t>Vendor training</t>
  </si>
  <si>
    <t>246.12(j)(4)</t>
  </si>
  <si>
    <t>246.12(o)</t>
  </si>
  <si>
    <t>Complaints</t>
  </si>
  <si>
    <t>246.14(d)(1)</t>
  </si>
  <si>
    <t>ADP proposals</t>
  </si>
  <si>
    <t>246.16(d)</t>
  </si>
  <si>
    <t>Distribution of funds to LAs</t>
  </si>
  <si>
    <t>246.17(c)(1)</t>
  </si>
  <si>
    <t>Termination of SAs &amp; LAs</t>
  </si>
  <si>
    <t>246.19(a)</t>
  </si>
  <si>
    <t>SA corrective action plans to FNS</t>
  </si>
  <si>
    <t>246.20(a)(2)</t>
  </si>
  <si>
    <t>SA response to OIG audits</t>
  </si>
  <si>
    <t>246.12(i)(4)</t>
  </si>
  <si>
    <t>246.25(a)</t>
  </si>
  <si>
    <t>Financial ops. &amp; food delivery sys.</t>
  </si>
  <si>
    <t>Nutrition education for infants</t>
  </si>
  <si>
    <t>Fair hearings</t>
  </si>
  <si>
    <t>246.12(q)</t>
  </si>
  <si>
    <t>246.19(b)(5)</t>
  </si>
  <si>
    <t>Targeted LA reviews</t>
  </si>
  <si>
    <t>Disposition of food instruments</t>
  </si>
  <si>
    <t>Vendor compliance investigations</t>
  </si>
  <si>
    <t>246.12(j)(6)</t>
  </si>
  <si>
    <t>246.23(c)(1)</t>
  </si>
  <si>
    <t>Routine vendor monitoring</t>
  </si>
  <si>
    <t>Disposition of participant claims</t>
  </si>
  <si>
    <t>Vendor training content</t>
  </si>
  <si>
    <t xml:space="preserve">Subtotal - </t>
  </si>
  <si>
    <t>Reporting Requirements</t>
  </si>
  <si>
    <t>Nutrition ed. for women &amp; children</t>
  </si>
  <si>
    <t>Verification of Certification cards</t>
  </si>
  <si>
    <t>246.7(j)(9)</t>
  </si>
  <si>
    <t>Vendor food sales data</t>
  </si>
  <si>
    <t>Vendor shelf prices</t>
  </si>
  <si>
    <t>246.10(b)(1)</t>
  </si>
  <si>
    <t>-</t>
  </si>
  <si>
    <t>Burden</t>
  </si>
  <si>
    <t xml:space="preserve">GRAND SUBTOTAL   </t>
  </si>
  <si>
    <t xml:space="preserve">GRAND TOTAL   </t>
  </si>
  <si>
    <t>SUMMARY OF BURDEN (OMB #0584-0043)</t>
  </si>
  <si>
    <t>TOTAL NO. RESPONDENTS</t>
  </si>
  <si>
    <t>AVERAGE NO. RESPONSES PER RESPONDENT</t>
  </si>
  <si>
    <t>TOTAL ANNUAL RESPONSES</t>
  </si>
  <si>
    <t>AVERAGE HOURS PER RESPONSE</t>
  </si>
  <si>
    <t>TOTAL ANNUAL BURDEN HOURS REQUESTED</t>
  </si>
  <si>
    <t>CURRENT OMB INVENTORY</t>
  </si>
  <si>
    <t>DIFFERENCE</t>
  </si>
  <si>
    <t>246.12(g)(4)(i)</t>
  </si>
  <si>
    <t>246.12(g)(4)(ii)(B)</t>
  </si>
  <si>
    <t>Affected Public:  Retail Vendors (Food Stores)</t>
  </si>
  <si>
    <t>Affected Public:  State and Local Agencies (including Indian Tribal Organizations and U.S. Territories)</t>
  </si>
  <si>
    <t xml:space="preserve">Vendor applications &amp; agreements </t>
  </si>
  <si>
    <t>Affected Public:  Applicants for Program Benefits</t>
  </si>
  <si>
    <t>246.12(h)(8)</t>
  </si>
  <si>
    <t>Vendor incentive items</t>
  </si>
  <si>
    <t>246.12(l)(3)</t>
  </si>
  <si>
    <t>Vendor notice of violations</t>
  </si>
  <si>
    <t>246.12(g)(11)</t>
  </si>
  <si>
    <t>Vendor infant formula suppliers</t>
  </si>
  <si>
    <t>REPORTING BURDEN ESTIMATES</t>
  </si>
  <si>
    <r>
      <t xml:space="preserve">Subtotal - </t>
    </r>
    <r>
      <rPr>
        <b/>
        <i/>
        <sz val="11"/>
        <rFont val="Arial"/>
        <family val="2"/>
      </rPr>
      <t>REPORTING</t>
    </r>
  </si>
  <si>
    <t>246.7(f)(2)(iii)(A)</t>
  </si>
  <si>
    <t>RECORDKEEPING BURDEN ESTIMATES</t>
  </si>
  <si>
    <r>
      <t xml:space="preserve">Subtotal - </t>
    </r>
    <r>
      <rPr>
        <b/>
        <i/>
        <sz val="11"/>
        <rFont val="Arial"/>
        <family val="2"/>
      </rPr>
      <t>RECORDKEEPING</t>
    </r>
  </si>
  <si>
    <t>246.12(h)(1)(i)</t>
  </si>
  <si>
    <t xml:space="preserve">                  ATTACHMENT A:  WIC PROGRAM REPORTING AND RECORDKEEPING REQUIREMENTS  (OMB #0584-0043)                                            </t>
  </si>
  <si>
    <t xml:space="preserve">Vendor shelf prices exemption </t>
  </si>
  <si>
    <t>Estimated Number of Respondents</t>
  </si>
  <si>
    <t>Annual Responses per Respondent</t>
  </si>
  <si>
    <t>Total Annual Responses</t>
  </si>
  <si>
    <t>Number of Burden Hours per Request</t>
  </si>
  <si>
    <t>Estimated Total Burden Hours</t>
  </si>
  <si>
    <t>Previous Sumbission: Total Hours per Person</t>
  </si>
  <si>
    <t>Difference Due to Program Changes</t>
  </si>
  <si>
    <t>Difference Due to Adjustments</t>
  </si>
  <si>
    <t>Regulatory Section</t>
  </si>
  <si>
    <t>Information Collected</t>
  </si>
  <si>
    <r>
      <t xml:space="preserve">Subtotal </t>
    </r>
    <r>
      <rPr>
        <b/>
        <i/>
        <sz val="11"/>
        <rFont val="Arial"/>
        <family val="2"/>
      </rPr>
      <t>Reporting: State and Local Agencies</t>
    </r>
  </si>
  <si>
    <t>Subtotal Reporting: Applicants</t>
  </si>
  <si>
    <t>Subtotal Reporting: Retail Vendors</t>
  </si>
  <si>
    <t xml:space="preserve">GRAND SUBTOTAL: REPORTING </t>
  </si>
  <si>
    <t>SUBTOTAL:  RECORDKEEPING</t>
  </si>
  <si>
    <t xml:space="preserve">GRAND TOTAL: REPORTING AND RECORDKEEPING   </t>
  </si>
  <si>
    <t>246.10(d)(1)</t>
  </si>
  <si>
    <t>Medical documentation</t>
  </si>
  <si>
    <t>Vendor food sales data for A50s</t>
  </si>
  <si>
    <t>246.19(a)(2)</t>
  </si>
  <si>
    <t xml:space="preserve">Cert. data for women </t>
  </si>
  <si>
    <t xml:space="preserve">Cert. data for children </t>
  </si>
  <si>
    <t>*Participation numbers are Average from FY11</t>
  </si>
  <si>
    <t>Cert. data for children</t>
  </si>
  <si>
    <t>Relevant Numbers</t>
  </si>
  <si>
    <t>Vendors</t>
  </si>
  <si>
    <t>A50 Vendors</t>
  </si>
  <si>
    <t>Participants</t>
  </si>
  <si>
    <t>Part-Women</t>
  </si>
  <si>
    <t>Part-Children</t>
  </si>
  <si>
    <t>Part-Infants</t>
  </si>
  <si>
    <t>Local Agencies</t>
  </si>
  <si>
    <t>Cert. data for women and children</t>
  </si>
  <si>
    <t>Identification of acceptable foods</t>
  </si>
  <si>
    <t>246.14(d)</t>
  </si>
  <si>
    <t>Potential A50s based on SNAP Redemptions</t>
  </si>
  <si>
    <t>Clinics (estimated)</t>
  </si>
  <si>
    <t>246.12(h)(8)(i)</t>
  </si>
  <si>
    <t>SAs with A50s</t>
  </si>
  <si>
    <t>SAs that allow incentives</t>
  </si>
  <si>
    <t>246.12(j)(6)(ii)</t>
  </si>
  <si>
    <t>N/A</t>
  </si>
  <si>
    <t xml:space="preserve">Women &amp; Children certification data have been separated to show the differences in the number of annual responses. </t>
  </si>
  <si>
    <t>Change in number of local agencies</t>
  </si>
  <si>
    <t>Increase due to increase in number of infants being certified.</t>
  </si>
  <si>
    <t>Increase in number of women certifications.</t>
  </si>
  <si>
    <t>Increase in number of infant certifications.</t>
  </si>
  <si>
    <t>Increase in number of infant certifications. (1% of infants)</t>
  </si>
  <si>
    <t>Increase in number of retail vendors results in proportionate increase in applications and agreements</t>
  </si>
  <si>
    <t>Increase in number of retail vendors results in proportionate increase in vendor monitoring</t>
  </si>
  <si>
    <t>Increase in number of retail vendors results in proportionate increase in vendor compliance investigations</t>
  </si>
  <si>
    <t xml:space="preserve">Increase in number of infant certifications. (1% of infants) </t>
  </si>
  <si>
    <t>SUMMARY OF REPORTING BURDEN (OMB #0584-0043)</t>
  </si>
  <si>
    <t>SUMMARY OF RECORDKEEPING BURDEN (OMB #0584-0043)</t>
  </si>
  <si>
    <t>TOTAL NO. RECORDKEEPERS</t>
  </si>
  <si>
    <t>ANNUAL REPORTING &amp; RECORDKEEPING BURDEN (OMB #0584-0043)</t>
  </si>
  <si>
    <t>Previous #s per 2009 Burden Narrative</t>
  </si>
  <si>
    <t>Correction to calculation method.</t>
  </si>
  <si>
    <t>GRAND TOTAL - ANNUAL BURDEN HOURS</t>
  </si>
  <si>
    <t>Medical documentation, 1% of infants</t>
  </si>
  <si>
    <t>Affected Public:  Individuals and Households:  Applicants for Program Benefits</t>
  </si>
  <si>
    <t>Affected Public:  Business:  Retail Vendors (WIC-Authorized Food Stores)</t>
  </si>
  <si>
    <t>per</t>
  </si>
  <si>
    <t>Respondent</t>
  </si>
  <si>
    <t>Identification of Acceptable Foods</t>
  </si>
  <si>
    <t xml:space="preserve">246.10(d)(1) </t>
  </si>
  <si>
    <t>246.10(d)(4)</t>
  </si>
  <si>
    <t>Medical Documentation</t>
  </si>
  <si>
    <t>246.10©</t>
  </si>
  <si>
    <t>1% of infants addl.documentation</t>
  </si>
  <si>
    <t>246.10(d)</t>
  </si>
  <si>
    <t>Explanation of Differences</t>
  </si>
  <si>
    <t>Rounding</t>
  </si>
  <si>
    <t>Change in number of local agencies.</t>
  </si>
  <si>
    <t>Increase in number of total certifications.</t>
  </si>
  <si>
    <t xml:space="preserve">Respondent group = the number of vendors that derive more of their revenue from SNAP than from WIC.  The number of respondents decreased.  </t>
  </si>
  <si>
    <t>Increase in number of vendors results in proportionate increase in reporting for vendor shelf prices.</t>
  </si>
  <si>
    <t>Increase in number of vendors results in proportionate increase in training.</t>
  </si>
  <si>
    <t>Increase in number of vendors results in proportionate increase in estimated compliance investigations.</t>
  </si>
  <si>
    <t>Correction to calculation method. And decrease in number of children certifications.</t>
  </si>
  <si>
    <t>Increase in number of retail vendors.</t>
  </si>
  <si>
    <t>Increase in number of retail vendors (% of total).</t>
  </si>
  <si>
    <t xml:space="preserve">Reduction in the number of above 50 percent vendors as well as a reduction in the number of SAs that allow incentive items. </t>
  </si>
  <si>
    <t>GRAND TOTAL - RESPONSES</t>
  </si>
  <si>
    <t>Decrease in State Agencies requesting exemptions</t>
  </si>
  <si>
    <t>Correction to calculation method. Also increased due to increase in certifications.</t>
  </si>
  <si>
    <t>Current</t>
  </si>
  <si>
    <t>Decrease in number of children certifications (adjustment) and number of responses required per program change.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</si>
</sst>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?_);_(@_)"/>
    <numFmt numFmtId="165" formatCode="#,##0.0000_);\(#,##0.0000\)"/>
    <numFmt numFmtId="166" formatCode="_(* #,##0.0_);_(* \(#,##0.0\);_(* &quot;-&quot;_);_(@_)"/>
    <numFmt numFmtId="167" formatCode="_(* #,##0.00_);_(* \(#,##0.00\);_(* &quot;-&quot;_);_(@_)"/>
    <numFmt numFmtId="168" formatCode="#,##0.0"/>
    <numFmt numFmtId="169" formatCode="0.0"/>
  </numFmts>
  <fonts count="19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b/>
      <sz val="8"/>
      <color indexed="8"/>
      <name val="Arial Narrow"/>
      <family val="2"/>
    </font>
    <font>
      <b/>
      <sz val="8"/>
      <color indexed="8"/>
      <name val="Arial"/>
      <family val="2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7.5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0" fontId="2" fillId="0" borderId="0" xfId="0" applyFont="1"/>
    <xf numFmtId="43" fontId="3" fillId="0" borderId="1" xfId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1" fontId="2" fillId="0" borderId="4" xfId="1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2" fillId="0" borderId="6" xfId="1" applyNumberFormat="1" applyFont="1" applyBorder="1" applyAlignment="1">
      <alignment horizontal="center"/>
    </xf>
    <xf numFmtId="41" fontId="3" fillId="0" borderId="7" xfId="1" applyNumberFormat="1" applyFont="1" applyBorder="1" applyAlignment="1">
      <alignment horizontal="right"/>
    </xf>
    <xf numFmtId="41" fontId="3" fillId="0" borderId="8" xfId="1" applyNumberFormat="1" applyFont="1" applyBorder="1" applyAlignment="1">
      <alignment horizontal="right"/>
    </xf>
    <xf numFmtId="41" fontId="2" fillId="0" borderId="4" xfId="0" applyNumberFormat="1" applyFont="1" applyBorder="1"/>
    <xf numFmtId="37" fontId="2" fillId="0" borderId="4" xfId="1" applyNumberFormat="1" applyFont="1" applyBorder="1" applyAlignment="1">
      <alignment horizontal="right"/>
    </xf>
    <xf numFmtId="43" fontId="3" fillId="0" borderId="9" xfId="1" applyNumberFormat="1" applyFont="1" applyBorder="1" applyAlignment="1">
      <alignment horizontal="right"/>
    </xf>
    <xf numFmtId="164" fontId="3" fillId="0" borderId="9" xfId="1" applyNumberFormat="1" applyFont="1" applyBorder="1" applyAlignment="1">
      <alignment horizontal="center"/>
    </xf>
    <xf numFmtId="37" fontId="3" fillId="0" borderId="8" xfId="1" applyNumberFormat="1" applyFont="1" applyBorder="1" applyAlignment="1">
      <alignment horizontal="right"/>
    </xf>
    <xf numFmtId="41" fontId="3" fillId="0" borderId="8" xfId="0" applyNumberFormat="1" applyFont="1" applyBorder="1"/>
    <xf numFmtId="41" fontId="2" fillId="0" borderId="0" xfId="1" applyNumberFormat="1" applyFont="1" applyBorder="1" applyAlignment="1">
      <alignment horizontal="right"/>
    </xf>
    <xf numFmtId="41" fontId="2" fillId="0" borderId="0" xfId="0" applyNumberFormat="1" applyFont="1" applyBorder="1"/>
    <xf numFmtId="165" fontId="2" fillId="0" borderId="4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center"/>
    </xf>
    <xf numFmtId="37" fontId="4" fillId="0" borderId="4" xfId="1" applyNumberFormat="1" applyFont="1" applyBorder="1" applyAlignment="1">
      <alignment horizontal="right"/>
    </xf>
    <xf numFmtId="165" fontId="4" fillId="0" borderId="4" xfId="1" applyNumberFormat="1" applyFont="1" applyBorder="1" applyAlignment="1">
      <alignment horizontal="right"/>
    </xf>
    <xf numFmtId="41" fontId="8" fillId="0" borderId="8" xfId="1" applyNumberFormat="1" applyFont="1" applyBorder="1" applyAlignment="1">
      <alignment horizontal="right"/>
    </xf>
    <xf numFmtId="41" fontId="2" fillId="0" borderId="5" xfId="0" applyNumberFormat="1" applyFont="1" applyBorder="1"/>
    <xf numFmtId="41" fontId="2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0" fontId="2" fillId="0" borderId="11" xfId="0" applyFont="1" applyBorder="1"/>
    <xf numFmtId="41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1" fontId="2" fillId="0" borderId="14" xfId="0" applyNumberFormat="1" applyFont="1" applyBorder="1"/>
    <xf numFmtId="41" fontId="2" fillId="0" borderId="15" xfId="1" applyNumberFormat="1" applyFont="1" applyBorder="1" applyAlignment="1">
      <alignment horizontal="right"/>
    </xf>
    <xf numFmtId="41" fontId="2" fillId="0" borderId="13" xfId="1" applyNumberFormat="1" applyFont="1" applyBorder="1" applyAlignment="1">
      <alignment horizontal="right"/>
    </xf>
    <xf numFmtId="37" fontId="2" fillId="0" borderId="14" xfId="1" applyNumberFormat="1" applyFont="1" applyBorder="1" applyAlignment="1">
      <alignment horizontal="right"/>
    </xf>
    <xf numFmtId="41" fontId="4" fillId="0" borderId="13" xfId="1" applyNumberFormat="1" applyFont="1" applyBorder="1" applyAlignment="1">
      <alignment horizontal="right"/>
    </xf>
    <xf numFmtId="41" fontId="4" fillId="0" borderId="4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1" fontId="2" fillId="0" borderId="4" xfId="1" applyNumberFormat="1" applyFont="1" applyBorder="1" applyAlignment="1">
      <alignment horizontal="right"/>
    </xf>
    <xf numFmtId="39" fontId="2" fillId="0" borderId="13" xfId="1" applyNumberFormat="1" applyFont="1" applyBorder="1" applyAlignment="1">
      <alignment horizontal="right"/>
    </xf>
    <xf numFmtId="39" fontId="2" fillId="0" borderId="4" xfId="1" applyNumberFormat="1" applyFont="1" applyBorder="1" applyAlignment="1">
      <alignment horizontal="right"/>
    </xf>
    <xf numFmtId="37" fontId="8" fillId="0" borderId="8" xfId="1" applyNumberFormat="1" applyFont="1" applyBorder="1" applyAlignment="1">
      <alignment horizontal="right"/>
    </xf>
    <xf numFmtId="41" fontId="3" fillId="0" borderId="8" xfId="1" applyNumberFormat="1" applyFont="1" applyBorder="1" applyAlignment="1">
      <alignment horizontal="center"/>
    </xf>
    <xf numFmtId="43" fontId="3" fillId="0" borderId="8" xfId="1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right"/>
    </xf>
    <xf numFmtId="0" fontId="3" fillId="0" borderId="0" xfId="0" applyFont="1"/>
    <xf numFmtId="0" fontId="3" fillId="0" borderId="5" xfId="0" applyFont="1" applyBorder="1" applyAlignment="1">
      <alignment horizontal="left"/>
    </xf>
    <xf numFmtId="41" fontId="2" fillId="0" borderId="6" xfId="0" applyNumberFormat="1" applyFont="1" applyBorder="1"/>
    <xf numFmtId="41" fontId="3" fillId="2" borderId="16" xfId="1" applyNumberFormat="1" applyFont="1" applyFill="1" applyBorder="1" applyAlignment="1">
      <alignment horizontal="right"/>
    </xf>
    <xf numFmtId="41" fontId="3" fillId="2" borderId="16" xfId="1" applyNumberFormat="1" applyFont="1" applyFill="1" applyBorder="1" applyAlignment="1">
      <alignment horizontal="center"/>
    </xf>
    <xf numFmtId="43" fontId="3" fillId="2" borderId="16" xfId="1" applyNumberFormat="1" applyFont="1" applyFill="1" applyBorder="1" applyAlignment="1">
      <alignment horizontal="center"/>
    </xf>
    <xf numFmtId="37" fontId="8" fillId="2" borderId="16" xfId="1" applyNumberFormat="1" applyFont="1" applyFill="1" applyBorder="1" applyAlignment="1">
      <alignment horizontal="right"/>
    </xf>
    <xf numFmtId="41" fontId="3" fillId="2" borderId="16" xfId="0" applyNumberFormat="1" applyFont="1" applyFill="1" applyBorder="1"/>
    <xf numFmtId="0" fontId="3" fillId="0" borderId="0" xfId="0" applyFont="1" applyBorder="1" applyAlignment="1">
      <alignment horizontal="center"/>
    </xf>
    <xf numFmtId="41" fontId="3" fillId="0" borderId="0" xfId="1" applyNumberFormat="1" applyFont="1" applyBorder="1" applyAlignment="1">
      <alignment horizontal="right"/>
    </xf>
    <xf numFmtId="43" fontId="3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right"/>
    </xf>
    <xf numFmtId="41" fontId="8" fillId="0" borderId="0" xfId="1" applyNumberFormat="1" applyFont="1" applyBorder="1" applyAlignment="1">
      <alignment horizontal="right"/>
    </xf>
    <xf numFmtId="41" fontId="3" fillId="0" borderId="0" xfId="0" applyNumberFormat="1" applyFont="1" applyBorder="1"/>
    <xf numFmtId="37" fontId="2" fillId="0" borderId="4" xfId="1" applyNumberFormat="1" applyFont="1" applyFill="1" applyBorder="1" applyAlignment="1">
      <alignment horizontal="right"/>
    </xf>
    <xf numFmtId="41" fontId="2" fillId="0" borderId="4" xfId="1" applyNumberFormat="1" applyFont="1" applyFill="1" applyBorder="1" applyAlignment="1">
      <alignment horizontal="center"/>
    </xf>
    <xf numFmtId="41" fontId="3" fillId="3" borderId="17" xfId="1" applyNumberFormat="1" applyFont="1" applyFill="1" applyBorder="1" applyAlignment="1">
      <alignment horizontal="right"/>
    </xf>
    <xf numFmtId="43" fontId="3" fillId="3" borderId="18" xfId="1" applyNumberFormat="1" applyFont="1" applyFill="1" applyBorder="1" applyAlignment="1">
      <alignment horizontal="center"/>
    </xf>
    <xf numFmtId="37" fontId="3" fillId="3" borderId="17" xfId="1" applyNumberFormat="1" applyFont="1" applyFill="1" applyBorder="1" applyAlignment="1">
      <alignment horizontal="right"/>
    </xf>
    <xf numFmtId="41" fontId="8" fillId="3" borderId="17" xfId="1" applyNumberFormat="1" applyFont="1" applyFill="1" applyBorder="1" applyAlignment="1">
      <alignment horizontal="right"/>
    </xf>
    <xf numFmtId="41" fontId="3" fillId="3" borderId="18" xfId="0" applyNumberFormat="1" applyFont="1" applyFill="1" applyBorder="1"/>
    <xf numFmtId="41" fontId="3" fillId="3" borderId="8" xfId="0" applyNumberFormat="1" applyFont="1" applyFill="1" applyBorder="1"/>
    <xf numFmtId="0" fontId="3" fillId="3" borderId="19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left"/>
    </xf>
    <xf numFmtId="41" fontId="3" fillId="3" borderId="20" xfId="1" applyNumberFormat="1" applyFont="1" applyFill="1" applyBorder="1" applyAlignment="1">
      <alignment horizontal="right"/>
    </xf>
    <xf numFmtId="1" fontId="3" fillId="3" borderId="21" xfId="1" applyNumberFormat="1" applyFont="1" applyFill="1" applyBorder="1" applyAlignment="1">
      <alignment horizontal="right"/>
    </xf>
    <xf numFmtId="41" fontId="3" fillId="3" borderId="22" xfId="1" applyNumberFormat="1" applyFont="1" applyFill="1" applyBorder="1" applyAlignment="1">
      <alignment horizontal="right"/>
    </xf>
    <xf numFmtId="39" fontId="3" fillId="3" borderId="21" xfId="1" applyNumberFormat="1" applyFont="1" applyFill="1" applyBorder="1" applyAlignment="1">
      <alignment horizontal="right"/>
    </xf>
    <xf numFmtId="37" fontId="3" fillId="3" borderId="21" xfId="1" applyNumberFormat="1" applyFont="1" applyFill="1" applyBorder="1" applyAlignment="1">
      <alignment horizontal="right"/>
    </xf>
    <xf numFmtId="41" fontId="4" fillId="3" borderId="21" xfId="1" applyNumberFormat="1" applyFont="1" applyFill="1" applyBorder="1" applyAlignment="1">
      <alignment horizontal="right"/>
    </xf>
    <xf numFmtId="41" fontId="2" fillId="3" borderId="22" xfId="0" applyNumberFormat="1" applyFont="1" applyFill="1" applyBorder="1"/>
    <xf numFmtId="41" fontId="3" fillId="3" borderId="23" xfId="0" applyNumberFormat="1" applyFont="1" applyFill="1" applyBorder="1"/>
    <xf numFmtId="0" fontId="3" fillId="3" borderId="17" xfId="0" applyFont="1" applyFill="1" applyBorder="1" applyAlignment="1">
      <alignment horizontal="left"/>
    </xf>
    <xf numFmtId="41" fontId="3" fillId="3" borderId="17" xfId="0" applyNumberFormat="1" applyFont="1" applyFill="1" applyBorder="1"/>
    <xf numFmtId="41" fontId="3" fillId="3" borderId="24" xfId="0" applyNumberFormat="1" applyFont="1" applyFill="1" applyBorder="1"/>
    <xf numFmtId="0" fontId="3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41" fontId="2" fillId="0" borderId="4" xfId="1" applyNumberFormat="1" applyFont="1" applyFill="1" applyBorder="1" applyAlignment="1">
      <alignment horizontal="right"/>
    </xf>
    <xf numFmtId="43" fontId="2" fillId="0" borderId="6" xfId="1" applyNumberFormat="1" applyFont="1" applyFill="1" applyBorder="1" applyAlignment="1">
      <alignment horizontal="center"/>
    </xf>
    <xf numFmtId="41" fontId="4" fillId="0" borderId="4" xfId="1" applyNumberFormat="1" applyFont="1" applyFill="1" applyBorder="1" applyAlignment="1">
      <alignment horizontal="center"/>
    </xf>
    <xf numFmtId="41" fontId="2" fillId="0" borderId="4" xfId="0" applyNumberFormat="1" applyFont="1" applyFill="1" applyBorder="1"/>
    <xf numFmtId="41" fontId="2" fillId="0" borderId="5" xfId="0" applyNumberFormat="1" applyFont="1" applyFill="1" applyBorder="1"/>
    <xf numFmtId="0" fontId="2" fillId="0" borderId="0" xfId="0" applyFont="1" applyFill="1"/>
    <xf numFmtId="167" fontId="2" fillId="0" borderId="4" xfId="1" applyNumberFormat="1" applyFont="1" applyBorder="1" applyAlignment="1">
      <alignment horizontal="right"/>
    </xf>
    <xf numFmtId="166" fontId="2" fillId="0" borderId="4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4" xfId="0" applyFont="1" applyFill="1" applyBorder="1" applyAlignment="1">
      <alignment horizontal="left" vertical="justify" wrapText="1"/>
    </xf>
    <xf numFmtId="3" fontId="3" fillId="13" borderId="17" xfId="1" applyNumberFormat="1" applyFont="1" applyFill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3" fontId="3" fillId="13" borderId="8" xfId="1" applyNumberFormat="1" applyFont="1" applyFill="1" applyBorder="1" applyAlignment="1">
      <alignment horizontal="right" vertical="center" wrapText="1"/>
    </xf>
    <xf numFmtId="3" fontId="8" fillId="13" borderId="8" xfId="1" applyNumberFormat="1" applyFont="1" applyFill="1" applyBorder="1" applyAlignment="1">
      <alignment horizontal="right" vertical="center" wrapText="1"/>
    </xf>
    <xf numFmtId="3" fontId="3" fillId="13" borderId="25" xfId="1" applyNumberFormat="1" applyFont="1" applyFill="1" applyBorder="1" applyAlignment="1">
      <alignment horizontal="right" vertical="center" wrapText="1"/>
    </xf>
    <xf numFmtId="3" fontId="3" fillId="12" borderId="8" xfId="1" applyNumberFormat="1" applyFont="1" applyFill="1" applyBorder="1" applyAlignment="1">
      <alignment horizontal="right" vertical="center" wrapText="1"/>
    </xf>
    <xf numFmtId="3" fontId="8" fillId="12" borderId="8" xfId="1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4" fontId="2" fillId="0" borderId="6" xfId="1" applyNumberFormat="1" applyFont="1" applyBorder="1" applyAlignment="1">
      <alignment horizontal="right" vertical="center" wrapText="1"/>
    </xf>
    <xf numFmtId="4" fontId="2" fillId="0" borderId="6" xfId="1" applyNumberFormat="1" applyFont="1" applyFill="1" applyBorder="1" applyAlignment="1">
      <alignment horizontal="right" vertical="center" wrapText="1"/>
    </xf>
    <xf numFmtId="43" fontId="3" fillId="14" borderId="0" xfId="1" applyFont="1" applyFill="1" applyBorder="1" applyAlignment="1">
      <alignment horizontal="center" vertical="center" wrapText="1"/>
    </xf>
    <xf numFmtId="43" fontId="3" fillId="14" borderId="1" xfId="1" applyFont="1" applyFill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right" vertical="center" wrapText="1"/>
    </xf>
    <xf numFmtId="4" fontId="2" fillId="0" borderId="4" xfId="1" applyNumberFormat="1" applyFont="1" applyFill="1" applyBorder="1" applyAlignment="1">
      <alignment horizontal="right" vertical="center" wrapText="1"/>
    </xf>
    <xf numFmtId="4" fontId="2" fillId="14" borderId="4" xfId="1" applyNumberFormat="1" applyFont="1" applyFill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4" fillId="0" borderId="4" xfId="1" applyNumberFormat="1" applyFont="1" applyFill="1" applyBorder="1" applyAlignment="1">
      <alignment horizontal="right" vertical="center" wrapText="1"/>
    </xf>
    <xf numFmtId="4" fontId="2" fillId="0" borderId="0" xfId="1" applyNumberFormat="1" applyFont="1" applyBorder="1" applyAlignment="1">
      <alignment horizontal="right" vertical="center" wrapText="1"/>
    </xf>
    <xf numFmtId="4" fontId="2" fillId="14" borderId="5" xfId="1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3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3" fillId="0" borderId="5" xfId="0" applyFont="1" applyFill="1" applyBorder="1" applyAlignment="1">
      <alignment horizontal="left" wrapText="1"/>
    </xf>
    <xf numFmtId="0" fontId="13" fillId="0" borderId="0" xfId="0" applyFont="1"/>
    <xf numFmtId="49" fontId="3" fillId="0" borderId="4" xfId="0" applyNumberFormat="1" applyFont="1" applyFill="1" applyBorder="1" applyAlignment="1">
      <alignment horizontal="left" wrapText="1"/>
    </xf>
    <xf numFmtId="3" fontId="13" fillId="0" borderId="0" xfId="0" applyNumberFormat="1" applyFont="1"/>
    <xf numFmtId="4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3" fontId="3" fillId="15" borderId="17" xfId="1" applyNumberFormat="1" applyFont="1" applyFill="1" applyBorder="1" applyAlignment="1">
      <alignment horizontal="right" vertical="center" wrapText="1"/>
    </xf>
    <xf numFmtId="4" fontId="3" fillId="15" borderId="17" xfId="1" applyNumberFormat="1" applyFont="1" applyFill="1" applyBorder="1" applyAlignment="1">
      <alignment horizontal="right" vertical="center" wrapText="1"/>
    </xf>
    <xf numFmtId="4" fontId="3" fillId="12" borderId="8" xfId="1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justify"/>
    </xf>
    <xf numFmtId="49" fontId="3" fillId="0" borderId="4" xfId="0" applyNumberFormat="1" applyFont="1" applyBorder="1" applyAlignment="1">
      <alignment horizontal="left"/>
    </xf>
    <xf numFmtId="4" fontId="0" fillId="0" borderId="0" xfId="0" applyNumberFormat="1"/>
    <xf numFmtId="0" fontId="15" fillId="0" borderId="0" xfId="0" applyFont="1"/>
    <xf numFmtId="0" fontId="15" fillId="0" borderId="0" xfId="0" applyFont="1" applyAlignment="1">
      <alignment wrapText="1"/>
    </xf>
    <xf numFmtId="43" fontId="0" fillId="0" borderId="0" xfId="1" applyFont="1"/>
    <xf numFmtId="168" fontId="0" fillId="0" borderId="0" xfId="0" applyNumberFormat="1"/>
    <xf numFmtId="0" fontId="5" fillId="0" borderId="0" xfId="0" applyFont="1" applyAlignment="1">
      <alignment horizontal="center" vertical="center"/>
    </xf>
    <xf numFmtId="4" fontId="3" fillId="15" borderId="8" xfId="1" applyNumberFormat="1" applyFont="1" applyFill="1" applyBorder="1" applyAlignment="1">
      <alignment horizontal="right" vertical="center" wrapText="1"/>
    </xf>
    <xf numFmtId="3" fontId="18" fillId="0" borderId="0" xfId="0" applyNumberFormat="1" applyFont="1"/>
    <xf numFmtId="3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3" fontId="13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wrapText="1"/>
    </xf>
    <xf numFmtId="3" fontId="3" fillId="0" borderId="25" xfId="0" applyNumberFormat="1" applyFont="1" applyBorder="1" applyAlignment="1">
      <alignment horizontal="right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3" fontId="3" fillId="0" borderId="7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0" fontId="0" fillId="0" borderId="6" xfId="0" applyBorder="1"/>
    <xf numFmtId="3" fontId="13" fillId="0" borderId="5" xfId="0" applyNumberFormat="1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43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2" fillId="0" borderId="4" xfId="1" applyNumberFormat="1" applyFont="1" applyBorder="1" applyAlignment="1">
      <alignment horizontal="right"/>
    </xf>
    <xf numFmtId="0" fontId="2" fillId="0" borderId="0" xfId="0" applyFont="1" applyFill="1" applyAlignment="1">
      <alignment wrapText="1"/>
    </xf>
    <xf numFmtId="4" fontId="0" fillId="13" borderId="7" xfId="0" applyNumberFormat="1" applyFill="1" applyBorder="1" applyAlignment="1">
      <alignment wrapText="1"/>
    </xf>
    <xf numFmtId="4" fontId="0" fillId="13" borderId="34" xfId="0" applyNumberFormat="1" applyFill="1" applyBorder="1" applyAlignment="1">
      <alignment wrapText="1"/>
    </xf>
    <xf numFmtId="4" fontId="0" fillId="13" borderId="35" xfId="0" applyNumberFormat="1" applyFill="1" applyBorder="1" applyAlignment="1">
      <alignment wrapText="1"/>
    </xf>
    <xf numFmtId="4" fontId="0" fillId="12" borderId="44" xfId="0" applyNumberFormat="1" applyFill="1" applyBorder="1" applyAlignment="1">
      <alignment wrapText="1"/>
    </xf>
    <xf numFmtId="4" fontId="0" fillId="13" borderId="8" xfId="0" applyNumberFormat="1" applyFill="1" applyBorder="1" applyAlignment="1">
      <alignment wrapText="1"/>
    </xf>
    <xf numFmtId="4" fontId="1" fillId="0" borderId="13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4" fontId="15" fillId="0" borderId="4" xfId="0" applyNumberFormat="1" applyFont="1" applyBorder="1" applyAlignment="1">
      <alignment wrapText="1"/>
    </xf>
    <xf numFmtId="4" fontId="0" fillId="0" borderId="4" xfId="0" applyNumberFormat="1" applyBorder="1" applyAlignment="1">
      <alignment wrapText="1"/>
    </xf>
    <xf numFmtId="0" fontId="15" fillId="0" borderId="4" xfId="0" applyFont="1" applyBorder="1" applyAlignment="1">
      <alignment wrapText="1"/>
    </xf>
    <xf numFmtId="4" fontId="0" fillId="0" borderId="12" xfId="0" applyNumberFormat="1" applyBorder="1" applyAlignment="1">
      <alignment wrapText="1"/>
    </xf>
    <xf numFmtId="4" fontId="15" fillId="0" borderId="13" xfId="0" applyNumberFormat="1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4" fontId="0" fillId="0" borderId="4" xfId="0" applyNumberFormat="1" applyFill="1" applyBorder="1" applyAlignment="1">
      <alignment wrapText="1"/>
    </xf>
    <xf numFmtId="3" fontId="3" fillId="0" borderId="0" xfId="0" applyNumberFormat="1" applyFont="1" applyAlignment="1">
      <alignment wrapText="1"/>
    </xf>
    <xf numFmtId="0" fontId="1" fillId="0" borderId="40" xfId="0" applyFont="1" applyBorder="1" applyAlignment="1">
      <alignment wrapText="1"/>
    </xf>
    <xf numFmtId="4" fontId="14" fillId="0" borderId="41" xfId="0" applyNumberFormat="1" applyFont="1" applyBorder="1"/>
    <xf numFmtId="4" fontId="13" fillId="0" borderId="41" xfId="0" applyNumberFormat="1" applyFont="1" applyBorder="1"/>
    <xf numFmtId="4" fontId="13" fillId="0" borderId="42" xfId="0" applyNumberFormat="1" applyFont="1" applyBorder="1"/>
    <xf numFmtId="0" fontId="3" fillId="12" borderId="25" xfId="0" applyFont="1" applyFill="1" applyBorder="1" applyAlignment="1">
      <alignment horizontal="center" wrapText="1"/>
    </xf>
    <xf numFmtId="0" fontId="2" fillId="12" borderId="7" xfId="0" applyFont="1" applyFill="1" applyBorder="1" applyAlignment="1">
      <alignment horizont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7" fontId="11" fillId="0" borderId="25" xfId="0" applyNumberFormat="1" applyFont="1" applyBorder="1" applyAlignment="1" applyProtection="1">
      <alignment wrapText="1"/>
    </xf>
    <xf numFmtId="0" fontId="2" fillId="0" borderId="9" xfId="0" applyFont="1" applyBorder="1" applyAlignment="1">
      <alignment wrapText="1"/>
    </xf>
    <xf numFmtId="0" fontId="3" fillId="11" borderId="25" xfId="0" applyFont="1" applyFill="1" applyBorder="1" applyAlignment="1">
      <alignment horizontal="center" wrapText="1"/>
    </xf>
    <xf numFmtId="0" fontId="3" fillId="11" borderId="9" xfId="0" applyFont="1" applyFill="1" applyBorder="1" applyAlignment="1">
      <alignment horizontal="center" wrapText="1"/>
    </xf>
    <xf numFmtId="0" fontId="2" fillId="11" borderId="7" xfId="0" applyFont="1" applyFill="1" applyBorder="1" applyAlignment="1">
      <alignment wrapText="1"/>
    </xf>
    <xf numFmtId="37" fontId="11" fillId="0" borderId="25" xfId="0" applyNumberFormat="1" applyFont="1" applyBorder="1" applyAlignment="1" applyProtection="1">
      <alignment horizontal="left" wrapText="1"/>
    </xf>
    <xf numFmtId="37" fontId="11" fillId="0" borderId="9" xfId="0" applyNumberFormat="1" applyFont="1" applyBorder="1" applyAlignment="1" applyProtection="1">
      <alignment horizontal="left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13" borderId="25" xfId="0" applyFont="1" applyFill="1" applyBorder="1" applyAlignment="1">
      <alignment horizontal="center" wrapText="1"/>
    </xf>
    <xf numFmtId="0" fontId="2" fillId="13" borderId="9" xfId="0" applyFont="1" applyFill="1" applyBorder="1" applyAlignment="1">
      <alignment horizontal="center" wrapText="1"/>
    </xf>
    <xf numFmtId="0" fontId="2" fillId="13" borderId="26" xfId="0" applyFont="1" applyFill="1" applyBorder="1" applyAlignment="1">
      <alignment horizontal="center" wrapText="1"/>
    </xf>
    <xf numFmtId="0" fontId="2" fillId="13" borderId="7" xfId="0" applyFont="1" applyFill="1" applyBorder="1" applyAlignment="1">
      <alignment horizontal="center" wrapText="1"/>
    </xf>
    <xf numFmtId="0" fontId="3" fillId="10" borderId="33" xfId="0" applyFont="1" applyFill="1" applyBorder="1" applyAlignment="1">
      <alignment horizontal="center" wrapText="1"/>
    </xf>
    <xf numFmtId="0" fontId="3" fillId="10" borderId="10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10" borderId="33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  <xf numFmtId="0" fontId="3" fillId="10" borderId="34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 vertical="center" wrapText="1"/>
    </xf>
    <xf numFmtId="0" fontId="3" fillId="9" borderId="30" xfId="0" applyFont="1" applyFill="1" applyBorder="1" applyAlignment="1">
      <alignment horizontal="center" vertical="center" wrapText="1"/>
    </xf>
    <xf numFmtId="0" fontId="3" fillId="9" borderId="35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wrapText="1"/>
    </xf>
    <xf numFmtId="0" fontId="3" fillId="10" borderId="9" xfId="0" applyFont="1" applyFill="1" applyBorder="1" applyAlignment="1">
      <alignment horizontal="center" wrapText="1"/>
    </xf>
    <xf numFmtId="0" fontId="3" fillId="10" borderId="7" xfId="0" applyFont="1" applyFill="1" applyBorder="1" applyAlignment="1">
      <alignment horizontal="center" wrapText="1"/>
    </xf>
    <xf numFmtId="0" fontId="3" fillId="9" borderId="25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left" wrapText="1"/>
    </xf>
    <xf numFmtId="37" fontId="11" fillId="0" borderId="25" xfId="0" applyNumberFormat="1" applyFont="1" applyBorder="1" applyAlignment="1" applyProtection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3" fontId="2" fillId="0" borderId="35" xfId="0" applyNumberFormat="1" applyFont="1" applyBorder="1" applyAlignment="1">
      <alignment horizontal="right" vertical="center" wrapText="1"/>
    </xf>
    <xf numFmtId="3" fontId="3" fillId="0" borderId="25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9" xfId="0" applyFont="1" applyFill="1" applyBorder="1" applyAlignment="1"/>
    <xf numFmtId="0" fontId="9" fillId="5" borderId="10" xfId="0" applyFont="1" applyFill="1" applyBorder="1" applyAlignment="1"/>
    <xf numFmtId="0" fontId="9" fillId="5" borderId="7" xfId="0" applyFont="1" applyFill="1" applyBorder="1" applyAlignment="1"/>
    <xf numFmtId="0" fontId="9" fillId="7" borderId="25" xfId="0" applyFont="1" applyFill="1" applyBorder="1" applyAlignment="1">
      <alignment horizontal="center"/>
    </xf>
    <xf numFmtId="0" fontId="10" fillId="7" borderId="9" xfId="0" applyFont="1" applyFill="1" applyBorder="1" applyAlignment="1"/>
    <xf numFmtId="0" fontId="10" fillId="7" borderId="30" xfId="0" applyFont="1" applyFill="1" applyBorder="1" applyAlignment="1"/>
    <xf numFmtId="0" fontId="10" fillId="7" borderId="35" xfId="0" applyFont="1" applyFill="1" applyBorder="1" applyAlignment="1"/>
    <xf numFmtId="0" fontId="3" fillId="4" borderId="25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10" fillId="2" borderId="9" xfId="0" applyFont="1" applyFill="1" applyBorder="1" applyAlignment="1"/>
    <xf numFmtId="0" fontId="10" fillId="2" borderId="7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Alignment="1"/>
    <xf numFmtId="37" fontId="6" fillId="0" borderId="25" xfId="0" applyNumberFormat="1" applyFont="1" applyBorder="1" applyAlignment="1" applyProtection="1">
      <alignment horizontal="left"/>
    </xf>
    <xf numFmtId="0" fontId="0" fillId="0" borderId="9" xfId="0" applyBorder="1" applyAlignment="1">
      <alignment horizontal="left"/>
    </xf>
    <xf numFmtId="41" fontId="3" fillId="0" borderId="20" xfId="0" applyNumberFormat="1" applyFont="1" applyBorder="1" applyAlignment="1"/>
    <xf numFmtId="0" fontId="0" fillId="0" borderId="28" xfId="0" applyBorder="1" applyAlignment="1"/>
    <xf numFmtId="39" fontId="3" fillId="0" borderId="20" xfId="0" applyNumberFormat="1" applyFont="1" applyBorder="1" applyAlignment="1"/>
    <xf numFmtId="37" fontId="7" fillId="0" borderId="25" xfId="0" applyNumberFormat="1" applyFont="1" applyBorder="1" applyAlignment="1" applyProtection="1">
      <alignment horizontal="left"/>
    </xf>
    <xf numFmtId="37" fontId="3" fillId="0" borderId="20" xfId="0" applyNumberFormat="1" applyFont="1" applyBorder="1" applyAlignment="1"/>
    <xf numFmtId="0" fontId="3" fillId="0" borderId="7" xfId="0" applyFont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0" fillId="4" borderId="28" xfId="0" applyFill="1" applyBorder="1" applyAlignment="1"/>
    <xf numFmtId="37" fontId="6" fillId="0" borderId="25" xfId="0" applyNumberFormat="1" applyFont="1" applyBorder="1" applyAlignment="1" applyProtection="1">
      <alignment horizontal="right"/>
    </xf>
    <xf numFmtId="0" fontId="0" fillId="0" borderId="9" xfId="0" applyBorder="1" applyAlignment="1"/>
    <xf numFmtId="37" fontId="6" fillId="0" borderId="29" xfId="0" applyNumberFormat="1" applyFont="1" applyBorder="1" applyAlignment="1" applyProtection="1">
      <alignment horizontal="left"/>
    </xf>
    <xf numFmtId="37" fontId="6" fillId="0" borderId="30" xfId="0" applyNumberFormat="1" applyFont="1" applyBorder="1" applyAlignment="1" applyProtection="1">
      <alignment horizontal="left"/>
    </xf>
    <xf numFmtId="41" fontId="3" fillId="0" borderId="31" xfId="0" applyNumberFormat="1" applyFont="1" applyBorder="1" applyAlignment="1"/>
    <xf numFmtId="0" fontId="0" fillId="0" borderId="32" xfId="0" applyBorder="1" applyAlignment="1"/>
    <xf numFmtId="37" fontId="6" fillId="0" borderId="25" xfId="0" applyNumberFormat="1" applyFont="1" applyBorder="1" applyAlignment="1" applyProtection="1"/>
    <xf numFmtId="0" fontId="0" fillId="0" borderId="7" xfId="0" applyBorder="1" applyAlignment="1"/>
    <xf numFmtId="39" fontId="3" fillId="0" borderId="33" xfId="0" applyNumberFormat="1" applyFont="1" applyBorder="1" applyAlignment="1"/>
    <xf numFmtId="0" fontId="0" fillId="0" borderId="34" xfId="0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8"/>
  <sheetViews>
    <sheetView tabSelected="1" zoomScale="80" zoomScaleNormal="80" workbookViewId="0">
      <selection activeCell="K60" sqref="K60"/>
    </sheetView>
  </sheetViews>
  <sheetFormatPr defaultRowHeight="12.75"/>
  <cols>
    <col min="1" max="1" width="18.7109375" bestFit="1" customWidth="1"/>
    <col min="2" max="2" width="33.5703125" bestFit="1" customWidth="1"/>
    <col min="3" max="3" width="15.140625" bestFit="1" customWidth="1"/>
    <col min="4" max="4" width="14.140625" customWidth="1"/>
    <col min="5" max="5" width="17.7109375" customWidth="1"/>
    <col min="6" max="6" width="13.140625" bestFit="1" customWidth="1"/>
    <col min="7" max="7" width="16.28515625" customWidth="1"/>
    <col min="8" max="8" width="15.5703125" bestFit="1" customWidth="1"/>
    <col min="9" max="9" width="15.7109375" customWidth="1"/>
    <col min="10" max="10" width="14" bestFit="1" customWidth="1"/>
    <col min="11" max="11" width="29.5703125" customWidth="1"/>
    <col min="12" max="12" width="22" bestFit="1" customWidth="1"/>
    <col min="13" max="13" width="26.7109375" style="111" customWidth="1"/>
    <col min="14" max="14" width="40.85546875" customWidth="1"/>
    <col min="15" max="15" width="15.28515625" customWidth="1"/>
    <col min="16" max="16" width="17.5703125" customWidth="1"/>
    <col min="17" max="17" width="14.42578125" customWidth="1"/>
    <col min="18" max="18" width="11.5703125" bestFit="1" customWidth="1"/>
    <col min="19" max="19" width="6" customWidth="1"/>
    <col min="20" max="20" width="12.85546875" bestFit="1" customWidth="1"/>
    <col min="22" max="22" width="17.28515625" customWidth="1"/>
    <col min="23" max="23" width="16.42578125" customWidth="1"/>
    <col min="24" max="24" width="13.42578125" customWidth="1"/>
    <col min="25" max="25" width="14.140625" customWidth="1"/>
  </cols>
  <sheetData>
    <row r="1" spans="1:25" s="99" customFormat="1" ht="15" customHeight="1" thickBot="1">
      <c r="A1" s="233" t="s">
        <v>105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M1" s="108"/>
      <c r="N1" s="224"/>
      <c r="O1" s="224"/>
      <c r="P1" s="224"/>
      <c r="Q1" s="224"/>
      <c r="R1" s="224"/>
    </row>
    <row r="2" spans="1:25" s="108" customFormat="1" ht="93.75" customHeight="1" thickBot="1">
      <c r="A2" s="100" t="s">
        <v>115</v>
      </c>
      <c r="B2" s="101" t="s">
        <v>116</v>
      </c>
      <c r="C2" s="102" t="s">
        <v>107</v>
      </c>
      <c r="D2" s="103" t="s">
        <v>108</v>
      </c>
      <c r="E2" s="125" t="s">
        <v>109</v>
      </c>
      <c r="F2" s="104" t="s">
        <v>110</v>
      </c>
      <c r="G2" s="126" t="s">
        <v>111</v>
      </c>
      <c r="H2" s="105" t="s">
        <v>112</v>
      </c>
      <c r="I2" s="106" t="s">
        <v>113</v>
      </c>
      <c r="J2" s="107" t="s">
        <v>114</v>
      </c>
      <c r="K2" s="107" t="s">
        <v>178</v>
      </c>
      <c r="L2" s="122"/>
      <c r="M2" s="172" t="s">
        <v>129</v>
      </c>
      <c r="N2" s="173" t="s">
        <v>131</v>
      </c>
      <c r="O2" s="173" t="s">
        <v>193</v>
      </c>
      <c r="P2" s="173" t="s">
        <v>163</v>
      </c>
      <c r="Q2" s="174" t="s">
        <v>4</v>
      </c>
      <c r="R2" s="170"/>
      <c r="S2" s="169"/>
      <c r="U2" s="122"/>
      <c r="V2" s="134"/>
      <c r="X2" s="134"/>
      <c r="Y2" s="134"/>
    </row>
    <row r="3" spans="1:25" s="99" customFormat="1" ht="15" customHeight="1">
      <c r="A3" s="235" t="s">
        <v>99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  <c r="M3" s="175"/>
      <c r="N3" s="176" t="s">
        <v>132</v>
      </c>
      <c r="O3" s="177">
        <v>48621</v>
      </c>
      <c r="P3" s="177">
        <v>47000</v>
      </c>
      <c r="Q3" s="179">
        <f>O3-P3</f>
        <v>1621</v>
      </c>
      <c r="U3" s="157"/>
      <c r="V3" s="136"/>
      <c r="W3" s="135"/>
      <c r="X3" s="159"/>
      <c r="Y3" s="140"/>
    </row>
    <row r="4" spans="1:25" s="99" customFormat="1" ht="15" customHeight="1" thickBot="1">
      <c r="A4" s="238" t="s">
        <v>90</v>
      </c>
      <c r="B4" s="239"/>
      <c r="C4" s="239"/>
      <c r="D4" s="239"/>
      <c r="E4" s="239"/>
      <c r="F4" s="239"/>
      <c r="G4" s="239"/>
      <c r="H4" s="239"/>
      <c r="I4" s="239"/>
      <c r="J4" s="239"/>
      <c r="K4" s="240"/>
      <c r="L4" s="153"/>
      <c r="M4" s="175"/>
      <c r="N4" s="176" t="s">
        <v>133</v>
      </c>
      <c r="O4" s="177">
        <v>578</v>
      </c>
      <c r="P4" s="177">
        <v>1700</v>
      </c>
      <c r="Q4" s="179">
        <f t="shared" ref="Q4:Q5" si="0">O4-P4</f>
        <v>-1122</v>
      </c>
      <c r="U4" s="157"/>
      <c r="V4" s="136"/>
      <c r="W4" s="135"/>
      <c r="X4" s="159"/>
      <c r="Y4" s="140"/>
    </row>
    <row r="5" spans="1:25" ht="15">
      <c r="A5" s="109">
        <v>246.4</v>
      </c>
      <c r="B5" s="110" t="s">
        <v>22</v>
      </c>
      <c r="C5" s="127">
        <v>90</v>
      </c>
      <c r="D5" s="128">
        <v>1</v>
      </c>
      <c r="E5" s="129">
        <f>C5*D5</f>
        <v>90</v>
      </c>
      <c r="F5" s="123">
        <v>134.62</v>
      </c>
      <c r="G5" s="129">
        <f>E5*F5</f>
        <v>12115.800000000001</v>
      </c>
      <c r="H5" s="116">
        <v>12116</v>
      </c>
      <c r="I5" s="165"/>
      <c r="J5" s="165">
        <f>+G5-H5</f>
        <v>-0.19999999999890861</v>
      </c>
      <c r="K5" s="195" t="s">
        <v>179</v>
      </c>
      <c r="M5" s="178"/>
      <c r="N5" s="176" t="s">
        <v>134</v>
      </c>
      <c r="O5" s="177">
        <v>8960587</v>
      </c>
      <c r="P5" s="180">
        <v>7976404</v>
      </c>
      <c r="Q5" s="179">
        <f t="shared" si="0"/>
        <v>984183</v>
      </c>
      <c r="R5" s="148"/>
      <c r="V5" s="136"/>
      <c r="W5" s="135"/>
      <c r="X5" s="140"/>
      <c r="Y5" s="140"/>
    </row>
    <row r="6" spans="1:25" ht="26.25">
      <c r="A6" s="109" t="s">
        <v>23</v>
      </c>
      <c r="B6" s="110" t="s">
        <v>24</v>
      </c>
      <c r="C6" s="127">
        <f>1839/2</f>
        <v>919.5</v>
      </c>
      <c r="D6" s="128">
        <v>1</v>
      </c>
      <c r="E6" s="129">
        <f t="shared" ref="E6:E31" si="1">C6*D6</f>
        <v>919.5</v>
      </c>
      <c r="F6" s="123">
        <v>2</v>
      </c>
      <c r="G6" s="129">
        <f t="shared" ref="G6:G31" si="2">E6*F6</f>
        <v>1839</v>
      </c>
      <c r="H6" s="116">
        <v>1870</v>
      </c>
      <c r="I6" s="165"/>
      <c r="J6" s="166">
        <f>+G6-H6</f>
        <v>-31</v>
      </c>
      <c r="K6" s="196" t="s">
        <v>180</v>
      </c>
      <c r="M6" s="178"/>
      <c r="N6" s="176" t="s">
        <v>135</v>
      </c>
      <c r="O6" s="177">
        <v>2096872</v>
      </c>
      <c r="P6" s="180">
        <v>1949149</v>
      </c>
      <c r="Q6" s="179">
        <f>O6-P6</f>
        <v>147723</v>
      </c>
      <c r="R6" s="148"/>
      <c r="V6" s="136"/>
      <c r="W6" s="135"/>
      <c r="X6" s="140"/>
      <c r="Y6" s="140"/>
    </row>
    <row r="7" spans="1:25" ht="26.25">
      <c r="A7" s="109">
        <v>246.6</v>
      </c>
      <c r="B7" s="110" t="s">
        <v>25</v>
      </c>
      <c r="C7" s="127">
        <f>1839/2</f>
        <v>919.5</v>
      </c>
      <c r="D7" s="128">
        <v>1</v>
      </c>
      <c r="E7" s="129">
        <f t="shared" si="1"/>
        <v>919.5</v>
      </c>
      <c r="F7" s="123">
        <v>1.5</v>
      </c>
      <c r="G7" s="129">
        <f t="shared" si="2"/>
        <v>1379.25</v>
      </c>
      <c r="H7" s="116">
        <v>1403</v>
      </c>
      <c r="I7" s="165"/>
      <c r="J7" s="166">
        <f>+G7-H7</f>
        <v>-23.75</v>
      </c>
      <c r="K7" s="196" t="s">
        <v>180</v>
      </c>
      <c r="M7" s="178"/>
      <c r="N7" s="176" t="s">
        <v>136</v>
      </c>
      <c r="O7" s="177">
        <v>2102680</v>
      </c>
      <c r="P7" s="180">
        <v>3991439</v>
      </c>
      <c r="Q7" s="179">
        <f t="shared" ref="Q7:Q8" si="3">O7-P7</f>
        <v>-1888759</v>
      </c>
      <c r="R7" s="148"/>
      <c r="V7" s="136"/>
      <c r="W7" s="135"/>
      <c r="X7" s="140"/>
      <c r="Y7" s="140"/>
    </row>
    <row r="8" spans="1:25" ht="26.25">
      <c r="A8" s="109" t="s">
        <v>101</v>
      </c>
      <c r="B8" s="110" t="s">
        <v>26</v>
      </c>
      <c r="C8" s="128">
        <f>1839/6</f>
        <v>306.5</v>
      </c>
      <c r="D8" s="128">
        <v>1</v>
      </c>
      <c r="E8" s="129">
        <f t="shared" si="1"/>
        <v>306.5</v>
      </c>
      <c r="F8" s="123">
        <v>0.25</v>
      </c>
      <c r="G8" s="129">
        <f t="shared" si="2"/>
        <v>76.625</v>
      </c>
      <c r="H8" s="116">
        <v>78</v>
      </c>
      <c r="I8" s="165"/>
      <c r="J8" s="166">
        <f>+G8-H8</f>
        <v>-1.375</v>
      </c>
      <c r="K8" s="196" t="s">
        <v>180</v>
      </c>
      <c r="M8" s="178"/>
      <c r="N8" s="176" t="s">
        <v>137</v>
      </c>
      <c r="O8" s="177">
        <v>4761034</v>
      </c>
      <c r="P8" s="180">
        <v>2035817</v>
      </c>
      <c r="Q8" s="179">
        <f t="shared" si="3"/>
        <v>2725217</v>
      </c>
      <c r="R8" s="148"/>
      <c r="V8" s="136"/>
      <c r="W8" s="135"/>
      <c r="X8" s="140"/>
      <c r="Y8" s="140"/>
    </row>
    <row r="9" spans="1:25" ht="51.75" hidden="1">
      <c r="A9" s="109" t="s">
        <v>27</v>
      </c>
      <c r="B9" s="110" t="s">
        <v>139</v>
      </c>
      <c r="C9" s="128"/>
      <c r="D9" s="128"/>
      <c r="E9" s="129"/>
      <c r="F9" s="123"/>
      <c r="G9" s="129">
        <f>+G10+G11</f>
        <v>1249119.8800000001</v>
      </c>
      <c r="H9" s="131">
        <v>2019800</v>
      </c>
      <c r="I9" s="165"/>
      <c r="J9" s="166"/>
      <c r="K9" s="196" t="s">
        <v>149</v>
      </c>
      <c r="L9" s="150"/>
      <c r="M9" s="178"/>
      <c r="N9" s="176" t="s">
        <v>138</v>
      </c>
      <c r="O9" s="177">
        <v>1839</v>
      </c>
      <c r="P9" s="181">
        <v>1870</v>
      </c>
      <c r="Q9" s="179">
        <f>O9-P9</f>
        <v>-31</v>
      </c>
      <c r="R9" s="148"/>
      <c r="S9" s="148"/>
      <c r="T9" s="148"/>
      <c r="V9" s="136"/>
      <c r="W9" s="135"/>
      <c r="X9" s="138"/>
      <c r="Y9" s="140"/>
    </row>
    <row r="10" spans="1:25" ht="26.25">
      <c r="A10" s="109" t="s">
        <v>27</v>
      </c>
      <c r="B10" s="110" t="s">
        <v>127</v>
      </c>
      <c r="C10" s="128">
        <v>1839</v>
      </c>
      <c r="D10" s="128">
        <f>(2*2096872)/1839</f>
        <v>2280.448069603045</v>
      </c>
      <c r="E10" s="129">
        <f t="shared" si="1"/>
        <v>4193744</v>
      </c>
      <c r="F10" s="123">
        <v>0.17</v>
      </c>
      <c r="G10" s="129">
        <f t="shared" si="2"/>
        <v>712936.4800000001</v>
      </c>
      <c r="H10" s="131">
        <v>662710.66</v>
      </c>
      <c r="I10" s="165"/>
      <c r="J10" s="166">
        <f>+G10-H10</f>
        <v>50225.820000000065</v>
      </c>
      <c r="K10" s="197" t="s">
        <v>152</v>
      </c>
      <c r="L10" s="158"/>
      <c r="M10" s="178"/>
      <c r="N10" s="176" t="s">
        <v>142</v>
      </c>
      <c r="O10" s="181">
        <v>2650</v>
      </c>
      <c r="P10" s="180">
        <v>5640</v>
      </c>
      <c r="Q10" s="179">
        <f t="shared" ref="Q10:Q14" si="4">O10-P10</f>
        <v>-2990</v>
      </c>
      <c r="R10" s="148"/>
      <c r="S10" s="171"/>
      <c r="T10" s="141"/>
      <c r="U10" s="171"/>
      <c r="V10" s="136"/>
      <c r="W10" s="138"/>
      <c r="X10" s="140"/>
      <c r="Y10" s="140"/>
    </row>
    <row r="11" spans="1:25" ht="51.75">
      <c r="A11" s="109" t="s">
        <v>27</v>
      </c>
      <c r="B11" s="110" t="s">
        <v>128</v>
      </c>
      <c r="C11" s="128">
        <v>1839</v>
      </c>
      <c r="D11" s="128">
        <f>(1.5*2102680)/1839</f>
        <v>1715.0734094616639</v>
      </c>
      <c r="E11" s="129">
        <f t="shared" si="1"/>
        <v>3154020</v>
      </c>
      <c r="F11" s="123">
        <v>0.17</v>
      </c>
      <c r="G11" s="129">
        <f t="shared" si="2"/>
        <v>536183.4</v>
      </c>
      <c r="H11" s="131">
        <v>1357089.26</v>
      </c>
      <c r="I11" s="165">
        <f>+(G11-H11)*0.25</f>
        <v>-205226.465</v>
      </c>
      <c r="J11" s="165">
        <f>+(G11-H11)*0.75</f>
        <v>-615679.39500000002</v>
      </c>
      <c r="K11" s="197" t="s">
        <v>194</v>
      </c>
      <c r="L11" s="158"/>
      <c r="M11" s="178"/>
      <c r="N11" s="176" t="s">
        <v>143</v>
      </c>
      <c r="O11" s="180">
        <v>10000</v>
      </c>
      <c r="P11" s="180">
        <v>10000</v>
      </c>
      <c r="Q11" s="179">
        <f t="shared" si="4"/>
        <v>0</v>
      </c>
      <c r="R11" s="148"/>
      <c r="T11" s="151"/>
      <c r="V11" s="136"/>
      <c r="W11" s="140"/>
      <c r="X11" s="140"/>
      <c r="Y11" s="140"/>
    </row>
    <row r="12" spans="1:25" ht="26.25">
      <c r="A12" s="109" t="s">
        <v>27</v>
      </c>
      <c r="B12" s="110" t="s">
        <v>30</v>
      </c>
      <c r="C12" s="128">
        <v>1839</v>
      </c>
      <c r="D12" s="128">
        <f>1*(4761034/1839)</f>
        <v>2588.9255029907558</v>
      </c>
      <c r="E12" s="129">
        <f t="shared" si="1"/>
        <v>4761034</v>
      </c>
      <c r="F12" s="123">
        <v>0.17</v>
      </c>
      <c r="G12" s="129">
        <f t="shared" si="2"/>
        <v>809375.78</v>
      </c>
      <c r="H12" s="116">
        <v>346089</v>
      </c>
      <c r="I12" s="165"/>
      <c r="J12" s="166">
        <f>+G12-H12</f>
        <v>463286.78</v>
      </c>
      <c r="K12" s="198" t="s">
        <v>151</v>
      </c>
      <c r="M12" s="178"/>
      <c r="N12" s="176" t="s">
        <v>145</v>
      </c>
      <c r="O12" s="177">
        <v>17</v>
      </c>
      <c r="P12" s="180">
        <v>32</v>
      </c>
      <c r="Q12" s="179">
        <f t="shared" si="4"/>
        <v>-15</v>
      </c>
      <c r="R12" s="148"/>
      <c r="T12" s="152"/>
      <c r="V12" s="136"/>
      <c r="W12" s="135"/>
      <c r="X12" s="140"/>
      <c r="Y12" s="140"/>
    </row>
    <row r="13" spans="1:25" ht="15">
      <c r="A13" s="109" t="s">
        <v>71</v>
      </c>
      <c r="B13" s="110" t="s">
        <v>31</v>
      </c>
      <c r="C13" s="128">
        <v>4</v>
      </c>
      <c r="D13" s="128">
        <v>1</v>
      </c>
      <c r="E13" s="129">
        <f t="shared" si="1"/>
        <v>4</v>
      </c>
      <c r="F13" s="123">
        <v>0.09</v>
      </c>
      <c r="G13" s="129">
        <f t="shared" si="2"/>
        <v>0.36</v>
      </c>
      <c r="H13" s="116">
        <v>0.36</v>
      </c>
      <c r="I13" s="165">
        <v>0</v>
      </c>
      <c r="J13" s="166">
        <v>0</v>
      </c>
      <c r="K13" s="199" t="s">
        <v>148</v>
      </c>
      <c r="M13" s="178"/>
      <c r="N13" s="176" t="s">
        <v>146</v>
      </c>
      <c r="O13" s="177">
        <v>9</v>
      </c>
      <c r="P13" s="180">
        <v>16</v>
      </c>
      <c r="Q13" s="179">
        <f t="shared" si="4"/>
        <v>-7</v>
      </c>
      <c r="R13" s="148"/>
      <c r="V13" s="136"/>
      <c r="W13" s="135"/>
      <c r="X13" s="140"/>
      <c r="Y13" s="140"/>
    </row>
    <row r="14" spans="1:25" ht="26.25">
      <c r="A14" s="109" t="s">
        <v>32</v>
      </c>
      <c r="B14" s="110" t="s">
        <v>70</v>
      </c>
      <c r="C14" s="128">
        <v>1839</v>
      </c>
      <c r="D14" s="128">
        <f>((0.03*8960587)/1839)</f>
        <v>146.17597063621534</v>
      </c>
      <c r="E14" s="129">
        <f t="shared" si="1"/>
        <v>268817.61</v>
      </c>
      <c r="F14" s="123">
        <v>0.09</v>
      </c>
      <c r="G14" s="129">
        <f t="shared" si="2"/>
        <v>24193.584899999998</v>
      </c>
      <c r="H14" s="116">
        <v>15004</v>
      </c>
      <c r="I14" s="165"/>
      <c r="J14" s="166">
        <f>+G14-H14</f>
        <v>9189.584899999998</v>
      </c>
      <c r="K14" s="196" t="s">
        <v>181</v>
      </c>
      <c r="L14" s="158"/>
      <c r="M14" s="207"/>
      <c r="N14" s="208" t="s">
        <v>138</v>
      </c>
      <c r="O14" s="209">
        <v>1839</v>
      </c>
      <c r="P14" s="209">
        <v>1870</v>
      </c>
      <c r="Q14" s="210">
        <f t="shared" si="4"/>
        <v>-31</v>
      </c>
      <c r="R14" s="148"/>
    </row>
    <row r="15" spans="1:25" ht="15">
      <c r="A15" s="109" t="s">
        <v>74</v>
      </c>
      <c r="B15" s="110" t="s">
        <v>140</v>
      </c>
      <c r="C15" s="127">
        <v>90</v>
      </c>
      <c r="D15" s="128">
        <v>1</v>
      </c>
      <c r="E15" s="129">
        <f t="shared" si="1"/>
        <v>90</v>
      </c>
      <c r="F15" s="123">
        <v>40</v>
      </c>
      <c r="G15" s="129">
        <f t="shared" si="2"/>
        <v>3600</v>
      </c>
      <c r="H15" s="116">
        <v>3600</v>
      </c>
      <c r="I15" s="165">
        <v>0</v>
      </c>
      <c r="J15" s="166">
        <v>0</v>
      </c>
      <c r="K15" s="199" t="s">
        <v>148</v>
      </c>
      <c r="N15" s="148"/>
      <c r="O15" s="148"/>
      <c r="P15" s="148"/>
      <c r="Q15" s="148"/>
      <c r="R15" s="148"/>
    </row>
    <row r="16" spans="1:25" ht="28.5">
      <c r="A16" s="114" t="s">
        <v>123</v>
      </c>
      <c r="B16" s="110" t="s">
        <v>166</v>
      </c>
      <c r="C16" s="128">
        <v>1839</v>
      </c>
      <c r="D16" s="128">
        <f>(4761034*0.01)/1839</f>
        <v>25.889255029907559</v>
      </c>
      <c r="E16" s="129">
        <f t="shared" si="1"/>
        <v>47610.340000000004</v>
      </c>
      <c r="F16" s="124">
        <v>0.03</v>
      </c>
      <c r="G16" s="129">
        <f t="shared" si="2"/>
        <v>1428.3102000000001</v>
      </c>
      <c r="H16" s="131">
        <v>611</v>
      </c>
      <c r="I16" s="165"/>
      <c r="J16" s="166">
        <f>+G16-H16</f>
        <v>817.31020000000012</v>
      </c>
      <c r="K16" s="200" t="s">
        <v>158</v>
      </c>
      <c r="L16" s="158"/>
      <c r="M16" s="150"/>
      <c r="N16" s="148"/>
      <c r="O16" s="148"/>
      <c r="P16" s="148"/>
      <c r="Q16" s="148"/>
      <c r="R16" s="148"/>
    </row>
    <row r="17" spans="1:18" ht="26.25">
      <c r="A17" s="109" t="s">
        <v>33</v>
      </c>
      <c r="B17" s="110" t="s">
        <v>34</v>
      </c>
      <c r="C17" s="128">
        <v>1839</v>
      </c>
      <c r="D17" s="128">
        <v>1</v>
      </c>
      <c r="E17" s="129">
        <f t="shared" si="1"/>
        <v>1839</v>
      </c>
      <c r="F17" s="123">
        <v>40</v>
      </c>
      <c r="G17" s="129">
        <f t="shared" si="2"/>
        <v>73560</v>
      </c>
      <c r="H17" s="116">
        <v>74800</v>
      </c>
      <c r="I17" s="165"/>
      <c r="J17" s="166">
        <f>+G17-H17</f>
        <v>-1240</v>
      </c>
      <c r="K17" s="198" t="s">
        <v>150</v>
      </c>
      <c r="N17" s="148"/>
      <c r="O17" s="148"/>
      <c r="P17" s="148"/>
      <c r="Q17" s="148"/>
      <c r="R17" s="148"/>
    </row>
    <row r="18" spans="1:18" ht="64.5">
      <c r="A18" s="109" t="s">
        <v>87</v>
      </c>
      <c r="B18" s="110" t="s">
        <v>72</v>
      </c>
      <c r="C18" s="127">
        <v>90</v>
      </c>
      <c r="D18" s="128">
        <f>(2650)/90</f>
        <v>29.444444444444443</v>
      </c>
      <c r="E18" s="129">
        <f t="shared" si="1"/>
        <v>2650</v>
      </c>
      <c r="F18" s="123">
        <v>4</v>
      </c>
      <c r="G18" s="129">
        <f t="shared" si="2"/>
        <v>10600</v>
      </c>
      <c r="H18" s="116">
        <v>22560</v>
      </c>
      <c r="I18" s="165"/>
      <c r="J18" s="166">
        <f>+G18-H18</f>
        <v>-11960</v>
      </c>
      <c r="K18" s="197" t="s">
        <v>182</v>
      </c>
      <c r="L18" s="150"/>
      <c r="N18" s="148"/>
      <c r="O18" s="148"/>
      <c r="P18" s="148"/>
      <c r="Q18" s="148"/>
      <c r="R18" s="148"/>
    </row>
    <row r="19" spans="1:18" ht="51.75">
      <c r="A19" s="109" t="s">
        <v>88</v>
      </c>
      <c r="B19" s="112" t="s">
        <v>73</v>
      </c>
      <c r="C19" s="128">
        <v>75</v>
      </c>
      <c r="D19" s="128">
        <f>2*(48621/75)</f>
        <v>1296.56</v>
      </c>
      <c r="E19" s="129">
        <f t="shared" si="1"/>
        <v>97242</v>
      </c>
      <c r="F19" s="123">
        <v>2</v>
      </c>
      <c r="G19" s="129">
        <f t="shared" si="2"/>
        <v>194484</v>
      </c>
      <c r="H19" s="116">
        <v>156666</v>
      </c>
      <c r="I19" s="165"/>
      <c r="J19" s="166">
        <f>+G19-H19</f>
        <v>37818</v>
      </c>
      <c r="K19" s="196" t="s">
        <v>183</v>
      </c>
      <c r="L19" s="150"/>
      <c r="N19" s="148"/>
      <c r="O19" s="148"/>
      <c r="P19" s="148"/>
      <c r="Q19" s="148"/>
      <c r="R19" s="148"/>
    </row>
    <row r="20" spans="1:18" ht="26.25">
      <c r="A20" s="109" t="s">
        <v>88</v>
      </c>
      <c r="B20" s="110" t="s">
        <v>106</v>
      </c>
      <c r="C20" s="128">
        <v>1</v>
      </c>
      <c r="D20" s="128">
        <v>1</v>
      </c>
      <c r="E20" s="129">
        <f t="shared" si="1"/>
        <v>1</v>
      </c>
      <c r="F20" s="123">
        <v>16</v>
      </c>
      <c r="G20" s="129">
        <f t="shared" si="2"/>
        <v>16</v>
      </c>
      <c r="H20" s="116">
        <v>240</v>
      </c>
      <c r="I20" s="165"/>
      <c r="J20" s="166">
        <f>+G20-H20</f>
        <v>-224</v>
      </c>
      <c r="K20" s="197" t="s">
        <v>191</v>
      </c>
      <c r="L20" s="150"/>
      <c r="N20" s="148"/>
      <c r="O20" s="148"/>
      <c r="P20" s="148"/>
      <c r="Q20" s="148"/>
      <c r="R20" s="148"/>
    </row>
    <row r="21" spans="1:18" ht="15">
      <c r="A21" s="109" t="s">
        <v>36</v>
      </c>
      <c r="B21" s="110" t="s">
        <v>37</v>
      </c>
      <c r="C21" s="127">
        <v>90</v>
      </c>
      <c r="D21" s="128">
        <v>1</v>
      </c>
      <c r="E21" s="129">
        <f t="shared" si="1"/>
        <v>90</v>
      </c>
      <c r="F21" s="123">
        <v>8</v>
      </c>
      <c r="G21" s="129">
        <f t="shared" si="2"/>
        <v>720</v>
      </c>
      <c r="H21" s="116">
        <v>720</v>
      </c>
      <c r="I21" s="165">
        <v>0</v>
      </c>
      <c r="J21" s="166">
        <v>0</v>
      </c>
      <c r="K21" s="199" t="s">
        <v>148</v>
      </c>
      <c r="N21" s="148"/>
      <c r="O21" s="148"/>
      <c r="P21" s="148"/>
      <c r="Q21" s="148"/>
      <c r="R21" s="148"/>
    </row>
    <row r="22" spans="1:18" ht="39">
      <c r="A22" s="109" t="s">
        <v>36</v>
      </c>
      <c r="B22" s="110" t="s">
        <v>38</v>
      </c>
      <c r="C22" s="130">
        <v>90</v>
      </c>
      <c r="D22" s="128">
        <f>(48621/90)</f>
        <v>540.23333333333335</v>
      </c>
      <c r="E22" s="129">
        <f t="shared" si="1"/>
        <v>48621</v>
      </c>
      <c r="F22" s="123">
        <v>2</v>
      </c>
      <c r="G22" s="129">
        <f t="shared" si="2"/>
        <v>97242</v>
      </c>
      <c r="H22" s="116">
        <v>94000</v>
      </c>
      <c r="I22" s="165"/>
      <c r="J22" s="166">
        <f>+G22-H22</f>
        <v>3242</v>
      </c>
      <c r="K22" s="196" t="s">
        <v>184</v>
      </c>
      <c r="L22" s="150"/>
      <c r="N22" s="148"/>
      <c r="O22" s="148"/>
      <c r="P22" s="148"/>
      <c r="Q22" s="148"/>
      <c r="R22" s="148"/>
    </row>
    <row r="23" spans="1:18" ht="51.75">
      <c r="A23" s="109" t="s">
        <v>39</v>
      </c>
      <c r="B23" s="110" t="s">
        <v>61</v>
      </c>
      <c r="C23" s="130">
        <v>90</v>
      </c>
      <c r="D23" s="128">
        <f>(48621*0.05)/90</f>
        <v>27.01166666666667</v>
      </c>
      <c r="E23" s="129">
        <f t="shared" si="1"/>
        <v>2431.0500000000002</v>
      </c>
      <c r="F23" s="123">
        <v>2</v>
      </c>
      <c r="G23" s="129">
        <f t="shared" si="2"/>
        <v>4862.1000000000004</v>
      </c>
      <c r="H23" s="116">
        <v>4700</v>
      </c>
      <c r="I23" s="165"/>
      <c r="J23" s="166">
        <f>+G23-H23</f>
        <v>162.10000000000036</v>
      </c>
      <c r="K23" s="196" t="s">
        <v>185</v>
      </c>
      <c r="L23" s="150"/>
      <c r="N23" s="148"/>
      <c r="O23" s="148"/>
      <c r="P23" s="148"/>
      <c r="Q23" s="148"/>
      <c r="R23" s="148"/>
    </row>
    <row r="24" spans="1:18" ht="15">
      <c r="A24" s="109" t="s">
        <v>40</v>
      </c>
      <c r="B24" s="110" t="s">
        <v>41</v>
      </c>
      <c r="C24" s="127">
        <v>90</v>
      </c>
      <c r="D24" s="128">
        <f>10000/90</f>
        <v>111.11111111111111</v>
      </c>
      <c r="E24" s="129">
        <f t="shared" si="1"/>
        <v>10000</v>
      </c>
      <c r="F24" s="123">
        <v>1</v>
      </c>
      <c r="G24" s="129">
        <f t="shared" si="2"/>
        <v>10000</v>
      </c>
      <c r="H24" s="116">
        <v>10000</v>
      </c>
      <c r="I24" s="165">
        <v>0</v>
      </c>
      <c r="J24" s="166">
        <v>0</v>
      </c>
      <c r="K24" s="199" t="s">
        <v>148</v>
      </c>
      <c r="N24" s="148"/>
      <c r="O24" s="148"/>
      <c r="P24" s="148"/>
      <c r="Q24" s="148"/>
      <c r="R24" s="148"/>
    </row>
    <row r="25" spans="1:18" ht="15">
      <c r="A25" s="109" t="s">
        <v>57</v>
      </c>
      <c r="B25" s="110" t="s">
        <v>60</v>
      </c>
      <c r="C25" s="127">
        <v>90</v>
      </c>
      <c r="D25" s="128">
        <v>1</v>
      </c>
      <c r="E25" s="129">
        <f t="shared" si="1"/>
        <v>90</v>
      </c>
      <c r="F25" s="123">
        <v>40</v>
      </c>
      <c r="G25" s="129">
        <f t="shared" si="2"/>
        <v>3600</v>
      </c>
      <c r="H25" s="116">
        <v>3600</v>
      </c>
      <c r="I25" s="165">
        <v>0</v>
      </c>
      <c r="J25" s="166">
        <v>0</v>
      </c>
      <c r="K25" s="199" t="s">
        <v>148</v>
      </c>
      <c r="N25" s="148"/>
      <c r="O25" s="148"/>
      <c r="P25" s="148"/>
      <c r="Q25" s="148"/>
      <c r="R25" s="148"/>
    </row>
    <row r="26" spans="1:18" ht="15">
      <c r="A26" s="109" t="s">
        <v>141</v>
      </c>
      <c r="B26" s="110" t="s">
        <v>43</v>
      </c>
      <c r="C26" s="128">
        <v>15</v>
      </c>
      <c r="D26" s="128">
        <v>1</v>
      </c>
      <c r="E26" s="129">
        <f t="shared" si="1"/>
        <v>15</v>
      </c>
      <c r="F26" s="123">
        <v>160</v>
      </c>
      <c r="G26" s="129">
        <f t="shared" si="2"/>
        <v>2400</v>
      </c>
      <c r="H26" s="116">
        <v>2400</v>
      </c>
      <c r="I26" s="165">
        <v>0</v>
      </c>
      <c r="J26" s="166">
        <v>0</v>
      </c>
      <c r="K26" s="199" t="s">
        <v>148</v>
      </c>
      <c r="N26" s="148"/>
      <c r="O26" s="148"/>
      <c r="P26" s="148"/>
      <c r="Q26" s="148"/>
      <c r="R26" s="148"/>
    </row>
    <row r="27" spans="1:18" ht="26.25">
      <c r="A27" s="109" t="s">
        <v>44</v>
      </c>
      <c r="B27" s="110" t="s">
        <v>45</v>
      </c>
      <c r="C27" s="127">
        <v>90</v>
      </c>
      <c r="D27" s="128">
        <f>(1839*4)/90</f>
        <v>81.733333333333334</v>
      </c>
      <c r="E27" s="129">
        <f t="shared" si="1"/>
        <v>7356</v>
      </c>
      <c r="F27" s="123">
        <v>2</v>
      </c>
      <c r="G27" s="129">
        <f t="shared" si="2"/>
        <v>14712</v>
      </c>
      <c r="H27" s="116">
        <v>14960</v>
      </c>
      <c r="I27" s="165"/>
      <c r="J27" s="166">
        <f>+G27-H27</f>
        <v>-248</v>
      </c>
      <c r="K27" s="196" t="s">
        <v>180</v>
      </c>
      <c r="L27" s="150"/>
      <c r="N27" s="148"/>
      <c r="O27" s="148"/>
      <c r="P27" s="148"/>
      <c r="Q27" s="148"/>
      <c r="R27" s="148"/>
    </row>
    <row r="28" spans="1:18" ht="15">
      <c r="A28" s="109" t="s">
        <v>46</v>
      </c>
      <c r="B28" s="110" t="s">
        <v>47</v>
      </c>
      <c r="C28" s="127">
        <v>90</v>
      </c>
      <c r="D28" s="128">
        <f>(10/90)</f>
        <v>0.1111111111111111</v>
      </c>
      <c r="E28" s="129">
        <f t="shared" si="1"/>
        <v>10</v>
      </c>
      <c r="F28" s="123">
        <v>8</v>
      </c>
      <c r="G28" s="129">
        <f t="shared" si="2"/>
        <v>80</v>
      </c>
      <c r="H28" s="116">
        <v>80</v>
      </c>
      <c r="I28" s="165">
        <v>0</v>
      </c>
      <c r="J28" s="166">
        <v>0</v>
      </c>
      <c r="K28" s="199" t="s">
        <v>148</v>
      </c>
      <c r="N28" s="148"/>
      <c r="O28" s="148"/>
      <c r="P28" s="148"/>
      <c r="Q28" s="148"/>
      <c r="R28" s="148"/>
    </row>
    <row r="29" spans="1:18" ht="15">
      <c r="A29" s="109" t="s">
        <v>126</v>
      </c>
      <c r="B29" s="112" t="s">
        <v>49</v>
      </c>
      <c r="C29" s="128">
        <f>90*0.25</f>
        <v>22.5</v>
      </c>
      <c r="D29" s="128">
        <v>1</v>
      </c>
      <c r="E29" s="129">
        <f t="shared" si="1"/>
        <v>22.5</v>
      </c>
      <c r="F29" s="123">
        <v>40</v>
      </c>
      <c r="G29" s="129">
        <f t="shared" si="2"/>
        <v>900</v>
      </c>
      <c r="H29" s="131">
        <v>920</v>
      </c>
      <c r="I29" s="165"/>
      <c r="J29" s="165">
        <f>+G29-H29</f>
        <v>-20</v>
      </c>
      <c r="K29" s="196" t="s">
        <v>179</v>
      </c>
      <c r="N29" s="148"/>
      <c r="O29" s="148"/>
      <c r="P29" s="148"/>
      <c r="Q29" s="148"/>
      <c r="R29" s="148"/>
    </row>
    <row r="30" spans="1:18" ht="26.25">
      <c r="A30" s="109" t="s">
        <v>58</v>
      </c>
      <c r="B30" s="110" t="s">
        <v>59</v>
      </c>
      <c r="C30" s="127">
        <v>90</v>
      </c>
      <c r="D30" s="128">
        <f>(1839/90)*0.5*0.25</f>
        <v>2.5541666666666667</v>
      </c>
      <c r="E30" s="129">
        <f t="shared" si="1"/>
        <v>229.875</v>
      </c>
      <c r="F30" s="124">
        <v>2</v>
      </c>
      <c r="G30" s="129">
        <f t="shared" si="2"/>
        <v>459.75</v>
      </c>
      <c r="H30" s="116">
        <v>468</v>
      </c>
      <c r="I30" s="165"/>
      <c r="J30" s="165">
        <f>+G30-H30</f>
        <v>-8.25</v>
      </c>
      <c r="K30" s="196" t="s">
        <v>180</v>
      </c>
      <c r="N30" s="148"/>
      <c r="O30" s="148"/>
      <c r="P30" s="148"/>
      <c r="Q30" s="148"/>
      <c r="R30" s="148"/>
    </row>
    <row r="31" spans="1:18" ht="15.75" thickBot="1">
      <c r="A31" s="139" t="s">
        <v>50</v>
      </c>
      <c r="B31" s="110" t="s">
        <v>51</v>
      </c>
      <c r="C31" s="128">
        <v>4</v>
      </c>
      <c r="D31" s="128">
        <v>1</v>
      </c>
      <c r="E31" s="129">
        <f t="shared" si="1"/>
        <v>4</v>
      </c>
      <c r="F31" s="123">
        <v>40</v>
      </c>
      <c r="G31" s="129">
        <f t="shared" si="2"/>
        <v>160</v>
      </c>
      <c r="H31" s="116">
        <v>160</v>
      </c>
      <c r="I31" s="165">
        <v>0</v>
      </c>
      <c r="J31" s="166">
        <v>0</v>
      </c>
      <c r="K31" s="201" t="s">
        <v>148</v>
      </c>
      <c r="N31" s="148"/>
      <c r="O31" s="148"/>
      <c r="P31" s="148"/>
      <c r="Q31" s="148"/>
      <c r="R31" s="148"/>
    </row>
    <row r="32" spans="1:18" ht="15.75" thickBot="1">
      <c r="A32" s="225" t="s">
        <v>117</v>
      </c>
      <c r="B32" s="227"/>
      <c r="C32" s="115">
        <f>1839+90</f>
        <v>1929</v>
      </c>
      <c r="D32" s="143">
        <f>+E32/C32</f>
        <v>6530.9263219284603</v>
      </c>
      <c r="E32" s="115">
        <f>SUM(E5:E31)</f>
        <v>12598156.875</v>
      </c>
      <c r="F32" s="144">
        <f>+G32/E32</f>
        <v>0.19978513246605376</v>
      </c>
      <c r="G32" s="115">
        <f>SUM(G5:G8,G10:G31)</f>
        <v>2516924.4401000007</v>
      </c>
      <c r="H32" s="115">
        <f>SUM(H5:H8,H10:H31)</f>
        <v>2786845.28</v>
      </c>
      <c r="I32" s="115">
        <f>SUM(I5:I31)</f>
        <v>-205226.465</v>
      </c>
      <c r="J32" s="115">
        <f>SUM(J5:J31)</f>
        <v>-64694.374899999872</v>
      </c>
      <c r="K32" s="190"/>
    </row>
    <row r="33" spans="1:13" ht="15.75" customHeight="1" thickBot="1">
      <c r="A33" s="241" t="s">
        <v>167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3" ht="51.75" hidden="1">
      <c r="A34" s="109" t="s">
        <v>27</v>
      </c>
      <c r="B34" s="110" t="s">
        <v>139</v>
      </c>
      <c r="C34" s="127"/>
      <c r="D34" s="128"/>
      <c r="E34" s="129"/>
      <c r="F34" s="127"/>
      <c r="G34" s="129"/>
      <c r="H34" s="116">
        <v>194915</v>
      </c>
      <c r="I34" s="165"/>
      <c r="J34" s="165"/>
      <c r="K34" s="202" t="s">
        <v>149</v>
      </c>
    </row>
    <row r="35" spans="1:13" ht="26.25">
      <c r="A35" s="109" t="s">
        <v>27</v>
      </c>
      <c r="B35" s="110" t="s">
        <v>127</v>
      </c>
      <c r="C35" s="127">
        <v>2096872</v>
      </c>
      <c r="D35" s="128">
        <v>2</v>
      </c>
      <c r="E35" s="129">
        <f>C35*D35</f>
        <v>4193744</v>
      </c>
      <c r="F35" s="127">
        <v>0.05</v>
      </c>
      <c r="G35" s="129">
        <f>E35*F35</f>
        <v>209687.2</v>
      </c>
      <c r="H35" s="116">
        <f>1949149*2*0.05</f>
        <v>194914.90000000002</v>
      </c>
      <c r="I35" s="166"/>
      <c r="J35" s="165">
        <f>+G35-H35</f>
        <v>14772.299999999988</v>
      </c>
      <c r="K35" s="200" t="s">
        <v>152</v>
      </c>
      <c r="L35" s="158"/>
      <c r="M35" s="160"/>
    </row>
    <row r="36" spans="1:13" ht="15">
      <c r="A36" s="109" t="s">
        <v>27</v>
      </c>
      <c r="B36" s="110" t="s">
        <v>130</v>
      </c>
      <c r="C36" s="132">
        <v>2102680</v>
      </c>
      <c r="D36" s="128">
        <v>1.5</v>
      </c>
      <c r="E36" s="129">
        <f t="shared" ref="E36:E39" si="5">C36*D36</f>
        <v>3154020</v>
      </c>
      <c r="F36" s="127">
        <v>0.05</v>
      </c>
      <c r="G36" s="129">
        <f t="shared" ref="G36:G39" si="6">E36*F36</f>
        <v>157701</v>
      </c>
      <c r="H36" s="116">
        <v>0</v>
      </c>
      <c r="I36" s="167"/>
      <c r="J36" s="165">
        <f>+G36</f>
        <v>157701</v>
      </c>
      <c r="K36" s="197" t="s">
        <v>164</v>
      </c>
      <c r="L36" s="149"/>
    </row>
    <row r="37" spans="1:13" ht="26.25">
      <c r="A37" s="109" t="s">
        <v>27</v>
      </c>
      <c r="B37" s="110" t="s">
        <v>30</v>
      </c>
      <c r="C37" s="132">
        <v>4761034</v>
      </c>
      <c r="D37" s="128">
        <v>1</v>
      </c>
      <c r="E37" s="129">
        <f t="shared" si="5"/>
        <v>4761034</v>
      </c>
      <c r="F37" s="127">
        <v>0.05</v>
      </c>
      <c r="G37" s="129">
        <f t="shared" si="6"/>
        <v>238051.7</v>
      </c>
      <c r="H37" s="116">
        <v>97457</v>
      </c>
      <c r="I37" s="167"/>
      <c r="J37" s="165">
        <f>+G37-H37</f>
        <v>140594.70000000001</v>
      </c>
      <c r="K37" s="200" t="s">
        <v>153</v>
      </c>
    </row>
    <row r="38" spans="1:13" ht="29.25">
      <c r="A38" s="109" t="s">
        <v>123</v>
      </c>
      <c r="B38" s="110" t="s">
        <v>166</v>
      </c>
      <c r="C38" s="132">
        <f>4761034*0.01</f>
        <v>47610.340000000004</v>
      </c>
      <c r="D38" s="128">
        <v>1</v>
      </c>
      <c r="E38" s="129">
        <f t="shared" si="5"/>
        <v>47610.340000000004</v>
      </c>
      <c r="F38" s="127">
        <v>0.03</v>
      </c>
      <c r="G38" s="129">
        <f t="shared" si="6"/>
        <v>1428.3102000000001</v>
      </c>
      <c r="H38" s="116">
        <v>611</v>
      </c>
      <c r="I38" s="167"/>
      <c r="J38" s="165">
        <f>+G38-H38</f>
        <v>817.31020000000012</v>
      </c>
      <c r="K38" s="200" t="s">
        <v>154</v>
      </c>
    </row>
    <row r="39" spans="1:13" ht="39.75" thickBot="1">
      <c r="A39" s="109" t="s">
        <v>123</v>
      </c>
      <c r="B39" s="110" t="s">
        <v>124</v>
      </c>
      <c r="C39" s="141">
        <f>(8960587*0.01)+(2096872*0.01)+(2102680*0.01)</f>
        <v>131601.38999999998</v>
      </c>
      <c r="D39" s="128">
        <v>2</v>
      </c>
      <c r="E39" s="129">
        <f t="shared" si="5"/>
        <v>263202.77999999997</v>
      </c>
      <c r="F39" s="128">
        <v>0.05</v>
      </c>
      <c r="G39" s="133">
        <f t="shared" si="6"/>
        <v>13160.138999999999</v>
      </c>
      <c r="H39" s="131">
        <v>14599</v>
      </c>
      <c r="I39" s="167"/>
      <c r="J39" s="165">
        <f>+G39-H39</f>
        <v>-1438.8610000000008</v>
      </c>
      <c r="K39" s="203" t="s">
        <v>186</v>
      </c>
      <c r="L39" s="150"/>
    </row>
    <row r="40" spans="1:13" ht="15.75" thickBot="1">
      <c r="A40" s="225" t="s">
        <v>118</v>
      </c>
      <c r="B40" s="226"/>
      <c r="C40" s="119">
        <v>8960587</v>
      </c>
      <c r="D40" s="144">
        <f>+E40/C40</f>
        <v>1.3860265092007922</v>
      </c>
      <c r="E40" s="115">
        <f>SUM(E35:E39)</f>
        <v>12419611.119999999</v>
      </c>
      <c r="F40" s="144">
        <f>+G40/E40</f>
        <v>4.9923330385243173E-2</v>
      </c>
      <c r="G40" s="115">
        <f>SUM(G35:G39)</f>
        <v>620028.34919999994</v>
      </c>
      <c r="H40" s="115">
        <f>SUM(H35:H39)</f>
        <v>307581.90000000002</v>
      </c>
      <c r="I40" s="115">
        <f>SUM(I35:I39)</f>
        <v>0</v>
      </c>
      <c r="J40" s="115">
        <f>SUM(J35:J39)</f>
        <v>312446.44920000003</v>
      </c>
      <c r="K40" s="190"/>
    </row>
    <row r="41" spans="1:13" ht="15.75" customHeight="1" thickBot="1">
      <c r="A41" s="244" t="s">
        <v>168</v>
      </c>
      <c r="B41" s="245"/>
      <c r="C41" s="245"/>
      <c r="D41" s="245"/>
      <c r="E41" s="245"/>
      <c r="F41" s="245"/>
      <c r="G41" s="245"/>
      <c r="H41" s="245"/>
      <c r="I41" s="245"/>
      <c r="J41" s="245"/>
      <c r="K41" s="246"/>
    </row>
    <row r="42" spans="1:13" ht="64.5">
      <c r="A42" s="109" t="s">
        <v>87</v>
      </c>
      <c r="B42" s="110" t="s">
        <v>125</v>
      </c>
      <c r="C42" s="128">
        <v>2650</v>
      </c>
      <c r="D42" s="128">
        <v>1</v>
      </c>
      <c r="E42" s="129">
        <f>C42*D42</f>
        <v>2650</v>
      </c>
      <c r="F42" s="123">
        <v>2</v>
      </c>
      <c r="G42" s="129">
        <f>E42*F42</f>
        <v>5300</v>
      </c>
      <c r="H42" s="116">
        <v>11280</v>
      </c>
      <c r="I42" s="165"/>
      <c r="J42" s="165">
        <f>+G42-H42</f>
        <v>-5980</v>
      </c>
      <c r="K42" s="204" t="s">
        <v>182</v>
      </c>
      <c r="L42" s="150"/>
      <c r="M42" s="150"/>
    </row>
    <row r="43" spans="1:13" ht="26.25">
      <c r="A43" s="109" t="s">
        <v>88</v>
      </c>
      <c r="B43" s="112" t="s">
        <v>73</v>
      </c>
      <c r="C43" s="128">
        <f>(75/90)*48621</f>
        <v>40517.5</v>
      </c>
      <c r="D43" s="128">
        <v>2</v>
      </c>
      <c r="E43" s="129">
        <f t="shared" ref="E43:E45" si="7">C43*D43</f>
        <v>81035</v>
      </c>
      <c r="F43" s="123">
        <v>2</v>
      </c>
      <c r="G43" s="129">
        <f t="shared" ref="G43:G45" si="8">E43*F43</f>
        <v>162070</v>
      </c>
      <c r="H43" s="116">
        <v>156667</v>
      </c>
      <c r="I43" s="165"/>
      <c r="J43" s="165">
        <f>+G43-H43</f>
        <v>5403</v>
      </c>
      <c r="K43" s="196" t="s">
        <v>187</v>
      </c>
    </row>
    <row r="44" spans="1:13" ht="26.25">
      <c r="A44" s="109" t="s">
        <v>35</v>
      </c>
      <c r="B44" s="110" t="s">
        <v>91</v>
      </c>
      <c r="C44" s="128">
        <f>48621*0.5</f>
        <v>24310.5</v>
      </c>
      <c r="D44" s="128">
        <v>1</v>
      </c>
      <c r="E44" s="129">
        <f t="shared" si="7"/>
        <v>24310.5</v>
      </c>
      <c r="F44" s="123">
        <v>1</v>
      </c>
      <c r="G44" s="129">
        <f t="shared" si="8"/>
        <v>24310.5</v>
      </c>
      <c r="H44" s="116">
        <v>23500</v>
      </c>
      <c r="I44" s="165"/>
      <c r="J44" s="165">
        <f>+G44-H44</f>
        <v>810.5</v>
      </c>
      <c r="K44" s="196" t="s">
        <v>188</v>
      </c>
    </row>
    <row r="45" spans="1:13" ht="52.5" thickBot="1">
      <c r="A45" s="137" t="s">
        <v>144</v>
      </c>
      <c r="B45" s="110" t="s">
        <v>94</v>
      </c>
      <c r="C45" s="128">
        <f>(9/17)*578</f>
        <v>306</v>
      </c>
      <c r="D45" s="128">
        <v>1</v>
      </c>
      <c r="E45" s="129">
        <f t="shared" si="7"/>
        <v>306</v>
      </c>
      <c r="F45" s="123">
        <v>1</v>
      </c>
      <c r="G45" s="129">
        <f t="shared" si="8"/>
        <v>306</v>
      </c>
      <c r="H45" s="116">
        <v>850</v>
      </c>
      <c r="I45" s="165"/>
      <c r="J45" s="165">
        <f>+G45-H45</f>
        <v>-544</v>
      </c>
      <c r="K45" s="203" t="s">
        <v>189</v>
      </c>
      <c r="L45" s="150"/>
    </row>
    <row r="46" spans="1:13" ht="15.75" thickBot="1">
      <c r="A46" s="225" t="s">
        <v>119</v>
      </c>
      <c r="B46" s="227"/>
      <c r="C46" s="115">
        <v>48621</v>
      </c>
      <c r="D46" s="144">
        <f>+E46/C46</f>
        <v>2.2274634417227124</v>
      </c>
      <c r="E46" s="115">
        <f t="shared" ref="E46:H46" si="9">SUM(E42:E45)</f>
        <v>108301.5</v>
      </c>
      <c r="F46" s="144">
        <f>+G46/E46</f>
        <v>1.7727039791692636</v>
      </c>
      <c r="G46" s="115">
        <f t="shared" si="9"/>
        <v>191986.5</v>
      </c>
      <c r="H46" s="115">
        <f t="shared" si="9"/>
        <v>192297</v>
      </c>
      <c r="I46" s="115">
        <f>SUM(I42:I45)</f>
        <v>0</v>
      </c>
      <c r="J46" s="115">
        <f>SUM(J42:J45)</f>
        <v>-310.5</v>
      </c>
      <c r="K46" s="191"/>
    </row>
    <row r="47" spans="1:13" s="4" customFormat="1" ht="15.75" thickBot="1">
      <c r="A47" s="225" t="s">
        <v>120</v>
      </c>
      <c r="B47" s="228"/>
      <c r="C47" s="117">
        <f>SUM(C32,C40,C46)</f>
        <v>9011137</v>
      </c>
      <c r="D47" s="144">
        <f>+E47/C47</f>
        <v>2.7883350896784722</v>
      </c>
      <c r="E47" s="117">
        <f>SUM(E32,E40,E46)</f>
        <v>25126069.494999997</v>
      </c>
      <c r="F47" s="154">
        <f>+G47/E47</f>
        <v>0.13248945641746507</v>
      </c>
      <c r="G47" s="117">
        <f>SUM(G32,G40,G46)</f>
        <v>3328939.2893000008</v>
      </c>
      <c r="H47" s="118">
        <f>SUM(H32,H40,H46)</f>
        <v>3286724.1799999997</v>
      </c>
      <c r="I47" s="117">
        <f>SUM(I32,I40,I46)</f>
        <v>-205226.465</v>
      </c>
      <c r="J47" s="117">
        <f>SUM(J32,J40,J46)</f>
        <v>247441.57430000015</v>
      </c>
      <c r="K47" s="192"/>
      <c r="M47" s="113"/>
    </row>
    <row r="48" spans="1:13" s="4" customFormat="1" ht="15.75" customHeight="1">
      <c r="A48" s="229" t="s">
        <v>102</v>
      </c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M48" s="113"/>
    </row>
    <row r="49" spans="1:13" ht="15" customHeight="1">
      <c r="A49" s="231" t="s">
        <v>90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</row>
    <row r="50" spans="1:13" s="162" customFormat="1" ht="15">
      <c r="A50" s="137" t="s">
        <v>123</v>
      </c>
      <c r="B50" s="112" t="s">
        <v>124</v>
      </c>
      <c r="C50" s="128">
        <v>10000</v>
      </c>
      <c r="D50" s="128">
        <v>2</v>
      </c>
      <c r="E50" s="129">
        <f>C50*D50</f>
        <v>20000</v>
      </c>
      <c r="F50" s="124">
        <v>1.6E-2</v>
      </c>
      <c r="G50" s="129">
        <f>E50*F50</f>
        <v>320</v>
      </c>
      <c r="H50" s="131">
        <v>320</v>
      </c>
      <c r="I50" s="165">
        <f>+G50-H50</f>
        <v>0</v>
      </c>
      <c r="J50" s="165">
        <f>+G50-H50</f>
        <v>0</v>
      </c>
      <c r="K50" s="205" t="s">
        <v>148</v>
      </c>
      <c r="M50" s="163"/>
    </row>
    <row r="51" spans="1:13" s="4" customFormat="1" ht="15">
      <c r="A51" s="137" t="s">
        <v>97</v>
      </c>
      <c r="B51" s="110" t="s">
        <v>98</v>
      </c>
      <c r="C51" s="128">
        <v>90</v>
      </c>
      <c r="D51" s="127">
        <v>1</v>
      </c>
      <c r="E51" s="129">
        <f>C51*D51</f>
        <v>90</v>
      </c>
      <c r="F51" s="123">
        <v>50</v>
      </c>
      <c r="G51" s="129">
        <f>E51*F51</f>
        <v>4500</v>
      </c>
      <c r="H51" s="116">
        <v>4500</v>
      </c>
      <c r="I51" s="165">
        <f>+G51-H51</f>
        <v>0</v>
      </c>
      <c r="J51" s="165">
        <f>+G51-H51</f>
        <v>0</v>
      </c>
      <c r="K51" s="199" t="s">
        <v>148</v>
      </c>
      <c r="M51" s="113"/>
    </row>
    <row r="52" spans="1:13" s="4" customFormat="1" ht="51.75">
      <c r="A52" s="137" t="s">
        <v>104</v>
      </c>
      <c r="B52" s="110" t="s">
        <v>91</v>
      </c>
      <c r="C52" s="128">
        <f>48621*0.5</f>
        <v>24310.5</v>
      </c>
      <c r="D52" s="128">
        <v>1</v>
      </c>
      <c r="E52" s="129">
        <f t="shared" ref="E52:E62" si="10">C52*D52</f>
        <v>24310.5</v>
      </c>
      <c r="F52" s="123">
        <v>1</v>
      </c>
      <c r="G52" s="129">
        <f t="shared" ref="G52:G62" si="11">E52*F52</f>
        <v>24310.5</v>
      </c>
      <c r="H52" s="116">
        <v>23500</v>
      </c>
      <c r="I52" s="168"/>
      <c r="J52" s="165">
        <f>+G52-H52</f>
        <v>810.5</v>
      </c>
      <c r="K52" s="198" t="s">
        <v>155</v>
      </c>
      <c r="M52" s="113"/>
    </row>
    <row r="53" spans="1:13" s="4" customFormat="1" ht="51.75">
      <c r="A53" s="137" t="s">
        <v>144</v>
      </c>
      <c r="B53" s="110" t="s">
        <v>94</v>
      </c>
      <c r="C53" s="128">
        <f>(9/17)*578</f>
        <v>306</v>
      </c>
      <c r="D53" s="128">
        <v>1</v>
      </c>
      <c r="E53" s="129">
        <f t="shared" si="10"/>
        <v>306</v>
      </c>
      <c r="F53" s="123">
        <v>1</v>
      </c>
      <c r="G53" s="129">
        <f t="shared" si="11"/>
        <v>306</v>
      </c>
      <c r="H53" s="116">
        <v>850</v>
      </c>
      <c r="I53" s="168"/>
      <c r="J53" s="165">
        <f>+G53-H53</f>
        <v>-544</v>
      </c>
      <c r="K53" s="197" t="s">
        <v>189</v>
      </c>
      <c r="L53" s="150"/>
      <c r="M53" s="113"/>
    </row>
    <row r="54" spans="1:13" s="4" customFormat="1" ht="15">
      <c r="A54" s="109" t="s">
        <v>52</v>
      </c>
      <c r="B54" s="110" t="s">
        <v>66</v>
      </c>
      <c r="C54" s="128">
        <v>90</v>
      </c>
      <c r="D54" s="127">
        <v>1</v>
      </c>
      <c r="E54" s="129">
        <f t="shared" si="10"/>
        <v>90</v>
      </c>
      <c r="F54" s="123">
        <v>2</v>
      </c>
      <c r="G54" s="129">
        <f t="shared" si="11"/>
        <v>180</v>
      </c>
      <c r="H54" s="116">
        <v>180</v>
      </c>
      <c r="I54" s="165">
        <f>+G54-H54</f>
        <v>0</v>
      </c>
      <c r="J54" s="165">
        <f>+G54-H54</f>
        <v>0</v>
      </c>
      <c r="K54" s="199" t="s">
        <v>148</v>
      </c>
      <c r="M54" s="113"/>
    </row>
    <row r="55" spans="1:13" s="4" customFormat="1" ht="39">
      <c r="A55" s="109" t="s">
        <v>62</v>
      </c>
      <c r="B55" s="110" t="s">
        <v>64</v>
      </c>
      <c r="C55" s="128">
        <v>90</v>
      </c>
      <c r="D55" s="128">
        <f>(48621/90)*0.05</f>
        <v>27.01166666666667</v>
      </c>
      <c r="E55" s="129">
        <f t="shared" si="10"/>
        <v>2431.0500000000002</v>
      </c>
      <c r="F55" s="123">
        <v>1</v>
      </c>
      <c r="G55" s="129">
        <f t="shared" si="11"/>
        <v>2431.0500000000002</v>
      </c>
      <c r="H55" s="116">
        <v>2350</v>
      </c>
      <c r="I55" s="165"/>
      <c r="J55" s="165">
        <f t="shared" ref="J55:J62" si="12">+G55-H55</f>
        <v>81.050000000000182</v>
      </c>
      <c r="K55" s="198" t="s">
        <v>156</v>
      </c>
      <c r="M55" s="113"/>
    </row>
    <row r="56" spans="1:13" s="4" customFormat="1" ht="51.75">
      <c r="A56" s="109" t="s">
        <v>147</v>
      </c>
      <c r="B56" s="110" t="s">
        <v>61</v>
      </c>
      <c r="C56" s="128">
        <v>90</v>
      </c>
      <c r="D56" s="128">
        <f>(48621/90)*0.05</f>
        <v>27.01166666666667</v>
      </c>
      <c r="E56" s="129">
        <f t="shared" si="10"/>
        <v>2431.0500000000002</v>
      </c>
      <c r="F56" s="123">
        <v>2</v>
      </c>
      <c r="G56" s="129">
        <f t="shared" si="11"/>
        <v>4862.1000000000004</v>
      </c>
      <c r="H56" s="116">
        <v>4700</v>
      </c>
      <c r="I56" s="165"/>
      <c r="J56" s="165">
        <f t="shared" si="12"/>
        <v>162.10000000000036</v>
      </c>
      <c r="K56" s="198" t="s">
        <v>157</v>
      </c>
      <c r="M56" s="113"/>
    </row>
    <row r="57" spans="1:13" s="4" customFormat="1" ht="15">
      <c r="A57" s="109" t="s">
        <v>95</v>
      </c>
      <c r="B57" s="110" t="s">
        <v>96</v>
      </c>
      <c r="C57" s="128">
        <v>90</v>
      </c>
      <c r="D57" s="128">
        <f>2300/90</f>
        <v>25.555555555555557</v>
      </c>
      <c r="E57" s="129">
        <f>C57*D57</f>
        <v>2300</v>
      </c>
      <c r="F57" s="123">
        <v>1</v>
      </c>
      <c r="G57" s="129">
        <f t="shared" si="11"/>
        <v>2300</v>
      </c>
      <c r="H57" s="116">
        <v>2300</v>
      </c>
      <c r="I57" s="165">
        <f>+G57-H57</f>
        <v>0</v>
      </c>
      <c r="J57" s="165">
        <f>+G57-H57</f>
        <v>0</v>
      </c>
      <c r="K57" s="199" t="s">
        <v>148</v>
      </c>
      <c r="M57" s="113"/>
    </row>
    <row r="58" spans="1:13" s="4" customFormat="1" ht="15">
      <c r="A58" s="109" t="s">
        <v>63</v>
      </c>
      <c r="B58" s="110" t="s">
        <v>65</v>
      </c>
      <c r="C58" s="128">
        <v>90</v>
      </c>
      <c r="D58" s="127">
        <v>1</v>
      </c>
      <c r="E58" s="129">
        <f t="shared" si="10"/>
        <v>90</v>
      </c>
      <c r="F58" s="123">
        <v>5</v>
      </c>
      <c r="G58" s="129">
        <f t="shared" si="11"/>
        <v>450</v>
      </c>
      <c r="H58" s="116">
        <v>450</v>
      </c>
      <c r="I58" s="165">
        <f>+G58-H58</f>
        <v>0</v>
      </c>
      <c r="J58" s="165">
        <f>+G58-H58</f>
        <v>0</v>
      </c>
      <c r="K58" s="199" t="s">
        <v>148</v>
      </c>
      <c r="M58" s="113"/>
    </row>
    <row r="59" spans="1:13" s="4" customFormat="1" ht="26.25">
      <c r="A59" s="109" t="s">
        <v>53</v>
      </c>
      <c r="B59" s="110" t="s">
        <v>54</v>
      </c>
      <c r="C59" s="128">
        <f>90+1839</f>
        <v>1929</v>
      </c>
      <c r="D59" s="128">
        <v>12</v>
      </c>
      <c r="E59" s="129">
        <f t="shared" si="10"/>
        <v>23148</v>
      </c>
      <c r="F59" s="123">
        <v>2</v>
      </c>
      <c r="G59" s="129">
        <f t="shared" si="11"/>
        <v>46296</v>
      </c>
      <c r="H59" s="116">
        <v>47040</v>
      </c>
      <c r="I59" s="165"/>
      <c r="J59" s="165">
        <f t="shared" si="12"/>
        <v>-744</v>
      </c>
      <c r="K59" s="196" t="s">
        <v>180</v>
      </c>
      <c r="M59" s="113"/>
    </row>
    <row r="60" spans="1:13" s="4" customFormat="1" ht="56.25" customHeight="1">
      <c r="A60" s="109" t="s">
        <v>53</v>
      </c>
      <c r="B60" s="112" t="s">
        <v>69</v>
      </c>
      <c r="C60" s="128">
        <v>1839</v>
      </c>
      <c r="D60" s="127">
        <f>((2096872+2102680)/1839)*4</f>
        <v>9134.4252311038599</v>
      </c>
      <c r="E60" s="129">
        <f t="shared" si="10"/>
        <v>16798208</v>
      </c>
      <c r="F60" s="123">
        <v>1.7000000000000001E-2</v>
      </c>
      <c r="G60" s="129">
        <f t="shared" si="11"/>
        <v>285569.53600000002</v>
      </c>
      <c r="H60" s="116">
        <v>201980</v>
      </c>
      <c r="I60" s="96"/>
      <c r="J60" s="165">
        <f>+G60-H60</f>
        <v>83589.536000000022</v>
      </c>
      <c r="K60" s="196" t="s">
        <v>192</v>
      </c>
      <c r="L60" s="158"/>
      <c r="M60" s="113"/>
    </row>
    <row r="61" spans="1:13" s="4" customFormat="1" ht="39">
      <c r="A61" s="109" t="s">
        <v>53</v>
      </c>
      <c r="B61" s="112" t="s">
        <v>55</v>
      </c>
      <c r="C61" s="128">
        <v>1839</v>
      </c>
      <c r="D61" s="127">
        <f>(4761034/1839)*4</f>
        <v>10355.702011963023</v>
      </c>
      <c r="E61" s="129">
        <f t="shared" si="10"/>
        <v>19044136</v>
      </c>
      <c r="F61" s="123">
        <v>1.7000000000000001E-2</v>
      </c>
      <c r="G61" s="129">
        <f t="shared" si="11"/>
        <v>323750.31200000003</v>
      </c>
      <c r="H61" s="116">
        <v>34609</v>
      </c>
      <c r="I61" s="96"/>
      <c r="J61" s="165">
        <f>+G61-H61</f>
        <v>289141.31200000003</v>
      </c>
      <c r="K61" s="196" t="s">
        <v>192</v>
      </c>
      <c r="L61" s="158"/>
      <c r="M61" s="113"/>
    </row>
    <row r="62" spans="1:13" s="4" customFormat="1" ht="32.25" customHeight="1" thickBot="1">
      <c r="A62" s="109" t="s">
        <v>53</v>
      </c>
      <c r="B62" s="110" t="s">
        <v>56</v>
      </c>
      <c r="C62" s="128">
        <f>90+1839</f>
        <v>1929</v>
      </c>
      <c r="D62" s="127">
        <v>1</v>
      </c>
      <c r="E62" s="129">
        <f t="shared" si="10"/>
        <v>1929</v>
      </c>
      <c r="F62" s="123">
        <v>0.25</v>
      </c>
      <c r="G62" s="129">
        <f t="shared" si="11"/>
        <v>482.25</v>
      </c>
      <c r="H62" s="116">
        <v>490</v>
      </c>
      <c r="I62" s="165"/>
      <c r="J62" s="165">
        <f t="shared" si="12"/>
        <v>-7.75</v>
      </c>
      <c r="K62" s="196" t="s">
        <v>180</v>
      </c>
      <c r="M62" s="113"/>
    </row>
    <row r="63" spans="1:13" s="4" customFormat="1" ht="15.75" thickBot="1">
      <c r="A63" s="225" t="s">
        <v>121</v>
      </c>
      <c r="B63" s="226"/>
      <c r="C63" s="117">
        <f>10000+1839+90</f>
        <v>11929</v>
      </c>
      <c r="D63" s="144">
        <f>+E63/C63</f>
        <v>3011.1048369519658</v>
      </c>
      <c r="E63" s="117">
        <f t="shared" ref="E63:I63" si="13">SUM(E50:E62)</f>
        <v>35919469.600000001</v>
      </c>
      <c r="F63" s="144">
        <f>+G63/E63</f>
        <v>1.9369933792118134E-2</v>
      </c>
      <c r="G63" s="117">
        <f t="shared" si="13"/>
        <v>695757.74800000002</v>
      </c>
      <c r="H63" s="117">
        <f t="shared" si="13"/>
        <v>323269</v>
      </c>
      <c r="I63" s="117">
        <f t="shared" si="13"/>
        <v>0</v>
      </c>
      <c r="J63" s="117">
        <f>SUM(J50:J62)</f>
        <v>372488.74800000002</v>
      </c>
      <c r="K63" s="194"/>
      <c r="M63" s="113"/>
    </row>
    <row r="64" spans="1:13" s="4" customFormat="1" ht="34.5" customHeight="1" thickBot="1">
      <c r="A64" s="211" t="s">
        <v>122</v>
      </c>
      <c r="B64" s="212"/>
      <c r="C64" s="120">
        <f>SUM(C47,C63)</f>
        <v>9023066</v>
      </c>
      <c r="D64" s="145">
        <f t="shared" ref="D64:J64" si="14">SUM(D47,D63)</f>
        <v>3013.8931720416444</v>
      </c>
      <c r="E64" s="120">
        <f>SUM(E47,E63)</f>
        <v>61045539.094999999</v>
      </c>
      <c r="F64" s="145">
        <f t="shared" si="14"/>
        <v>0.15185939020958319</v>
      </c>
      <c r="G64" s="120">
        <f t="shared" si="14"/>
        <v>4024697.0373000009</v>
      </c>
      <c r="H64" s="121">
        <f t="shared" si="14"/>
        <v>3609993.1799999997</v>
      </c>
      <c r="I64" s="120">
        <f t="shared" si="14"/>
        <v>-205226.465</v>
      </c>
      <c r="J64" s="120">
        <f t="shared" si="14"/>
        <v>619930.32230000012</v>
      </c>
      <c r="K64" s="193"/>
      <c r="M64" s="113"/>
    </row>
    <row r="65" spans="1:11" ht="15" thickBot="1">
      <c r="A65" s="113"/>
      <c r="B65" s="113"/>
      <c r="C65" s="113"/>
      <c r="D65" s="113"/>
      <c r="E65" s="113"/>
      <c r="F65" s="113"/>
      <c r="G65" s="113"/>
      <c r="H65" s="113"/>
      <c r="I65" s="113"/>
      <c r="J65" s="113"/>
      <c r="K65" s="111"/>
    </row>
    <row r="66" spans="1:11" ht="15.75" thickBot="1">
      <c r="A66" s="217" t="s">
        <v>159</v>
      </c>
      <c r="B66" s="218"/>
      <c r="C66" s="218"/>
      <c r="D66" s="219"/>
      <c r="E66" s="113"/>
      <c r="F66" s="113"/>
      <c r="G66" s="113"/>
      <c r="H66" s="113"/>
      <c r="I66" s="113"/>
      <c r="J66" s="113"/>
      <c r="K66" s="111"/>
    </row>
    <row r="67" spans="1:11" ht="17.25" thickBot="1">
      <c r="A67" s="220" t="s">
        <v>80</v>
      </c>
      <c r="B67" s="221"/>
      <c r="C67" s="213">
        <f>+C47</f>
        <v>9011137</v>
      </c>
      <c r="D67" s="214"/>
      <c r="E67" s="206">
        <f>C67+C76</f>
        <v>9023066</v>
      </c>
      <c r="F67" s="113"/>
      <c r="G67" s="113"/>
      <c r="H67" s="113"/>
      <c r="I67" s="113"/>
      <c r="J67" s="113"/>
      <c r="K67" s="111"/>
    </row>
    <row r="68" spans="1:11" ht="16.5" thickBot="1">
      <c r="A68" s="215" t="s">
        <v>81</v>
      </c>
      <c r="B68" s="216"/>
      <c r="C68" s="222">
        <f>+C69/C67</f>
        <v>2.7883350896784722</v>
      </c>
      <c r="D68" s="223"/>
      <c r="E68" s="113"/>
      <c r="F68" s="113"/>
      <c r="G68" s="113"/>
      <c r="H68" s="113"/>
      <c r="I68" s="113"/>
      <c r="J68" s="113"/>
      <c r="K68" s="111"/>
    </row>
    <row r="69" spans="1:11" ht="16.5" thickBot="1">
      <c r="A69" s="220" t="s">
        <v>82</v>
      </c>
      <c r="B69" s="247"/>
      <c r="C69" s="213">
        <f>+E47</f>
        <v>25126069.494999997</v>
      </c>
      <c r="D69" s="214"/>
      <c r="E69" s="113"/>
      <c r="F69" s="155"/>
      <c r="G69" s="113"/>
      <c r="H69" s="113"/>
      <c r="I69" s="113"/>
      <c r="J69" s="113"/>
      <c r="K69" s="111"/>
    </row>
    <row r="70" spans="1:11" ht="16.5" thickBot="1">
      <c r="A70" s="220" t="s">
        <v>83</v>
      </c>
      <c r="B70" s="247"/>
      <c r="C70" s="248">
        <f>+C71/C69</f>
        <v>0.13248945641746507</v>
      </c>
      <c r="D70" s="249"/>
      <c r="E70" s="113"/>
      <c r="F70" s="155"/>
      <c r="G70" s="113"/>
      <c r="H70" s="113"/>
      <c r="I70" s="113"/>
      <c r="J70" s="113"/>
      <c r="K70" s="111"/>
    </row>
    <row r="71" spans="1:11" ht="17.25" thickBot="1">
      <c r="A71" s="220" t="s">
        <v>84</v>
      </c>
      <c r="B71" s="250"/>
      <c r="C71" s="213">
        <f>+G47</f>
        <v>3328939.2893000008</v>
      </c>
      <c r="D71" s="214"/>
      <c r="E71" s="113"/>
      <c r="F71" s="156"/>
      <c r="G71" s="113"/>
      <c r="H71" s="113"/>
      <c r="I71" s="113"/>
      <c r="J71" s="113"/>
      <c r="K71" s="111"/>
    </row>
    <row r="72" spans="1:11" ht="16.5" thickBot="1">
      <c r="A72" s="220" t="s">
        <v>85</v>
      </c>
      <c r="B72" s="247"/>
      <c r="C72" s="255">
        <f>+H47</f>
        <v>3286724.1799999997</v>
      </c>
      <c r="D72" s="256"/>
      <c r="E72" s="189"/>
      <c r="F72" s="113"/>
      <c r="G72" s="113"/>
      <c r="H72" s="113"/>
      <c r="I72" s="113"/>
      <c r="J72" s="113"/>
      <c r="K72" s="111"/>
    </row>
    <row r="73" spans="1:11" ht="15" thickBot="1">
      <c r="A73" s="251" t="s">
        <v>86</v>
      </c>
      <c r="B73" s="252"/>
      <c r="C73" s="253">
        <f>C71-C72</f>
        <v>42215.109300001059</v>
      </c>
      <c r="D73" s="254"/>
      <c r="E73" s="113"/>
      <c r="F73" s="113"/>
      <c r="G73" s="113"/>
      <c r="H73" s="113"/>
      <c r="I73" s="113"/>
      <c r="J73" s="113"/>
      <c r="K73" s="111"/>
    </row>
    <row r="74" spans="1:11" ht="13.5" thickBot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ht="15.75" thickBot="1">
      <c r="A75" s="217" t="s">
        <v>160</v>
      </c>
      <c r="B75" s="218"/>
      <c r="C75" s="218"/>
      <c r="D75" s="219"/>
    </row>
    <row r="76" spans="1:11" ht="17.25" thickBot="1">
      <c r="A76" s="220" t="s">
        <v>161</v>
      </c>
      <c r="B76" s="221"/>
      <c r="C76" s="213">
        <f>+C63</f>
        <v>11929</v>
      </c>
      <c r="D76" s="214"/>
    </row>
    <row r="77" spans="1:11" ht="16.5" thickBot="1">
      <c r="A77" s="215" t="s">
        <v>81</v>
      </c>
      <c r="B77" s="216"/>
      <c r="C77" s="222">
        <f>+C78/C76</f>
        <v>3011.1048369519658</v>
      </c>
      <c r="D77" s="223"/>
    </row>
    <row r="78" spans="1:11" ht="16.5" thickBot="1">
      <c r="A78" s="220" t="s">
        <v>82</v>
      </c>
      <c r="B78" s="247"/>
      <c r="C78" s="213">
        <f>+E63</f>
        <v>35919469.600000001</v>
      </c>
      <c r="D78" s="214"/>
    </row>
    <row r="79" spans="1:11" ht="16.5" thickBot="1">
      <c r="A79" s="220" t="s">
        <v>83</v>
      </c>
      <c r="B79" s="247"/>
      <c r="C79" s="248">
        <f>+C80/C78</f>
        <v>1.9369933792118134E-2</v>
      </c>
      <c r="D79" s="249"/>
    </row>
    <row r="80" spans="1:11" ht="17.25" thickBot="1">
      <c r="A80" s="220" t="s">
        <v>84</v>
      </c>
      <c r="B80" s="250"/>
      <c r="C80" s="213">
        <f>+G63</f>
        <v>695757.74800000002</v>
      </c>
      <c r="D80" s="214"/>
    </row>
    <row r="81" spans="1:4" ht="16.5" thickBot="1">
      <c r="A81" s="220" t="s">
        <v>85</v>
      </c>
      <c r="B81" s="247"/>
      <c r="C81" s="255">
        <f>+H63</f>
        <v>323269</v>
      </c>
      <c r="D81" s="256"/>
    </row>
    <row r="82" spans="1:4" ht="15" thickBot="1">
      <c r="A82" s="251" t="s">
        <v>86</v>
      </c>
      <c r="B82" s="252"/>
      <c r="C82" s="253">
        <f>C80-C81</f>
        <v>372488.74800000002</v>
      </c>
      <c r="D82" s="254"/>
    </row>
    <row r="83" spans="1:4" ht="13.5" thickBot="1"/>
    <row r="84" spans="1:4" ht="15.75" thickBot="1">
      <c r="A84" s="217" t="s">
        <v>162</v>
      </c>
      <c r="B84" s="218"/>
      <c r="C84" s="218"/>
      <c r="D84" s="219"/>
    </row>
    <row r="85" spans="1:4" ht="17.25" customHeight="1" thickBot="1">
      <c r="A85" s="220" t="s">
        <v>190</v>
      </c>
      <c r="B85" s="221"/>
      <c r="C85" s="213">
        <f>+C69+C78</f>
        <v>61045539.094999999</v>
      </c>
      <c r="D85" s="214"/>
    </row>
    <row r="86" spans="1:4" ht="17.25" customHeight="1" thickBot="1">
      <c r="A86" s="220" t="s">
        <v>165</v>
      </c>
      <c r="B86" s="221"/>
      <c r="C86" s="161"/>
      <c r="D86" s="164">
        <f>+C71+C80</f>
        <v>4024697.0373000009</v>
      </c>
    </row>
    <row r="87" spans="1:4" ht="16.5" thickBot="1">
      <c r="A87" s="220" t="s">
        <v>85</v>
      </c>
      <c r="B87" s="247"/>
      <c r="C87" s="255">
        <v>3609994</v>
      </c>
      <c r="D87" s="256"/>
    </row>
    <row r="88" spans="1:4" ht="15" thickBot="1">
      <c r="A88" s="251" t="s">
        <v>86</v>
      </c>
      <c r="B88" s="252"/>
      <c r="C88" s="253">
        <f>+D86-C87</f>
        <v>414703.0373000009</v>
      </c>
      <c r="D88" s="254"/>
    </row>
  </sheetData>
  <mergeCells count="52">
    <mergeCell ref="A88:B88"/>
    <mergeCell ref="C88:D88"/>
    <mergeCell ref="A87:B87"/>
    <mergeCell ref="C87:D87"/>
    <mergeCell ref="A85:B85"/>
    <mergeCell ref="C85:D85"/>
    <mergeCell ref="A86:B86"/>
    <mergeCell ref="A78:B78"/>
    <mergeCell ref="C78:D78"/>
    <mergeCell ref="A79:B79"/>
    <mergeCell ref="C79:D79"/>
    <mergeCell ref="A84:D84"/>
    <mergeCell ref="A82:B82"/>
    <mergeCell ref="C82:D82"/>
    <mergeCell ref="A80:B80"/>
    <mergeCell ref="C80:D80"/>
    <mergeCell ref="A81:B81"/>
    <mergeCell ref="C81:D81"/>
    <mergeCell ref="A69:B69"/>
    <mergeCell ref="A77:B77"/>
    <mergeCell ref="C77:D77"/>
    <mergeCell ref="C69:D69"/>
    <mergeCell ref="A76:B76"/>
    <mergeCell ref="C76:D76"/>
    <mergeCell ref="A70:B70"/>
    <mergeCell ref="C70:D70"/>
    <mergeCell ref="A71:B71"/>
    <mergeCell ref="C71:D71"/>
    <mergeCell ref="A73:B73"/>
    <mergeCell ref="C73:D73"/>
    <mergeCell ref="A72:B72"/>
    <mergeCell ref="C72:D72"/>
    <mergeCell ref="A75:D75"/>
    <mergeCell ref="N1:R1"/>
    <mergeCell ref="A40:B40"/>
    <mergeCell ref="A46:B46"/>
    <mergeCell ref="A47:B47"/>
    <mergeCell ref="A63:B63"/>
    <mergeCell ref="A32:B32"/>
    <mergeCell ref="A48:K48"/>
    <mergeCell ref="A49:K49"/>
    <mergeCell ref="A1:K1"/>
    <mergeCell ref="A3:K3"/>
    <mergeCell ref="A4:K4"/>
    <mergeCell ref="A33:K33"/>
    <mergeCell ref="A41:K41"/>
    <mergeCell ref="A64:B64"/>
    <mergeCell ref="C67:D67"/>
    <mergeCell ref="A68:B68"/>
    <mergeCell ref="A66:D66"/>
    <mergeCell ref="A67:B67"/>
    <mergeCell ref="C68:D68"/>
  </mergeCells>
  <printOptions gridLines="1"/>
  <pageMargins left="0.7" right="0.7" top="0.75" bottom="0.75" header="0.3" footer="0.3"/>
  <pageSetup scale="57" fitToHeight="10" orientation="landscape" r:id="rId1"/>
  <headerFooter>
    <oddHeader>&amp;A</oddHeader>
    <oddFooter>Page &amp;P of &amp;N</oddFooter>
  </headerFooter>
  <rowBreaks count="2" manualBreakCount="2">
    <brk id="32" max="16383" man="1"/>
    <brk id="4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3"/>
  <sheetViews>
    <sheetView zoomScale="75" zoomScaleNormal="75" workbookViewId="0">
      <selection activeCell="C54" sqref="C54"/>
    </sheetView>
  </sheetViews>
  <sheetFormatPr defaultColWidth="9.140625" defaultRowHeight="14.25"/>
  <cols>
    <col min="1" max="1" width="17.7109375" style="142" customWidth="1"/>
    <col min="2" max="2" width="32.7109375" style="142" customWidth="1"/>
    <col min="3" max="3" width="16.28515625" style="1" customWidth="1"/>
    <col min="4" max="4" width="11.7109375" style="2" customWidth="1"/>
    <col min="5" max="5" width="16.140625" style="2" customWidth="1"/>
    <col min="6" max="6" width="13.28515625" style="3" customWidth="1"/>
    <col min="7" max="8" width="12.28515625" style="3" customWidth="1"/>
    <col min="9" max="9" width="11.7109375" style="4" customWidth="1"/>
    <col min="10" max="10" width="12.28515625" style="4" customWidth="1"/>
    <col min="11" max="13" width="9.140625" style="4"/>
    <col min="14" max="14" width="9.28515625" style="4" bestFit="1" customWidth="1"/>
    <col min="15" max="16384" width="9.140625" style="4"/>
  </cols>
  <sheetData>
    <row r="1" spans="1:11" ht="15.75" thickBot="1">
      <c r="A1" s="269" t="s">
        <v>105</v>
      </c>
      <c r="B1" s="270"/>
      <c r="C1" s="270"/>
      <c r="D1" s="270"/>
      <c r="E1" s="270"/>
      <c r="F1" s="270"/>
      <c r="G1" s="270"/>
      <c r="H1" s="270"/>
      <c r="I1" s="270"/>
      <c r="J1" s="271"/>
    </row>
    <row r="2" spans="1:11" ht="15.75" thickBot="1">
      <c r="A2" s="272" t="s">
        <v>90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11" ht="15">
      <c r="A3" s="182"/>
      <c r="B3" s="183"/>
      <c r="C3" s="184"/>
      <c r="D3" s="185" t="s">
        <v>1</v>
      </c>
      <c r="E3" s="184"/>
      <c r="F3" s="186" t="s">
        <v>1</v>
      </c>
      <c r="G3" s="5" t="s">
        <v>2</v>
      </c>
      <c r="H3" s="11" t="s">
        <v>3</v>
      </c>
      <c r="I3" s="37" t="s">
        <v>4</v>
      </c>
      <c r="J3" s="33" t="s">
        <v>4</v>
      </c>
      <c r="K3" s="35"/>
    </row>
    <row r="4" spans="1:11" ht="15">
      <c r="A4" s="182" t="s">
        <v>9</v>
      </c>
      <c r="B4" s="187"/>
      <c r="C4" s="184" t="s">
        <v>5</v>
      </c>
      <c r="D4" s="5" t="s">
        <v>16</v>
      </c>
      <c r="E4" s="184" t="s">
        <v>6</v>
      </c>
      <c r="F4" s="186" t="s">
        <v>76</v>
      </c>
      <c r="G4" s="5" t="s">
        <v>6</v>
      </c>
      <c r="H4" s="11" t="s">
        <v>7</v>
      </c>
      <c r="I4" s="38" t="s">
        <v>8</v>
      </c>
      <c r="J4" s="32" t="s">
        <v>8</v>
      </c>
    </row>
    <row r="5" spans="1:11" ht="15">
      <c r="A5" s="182" t="s">
        <v>14</v>
      </c>
      <c r="B5" s="187" t="s">
        <v>10</v>
      </c>
      <c r="C5" s="184" t="s">
        <v>1</v>
      </c>
      <c r="D5" s="5" t="s">
        <v>169</v>
      </c>
      <c r="E5" s="184" t="s">
        <v>0</v>
      </c>
      <c r="F5" s="186" t="s">
        <v>11</v>
      </c>
      <c r="G5" s="5" t="s">
        <v>76</v>
      </c>
      <c r="H5" s="11" t="s">
        <v>6</v>
      </c>
      <c r="I5" s="38" t="s">
        <v>12</v>
      </c>
      <c r="J5" s="32" t="s">
        <v>13</v>
      </c>
    </row>
    <row r="6" spans="1:11" ht="15.75" thickBot="1">
      <c r="A6" s="182"/>
      <c r="B6" s="187"/>
      <c r="C6" s="184" t="s">
        <v>15</v>
      </c>
      <c r="D6" s="5" t="s">
        <v>170</v>
      </c>
      <c r="E6" s="184" t="s">
        <v>16</v>
      </c>
      <c r="F6" s="186" t="s">
        <v>17</v>
      </c>
      <c r="G6" s="5" t="s">
        <v>18</v>
      </c>
      <c r="H6" s="11" t="s">
        <v>19</v>
      </c>
      <c r="I6" s="38" t="s">
        <v>20</v>
      </c>
      <c r="J6" s="32" t="s">
        <v>21</v>
      </c>
    </row>
    <row r="7" spans="1:11" ht="18.75" thickBot="1">
      <c r="A7" s="275" t="s">
        <v>99</v>
      </c>
      <c r="B7" s="276"/>
      <c r="C7" s="276"/>
      <c r="D7" s="276"/>
      <c r="E7" s="276"/>
      <c r="F7" s="276"/>
      <c r="G7" s="276"/>
      <c r="H7" s="276"/>
      <c r="I7" s="276"/>
      <c r="J7" s="277"/>
    </row>
    <row r="8" spans="1:11" ht="15">
      <c r="A8" s="6">
        <v>246.4</v>
      </c>
      <c r="B8" s="7" t="s">
        <v>22</v>
      </c>
      <c r="C8" s="8">
        <v>90</v>
      </c>
      <c r="D8" s="8">
        <v>1</v>
      </c>
      <c r="E8" s="10">
        <f>C8*D8</f>
        <v>90</v>
      </c>
      <c r="F8" s="14">
        <v>134.61879999999999</v>
      </c>
      <c r="G8" s="18">
        <f>E8*F8</f>
        <v>12115.691999999999</v>
      </c>
      <c r="H8" s="26">
        <v>10740</v>
      </c>
      <c r="I8" s="17"/>
      <c r="J8" s="30">
        <v>0</v>
      </c>
    </row>
    <row r="9" spans="1:11" ht="15">
      <c r="A9" s="6" t="s">
        <v>23</v>
      </c>
      <c r="B9" s="7" t="s">
        <v>24</v>
      </c>
      <c r="C9" s="8">
        <v>935</v>
      </c>
      <c r="D9" s="8">
        <v>1</v>
      </c>
      <c r="E9" s="10">
        <f t="shared" ref="E9:E14" si="0">PRODUCT(C9*D9)</f>
        <v>935</v>
      </c>
      <c r="F9" s="14">
        <v>2</v>
      </c>
      <c r="G9" s="18">
        <f t="shared" ref="G9:G32" si="1">E9*F9</f>
        <v>1870</v>
      </c>
      <c r="H9" s="26">
        <v>1870</v>
      </c>
      <c r="I9" s="17">
        <v>0</v>
      </c>
      <c r="J9" s="31" t="s">
        <v>75</v>
      </c>
    </row>
    <row r="10" spans="1:11" ht="15">
      <c r="A10" s="6">
        <v>246.6</v>
      </c>
      <c r="B10" s="7" t="s">
        <v>25</v>
      </c>
      <c r="C10" s="8">
        <v>935</v>
      </c>
      <c r="D10" s="8">
        <v>1</v>
      </c>
      <c r="E10" s="10">
        <f t="shared" si="0"/>
        <v>935</v>
      </c>
      <c r="F10" s="14">
        <v>1.5</v>
      </c>
      <c r="G10" s="18">
        <f t="shared" si="1"/>
        <v>1402.5</v>
      </c>
      <c r="H10" s="26">
        <v>1403</v>
      </c>
      <c r="I10" s="17">
        <v>0</v>
      </c>
      <c r="J10" s="31">
        <v>0</v>
      </c>
    </row>
    <row r="11" spans="1:11" ht="15">
      <c r="A11" s="6" t="s">
        <v>101</v>
      </c>
      <c r="B11" s="7" t="s">
        <v>26</v>
      </c>
      <c r="C11" s="8">
        <v>312</v>
      </c>
      <c r="D11" s="8">
        <v>1</v>
      </c>
      <c r="E11" s="10">
        <f t="shared" si="0"/>
        <v>312</v>
      </c>
      <c r="F11" s="14">
        <v>0.25</v>
      </c>
      <c r="G11" s="18">
        <f t="shared" si="1"/>
        <v>78</v>
      </c>
      <c r="H11" s="26">
        <v>78</v>
      </c>
      <c r="I11" s="17">
        <v>0</v>
      </c>
      <c r="J11" s="31" t="s">
        <v>75</v>
      </c>
    </row>
    <row r="12" spans="1:11" ht="15">
      <c r="A12" s="6" t="s">
        <v>27</v>
      </c>
      <c r="B12" s="7" t="s">
        <v>28</v>
      </c>
      <c r="C12" s="8">
        <v>1870</v>
      </c>
      <c r="D12" s="97">
        <v>6353.57</v>
      </c>
      <c r="E12" s="10">
        <f t="shared" si="0"/>
        <v>11881175.9</v>
      </c>
      <c r="F12" s="14">
        <v>0.17</v>
      </c>
      <c r="G12" s="18">
        <f t="shared" si="1"/>
        <v>2019799.9030000002</v>
      </c>
      <c r="H12" s="27">
        <v>2019800</v>
      </c>
      <c r="I12" s="17">
        <v>0</v>
      </c>
      <c r="J12" s="31" t="s">
        <v>75</v>
      </c>
    </row>
    <row r="13" spans="1:11" ht="15">
      <c r="A13" s="13" t="s">
        <v>29</v>
      </c>
      <c r="B13" s="7" t="s">
        <v>30</v>
      </c>
      <c r="C13" s="8">
        <v>1870</v>
      </c>
      <c r="D13" s="18">
        <v>1088.67</v>
      </c>
      <c r="E13" s="10">
        <f>PRODUCT(C13*D13)</f>
        <v>2035812.9000000001</v>
      </c>
      <c r="F13" s="14">
        <v>0.17</v>
      </c>
      <c r="G13" s="18">
        <f>E13*F13+1</f>
        <v>346089.19300000003</v>
      </c>
      <c r="H13" s="27">
        <v>346089</v>
      </c>
      <c r="I13" s="17">
        <v>0</v>
      </c>
      <c r="J13" s="31" t="s">
        <v>75</v>
      </c>
    </row>
    <row r="14" spans="1:11" ht="15">
      <c r="A14" s="6" t="s">
        <v>71</v>
      </c>
      <c r="B14" s="7" t="s">
        <v>31</v>
      </c>
      <c r="C14" s="8">
        <v>4</v>
      </c>
      <c r="D14" s="8">
        <v>1</v>
      </c>
      <c r="E14" s="10">
        <f t="shared" si="0"/>
        <v>4</v>
      </c>
      <c r="F14" s="14">
        <v>0.09</v>
      </c>
      <c r="G14" s="25">
        <f t="shared" si="1"/>
        <v>0.36</v>
      </c>
      <c r="H14" s="28">
        <v>0.36</v>
      </c>
      <c r="I14" s="17">
        <v>0</v>
      </c>
      <c r="J14" s="31">
        <v>0</v>
      </c>
    </row>
    <row r="15" spans="1:11" ht="15">
      <c r="A15" s="6" t="s">
        <v>32</v>
      </c>
      <c r="B15" s="7" t="s">
        <v>70</v>
      </c>
      <c r="C15" s="8">
        <v>1870</v>
      </c>
      <c r="D15" s="8">
        <v>89.14</v>
      </c>
      <c r="E15" s="10">
        <f>PRODUCT(C15*D15)+15</f>
        <v>166706.79999999999</v>
      </c>
      <c r="F15" s="14">
        <v>0.09</v>
      </c>
      <c r="G15" s="18">
        <f t="shared" si="1"/>
        <v>15003.611999999999</v>
      </c>
      <c r="H15" s="26">
        <v>15004</v>
      </c>
      <c r="I15" s="17">
        <v>0</v>
      </c>
      <c r="J15" s="30">
        <v>0</v>
      </c>
    </row>
    <row r="16" spans="1:11" ht="15">
      <c r="A16" s="6" t="s">
        <v>74</v>
      </c>
      <c r="B16" s="7" t="s">
        <v>171</v>
      </c>
      <c r="C16" s="8">
        <v>90</v>
      </c>
      <c r="D16" s="8">
        <v>1</v>
      </c>
      <c r="E16" s="10">
        <f>C16*D16</f>
        <v>90</v>
      </c>
      <c r="F16" s="14">
        <v>40</v>
      </c>
      <c r="G16" s="18">
        <f t="shared" si="1"/>
        <v>3600</v>
      </c>
      <c r="H16" s="26">
        <v>3600</v>
      </c>
      <c r="I16" s="17">
        <v>0</v>
      </c>
      <c r="J16" s="30">
        <v>0</v>
      </c>
    </row>
    <row r="17" spans="1:10" ht="45" customHeight="1">
      <c r="A17" s="146" t="s">
        <v>172</v>
      </c>
      <c r="B17" s="7" t="s">
        <v>124</v>
      </c>
      <c r="C17" s="9">
        <v>1870</v>
      </c>
      <c r="D17" s="8">
        <v>10.88</v>
      </c>
      <c r="E17" s="8">
        <f>SUM(C17*D17)+12</f>
        <v>20357.600000000002</v>
      </c>
      <c r="F17" s="14">
        <v>0.03</v>
      </c>
      <c r="G17" s="18">
        <f t="shared" si="1"/>
        <v>610.72800000000007</v>
      </c>
      <c r="H17" s="26">
        <v>611</v>
      </c>
      <c r="I17" s="17">
        <v>0</v>
      </c>
      <c r="J17" s="30">
        <v>0</v>
      </c>
    </row>
    <row r="18" spans="1:10" ht="15">
      <c r="A18" s="6" t="s">
        <v>33</v>
      </c>
      <c r="B18" s="7" t="s">
        <v>34</v>
      </c>
      <c r="C18" s="8">
        <v>1870</v>
      </c>
      <c r="D18" s="8">
        <v>1</v>
      </c>
      <c r="E18" s="10">
        <f>PRODUCT(C18*D18)</f>
        <v>1870</v>
      </c>
      <c r="F18" s="14">
        <v>40</v>
      </c>
      <c r="G18" s="18">
        <f t="shared" si="1"/>
        <v>74800</v>
      </c>
      <c r="H18" s="26">
        <v>74800</v>
      </c>
      <c r="I18" s="17">
        <v>0</v>
      </c>
      <c r="J18" s="30">
        <v>0</v>
      </c>
    </row>
    <row r="19" spans="1:10" ht="15">
      <c r="A19" s="6" t="s">
        <v>87</v>
      </c>
      <c r="B19" s="7" t="s">
        <v>72</v>
      </c>
      <c r="C19" s="8">
        <v>90</v>
      </c>
      <c r="D19" s="97">
        <v>62.66</v>
      </c>
      <c r="E19" s="10">
        <v>5640</v>
      </c>
      <c r="F19" s="14">
        <v>4</v>
      </c>
      <c r="G19" s="18">
        <f t="shared" si="1"/>
        <v>22560</v>
      </c>
      <c r="H19" s="26">
        <v>11280</v>
      </c>
      <c r="I19" s="17">
        <v>0</v>
      </c>
      <c r="J19" s="30">
        <v>0</v>
      </c>
    </row>
    <row r="20" spans="1:10" ht="15">
      <c r="A20" s="6" t="s">
        <v>88</v>
      </c>
      <c r="B20" s="7" t="s">
        <v>73</v>
      </c>
      <c r="C20" s="8">
        <v>75</v>
      </c>
      <c r="D20" s="97">
        <v>1044.44</v>
      </c>
      <c r="E20" s="69">
        <f>C20*D20</f>
        <v>78333</v>
      </c>
      <c r="F20" s="14">
        <v>2</v>
      </c>
      <c r="G20" s="68">
        <f t="shared" si="1"/>
        <v>156666</v>
      </c>
      <c r="H20" s="26">
        <v>94000</v>
      </c>
      <c r="I20" s="17">
        <v>0</v>
      </c>
      <c r="J20" s="30">
        <v>0</v>
      </c>
    </row>
    <row r="21" spans="1:10" ht="15">
      <c r="A21" s="6" t="s">
        <v>88</v>
      </c>
      <c r="B21" s="7" t="s">
        <v>106</v>
      </c>
      <c r="C21" s="8">
        <v>15</v>
      </c>
      <c r="D21" s="8">
        <v>1</v>
      </c>
      <c r="E21" s="10">
        <f>C21*D21</f>
        <v>15</v>
      </c>
      <c r="F21" s="14">
        <v>16</v>
      </c>
      <c r="G21" s="18">
        <f>E21*F21</f>
        <v>240</v>
      </c>
      <c r="H21" s="26">
        <v>0</v>
      </c>
      <c r="I21" s="17">
        <v>0</v>
      </c>
      <c r="J21" s="30">
        <v>0</v>
      </c>
    </row>
    <row r="22" spans="1:10" ht="15">
      <c r="A22" s="6" t="s">
        <v>36</v>
      </c>
      <c r="B22" s="7" t="s">
        <v>37</v>
      </c>
      <c r="C22" s="8">
        <v>90</v>
      </c>
      <c r="D22" s="8">
        <v>1</v>
      </c>
      <c r="E22" s="10">
        <f>C22*D22</f>
        <v>90</v>
      </c>
      <c r="F22" s="14">
        <v>8</v>
      </c>
      <c r="G22" s="18">
        <f t="shared" si="1"/>
        <v>720</v>
      </c>
      <c r="H22" s="26">
        <v>720</v>
      </c>
      <c r="I22" s="17">
        <v>0</v>
      </c>
      <c r="J22" s="30">
        <v>0</v>
      </c>
    </row>
    <row r="23" spans="1:10" ht="15">
      <c r="A23" s="13" t="s">
        <v>29</v>
      </c>
      <c r="B23" s="7" t="s">
        <v>38</v>
      </c>
      <c r="C23" s="9">
        <v>90</v>
      </c>
      <c r="D23" s="97">
        <v>522.22</v>
      </c>
      <c r="E23" s="8">
        <f>C23*D23</f>
        <v>46999.8</v>
      </c>
      <c r="F23" s="14">
        <v>2</v>
      </c>
      <c r="G23" s="18">
        <f t="shared" si="1"/>
        <v>93999.6</v>
      </c>
      <c r="H23" s="26">
        <v>94000</v>
      </c>
      <c r="I23" s="17">
        <v>0</v>
      </c>
      <c r="J23" s="30">
        <v>0</v>
      </c>
    </row>
    <row r="24" spans="1:10" ht="15">
      <c r="A24" s="6" t="s">
        <v>39</v>
      </c>
      <c r="B24" s="7" t="s">
        <v>61</v>
      </c>
      <c r="C24" s="9">
        <v>90</v>
      </c>
      <c r="D24" s="97">
        <v>26.11</v>
      </c>
      <c r="E24" s="8">
        <f>C24*D24</f>
        <v>2349.9</v>
      </c>
      <c r="F24" s="14">
        <v>2</v>
      </c>
      <c r="G24" s="18">
        <f>E24*F24</f>
        <v>4699.8</v>
      </c>
      <c r="H24" s="26">
        <v>4700</v>
      </c>
      <c r="I24" s="17">
        <v>0</v>
      </c>
      <c r="J24" s="30">
        <v>0</v>
      </c>
    </row>
    <row r="25" spans="1:10" ht="15">
      <c r="A25" s="6" t="s">
        <v>40</v>
      </c>
      <c r="B25" s="7" t="s">
        <v>41</v>
      </c>
      <c r="C25" s="8">
        <v>90</v>
      </c>
      <c r="D25" s="97">
        <v>111.11</v>
      </c>
      <c r="E25" s="10">
        <f t="shared" ref="E25:E32" si="2">PRODUCT(C25*D25)</f>
        <v>9999.9</v>
      </c>
      <c r="F25" s="14">
        <v>1</v>
      </c>
      <c r="G25" s="18">
        <f t="shared" si="1"/>
        <v>9999.9</v>
      </c>
      <c r="H25" s="26">
        <v>10000</v>
      </c>
      <c r="I25" s="17">
        <v>0</v>
      </c>
      <c r="J25" s="30">
        <v>0</v>
      </c>
    </row>
    <row r="26" spans="1:10" ht="15">
      <c r="A26" s="6" t="s">
        <v>57</v>
      </c>
      <c r="B26" s="7" t="s">
        <v>60</v>
      </c>
      <c r="C26" s="8">
        <v>90</v>
      </c>
      <c r="D26" s="8">
        <v>1</v>
      </c>
      <c r="E26" s="10">
        <f>C26*D26</f>
        <v>90</v>
      </c>
      <c r="F26" s="14">
        <v>40</v>
      </c>
      <c r="G26" s="18">
        <f t="shared" si="1"/>
        <v>3600</v>
      </c>
      <c r="H26" s="26">
        <v>3600</v>
      </c>
      <c r="I26" s="17">
        <v>0</v>
      </c>
      <c r="J26" s="30">
        <v>0</v>
      </c>
    </row>
    <row r="27" spans="1:10" ht="15">
      <c r="A27" s="6" t="s">
        <v>42</v>
      </c>
      <c r="B27" s="7" t="s">
        <v>43</v>
      </c>
      <c r="C27" s="8">
        <v>15</v>
      </c>
      <c r="D27" s="8">
        <v>1</v>
      </c>
      <c r="E27" s="10">
        <f t="shared" si="2"/>
        <v>15</v>
      </c>
      <c r="F27" s="14">
        <v>160</v>
      </c>
      <c r="G27" s="18">
        <f t="shared" si="1"/>
        <v>2400</v>
      </c>
      <c r="H27" s="26">
        <v>2400</v>
      </c>
      <c r="I27" s="17">
        <v>0</v>
      </c>
      <c r="J27" s="30">
        <v>0</v>
      </c>
    </row>
    <row r="28" spans="1:10" ht="15">
      <c r="A28" s="6" t="s">
        <v>44</v>
      </c>
      <c r="B28" s="7" t="s">
        <v>45</v>
      </c>
      <c r="C28" s="8">
        <v>90</v>
      </c>
      <c r="D28" s="97">
        <v>83.111099999999993</v>
      </c>
      <c r="E28" s="10">
        <f>C28*D28</f>
        <v>7479.9989999999998</v>
      </c>
      <c r="F28" s="14">
        <v>2</v>
      </c>
      <c r="G28" s="18">
        <f t="shared" si="1"/>
        <v>14959.998</v>
      </c>
      <c r="H28" s="26">
        <v>14960</v>
      </c>
      <c r="I28" s="17">
        <v>0</v>
      </c>
      <c r="J28" s="30">
        <v>0</v>
      </c>
    </row>
    <row r="29" spans="1:10" ht="15">
      <c r="A29" s="6" t="s">
        <v>46</v>
      </c>
      <c r="B29" s="7" t="s">
        <v>47</v>
      </c>
      <c r="C29" s="8">
        <v>90</v>
      </c>
      <c r="D29" s="25">
        <v>0.1111</v>
      </c>
      <c r="E29" s="10">
        <f t="shared" si="2"/>
        <v>9.9990000000000006</v>
      </c>
      <c r="F29" s="14">
        <v>8</v>
      </c>
      <c r="G29" s="18">
        <f t="shared" si="1"/>
        <v>79.992000000000004</v>
      </c>
      <c r="H29" s="26">
        <v>80</v>
      </c>
      <c r="I29" s="17">
        <v>0</v>
      </c>
      <c r="J29" s="30">
        <v>0</v>
      </c>
    </row>
    <row r="30" spans="1:10" s="96" customFormat="1" ht="15">
      <c r="A30" s="89" t="s">
        <v>48</v>
      </c>
      <c r="B30" s="90" t="s">
        <v>49</v>
      </c>
      <c r="C30" s="91">
        <v>23</v>
      </c>
      <c r="D30" s="91">
        <v>1</v>
      </c>
      <c r="E30" s="69">
        <f t="shared" si="2"/>
        <v>23</v>
      </c>
      <c r="F30" s="92">
        <v>40</v>
      </c>
      <c r="G30" s="68">
        <f t="shared" si="1"/>
        <v>920</v>
      </c>
      <c r="H30" s="93">
        <v>920</v>
      </c>
      <c r="I30" s="94">
        <v>0</v>
      </c>
      <c r="J30" s="95">
        <v>0</v>
      </c>
    </row>
    <row r="31" spans="1:10" ht="15">
      <c r="A31" s="6" t="s">
        <v>58</v>
      </c>
      <c r="B31" s="7" t="s">
        <v>59</v>
      </c>
      <c r="C31" s="8">
        <v>90</v>
      </c>
      <c r="D31" s="25">
        <v>2.5973000000000002</v>
      </c>
      <c r="E31" s="10">
        <f>C31*D31</f>
        <v>233.75700000000001</v>
      </c>
      <c r="F31" s="14">
        <v>2</v>
      </c>
      <c r="G31" s="18">
        <f t="shared" si="1"/>
        <v>467.51400000000001</v>
      </c>
      <c r="H31" s="26">
        <v>468</v>
      </c>
      <c r="I31" s="17">
        <v>0</v>
      </c>
      <c r="J31" s="30">
        <v>0</v>
      </c>
    </row>
    <row r="32" spans="1:10" ht="15.75" thickBot="1">
      <c r="A32" s="147" t="s">
        <v>50</v>
      </c>
      <c r="B32" s="7" t="s">
        <v>51</v>
      </c>
      <c r="C32" s="8">
        <v>4</v>
      </c>
      <c r="D32" s="8">
        <v>1</v>
      </c>
      <c r="E32" s="10">
        <f t="shared" si="2"/>
        <v>4</v>
      </c>
      <c r="F32" s="14">
        <v>40</v>
      </c>
      <c r="G32" s="18">
        <f t="shared" si="1"/>
        <v>160</v>
      </c>
      <c r="H32" s="26">
        <v>160</v>
      </c>
      <c r="I32" s="36">
        <v>0</v>
      </c>
      <c r="J32" s="30">
        <v>0</v>
      </c>
    </row>
    <row r="33" spans="1:10" ht="15.75" thickBot="1">
      <c r="A33" s="278" t="s">
        <v>100</v>
      </c>
      <c r="B33" s="279"/>
      <c r="C33" s="70">
        <v>1960</v>
      </c>
      <c r="D33" s="70">
        <f>SUM(D8:D32)</f>
        <v>9407.6195000000007</v>
      </c>
      <c r="E33" s="70">
        <f>SUM(E8:E32)</f>
        <v>14259572.555000002</v>
      </c>
      <c r="F33" s="71">
        <f>SUM(F8:F32)</f>
        <v>545.91879999999992</v>
      </c>
      <c r="G33" s="72">
        <f>SUM(G8:G32)+4</f>
        <v>2786846.7920000004</v>
      </c>
      <c r="H33" s="73">
        <f>SUM(H8:H32)</f>
        <v>2711283.36</v>
      </c>
      <c r="I33" s="74">
        <f>SUM(I8:I32)</f>
        <v>0</v>
      </c>
      <c r="J33" s="75">
        <f>SUM(J8:J32)</f>
        <v>0</v>
      </c>
    </row>
    <row r="34" spans="1:10" ht="18.75" thickBot="1">
      <c r="A34" s="280" t="s">
        <v>102</v>
      </c>
      <c r="B34" s="281"/>
      <c r="C34" s="281"/>
      <c r="D34" s="281"/>
      <c r="E34" s="281"/>
      <c r="F34" s="281"/>
      <c r="G34" s="281"/>
      <c r="H34" s="281"/>
      <c r="I34" s="281"/>
      <c r="J34" s="282"/>
    </row>
    <row r="35" spans="1:10" ht="15">
      <c r="A35" s="54" t="s">
        <v>173</v>
      </c>
      <c r="B35" s="7" t="s">
        <v>174</v>
      </c>
      <c r="C35" s="8">
        <v>10000</v>
      </c>
      <c r="D35" s="8">
        <v>2</v>
      </c>
      <c r="E35" s="8">
        <v>20000</v>
      </c>
      <c r="F35" s="12">
        <v>1.6E-2</v>
      </c>
      <c r="G35" s="18">
        <f>E35*F35</f>
        <v>320</v>
      </c>
      <c r="H35" s="44">
        <v>0</v>
      </c>
      <c r="I35" s="55">
        <v>320</v>
      </c>
      <c r="J35" s="17">
        <v>0</v>
      </c>
    </row>
    <row r="36" spans="1:10" ht="15">
      <c r="A36" s="54" t="s">
        <v>97</v>
      </c>
      <c r="B36" s="7" t="s">
        <v>98</v>
      </c>
      <c r="C36" s="8">
        <v>90</v>
      </c>
      <c r="D36" s="8">
        <v>1</v>
      </c>
      <c r="E36" s="8">
        <v>90</v>
      </c>
      <c r="F36" s="14">
        <v>50</v>
      </c>
      <c r="G36" s="18">
        <f>E36*F36</f>
        <v>4500</v>
      </c>
      <c r="H36" s="44">
        <v>4500</v>
      </c>
      <c r="I36" s="55"/>
      <c r="J36" s="17"/>
    </row>
    <row r="37" spans="1:10" ht="15">
      <c r="A37" s="54" t="s">
        <v>104</v>
      </c>
      <c r="B37" s="7" t="s">
        <v>91</v>
      </c>
      <c r="C37" s="8">
        <v>90</v>
      </c>
      <c r="D37" s="97">
        <v>261.11</v>
      </c>
      <c r="E37" s="8">
        <f>C37*D37</f>
        <v>23499.9</v>
      </c>
      <c r="F37" s="14">
        <v>1</v>
      </c>
      <c r="G37" s="18">
        <f>E37*F37</f>
        <v>23499.9</v>
      </c>
      <c r="H37" s="44">
        <v>23500</v>
      </c>
      <c r="I37" s="55">
        <v>0</v>
      </c>
      <c r="J37" s="17">
        <v>0</v>
      </c>
    </row>
    <row r="38" spans="1:10" ht="15">
      <c r="A38" s="54" t="s">
        <v>93</v>
      </c>
      <c r="B38" s="7" t="s">
        <v>94</v>
      </c>
      <c r="C38" s="8">
        <v>16</v>
      </c>
      <c r="D38" s="98">
        <v>53.1</v>
      </c>
      <c r="E38" s="8">
        <f t="shared" ref="E38:E44" si="3">C38*D38</f>
        <v>849.6</v>
      </c>
      <c r="F38" s="14">
        <v>1</v>
      </c>
      <c r="G38" s="18">
        <v>850</v>
      </c>
      <c r="H38" s="44">
        <v>850</v>
      </c>
      <c r="I38" s="55">
        <v>0</v>
      </c>
      <c r="J38" s="17">
        <v>0</v>
      </c>
    </row>
    <row r="39" spans="1:10" ht="15">
      <c r="A39" s="6" t="s">
        <v>52</v>
      </c>
      <c r="B39" s="7" t="s">
        <v>66</v>
      </c>
      <c r="C39" s="8">
        <v>90</v>
      </c>
      <c r="D39" s="8">
        <v>1</v>
      </c>
      <c r="E39" s="10">
        <f t="shared" si="3"/>
        <v>90</v>
      </c>
      <c r="F39" s="14">
        <v>2</v>
      </c>
      <c r="G39" s="18">
        <f t="shared" ref="G39:G46" si="4">E39*F39</f>
        <v>180</v>
      </c>
      <c r="H39" s="26">
        <v>180</v>
      </c>
      <c r="I39" s="17">
        <v>0</v>
      </c>
      <c r="J39" s="17">
        <v>0</v>
      </c>
    </row>
    <row r="40" spans="1:10" ht="15">
      <c r="A40" s="6" t="s">
        <v>62</v>
      </c>
      <c r="B40" s="7" t="s">
        <v>64</v>
      </c>
      <c r="C40" s="8">
        <v>90</v>
      </c>
      <c r="D40" s="97">
        <v>522.22</v>
      </c>
      <c r="E40" s="10">
        <f>(C40*D40)*0.05</f>
        <v>2349.9900000000002</v>
      </c>
      <c r="F40" s="14">
        <v>1</v>
      </c>
      <c r="G40" s="18">
        <f>E40*F40</f>
        <v>2349.9900000000002</v>
      </c>
      <c r="H40" s="26">
        <v>2350</v>
      </c>
      <c r="I40" s="17">
        <v>0</v>
      </c>
      <c r="J40" s="17">
        <v>0</v>
      </c>
    </row>
    <row r="41" spans="1:10" ht="15">
      <c r="A41" s="6" t="s">
        <v>62</v>
      </c>
      <c r="B41" s="7" t="s">
        <v>61</v>
      </c>
      <c r="C41" s="8">
        <v>90</v>
      </c>
      <c r="D41" s="8">
        <v>522.22</v>
      </c>
      <c r="E41" s="10">
        <f>(C41*D41)*0.05</f>
        <v>2349.9900000000002</v>
      </c>
      <c r="F41" s="14">
        <v>2</v>
      </c>
      <c r="G41" s="18">
        <f>E41*F41</f>
        <v>4699.9800000000005</v>
      </c>
      <c r="H41" s="26">
        <v>4700</v>
      </c>
      <c r="I41" s="17">
        <v>0</v>
      </c>
      <c r="J41" s="17">
        <v>0</v>
      </c>
    </row>
    <row r="42" spans="1:10" ht="15">
      <c r="A42" s="6" t="s">
        <v>95</v>
      </c>
      <c r="B42" s="7" t="s">
        <v>96</v>
      </c>
      <c r="C42" s="8">
        <v>90</v>
      </c>
      <c r="D42" s="97">
        <v>25.55</v>
      </c>
      <c r="E42" s="10">
        <f>(C42*D42)</f>
        <v>2299.5</v>
      </c>
      <c r="F42" s="14">
        <v>1</v>
      </c>
      <c r="G42" s="18">
        <f>E42*F42</f>
        <v>2299.5</v>
      </c>
      <c r="H42" s="26">
        <v>2300</v>
      </c>
      <c r="I42" s="17">
        <v>0</v>
      </c>
      <c r="J42" s="17">
        <v>0</v>
      </c>
    </row>
    <row r="43" spans="1:10" ht="15">
      <c r="A43" s="6" t="s">
        <v>63</v>
      </c>
      <c r="B43" s="7" t="s">
        <v>65</v>
      </c>
      <c r="C43" s="8">
        <v>90</v>
      </c>
      <c r="D43" s="8">
        <v>1</v>
      </c>
      <c r="E43" s="10">
        <f t="shared" si="3"/>
        <v>90</v>
      </c>
      <c r="F43" s="14">
        <v>5</v>
      </c>
      <c r="G43" s="18">
        <f t="shared" si="4"/>
        <v>450</v>
      </c>
      <c r="H43" s="26">
        <v>450</v>
      </c>
      <c r="I43" s="17">
        <v>0</v>
      </c>
      <c r="J43" s="17">
        <v>0</v>
      </c>
    </row>
    <row r="44" spans="1:10" ht="15">
      <c r="A44" s="6" t="s">
        <v>53</v>
      </c>
      <c r="B44" s="7" t="s">
        <v>54</v>
      </c>
      <c r="C44" s="8">
        <v>1960</v>
      </c>
      <c r="D44" s="8">
        <v>12</v>
      </c>
      <c r="E44" s="10">
        <f t="shared" si="3"/>
        <v>23520</v>
      </c>
      <c r="F44" s="14">
        <v>2</v>
      </c>
      <c r="G44" s="18">
        <f t="shared" si="4"/>
        <v>47040</v>
      </c>
      <c r="H44" s="26">
        <v>47040</v>
      </c>
      <c r="I44" s="17">
        <v>0</v>
      </c>
      <c r="J44" s="17">
        <v>0</v>
      </c>
    </row>
    <row r="45" spans="1:10" ht="15">
      <c r="A45" s="6" t="s">
        <v>53</v>
      </c>
      <c r="B45" s="7" t="s">
        <v>69</v>
      </c>
      <c r="C45" s="8">
        <v>1870</v>
      </c>
      <c r="D45" s="48">
        <v>6353.57</v>
      </c>
      <c r="E45" s="10">
        <f>PRODUCT(C45*D45)</f>
        <v>11881175.9</v>
      </c>
      <c r="F45" s="12">
        <v>1.7000000000000001E-2</v>
      </c>
      <c r="G45" s="10">
        <f t="shared" si="4"/>
        <v>201979.99030000003</v>
      </c>
      <c r="H45" s="27">
        <v>201980</v>
      </c>
      <c r="I45" s="17">
        <v>0</v>
      </c>
      <c r="J45" s="17">
        <v>0</v>
      </c>
    </row>
    <row r="46" spans="1:10" ht="15">
      <c r="A46" s="13" t="s">
        <v>29</v>
      </c>
      <c r="B46" s="7" t="s">
        <v>55</v>
      </c>
      <c r="C46" s="8">
        <v>1870</v>
      </c>
      <c r="D46" s="48">
        <v>1088.67</v>
      </c>
      <c r="E46" s="10">
        <f>PRODUCT(C46*D46)</f>
        <v>2035812.9000000001</v>
      </c>
      <c r="F46" s="12">
        <v>1.7000000000000001E-2</v>
      </c>
      <c r="G46" s="10">
        <f t="shared" si="4"/>
        <v>34608.819300000003</v>
      </c>
      <c r="H46" s="27">
        <v>34609</v>
      </c>
      <c r="I46" s="17">
        <v>0</v>
      </c>
      <c r="J46" s="17">
        <v>0</v>
      </c>
    </row>
    <row r="47" spans="1:10" ht="15.75" thickBot="1">
      <c r="A47" s="6" t="s">
        <v>53</v>
      </c>
      <c r="B47" s="7" t="s">
        <v>56</v>
      </c>
      <c r="C47" s="8">
        <v>1960</v>
      </c>
      <c r="D47" s="8">
        <v>1</v>
      </c>
      <c r="E47" s="10">
        <f>PRODUCT(C47*D47)</f>
        <v>1960</v>
      </c>
      <c r="F47" s="14">
        <v>0.25</v>
      </c>
      <c r="G47" s="10">
        <f>E47*F47</f>
        <v>490</v>
      </c>
      <c r="H47" s="27">
        <v>490</v>
      </c>
      <c r="I47" s="17">
        <v>0</v>
      </c>
      <c r="J47" s="17">
        <v>0</v>
      </c>
    </row>
    <row r="48" spans="1:10" ht="16.5" thickTop="1" thickBot="1">
      <c r="A48" s="257" t="s">
        <v>103</v>
      </c>
      <c r="B48" s="258"/>
      <c r="C48" s="56">
        <v>1960</v>
      </c>
      <c r="D48" s="56">
        <f t="shared" ref="D48:J48" si="5">SUM(D35:D47)</f>
        <v>8844.4399999999987</v>
      </c>
      <c r="E48" s="57">
        <f t="shared" si="5"/>
        <v>13994087.780000001</v>
      </c>
      <c r="F48" s="58">
        <f t="shared" si="5"/>
        <v>65.299999999999983</v>
      </c>
      <c r="G48" s="57">
        <f t="shared" si="5"/>
        <v>323268.17960000003</v>
      </c>
      <c r="H48" s="59">
        <f t="shared" si="5"/>
        <v>322949</v>
      </c>
      <c r="I48" s="60">
        <f t="shared" si="5"/>
        <v>320</v>
      </c>
      <c r="J48" s="60">
        <f t="shared" si="5"/>
        <v>0</v>
      </c>
    </row>
    <row r="49" spans="1:11" ht="15.75" thickBot="1">
      <c r="A49" s="259" t="s">
        <v>77</v>
      </c>
      <c r="B49" s="260"/>
      <c r="C49" s="16">
        <v>1960</v>
      </c>
      <c r="D49" s="16">
        <f t="shared" ref="D49:J49" si="6">D33+D48</f>
        <v>18252.059499999999</v>
      </c>
      <c r="E49" s="50">
        <f t="shared" si="6"/>
        <v>28253660.335000001</v>
      </c>
      <c r="F49" s="51">
        <f t="shared" si="6"/>
        <v>611.21879999999987</v>
      </c>
      <c r="G49" s="50">
        <f t="shared" si="6"/>
        <v>3110114.9716000003</v>
      </c>
      <c r="H49" s="49">
        <f t="shared" si="6"/>
        <v>3034232.36</v>
      </c>
      <c r="I49" s="22">
        <f t="shared" si="6"/>
        <v>320</v>
      </c>
      <c r="J49" s="22">
        <f t="shared" si="6"/>
        <v>0</v>
      </c>
      <c r="K49" s="34"/>
    </row>
    <row r="50" spans="1:11" ht="18.75" thickBot="1">
      <c r="A50" s="261" t="s">
        <v>92</v>
      </c>
      <c r="B50" s="262"/>
      <c r="C50" s="263"/>
      <c r="D50" s="263"/>
      <c r="E50" s="262"/>
      <c r="F50" s="262"/>
      <c r="G50" s="262"/>
      <c r="H50" s="262"/>
      <c r="I50" s="262"/>
      <c r="J50" s="264"/>
    </row>
    <row r="51" spans="1:11" ht="15.75" thickTop="1">
      <c r="A51" s="6" t="s">
        <v>27</v>
      </c>
      <c r="B51" s="7" t="s">
        <v>28</v>
      </c>
      <c r="C51" s="40">
        <v>1949149</v>
      </c>
      <c r="D51" s="45">
        <v>2</v>
      </c>
      <c r="E51" s="41">
        <f>C51*D51</f>
        <v>3898298</v>
      </c>
      <c r="F51" s="47">
        <v>0.05</v>
      </c>
      <c r="G51" s="42">
        <f>E51*F51</f>
        <v>194914.90000000002</v>
      </c>
      <c r="H51" s="43">
        <v>194915</v>
      </c>
      <c r="I51" s="39">
        <v>0</v>
      </c>
      <c r="J51" s="39">
        <v>0</v>
      </c>
      <c r="K51" s="34"/>
    </row>
    <row r="52" spans="1:11" ht="15">
      <c r="A52" s="13" t="s">
        <v>29</v>
      </c>
      <c r="B52" s="7" t="s">
        <v>30</v>
      </c>
      <c r="C52" s="23">
        <v>1949149</v>
      </c>
      <c r="D52" s="46">
        <v>1</v>
      </c>
      <c r="E52" s="23">
        <v>1949149</v>
      </c>
      <c r="F52" s="48">
        <v>0.05</v>
      </c>
      <c r="G52" s="18">
        <f>D52*E52*F52</f>
        <v>97457.450000000012</v>
      </c>
      <c r="H52" s="44">
        <v>97457</v>
      </c>
      <c r="I52" s="24">
        <v>0</v>
      </c>
      <c r="J52" s="17">
        <v>0</v>
      </c>
    </row>
    <row r="53" spans="1:11" ht="15">
      <c r="A53" s="6" t="s">
        <v>175</v>
      </c>
      <c r="B53" s="7" t="s">
        <v>176</v>
      </c>
      <c r="C53" s="23">
        <v>19491</v>
      </c>
      <c r="D53" s="46">
        <v>1</v>
      </c>
      <c r="E53" s="23">
        <v>20358</v>
      </c>
      <c r="F53" s="48">
        <v>0.03</v>
      </c>
      <c r="G53" s="18">
        <f>F53*E53</f>
        <v>610.74</v>
      </c>
      <c r="H53" s="44">
        <v>611</v>
      </c>
      <c r="I53" s="24"/>
      <c r="J53" s="17"/>
    </row>
    <row r="54" spans="1:11" ht="15.75" thickBot="1">
      <c r="A54" s="6" t="s">
        <v>177</v>
      </c>
      <c r="B54" s="7" t="s">
        <v>124</v>
      </c>
      <c r="C54" s="23">
        <v>145985</v>
      </c>
      <c r="D54" s="188">
        <v>2</v>
      </c>
      <c r="E54" s="23">
        <f>D54*C54</f>
        <v>291970</v>
      </c>
      <c r="F54" s="48">
        <v>0.05</v>
      </c>
      <c r="G54" s="18">
        <f>F54*E54</f>
        <v>14598.5</v>
      </c>
      <c r="H54" s="44"/>
      <c r="I54" s="52">
        <v>14599</v>
      </c>
      <c r="J54" s="17">
        <v>0</v>
      </c>
      <c r="K54" s="53"/>
    </row>
    <row r="55" spans="1:11" ht="16.5" thickTop="1" thickBot="1">
      <c r="A55" s="76" t="s">
        <v>67</v>
      </c>
      <c r="B55" s="77" t="s">
        <v>68</v>
      </c>
      <c r="C55" s="78">
        <v>1949149</v>
      </c>
      <c r="D55" s="79">
        <f t="shared" ref="D55:J55" si="7">SUM(D51:D54)</f>
        <v>6</v>
      </c>
      <c r="E55" s="80">
        <f t="shared" si="7"/>
        <v>6159775</v>
      </c>
      <c r="F55" s="81">
        <f t="shared" si="7"/>
        <v>0.18</v>
      </c>
      <c r="G55" s="82">
        <f t="shared" si="7"/>
        <v>307581.59000000003</v>
      </c>
      <c r="H55" s="83">
        <f t="shared" si="7"/>
        <v>292983</v>
      </c>
      <c r="I55" s="84">
        <f t="shared" si="7"/>
        <v>14599</v>
      </c>
      <c r="J55" s="85">
        <f t="shared" si="7"/>
        <v>0</v>
      </c>
    </row>
    <row r="56" spans="1:11" ht="18.75" thickBot="1">
      <c r="A56" s="265" t="s">
        <v>89</v>
      </c>
      <c r="B56" s="266"/>
      <c r="C56" s="267"/>
      <c r="D56" s="267"/>
      <c r="E56" s="267"/>
      <c r="F56" s="267"/>
      <c r="G56" s="267"/>
      <c r="H56" s="267"/>
      <c r="I56" s="267"/>
      <c r="J56" s="268"/>
    </row>
    <row r="57" spans="1:11" ht="15">
      <c r="A57" s="6" t="s">
        <v>87</v>
      </c>
      <c r="B57" s="7" t="s">
        <v>72</v>
      </c>
      <c r="C57" s="8">
        <v>5640</v>
      </c>
      <c r="D57" s="8">
        <v>1</v>
      </c>
      <c r="E57" s="10">
        <f>C57*D57</f>
        <v>5640</v>
      </c>
      <c r="F57" s="14">
        <v>2</v>
      </c>
      <c r="G57" s="18">
        <f>E57*F57</f>
        <v>11280</v>
      </c>
      <c r="H57" s="26">
        <v>5640</v>
      </c>
      <c r="I57" s="17">
        <v>0</v>
      </c>
      <c r="J57" s="17">
        <v>0</v>
      </c>
    </row>
    <row r="58" spans="1:11" ht="15">
      <c r="A58" s="6" t="s">
        <v>88</v>
      </c>
      <c r="B58" s="7" t="s">
        <v>73</v>
      </c>
      <c r="C58" s="8">
        <v>39167</v>
      </c>
      <c r="D58" s="8">
        <v>2</v>
      </c>
      <c r="E58" s="10">
        <f>(C58*D58)</f>
        <v>78334</v>
      </c>
      <c r="F58" s="14">
        <v>2</v>
      </c>
      <c r="G58" s="18">
        <f>(E58*F58)-1</f>
        <v>156667</v>
      </c>
      <c r="H58" s="26">
        <v>94000</v>
      </c>
      <c r="I58" s="17">
        <v>0</v>
      </c>
      <c r="J58" s="17">
        <v>0</v>
      </c>
    </row>
    <row r="59" spans="1:11" ht="15">
      <c r="A59" s="6" t="s">
        <v>35</v>
      </c>
      <c r="B59" s="7" t="s">
        <v>91</v>
      </c>
      <c r="C59" s="8">
        <v>23500</v>
      </c>
      <c r="D59" s="8">
        <v>1</v>
      </c>
      <c r="E59" s="10">
        <f>PRODUCT(C59*D59)</f>
        <v>23500</v>
      </c>
      <c r="F59" s="14">
        <v>1</v>
      </c>
      <c r="G59" s="18">
        <f>E59*F59</f>
        <v>23500</v>
      </c>
      <c r="H59" s="26">
        <v>23500</v>
      </c>
      <c r="I59" s="17">
        <v>0</v>
      </c>
      <c r="J59" s="17">
        <v>0</v>
      </c>
    </row>
    <row r="60" spans="1:11" ht="15.75" thickBot="1">
      <c r="A60" s="54" t="s">
        <v>93</v>
      </c>
      <c r="B60" s="7" t="s">
        <v>94</v>
      </c>
      <c r="C60" s="8">
        <v>850</v>
      </c>
      <c r="D60" s="8">
        <v>1</v>
      </c>
      <c r="E60" s="10">
        <v>850</v>
      </c>
      <c r="F60" s="14">
        <v>1</v>
      </c>
      <c r="G60" s="18">
        <v>850</v>
      </c>
      <c r="H60" s="26">
        <v>850</v>
      </c>
      <c r="I60" s="17">
        <v>0</v>
      </c>
      <c r="J60" s="36">
        <v>0</v>
      </c>
    </row>
    <row r="61" spans="1:11" ht="15.75" thickBot="1">
      <c r="A61" s="76" t="s">
        <v>67</v>
      </c>
      <c r="B61" s="86" t="s">
        <v>68</v>
      </c>
      <c r="C61" s="70">
        <v>39167</v>
      </c>
      <c r="D61" s="70">
        <f t="shared" ref="D61:J61" si="8">SUM(D57:D60)</f>
        <v>5</v>
      </c>
      <c r="E61" s="70">
        <f t="shared" si="8"/>
        <v>108324</v>
      </c>
      <c r="F61" s="71">
        <f t="shared" si="8"/>
        <v>6</v>
      </c>
      <c r="G61" s="72">
        <f t="shared" si="8"/>
        <v>192297</v>
      </c>
      <c r="H61" s="73">
        <f t="shared" si="8"/>
        <v>123990</v>
      </c>
      <c r="I61" s="87">
        <f t="shared" si="8"/>
        <v>0</v>
      </c>
      <c r="J61" s="88">
        <f t="shared" si="8"/>
        <v>0</v>
      </c>
    </row>
    <row r="62" spans="1:11" ht="15.75" thickBot="1">
      <c r="A62" s="259" t="s">
        <v>78</v>
      </c>
      <c r="B62" s="292"/>
      <c r="C62" s="15">
        <f>C49+C55+C61</f>
        <v>1990276</v>
      </c>
      <c r="D62" s="19">
        <f>D49+D55+D61</f>
        <v>18263.059499999999</v>
      </c>
      <c r="E62" s="16">
        <f>E49+E55+E61</f>
        <v>34521759.335000001</v>
      </c>
      <c r="F62" s="20">
        <f>F49+F55+F61</f>
        <v>617.39879999999982</v>
      </c>
      <c r="G62" s="21">
        <f>G49+G55+G61</f>
        <v>3609993.5616000001</v>
      </c>
      <c r="H62" s="29">
        <f>H49+H55+H61+1</f>
        <v>3451206.36</v>
      </c>
      <c r="I62" s="22">
        <f>I49+I55+I61</f>
        <v>14919</v>
      </c>
      <c r="J62" s="22"/>
    </row>
    <row r="63" spans="1:11" ht="15">
      <c r="A63" s="61"/>
      <c r="B63" s="61"/>
      <c r="C63" s="62"/>
      <c r="D63" s="63"/>
      <c r="E63" s="62"/>
      <c r="F63" s="64"/>
      <c r="G63" s="65"/>
      <c r="H63" s="66"/>
      <c r="I63" s="67"/>
      <c r="J63" s="67"/>
    </row>
    <row r="64" spans="1:11" ht="15.75" thickBot="1">
      <c r="A64" s="61"/>
      <c r="B64" s="61"/>
      <c r="C64" s="62"/>
      <c r="D64" s="63"/>
      <c r="E64" s="62"/>
      <c r="F64" s="64"/>
      <c r="G64" s="65"/>
      <c r="H64" s="66"/>
      <c r="I64" s="67"/>
      <c r="J64" s="67"/>
    </row>
    <row r="65" spans="1:8" ht="15.75" thickTop="1" thickBot="1">
      <c r="A65" s="293" t="s">
        <v>79</v>
      </c>
      <c r="B65" s="294"/>
      <c r="C65" s="294"/>
      <c r="D65" s="295"/>
      <c r="E65" s="4"/>
      <c r="F65" s="4"/>
      <c r="G65" s="4"/>
      <c r="H65" s="4"/>
    </row>
    <row r="66" spans="1:8" ht="16.5" thickTop="1" thickBot="1">
      <c r="A66" s="298" t="s">
        <v>80</v>
      </c>
      <c r="B66" s="299"/>
      <c r="C66" s="300">
        <f>C62</f>
        <v>1990276</v>
      </c>
      <c r="D66" s="301"/>
      <c r="E66" s="4"/>
      <c r="F66" s="4"/>
      <c r="G66" s="4"/>
      <c r="H66" s="4"/>
    </row>
    <row r="67" spans="1:8" ht="15.75" thickBot="1">
      <c r="A67" s="302" t="s">
        <v>81</v>
      </c>
      <c r="B67" s="303"/>
      <c r="C67" s="304">
        <f>E62/C62</f>
        <v>17.34521208867514</v>
      </c>
      <c r="D67" s="305"/>
      <c r="E67" s="4"/>
      <c r="F67" s="4"/>
      <c r="G67" s="4"/>
      <c r="H67" s="4"/>
    </row>
    <row r="68" spans="1:8" ht="16.5" thickTop="1" thickBot="1">
      <c r="A68" s="285" t="s">
        <v>82</v>
      </c>
      <c r="B68" s="286"/>
      <c r="C68" s="287">
        <f>E62</f>
        <v>34521759.335000001</v>
      </c>
      <c r="D68" s="288"/>
      <c r="E68" s="4"/>
      <c r="F68" s="4"/>
      <c r="G68" s="4"/>
      <c r="H68" s="4"/>
    </row>
    <row r="69" spans="1:8" ht="16.5" thickTop="1" thickBot="1">
      <c r="A69" s="285" t="s">
        <v>83</v>
      </c>
      <c r="B69" s="286"/>
      <c r="C69" s="289">
        <f>G62/E62</f>
        <v>0.10457154070766017</v>
      </c>
      <c r="D69" s="288"/>
      <c r="E69" s="4"/>
      <c r="F69" s="4"/>
      <c r="G69" s="4"/>
      <c r="H69" s="4"/>
    </row>
    <row r="70" spans="1:8" ht="16.5" thickTop="1" thickBot="1">
      <c r="A70" s="290" t="s">
        <v>84</v>
      </c>
      <c r="B70" s="286"/>
      <c r="C70" s="291">
        <f>G62</f>
        <v>3609993.5616000001</v>
      </c>
      <c r="D70" s="288"/>
      <c r="E70" s="4"/>
      <c r="F70" s="4"/>
      <c r="G70" s="4"/>
      <c r="H70" s="4"/>
    </row>
    <row r="71" spans="1:8" ht="16.5" thickTop="1" thickBot="1">
      <c r="A71" s="285" t="s">
        <v>85</v>
      </c>
      <c r="B71" s="286"/>
      <c r="C71" s="287">
        <f>H62</f>
        <v>3451206.36</v>
      </c>
      <c r="D71" s="288"/>
      <c r="E71" s="4"/>
      <c r="F71" s="4"/>
      <c r="G71" s="4"/>
      <c r="H71" s="4"/>
    </row>
    <row r="72" spans="1:8" ht="16.5" thickTop="1" thickBot="1">
      <c r="A72" s="296" t="s">
        <v>86</v>
      </c>
      <c r="B72" s="297"/>
      <c r="C72" s="291">
        <f>(I62+J62)</f>
        <v>14919</v>
      </c>
      <c r="D72" s="288"/>
      <c r="E72" s="4"/>
      <c r="F72" s="4"/>
      <c r="G72" s="4"/>
      <c r="H72" s="4"/>
    </row>
    <row r="73" spans="1:8">
      <c r="A73" s="4"/>
      <c r="B73" s="4"/>
      <c r="C73" s="4"/>
      <c r="D73" s="4"/>
      <c r="E73" s="4"/>
      <c r="F73" s="4"/>
      <c r="G73" s="4"/>
      <c r="H73" s="4"/>
    </row>
    <row r="74" spans="1:8">
      <c r="A74" s="4"/>
      <c r="B74" s="4"/>
      <c r="C74" s="4"/>
      <c r="D74" s="4"/>
      <c r="E74" s="4"/>
      <c r="F74" s="4"/>
      <c r="G74" s="4"/>
      <c r="H74" s="4"/>
    </row>
    <row r="75" spans="1:8">
      <c r="A75" s="4"/>
      <c r="B75" s="4"/>
      <c r="C75" s="4"/>
      <c r="D75" s="4"/>
      <c r="E75" s="4"/>
      <c r="F75" s="4"/>
      <c r="G75" s="4"/>
      <c r="H75" s="4"/>
    </row>
    <row r="76" spans="1:8">
      <c r="A76" s="4"/>
      <c r="B76" s="4"/>
      <c r="C76" s="4"/>
      <c r="D76" s="4"/>
      <c r="E76" s="4"/>
      <c r="F76" s="4"/>
      <c r="G76" s="4"/>
      <c r="H76" s="4"/>
    </row>
    <row r="78" spans="1:8">
      <c r="A78" s="4"/>
      <c r="B78" s="4"/>
      <c r="C78" s="4"/>
      <c r="D78" s="4"/>
    </row>
    <row r="83" spans="1:10">
      <c r="A83" s="283"/>
      <c r="B83" s="284"/>
      <c r="C83" s="284"/>
      <c r="D83" s="284"/>
      <c r="E83" s="284"/>
      <c r="F83" s="284"/>
      <c r="G83" s="284"/>
      <c r="H83" s="284"/>
      <c r="I83" s="284"/>
      <c r="J83" s="284"/>
    </row>
  </sheetData>
  <mergeCells count="26">
    <mergeCell ref="A62:B62"/>
    <mergeCell ref="A65:D65"/>
    <mergeCell ref="A71:B71"/>
    <mergeCell ref="C71:D71"/>
    <mergeCell ref="A72:B72"/>
    <mergeCell ref="C72:D72"/>
    <mergeCell ref="A66:B66"/>
    <mergeCell ref="C66:D66"/>
    <mergeCell ref="A67:B67"/>
    <mergeCell ref="C67:D67"/>
    <mergeCell ref="A83:J83"/>
    <mergeCell ref="A68:B68"/>
    <mergeCell ref="C68:D68"/>
    <mergeCell ref="A69:B69"/>
    <mergeCell ref="C69:D69"/>
    <mergeCell ref="A70:B70"/>
    <mergeCell ref="C70:D70"/>
    <mergeCell ref="A48:B48"/>
    <mergeCell ref="A49:B49"/>
    <mergeCell ref="A50:J50"/>
    <mergeCell ref="A56:J56"/>
    <mergeCell ref="A1:J1"/>
    <mergeCell ref="A2:J2"/>
    <mergeCell ref="A7:J7"/>
    <mergeCell ref="A33:B33"/>
    <mergeCell ref="A34:J34"/>
  </mergeCells>
  <printOptions horizontalCentered="1" gridLines="1"/>
  <pageMargins left="0.25" right="0.25" top="0.25" bottom="0" header="0.17" footer="0.21"/>
  <pageSetup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2012</vt:lpstr>
      <vt:lpstr>2009</vt:lpstr>
      <vt:lpstr>'2009'!Print_Area</vt:lpstr>
    </vt:vector>
  </TitlesOfParts>
  <Company>USDA FSC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CARROLL</dc:creator>
  <cp:lastModifiedBy>lywilliams</cp:lastModifiedBy>
  <cp:lastPrinted>2012-10-31T21:39:35Z</cp:lastPrinted>
  <dcterms:created xsi:type="dcterms:W3CDTF">1999-05-24T18:00:59Z</dcterms:created>
  <dcterms:modified xsi:type="dcterms:W3CDTF">2012-11-26T21:05:53Z</dcterms:modified>
</cp:coreProperties>
</file>