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0" yWindow="225" windowWidth="11355" windowHeight="5265"/>
  </bookViews>
  <sheets>
    <sheet name="Table 2" sheetId="1" r:id="rId1"/>
    <sheet name="Table 3" sheetId="2" r:id="rId2"/>
    <sheet name="Table 4" sheetId="4" r:id="rId3"/>
    <sheet name="Table 5" sheetId="3" r:id="rId4"/>
    <sheet name="Agency Burden" sheetId="9" r:id="rId5"/>
    <sheet name="Respondent Tally" sheetId="10" r:id="rId6"/>
  </sheets>
  <calcPr calcId="125725"/>
</workbook>
</file>

<file path=xl/calcChain.xml><?xml version="1.0" encoding="utf-8"?>
<calcChain xmlns="http://schemas.openxmlformats.org/spreadsheetml/2006/main">
  <c r="F13" i="1"/>
  <c r="F13" i="2"/>
  <c r="F12"/>
  <c r="F11"/>
  <c r="F10"/>
  <c r="F9"/>
  <c r="F8"/>
  <c r="F7"/>
  <c r="F18" i="4"/>
  <c r="M18"/>
  <c r="M22"/>
  <c r="D7" i="10"/>
  <c r="F17" i="4"/>
  <c r="F16"/>
  <c r="F15"/>
  <c r="F14"/>
  <c r="F13"/>
  <c r="F12"/>
  <c r="F20"/>
  <c r="F11"/>
  <c r="F10"/>
  <c r="F9"/>
  <c r="F8"/>
  <c r="F7"/>
  <c r="B15" i="2"/>
  <c r="M14" i="1"/>
  <c r="L14"/>
  <c r="I22" i="4"/>
  <c r="N17"/>
  <c r="N16"/>
  <c r="N15"/>
  <c r="N14"/>
  <c r="N11"/>
  <c r="N10"/>
  <c r="N9"/>
  <c r="N8"/>
  <c r="N7"/>
  <c r="M17"/>
  <c r="M16"/>
  <c r="M15"/>
  <c r="M14"/>
  <c r="M13"/>
  <c r="M12"/>
  <c r="M11"/>
  <c r="M10"/>
  <c r="M9"/>
  <c r="M8"/>
  <c r="M7"/>
  <c r="M13" i="3"/>
  <c r="M19"/>
  <c r="L12" i="2"/>
  <c r="M16" i="1"/>
  <c r="I21" i="4"/>
  <c r="I20"/>
  <c r="D20"/>
  <c r="G8" i="10"/>
  <c r="G5"/>
  <c r="E8"/>
  <c r="H8" s="1"/>
  <c r="D8"/>
  <c r="F9"/>
  <c r="C9"/>
  <c r="D11" i="9"/>
  <c r="D10"/>
  <c r="D9"/>
  <c r="D8"/>
  <c r="D7"/>
  <c r="D6"/>
  <c r="D5"/>
  <c r="F6"/>
  <c r="H6"/>
  <c r="I19"/>
  <c r="E13"/>
  <c r="F11"/>
  <c r="H11"/>
  <c r="F10"/>
  <c r="I10"/>
  <c r="F9"/>
  <c r="H9"/>
  <c r="F8"/>
  <c r="F7"/>
  <c r="H7"/>
  <c r="F5"/>
  <c r="I8"/>
  <c r="I5"/>
  <c r="H5"/>
  <c r="H10"/>
  <c r="I6"/>
  <c r="H8"/>
  <c r="H13"/>
  <c r="I7"/>
  <c r="I9"/>
  <c r="I11"/>
  <c r="I13"/>
  <c r="I21"/>
  <c r="G7" i="10"/>
  <c r="B21" i="4"/>
  <c r="I11" i="3"/>
  <c r="M11"/>
  <c r="L11"/>
  <c r="F11"/>
  <c r="G11"/>
  <c r="I10" i="1"/>
  <c r="B20" i="4"/>
  <c r="I20" i="1"/>
  <c r="I19"/>
  <c r="H19"/>
  <c r="I18"/>
  <c r="H18"/>
  <c r="E19"/>
  <c r="D19"/>
  <c r="C19"/>
  <c r="B19"/>
  <c r="E18"/>
  <c r="D18"/>
  <c r="C18"/>
  <c r="B18"/>
  <c r="G6" i="3"/>
  <c r="G15"/>
  <c r="G14"/>
  <c r="M14"/>
  <c r="G13"/>
  <c r="G12"/>
  <c r="G10"/>
  <c r="G9"/>
  <c r="M9"/>
  <c r="G8"/>
  <c r="G7"/>
  <c r="G7" i="4"/>
  <c r="G18"/>
  <c r="N18"/>
  <c r="G17"/>
  <c r="G16"/>
  <c r="G15"/>
  <c r="G14"/>
  <c r="G13"/>
  <c r="G12"/>
  <c r="N12"/>
  <c r="G11"/>
  <c r="G10"/>
  <c r="G9"/>
  <c r="G8"/>
  <c r="D15" i="2"/>
  <c r="G13"/>
  <c r="G12"/>
  <c r="G11"/>
  <c r="L11"/>
  <c r="G10"/>
  <c r="G9"/>
  <c r="L9"/>
  <c r="G8"/>
  <c r="G7"/>
  <c r="L7"/>
  <c r="L16"/>
  <c r="G16" i="1"/>
  <c r="G15"/>
  <c r="G14"/>
  <c r="G13"/>
  <c r="M13"/>
  <c r="G12"/>
  <c r="M12"/>
  <c r="G11"/>
  <c r="G10"/>
  <c r="M10"/>
  <c r="G9"/>
  <c r="M9"/>
  <c r="G8"/>
  <c r="M8"/>
  <c r="G7"/>
  <c r="G20"/>
  <c r="E5" i="10"/>
  <c r="H5"/>
  <c r="M15" i="3"/>
  <c r="M10"/>
  <c r="M6"/>
  <c r="L13" i="2"/>
  <c r="K7"/>
  <c r="K9"/>
  <c r="K11"/>
  <c r="K13"/>
  <c r="M15" i="1"/>
  <c r="M11"/>
  <c r="F7"/>
  <c r="L7"/>
  <c r="F8"/>
  <c r="L8"/>
  <c r="F9"/>
  <c r="L9"/>
  <c r="F10"/>
  <c r="L10"/>
  <c r="F11"/>
  <c r="F12"/>
  <c r="L12"/>
  <c r="F14"/>
  <c r="F15"/>
  <c r="F16"/>
  <c r="E21" i="4"/>
  <c r="E20"/>
  <c r="C20"/>
  <c r="D21"/>
  <c r="C21"/>
  <c r="B17" i="3"/>
  <c r="C17"/>
  <c r="D17"/>
  <c r="E17"/>
  <c r="M12"/>
  <c r="M7"/>
  <c r="M8"/>
  <c r="F6"/>
  <c r="L6"/>
  <c r="F7"/>
  <c r="L7"/>
  <c r="F8"/>
  <c r="L8"/>
  <c r="F9"/>
  <c r="L9"/>
  <c r="F10"/>
  <c r="L10"/>
  <c r="F12"/>
  <c r="L12"/>
  <c r="F13"/>
  <c r="L13"/>
  <c r="F14"/>
  <c r="L14"/>
  <c r="F15"/>
  <c r="L15"/>
  <c r="I19"/>
  <c r="I18"/>
  <c r="B18"/>
  <c r="C18"/>
  <c r="D18"/>
  <c r="E18"/>
  <c r="I17"/>
  <c r="H17"/>
  <c r="F17"/>
  <c r="L8" i="2"/>
  <c r="L10"/>
  <c r="K8"/>
  <c r="K10"/>
  <c r="K12"/>
  <c r="I16"/>
  <c r="G6" i="10"/>
  <c r="G9" s="1"/>
  <c r="H15" i="2"/>
  <c r="C15"/>
  <c r="E15"/>
  <c r="M7" i="1"/>
  <c r="M20"/>
  <c r="L11"/>
  <c r="L13"/>
  <c r="L15"/>
  <c r="F18" i="3"/>
  <c r="G19"/>
  <c r="G18"/>
  <c r="G17"/>
  <c r="F15" i="2"/>
  <c r="G16"/>
  <c r="E6" i="10"/>
  <c r="H6"/>
  <c r="G15" i="2"/>
  <c r="K16"/>
  <c r="D6" i="10"/>
  <c r="F19" i="1"/>
  <c r="L16"/>
  <c r="F18"/>
  <c r="G19"/>
  <c r="G18"/>
  <c r="L19" i="3"/>
  <c r="G20" i="4"/>
  <c r="F21"/>
  <c r="G21"/>
  <c r="G22"/>
  <c r="E7" i="10"/>
  <c r="E9" s="1"/>
  <c r="N13" i="4"/>
  <c r="N22"/>
  <c r="L20" i="1"/>
  <c r="D5" i="10"/>
  <c r="D9"/>
  <c r="D11" s="1"/>
  <c r="H7"/>
  <c r="H9" l="1"/>
</calcChain>
</file>

<file path=xl/sharedStrings.xml><?xml version="1.0" encoding="utf-8"?>
<sst xmlns="http://schemas.openxmlformats.org/spreadsheetml/2006/main" count="245" uniqueCount="124">
  <si>
    <t>Hours and cost per application</t>
  </si>
  <si>
    <t>Total hours and cost</t>
  </si>
  <si>
    <t>Information Collection              Activity</t>
  </si>
  <si>
    <t>Labor Cost/yr</t>
  </si>
  <si>
    <t>Capital Startup Cost</t>
  </si>
  <si>
    <t>O &amp; M Cost (1)</t>
  </si>
  <si>
    <t>Total hr/yr</t>
  </si>
  <si>
    <t>Total               Cost/yr</t>
  </si>
  <si>
    <t>Review of regulations and guidance</t>
  </si>
  <si>
    <t>Developing engine families</t>
  </si>
  <si>
    <t>Developing deterioration factors</t>
  </si>
  <si>
    <t>Data Entry</t>
  </si>
  <si>
    <t>Preparing and submitting certification application</t>
  </si>
  <si>
    <t>Preparing and submitting "carry over" applications</t>
  </si>
  <si>
    <t>Store, file and maintain records</t>
  </si>
  <si>
    <t>Total per manufacturer</t>
  </si>
  <si>
    <t>varies</t>
  </si>
  <si>
    <t>N/A</t>
  </si>
  <si>
    <t>Total per remanufacturer</t>
  </si>
  <si>
    <t>Total for the industry</t>
  </si>
  <si>
    <t>(2) See section 6(d) for details.</t>
  </si>
  <si>
    <t>Other precertification activities</t>
  </si>
  <si>
    <t>Submit AB&amp;T info with cert application</t>
  </si>
  <si>
    <t>Gather information about credit sources/recipients</t>
  </si>
  <si>
    <t>Develop and submit end-of-the-year report</t>
  </si>
  <si>
    <t>Total per respondent</t>
  </si>
  <si>
    <t>Labor            Cost/yr</t>
  </si>
  <si>
    <t>Capital Startup      Cost</t>
  </si>
  <si>
    <t>O &amp; M      Cost(1)</t>
  </si>
  <si>
    <t>Review of instructions and regulations</t>
  </si>
  <si>
    <t>Training</t>
  </si>
  <si>
    <t>Procure locomotives</t>
  </si>
  <si>
    <t>Data entry and analysis (manufacturers)</t>
  </si>
  <si>
    <t>Data entry and analysis (remanufacturers)</t>
  </si>
  <si>
    <t xml:space="preserve">Preparing and submitting  report </t>
  </si>
  <si>
    <t>(3) Lab maintenance costs are not included here because they were accounted for in the certification burden table (Table 1).</t>
  </si>
  <si>
    <t>Total Cost/yr</t>
  </si>
  <si>
    <t>Projecting testing needs and planning test schedules</t>
  </si>
  <si>
    <t>Engine selection</t>
  </si>
  <si>
    <t>Engine inspection (manufacturers)</t>
  </si>
  <si>
    <t>Engine inspection and installation audit (remanufacturers)</t>
  </si>
  <si>
    <t>Testing (manufacturers only)</t>
  </si>
  <si>
    <t>Preparing and submitting  report (manufacturers)</t>
  </si>
  <si>
    <t>Preparing and submitting  report (remanufacturers)</t>
  </si>
  <si>
    <t xml:space="preserve"> Remanufacturers only need to audit the installation of one remanufactured locomotive engine or 5% of their production, whichever is less.</t>
  </si>
  <si>
    <t xml:space="preserve">Total  Cost/yr       </t>
  </si>
  <si>
    <t>Applications/Respondent (2)</t>
  </si>
  <si>
    <t>Number of Respondents</t>
  </si>
  <si>
    <t>Respondent hr/yr</t>
  </si>
  <si>
    <t xml:space="preserve"> </t>
  </si>
  <si>
    <t>O&amp;M Cost (1)</t>
  </si>
  <si>
    <t>Number of Respondents (2)</t>
  </si>
  <si>
    <t>(1) Includes diskettes, photocopying, postage expenses, phone calls to procure locomotives, testing and the expense of stopping a locomotive for testing, annualized.   See section 6(b)(iii) for details.</t>
  </si>
  <si>
    <t>In-use tests/ Respondent (2)</t>
  </si>
  <si>
    <t>Table 2 - Annual Respondent Burden and Cost - Certification Application</t>
  </si>
  <si>
    <t>Table 4 - Annual Respondent Burden and Cost - Locomotive Production Line Testing Program</t>
  </si>
  <si>
    <t>Table 5 - Annual Respondent Burden and Cost - In-useTesting Program</t>
  </si>
  <si>
    <t>Testing (contracting out)</t>
  </si>
  <si>
    <t>Testing (in-house)  (3)</t>
  </si>
  <si>
    <t xml:space="preserve">(2) Manufacturers must test one engine family per year.  For new engine families, a minimum of two locomotives must be tested (but only one per carry-over family).  </t>
  </si>
  <si>
    <t>Rate/hour</t>
  </si>
  <si>
    <t>Engineer</t>
  </si>
  <si>
    <t>Manager</t>
  </si>
  <si>
    <t>Legal</t>
  </si>
  <si>
    <t xml:space="preserve">Clerical </t>
  </si>
  <si>
    <t>Subtotal</t>
  </si>
  <si>
    <t>Loss of revenue</t>
  </si>
  <si>
    <t>Testing (in-house)</t>
  </si>
  <si>
    <t>Testing (outsourced)</t>
  </si>
  <si>
    <t>Preparing and supporting running changes/corrections</t>
  </si>
  <si>
    <t>(1) Includes phone calls and CDs for data storage.  See section 6(b)(ii) for details.</t>
  </si>
  <si>
    <t>(2) Two respondents are participating in AB&amp;T.</t>
  </si>
  <si>
    <t>Table 3 - Annual Respondent Burden and Cost - Average, Banking and Trading (AB&amp;T) Program</t>
  </si>
  <si>
    <t>Develop and submit preliminary report</t>
  </si>
  <si>
    <t>Engine Families</t>
  </si>
  <si>
    <t xml:space="preserve">      Engine families of less than 10 locomotives need not be tested.  Sixteen of 30 new families have over 10 locomotives.</t>
  </si>
  <si>
    <t>Employee</t>
  </si>
  <si>
    <t>Hours and Labor Cost</t>
  </si>
  <si>
    <t>Level</t>
  </si>
  <si>
    <t>Rate</t>
  </si>
  <si>
    <t>Rate Increase by 1.6</t>
  </si>
  <si>
    <t>Number of Employees</t>
  </si>
  <si>
    <t>Full time hours</t>
  </si>
  <si>
    <t>% of Time</t>
  </si>
  <si>
    <t>Total  hr/yr</t>
  </si>
  <si>
    <t>Total Labor cost/yr</t>
  </si>
  <si>
    <t>GS-13/6</t>
  </si>
  <si>
    <t xml:space="preserve">Attorney </t>
  </si>
  <si>
    <t>GS-13/7</t>
  </si>
  <si>
    <t>Managers</t>
  </si>
  <si>
    <t>GS-15/1</t>
  </si>
  <si>
    <t xml:space="preserve">SES-1 </t>
  </si>
  <si>
    <t>SES - 1</t>
  </si>
  <si>
    <t>IT Support</t>
  </si>
  <si>
    <t>Contract Support</t>
  </si>
  <si>
    <t>O&amp;M Costs</t>
  </si>
  <si>
    <t>Other</t>
  </si>
  <si>
    <t xml:space="preserve">Contract Support - Compliance </t>
  </si>
  <si>
    <t xml:space="preserve">Contract Support -Certification </t>
  </si>
  <si>
    <t>Subtotal:</t>
  </si>
  <si>
    <t xml:space="preserve">TOTAL: </t>
  </si>
  <si>
    <t>GS-9/1</t>
  </si>
  <si>
    <t>Contracts/Compliance</t>
  </si>
  <si>
    <t xml:space="preserve">Table 6 - Annual Agency Burden and Cost </t>
  </si>
  <si>
    <t>Table 7</t>
  </si>
  <si>
    <t>Respondent Burden Tally</t>
  </si>
  <si>
    <t>Program</t>
  </si>
  <si>
    <t>Number of Respond.</t>
  </si>
  <si>
    <t>Number of Activities</t>
  </si>
  <si>
    <t>Total Hours Per Year</t>
  </si>
  <si>
    <t>Total Labor Cost Per Year</t>
  </si>
  <si>
    <t>Total Annual Capital Costs</t>
  </si>
  <si>
    <t>Total Annual O&amp;M Costs</t>
  </si>
  <si>
    <t>Total Costs</t>
  </si>
  <si>
    <t xml:space="preserve">Certification </t>
  </si>
  <si>
    <t>AB&amp;T</t>
  </si>
  <si>
    <t>PLT</t>
  </si>
  <si>
    <t>In-use</t>
  </si>
  <si>
    <t>Totals:</t>
  </si>
  <si>
    <t>Hours per respondent:</t>
  </si>
  <si>
    <t>Frequency per family</t>
  </si>
  <si>
    <t xml:space="preserve">(1) The required sample size is the lesser of one test per engine family or five tests per model year; with a minimum of one test per model year per family.  </t>
  </si>
  <si>
    <t>(3) There are 16 companies affected by this collection:  8 engage in engine manufacturing and 12 in rebuilding (4 companies do both).</t>
  </si>
  <si>
    <t>(1) Includes photocopying, postage expenses, lab maintenance and testing.  See section 6(b)(ii) for details.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</si>
</sst>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164" formatCode="#,##0.0"/>
    <numFmt numFmtId="165" formatCode="0.0"/>
    <numFmt numFmtId="166" formatCode="&quot;$&quot;#,##0"/>
    <numFmt numFmtId="167" formatCode="&quot;$&quot;#,##0.00"/>
    <numFmt numFmtId="180" formatCode="_(* #,##0_);_(* \(#,##0\);_(* &quot;-&quot;??_);_(@_)"/>
    <numFmt numFmtId="181" formatCode="_(&quot;$&quot;* #,##0_);_(&quot;$&quot;* \(#,##0\);_(&quot;$&quot;* &quot;-&quot;??_);_(@_)"/>
  </numFmts>
  <fonts count="11">
    <font>
      <sz val="10"/>
      <name val="Arial"/>
    </font>
    <font>
      <b/>
      <sz val="18"/>
      <name val="Arial"/>
    </font>
    <font>
      <b/>
      <sz val="12"/>
      <name val="Arial"/>
    </font>
    <font>
      <sz val="8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Arial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>
      <alignment vertical="top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7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9" fillId="0" borderId="0">
      <alignment vertical="top"/>
    </xf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</cellStyleXfs>
  <cellXfs count="156">
    <xf numFmtId="0" fontId="0" fillId="0" borderId="0" xfId="0" applyAlignment="1"/>
    <xf numFmtId="0" fontId="3" fillId="0" borderId="0" xfId="0" applyFont="1" applyBorder="1" applyAlignment="1"/>
    <xf numFmtId="4" fontId="3" fillId="0" borderId="0" xfId="0" applyNumberFormat="1" applyFont="1" applyBorder="1" applyAlignment="1"/>
    <xf numFmtId="4" fontId="0" fillId="0" borderId="0" xfId="0" applyNumberFormat="1" applyAlignment="1"/>
    <xf numFmtId="164" fontId="3" fillId="0" borderId="0" xfId="0" applyNumberFormat="1" applyFont="1" applyBorder="1" applyAlignment="1"/>
    <xf numFmtId="0" fontId="3" fillId="0" borderId="0" xfId="0" applyFont="1" applyAlignment="1"/>
    <xf numFmtId="0" fontId="6" fillId="0" borderId="2" xfId="0" applyFont="1" applyBorder="1" applyAlignment="1">
      <alignment horizontal="right" wrapText="1"/>
    </xf>
    <xf numFmtId="3" fontId="6" fillId="0" borderId="2" xfId="0" applyNumberFormat="1" applyFont="1" applyBorder="1" applyAlignment="1">
      <alignment horizontal="right" wrapText="1"/>
    </xf>
    <xf numFmtId="0" fontId="5" fillId="2" borderId="2" xfId="0" applyFont="1" applyFill="1" applyBorder="1" applyAlignment="1">
      <alignment horizontal="left" vertical="top" wrapText="1"/>
    </xf>
    <xf numFmtId="167" fontId="6" fillId="0" borderId="2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left" vertical="top" wrapText="1"/>
    </xf>
    <xf numFmtId="4" fontId="3" fillId="0" borderId="0" xfId="0" applyNumberFormat="1" applyFont="1" applyBorder="1" applyAlignment="1">
      <alignment horizontal="left" vertical="top" wrapText="1"/>
    </xf>
    <xf numFmtId="164" fontId="3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0" fillId="0" borderId="0" xfId="0" applyNumberFormat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6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3" fontId="4" fillId="0" borderId="2" xfId="0" applyNumberFormat="1" applyFont="1" applyBorder="1" applyAlignment="1">
      <alignment horizontal="right" wrapText="1"/>
    </xf>
    <xf numFmtId="0" fontId="6" fillId="0" borderId="2" xfId="0" applyFont="1" applyFill="1" applyBorder="1" applyAlignment="1">
      <alignment horizontal="left" vertical="top" wrapText="1"/>
    </xf>
    <xf numFmtId="167" fontId="6" fillId="0" borderId="2" xfId="0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vertical="top" wrapText="1"/>
    </xf>
    <xf numFmtId="0" fontId="3" fillId="0" borderId="0" xfId="0" applyFont="1" applyFill="1" applyBorder="1" applyAlignment="1"/>
    <xf numFmtId="0" fontId="0" fillId="0" borderId="0" xfId="0" applyFill="1" applyAlignment="1"/>
    <xf numFmtId="4" fontId="0" fillId="0" borderId="0" xfId="0" applyNumberFormat="1" applyFill="1" applyAlignment="1"/>
    <xf numFmtId="4" fontId="3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0" fontId="6" fillId="0" borderId="3" xfId="0" applyFont="1" applyBorder="1" applyAlignment="1">
      <alignment horizontal="right" wrapText="1"/>
    </xf>
    <xf numFmtId="3" fontId="6" fillId="0" borderId="3" xfId="0" applyNumberFormat="1" applyFont="1" applyBorder="1" applyAlignment="1">
      <alignment horizontal="right" wrapText="1"/>
    </xf>
    <xf numFmtId="167" fontId="6" fillId="0" borderId="3" xfId="0" applyNumberFormat="1" applyFont="1" applyBorder="1" applyAlignment="1">
      <alignment horizontal="right" wrapText="1"/>
    </xf>
    <xf numFmtId="0" fontId="7" fillId="0" borderId="0" xfId="0" applyFont="1" applyFill="1" applyAlignment="1"/>
    <xf numFmtId="0" fontId="5" fillId="2" borderId="4" xfId="0" applyFont="1" applyFill="1" applyBorder="1" applyAlignment="1">
      <alignment vertical="top" wrapText="1"/>
    </xf>
    <xf numFmtId="7" fontId="5" fillId="2" borderId="3" xfId="3" applyFont="1" applyFill="1" applyBorder="1" applyAlignment="1">
      <alignment vertical="top" wrapText="1"/>
    </xf>
    <xf numFmtId="0" fontId="5" fillId="2" borderId="4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0" fillId="0" borderId="0" xfId="0" applyNumberFormat="1" applyFill="1" applyAlignment="1"/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3" fontId="4" fillId="0" borderId="3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wrapText="1"/>
    </xf>
    <xf numFmtId="3" fontId="6" fillId="0" borderId="4" xfId="0" applyNumberFormat="1" applyFont="1" applyBorder="1" applyAlignment="1">
      <alignment horizontal="right" wrapText="1"/>
    </xf>
    <xf numFmtId="167" fontId="6" fillId="0" borderId="4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center" wrapText="1"/>
    </xf>
    <xf numFmtId="167" fontId="6" fillId="0" borderId="0" xfId="0" applyNumberFormat="1" applyFont="1" applyBorder="1" applyAlignment="1">
      <alignment horizontal="right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wrapText="1"/>
    </xf>
    <xf numFmtId="3" fontId="6" fillId="0" borderId="5" xfId="0" applyNumberFormat="1" applyFont="1" applyBorder="1" applyAlignment="1">
      <alignment horizontal="right" wrapText="1"/>
    </xf>
    <xf numFmtId="167" fontId="6" fillId="0" borderId="5" xfId="0" applyNumberFormat="1" applyFont="1" applyBorder="1" applyAlignment="1">
      <alignment horizontal="right" wrapText="1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166" fontId="6" fillId="0" borderId="2" xfId="0" applyNumberFormat="1" applyFont="1" applyBorder="1" applyAlignment="1">
      <alignment horizontal="right" wrapText="1"/>
    </xf>
    <xf numFmtId="166" fontId="4" fillId="0" borderId="2" xfId="0" applyNumberFormat="1" applyFont="1" applyBorder="1" applyAlignment="1">
      <alignment horizontal="right" wrapText="1"/>
    </xf>
    <xf numFmtId="166" fontId="6" fillId="0" borderId="5" xfId="0" applyNumberFormat="1" applyFont="1" applyBorder="1" applyAlignment="1">
      <alignment horizontal="right" wrapText="1"/>
    </xf>
    <xf numFmtId="166" fontId="6" fillId="0" borderId="3" xfId="0" applyNumberFormat="1" applyFont="1" applyBorder="1" applyAlignment="1">
      <alignment horizontal="right" wrapText="1"/>
    </xf>
    <xf numFmtId="166" fontId="4" fillId="0" borderId="3" xfId="0" applyNumberFormat="1" applyFont="1" applyBorder="1" applyAlignment="1">
      <alignment horizontal="right" wrapText="1"/>
    </xf>
    <xf numFmtId="166" fontId="0" fillId="0" borderId="0" xfId="0" applyNumberFormat="1" applyAlignment="1"/>
    <xf numFmtId="166" fontId="0" fillId="0" borderId="0" xfId="0" applyNumberFormat="1" applyFill="1" applyAlignment="1"/>
    <xf numFmtId="3" fontId="4" fillId="0" borderId="2" xfId="1" applyNumberFormat="1" applyFont="1" applyBorder="1" applyAlignment="1">
      <alignment horizontal="right" wrapText="1"/>
    </xf>
    <xf numFmtId="3" fontId="6" fillId="0" borderId="5" xfId="1" applyNumberFormat="1" applyFont="1" applyBorder="1" applyAlignment="1">
      <alignment horizontal="center" wrapText="1"/>
    </xf>
    <xf numFmtId="3" fontId="6" fillId="0" borderId="5" xfId="1" applyNumberFormat="1" applyFont="1" applyBorder="1" applyAlignment="1">
      <alignment horizontal="right" wrapText="1"/>
    </xf>
    <xf numFmtId="3" fontId="4" fillId="0" borderId="3" xfId="1" applyNumberFormat="1" applyFont="1" applyBorder="1" applyAlignment="1">
      <alignment horizontal="right" wrapText="1"/>
    </xf>
    <xf numFmtId="3" fontId="0" fillId="0" borderId="0" xfId="1" applyNumberFormat="1" applyFont="1" applyAlignment="1"/>
    <xf numFmtId="3" fontId="0" fillId="0" borderId="0" xfId="1" applyNumberFormat="1" applyFont="1" applyFill="1" applyAlignment="1"/>
    <xf numFmtId="166" fontId="4" fillId="0" borderId="2" xfId="0" applyNumberFormat="1" applyFont="1" applyFill="1" applyBorder="1" applyAlignment="1">
      <alignment horizontal="right" wrapText="1"/>
    </xf>
    <xf numFmtId="164" fontId="6" fillId="0" borderId="2" xfId="0" applyNumberFormat="1" applyFont="1" applyFill="1" applyBorder="1" applyAlignment="1">
      <alignment horizontal="center" wrapText="1"/>
    </xf>
    <xf numFmtId="165" fontId="6" fillId="0" borderId="2" xfId="0" applyNumberFormat="1" applyFont="1" applyBorder="1" applyAlignment="1">
      <alignment horizontal="center" wrapText="1"/>
    </xf>
    <xf numFmtId="0" fontId="6" fillId="0" borderId="2" xfId="0" applyFont="1" applyFill="1" applyBorder="1" applyAlignment="1">
      <alignment horizontal="right" wrapText="1"/>
    </xf>
    <xf numFmtId="0" fontId="6" fillId="0" borderId="4" xfId="0" applyFont="1" applyFill="1" applyBorder="1" applyAlignment="1">
      <alignment horizontal="right" wrapText="1"/>
    </xf>
    <xf numFmtId="3" fontId="4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 wrapText="1"/>
    </xf>
    <xf numFmtId="0" fontId="10" fillId="2" borderId="2" xfId="9" applyFont="1" applyFill="1" applyBorder="1" applyAlignment="1">
      <alignment horizontal="left" wrapText="1"/>
    </xf>
    <xf numFmtId="0" fontId="10" fillId="2" borderId="2" xfId="9" applyFont="1" applyFill="1" applyBorder="1" applyAlignment="1">
      <alignment horizontal="center" wrapText="1"/>
    </xf>
    <xf numFmtId="0" fontId="7" fillId="0" borderId="2" xfId="9" applyFont="1" applyFill="1" applyBorder="1" applyAlignment="1">
      <alignment wrapText="1"/>
    </xf>
    <xf numFmtId="8" fontId="7" fillId="0" borderId="2" xfId="9" applyNumberFormat="1" applyFont="1" applyBorder="1" applyAlignment="1">
      <alignment wrapText="1"/>
    </xf>
    <xf numFmtId="0" fontId="7" fillId="0" borderId="2" xfId="9" applyFont="1" applyBorder="1" applyAlignment="1">
      <alignment wrapText="1"/>
    </xf>
    <xf numFmtId="166" fontId="7" fillId="0" borderId="2" xfId="9" applyNumberFormat="1" applyFont="1" applyBorder="1" applyAlignment="1">
      <alignment horizontal="right" wrapText="1"/>
    </xf>
    <xf numFmtId="0" fontId="7" fillId="0" borderId="2" xfId="9" applyFont="1" applyFill="1" applyBorder="1" applyAlignment="1">
      <alignment horizontal="left" wrapText="1"/>
    </xf>
    <xf numFmtId="9" fontId="7" fillId="0" borderId="2" xfId="10" applyNumberFormat="1" applyFont="1" applyBorder="1" applyAlignment="1">
      <alignment wrapText="1"/>
    </xf>
    <xf numFmtId="0" fontId="10" fillId="0" borderId="6" xfId="9" applyFont="1" applyFill="1" applyBorder="1" applyAlignment="1">
      <alignment horizontal="center" wrapText="1"/>
    </xf>
    <xf numFmtId="0" fontId="10" fillId="0" borderId="7" xfId="9" applyFont="1" applyFill="1" applyBorder="1" applyAlignment="1">
      <alignment horizontal="center" wrapText="1"/>
    </xf>
    <xf numFmtId="0" fontId="10" fillId="0" borderId="8" xfId="9" applyFont="1" applyFill="1" applyBorder="1" applyAlignment="1">
      <alignment horizontal="center" wrapText="1"/>
    </xf>
    <xf numFmtId="166" fontId="7" fillId="0" borderId="8" xfId="9" applyNumberFormat="1" applyFont="1" applyBorder="1" applyAlignment="1">
      <alignment horizontal="right" wrapText="1"/>
    </xf>
    <xf numFmtId="0" fontId="10" fillId="0" borderId="9" xfId="9" applyFont="1" applyFill="1" applyBorder="1" applyAlignment="1">
      <alignment horizontal="center" wrapText="1"/>
    </xf>
    <xf numFmtId="0" fontId="10" fillId="0" borderId="10" xfId="9" applyFont="1" applyFill="1" applyBorder="1" applyAlignment="1">
      <alignment horizontal="center" wrapText="1"/>
    </xf>
    <xf numFmtId="0" fontId="10" fillId="0" borderId="11" xfId="9" applyFont="1" applyFill="1" applyBorder="1" applyAlignment="1">
      <alignment horizontal="center" wrapText="1"/>
    </xf>
    <xf numFmtId="0" fontId="10" fillId="2" borderId="9" xfId="9" applyFont="1" applyFill="1" applyBorder="1" applyAlignment="1">
      <alignment horizontal="center" wrapText="1"/>
    </xf>
    <xf numFmtId="180" fontId="10" fillId="2" borderId="9" xfId="1" applyNumberFormat="1" applyFont="1" applyFill="1" applyBorder="1" applyAlignment="1">
      <alignment horizontal="center" wrapText="1"/>
    </xf>
    <xf numFmtId="181" fontId="10" fillId="2" borderId="9" xfId="3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181" fontId="10" fillId="2" borderId="2" xfId="3" applyNumberFormat="1" applyFont="1" applyFill="1" applyBorder="1" applyAlignment="1">
      <alignment horizontal="center" wrapText="1"/>
    </xf>
    <xf numFmtId="181" fontId="0" fillId="0" borderId="0" xfId="0" applyNumberFormat="1" applyAlignment="1">
      <alignment wrapText="1"/>
    </xf>
    <xf numFmtId="0" fontId="7" fillId="0" borderId="0" xfId="9" applyFont="1" applyFill="1" applyBorder="1" applyAlignment="1">
      <alignment horizontal="left"/>
    </xf>
    <xf numFmtId="181" fontId="10" fillId="2" borderId="8" xfId="3" applyNumberFormat="1" applyFont="1" applyFill="1" applyBorder="1" applyAlignment="1">
      <alignment horizontal="center" wrapText="1"/>
    </xf>
    <xf numFmtId="8" fontId="7" fillId="0" borderId="2" xfId="9" applyNumberFormat="1" applyFont="1" applyFill="1" applyBorder="1" applyAlignment="1">
      <alignment wrapText="1"/>
    </xf>
    <xf numFmtId="9" fontId="7" fillId="0" borderId="2" xfId="9" applyNumberFormat="1" applyFont="1" applyFill="1" applyBorder="1" applyAlignment="1">
      <alignment wrapText="1"/>
    </xf>
    <xf numFmtId="166" fontId="7" fillId="0" borderId="8" xfId="9" applyNumberFormat="1" applyFont="1" applyFill="1" applyBorder="1" applyAlignment="1">
      <alignment horizontal="right" wrapText="1"/>
    </xf>
    <xf numFmtId="0" fontId="8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6" fillId="0" borderId="0" xfId="0" applyFont="1" applyAlignment="1"/>
    <xf numFmtId="180" fontId="6" fillId="0" borderId="0" xfId="1" applyNumberFormat="1" applyFont="1" applyAlignment="1"/>
    <xf numFmtId="0" fontId="6" fillId="3" borderId="2" xfId="0" applyFont="1" applyFill="1" applyBorder="1" applyAlignment="1"/>
    <xf numFmtId="180" fontId="6" fillId="3" borderId="2" xfId="1" applyNumberFormat="1" applyFont="1" applyFill="1" applyBorder="1" applyAlignment="1"/>
    <xf numFmtId="181" fontId="6" fillId="0" borderId="0" xfId="3" applyNumberFormat="1" applyFont="1" applyAlignment="1"/>
    <xf numFmtId="0" fontId="6" fillId="0" borderId="0" xfId="0" applyFont="1" applyFill="1" applyAlignment="1"/>
    <xf numFmtId="3" fontId="6" fillId="0" borderId="0" xfId="0" applyNumberFormat="1" applyFont="1" applyFill="1" applyAlignment="1"/>
    <xf numFmtId="167" fontId="6" fillId="0" borderId="12" xfId="0" applyNumberFormat="1" applyFont="1" applyBorder="1" applyAlignment="1">
      <alignment horizontal="right" wrapText="1"/>
    </xf>
    <xf numFmtId="7" fontId="6" fillId="0" borderId="3" xfId="3" applyFont="1" applyBorder="1" applyAlignment="1">
      <alignment horizontal="right" wrapText="1"/>
    </xf>
    <xf numFmtId="7" fontId="6" fillId="0" borderId="2" xfId="3" applyFont="1" applyBorder="1" applyAlignment="1">
      <alignment horizontal="right" wrapText="1"/>
    </xf>
    <xf numFmtId="5" fontId="6" fillId="3" borderId="2" xfId="3" applyNumberFormat="1" applyFont="1" applyFill="1" applyBorder="1" applyAlignment="1"/>
    <xf numFmtId="166" fontId="3" fillId="0" borderId="0" xfId="0" applyNumberFormat="1" applyFont="1" applyAlignment="1"/>
    <xf numFmtId="180" fontId="6" fillId="0" borderId="0" xfId="1" applyNumberFormat="1" applyFont="1" applyFill="1" applyAlignment="1"/>
    <xf numFmtId="5" fontId="6" fillId="0" borderId="0" xfId="3" applyNumberFormat="1" applyFont="1" applyFill="1" applyAlignment="1"/>
    <xf numFmtId="3" fontId="3" fillId="0" borderId="0" xfId="0" applyNumberFormat="1" applyFont="1" applyAlignment="1"/>
    <xf numFmtId="180" fontId="0" fillId="0" borderId="0" xfId="0" applyNumberFormat="1" applyAlignment="1"/>
    <xf numFmtId="0" fontId="5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166" fontId="5" fillId="2" borderId="4" xfId="0" applyNumberFormat="1" applyFont="1" applyFill="1" applyBorder="1" applyAlignment="1">
      <alignment horizontal="center" vertical="center" wrapText="1"/>
    </xf>
    <xf numFmtId="166" fontId="5" fillId="2" borderId="13" xfId="0" applyNumberFormat="1" applyFont="1" applyFill="1" applyBorder="1" applyAlignment="1">
      <alignment horizontal="center" vertical="center" wrapText="1"/>
    </xf>
    <xf numFmtId="166" fontId="5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166" fontId="5" fillId="2" borderId="2" xfId="0" applyNumberFormat="1" applyFont="1" applyFill="1" applyBorder="1" applyAlignment="1">
      <alignment horizontal="left" vertical="top" wrapText="1"/>
    </xf>
    <xf numFmtId="0" fontId="5" fillId="2" borderId="2" xfId="9" applyFont="1" applyFill="1" applyBorder="1" applyAlignment="1">
      <alignment horizontal="center" wrapText="1"/>
    </xf>
    <xf numFmtId="0" fontId="10" fillId="2" borderId="4" xfId="9" applyFont="1" applyFill="1" applyBorder="1" applyAlignment="1">
      <alignment horizontal="center" wrapText="1"/>
    </xf>
    <xf numFmtId="0" fontId="10" fillId="2" borderId="3" xfId="9" applyFont="1" applyFill="1" applyBorder="1" applyAlignment="1">
      <alignment horizontal="center" wrapText="1"/>
    </xf>
    <xf numFmtId="0" fontId="10" fillId="2" borderId="6" xfId="9" applyFont="1" applyFill="1" applyBorder="1" applyAlignment="1">
      <alignment horizontal="center" wrapText="1"/>
    </xf>
    <xf numFmtId="0" fontId="10" fillId="2" borderId="7" xfId="9" applyFont="1" applyFill="1" applyBorder="1" applyAlignment="1">
      <alignment horizontal="center" wrapText="1"/>
    </xf>
    <xf numFmtId="0" fontId="10" fillId="2" borderId="8" xfId="9" applyFont="1" applyFill="1" applyBorder="1" applyAlignment="1">
      <alignment horizontal="center" wrapText="1"/>
    </xf>
    <xf numFmtId="0" fontId="5" fillId="2" borderId="6" xfId="9" applyFont="1" applyFill="1" applyBorder="1" applyAlignment="1">
      <alignment horizontal="left" wrapText="1"/>
    </xf>
    <xf numFmtId="0" fontId="5" fillId="2" borderId="7" xfId="9" applyFont="1" applyFill="1" applyBorder="1" applyAlignment="1">
      <alignment horizontal="left" wrapText="1"/>
    </xf>
    <xf numFmtId="0" fontId="5" fillId="2" borderId="8" xfId="9" applyFont="1" applyFill="1" applyBorder="1" applyAlignment="1">
      <alignment horizontal="left" wrapText="1"/>
    </xf>
    <xf numFmtId="0" fontId="8" fillId="0" borderId="0" xfId="0" applyFont="1" applyAlignment="1">
      <alignment horizontal="center"/>
    </xf>
  </cellXfs>
  <cellStyles count="12">
    <cellStyle name="Comma" xfId="1" builtinId="3"/>
    <cellStyle name="Comma0" xfId="2"/>
    <cellStyle name="Currency" xfId="3" builtinId="4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_1722 Marine SI tables" xfId="9"/>
    <cellStyle name="Percent" xfId="10" builtinId="5"/>
    <cellStyle name="Total" xfId="11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3"/>
  <sheetViews>
    <sheetView tabSelected="1" zoomScale="85" zoomScaleNormal="85" workbookViewId="0">
      <selection sqref="A1:M1"/>
    </sheetView>
  </sheetViews>
  <sheetFormatPr defaultColWidth="8.42578125" defaultRowHeight="12.75"/>
  <cols>
    <col min="1" max="1" width="19.5703125" style="1" customWidth="1"/>
    <col min="2" max="2" width="12.28515625" style="1" customWidth="1"/>
    <col min="3" max="5" width="11.85546875" style="1" customWidth="1"/>
    <col min="6" max="6" width="14.140625" customWidth="1"/>
    <col min="7" max="7" width="14.5703125" style="3" customWidth="1"/>
    <col min="8" max="8" width="10.85546875" style="1" customWidth="1"/>
    <col min="9" max="9" width="17.42578125" style="2" customWidth="1"/>
    <col min="10" max="10" width="11.140625" style="37" customWidth="1"/>
    <col min="11" max="11" width="16.7109375" style="1" customWidth="1"/>
    <col min="12" max="12" width="10.5703125" style="4" customWidth="1"/>
    <col min="13" max="13" width="13.85546875" style="1" customWidth="1"/>
  </cols>
  <sheetData>
    <row r="1" spans="1:16">
      <c r="A1" s="128" t="s">
        <v>54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6" ht="12.75" customHeight="1">
      <c r="A2" s="133" t="s">
        <v>2</v>
      </c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30" t="s">
        <v>1</v>
      </c>
      <c r="L2" s="131"/>
      <c r="M2" s="132"/>
    </row>
    <row r="3" spans="1:16" ht="38.25" customHeight="1">
      <c r="A3" s="134"/>
      <c r="B3" s="34" t="s">
        <v>61</v>
      </c>
      <c r="C3" s="34" t="s">
        <v>62</v>
      </c>
      <c r="D3" s="34" t="s">
        <v>63</v>
      </c>
      <c r="E3" s="34" t="s">
        <v>64</v>
      </c>
      <c r="F3" s="122" t="s">
        <v>48</v>
      </c>
      <c r="G3" s="137" t="s">
        <v>3</v>
      </c>
      <c r="H3" s="122" t="s">
        <v>4</v>
      </c>
      <c r="I3" s="137" t="s">
        <v>5</v>
      </c>
      <c r="J3" s="122" t="s">
        <v>46</v>
      </c>
      <c r="K3" s="122" t="s">
        <v>47</v>
      </c>
      <c r="L3" s="125" t="s">
        <v>6</v>
      </c>
      <c r="M3" s="122" t="s">
        <v>45</v>
      </c>
    </row>
    <row r="4" spans="1:16" ht="15.75" customHeight="1">
      <c r="A4" s="135"/>
      <c r="B4" s="32" t="s">
        <v>60</v>
      </c>
      <c r="C4" s="32" t="s">
        <v>60</v>
      </c>
      <c r="D4" s="32" t="s">
        <v>60</v>
      </c>
      <c r="E4" s="32" t="s">
        <v>60</v>
      </c>
      <c r="F4" s="123"/>
      <c r="G4" s="138"/>
      <c r="H4" s="123"/>
      <c r="I4" s="138"/>
      <c r="J4" s="123"/>
      <c r="K4" s="123"/>
      <c r="L4" s="126"/>
      <c r="M4" s="123"/>
    </row>
    <row r="5" spans="1:16">
      <c r="A5" s="136"/>
      <c r="B5" s="33">
        <v>65.180000000000007</v>
      </c>
      <c r="C5" s="33">
        <v>95.73</v>
      </c>
      <c r="D5" s="33">
        <v>122.59</v>
      </c>
      <c r="E5" s="33">
        <v>27.44</v>
      </c>
      <c r="F5" s="124"/>
      <c r="G5" s="139"/>
      <c r="H5" s="124"/>
      <c r="I5" s="139"/>
      <c r="J5" s="124"/>
      <c r="K5" s="124"/>
      <c r="L5" s="127"/>
      <c r="M5" s="124"/>
    </row>
    <row r="6" spans="1:16">
      <c r="A6" s="40"/>
      <c r="B6" s="28"/>
      <c r="C6" s="28"/>
      <c r="D6" s="28"/>
      <c r="E6" s="28"/>
      <c r="F6" s="29"/>
      <c r="G6" s="30"/>
      <c r="H6" s="30"/>
      <c r="I6" s="30"/>
      <c r="J6" s="36"/>
      <c r="K6" s="28"/>
      <c r="L6" s="29"/>
      <c r="M6" s="30"/>
    </row>
    <row r="7" spans="1:16" ht="25.5">
      <c r="A7" s="15" t="s">
        <v>8</v>
      </c>
      <c r="B7" s="6">
        <v>140</v>
      </c>
      <c r="C7" s="6">
        <v>3</v>
      </c>
      <c r="D7" s="6">
        <v>8</v>
      </c>
      <c r="E7" s="6">
        <v>0</v>
      </c>
      <c r="F7" s="7">
        <f t="shared" ref="F7:F16" si="0">B7+C7+D7+E7</f>
        <v>151</v>
      </c>
      <c r="G7" s="9">
        <f t="shared" ref="G7:G16" si="1">(B7*$B$5)+(C7*$C$5)+(D7*$D$5)+(E7*$E$5)</f>
        <v>10393.11</v>
      </c>
      <c r="H7" s="9">
        <v>0</v>
      </c>
      <c r="I7" s="9">
        <v>0</v>
      </c>
      <c r="J7" s="35">
        <v>1</v>
      </c>
      <c r="K7" s="6">
        <v>16</v>
      </c>
      <c r="L7" s="7">
        <f t="shared" ref="L7:L16" si="2">F7*J7*K7</f>
        <v>2416</v>
      </c>
      <c r="M7" s="9">
        <f t="shared" ref="M7:M15" si="3">(G7+H7+I7)*J7*K7</f>
        <v>166289.76</v>
      </c>
    </row>
    <row r="8" spans="1:16" ht="25.5">
      <c r="A8" s="15" t="s">
        <v>9</v>
      </c>
      <c r="B8" s="6">
        <v>24</v>
      </c>
      <c r="C8" s="6">
        <v>0</v>
      </c>
      <c r="D8" s="6">
        <v>0</v>
      </c>
      <c r="E8" s="6">
        <v>0</v>
      </c>
      <c r="F8" s="7">
        <f t="shared" si="0"/>
        <v>24</v>
      </c>
      <c r="G8" s="9">
        <f t="shared" si="1"/>
        <v>1564.3200000000002</v>
      </c>
      <c r="H8" s="9">
        <v>0</v>
      </c>
      <c r="I8" s="9">
        <v>0</v>
      </c>
      <c r="J8" s="35">
        <v>1</v>
      </c>
      <c r="K8" s="6">
        <v>16</v>
      </c>
      <c r="L8" s="7">
        <f t="shared" si="2"/>
        <v>384</v>
      </c>
      <c r="M8" s="9">
        <f t="shared" si="3"/>
        <v>25029.120000000003</v>
      </c>
    </row>
    <row r="9" spans="1:16">
      <c r="A9" s="20" t="s">
        <v>67</v>
      </c>
      <c r="B9" s="6">
        <v>80</v>
      </c>
      <c r="C9" s="6">
        <v>20</v>
      </c>
      <c r="D9" s="6">
        <v>5</v>
      </c>
      <c r="E9" s="6">
        <v>16</v>
      </c>
      <c r="F9" s="7">
        <f t="shared" si="0"/>
        <v>121</v>
      </c>
      <c r="G9" s="9">
        <f t="shared" si="1"/>
        <v>8180.9900000000007</v>
      </c>
      <c r="H9" s="9">
        <v>0</v>
      </c>
      <c r="I9" s="21">
        <v>74102</v>
      </c>
      <c r="J9" s="35">
        <v>1</v>
      </c>
      <c r="K9" s="6">
        <v>3</v>
      </c>
      <c r="L9" s="7">
        <f t="shared" si="2"/>
        <v>363</v>
      </c>
      <c r="M9" s="9">
        <f t="shared" si="3"/>
        <v>246848.97000000003</v>
      </c>
      <c r="O9" s="38"/>
      <c r="P9" s="23"/>
    </row>
    <row r="10" spans="1:16">
      <c r="A10" s="20" t="s">
        <v>68</v>
      </c>
      <c r="B10" s="6">
        <v>50</v>
      </c>
      <c r="C10" s="6">
        <v>1</v>
      </c>
      <c r="D10" s="6">
        <v>0</v>
      </c>
      <c r="E10" s="6">
        <v>4</v>
      </c>
      <c r="F10" s="7">
        <f t="shared" si="0"/>
        <v>55</v>
      </c>
      <c r="G10" s="9">
        <f t="shared" si="1"/>
        <v>3464.4900000000007</v>
      </c>
      <c r="H10" s="9">
        <v>0</v>
      </c>
      <c r="I10" s="21">
        <f>44055/3</f>
        <v>14685</v>
      </c>
      <c r="J10" s="72">
        <v>1.5</v>
      </c>
      <c r="K10" s="6">
        <v>13</v>
      </c>
      <c r="L10" s="7">
        <f t="shared" si="2"/>
        <v>1072.5</v>
      </c>
      <c r="M10" s="9">
        <f t="shared" si="3"/>
        <v>353915.05499999999</v>
      </c>
      <c r="O10" s="38"/>
      <c r="P10" s="23"/>
    </row>
    <row r="11" spans="1:16" ht="25.5">
      <c r="A11" s="15" t="s">
        <v>10</v>
      </c>
      <c r="B11" s="6">
        <v>24</v>
      </c>
      <c r="C11" s="6">
        <v>0</v>
      </c>
      <c r="D11" s="6">
        <v>1</v>
      </c>
      <c r="E11" s="6">
        <v>2</v>
      </c>
      <c r="F11" s="7">
        <f t="shared" si="0"/>
        <v>27</v>
      </c>
      <c r="G11" s="9">
        <f t="shared" si="1"/>
        <v>1741.7900000000002</v>
      </c>
      <c r="H11" s="9">
        <v>0</v>
      </c>
      <c r="I11" s="9">
        <v>0</v>
      </c>
      <c r="J11" s="35">
        <v>1.9</v>
      </c>
      <c r="K11" s="6">
        <v>16</v>
      </c>
      <c r="L11" s="7">
        <f t="shared" si="2"/>
        <v>820.8</v>
      </c>
      <c r="M11" s="9">
        <f t="shared" si="3"/>
        <v>52950.416000000005</v>
      </c>
      <c r="O11" s="38"/>
      <c r="P11" s="23"/>
    </row>
    <row r="12" spans="1:16">
      <c r="A12" s="15" t="s">
        <v>11</v>
      </c>
      <c r="B12" s="6">
        <v>20</v>
      </c>
      <c r="C12" s="6">
        <v>0</v>
      </c>
      <c r="D12" s="6">
        <v>0</v>
      </c>
      <c r="E12" s="6">
        <v>2</v>
      </c>
      <c r="F12" s="7">
        <f t="shared" si="0"/>
        <v>22</v>
      </c>
      <c r="G12" s="9">
        <f t="shared" si="1"/>
        <v>1358.4800000000002</v>
      </c>
      <c r="H12" s="9">
        <v>0</v>
      </c>
      <c r="I12" s="9">
        <v>1</v>
      </c>
      <c r="J12" s="35">
        <v>1.9</v>
      </c>
      <c r="K12" s="6">
        <v>16</v>
      </c>
      <c r="L12" s="7">
        <f t="shared" si="2"/>
        <v>668.8</v>
      </c>
      <c r="M12" s="9">
        <f t="shared" si="3"/>
        <v>41328.192000000003</v>
      </c>
      <c r="O12" s="38"/>
      <c r="P12" s="23"/>
    </row>
    <row r="13" spans="1:16" ht="40.5" customHeight="1">
      <c r="A13" s="15" t="s">
        <v>12</v>
      </c>
      <c r="B13" s="6">
        <v>16</v>
      </c>
      <c r="C13" s="6">
        <v>0.5</v>
      </c>
      <c r="D13" s="6">
        <v>0</v>
      </c>
      <c r="E13" s="6">
        <v>2</v>
      </c>
      <c r="F13" s="7">
        <f>B13+C13+D13+E13</f>
        <v>18.5</v>
      </c>
      <c r="G13" s="9">
        <f t="shared" si="1"/>
        <v>1145.6250000000002</v>
      </c>
      <c r="H13" s="9">
        <v>0</v>
      </c>
      <c r="I13" s="21">
        <v>563</v>
      </c>
      <c r="J13" s="35">
        <v>1.9</v>
      </c>
      <c r="K13" s="6">
        <v>16</v>
      </c>
      <c r="L13" s="7">
        <f t="shared" si="2"/>
        <v>562.4</v>
      </c>
      <c r="M13" s="9">
        <f t="shared" si="3"/>
        <v>51942.200000000004</v>
      </c>
    </row>
    <row r="14" spans="1:16" ht="38.25">
      <c r="A14" s="15" t="s">
        <v>13</v>
      </c>
      <c r="B14" s="6">
        <v>2</v>
      </c>
      <c r="C14" s="6">
        <v>0</v>
      </c>
      <c r="D14" s="6">
        <v>0</v>
      </c>
      <c r="E14" s="6">
        <v>2</v>
      </c>
      <c r="F14" s="7">
        <f t="shared" si="0"/>
        <v>4</v>
      </c>
      <c r="G14" s="9">
        <f t="shared" si="1"/>
        <v>185.24</v>
      </c>
      <c r="H14" s="9">
        <v>0</v>
      </c>
      <c r="I14" s="21">
        <v>563</v>
      </c>
      <c r="J14" s="35">
        <v>2.9</v>
      </c>
      <c r="K14" s="6">
        <v>16</v>
      </c>
      <c r="L14" s="7">
        <f>F14*J14*K14</f>
        <v>185.6</v>
      </c>
      <c r="M14" s="9">
        <f>(G14+H14+I14)*J14*K14</f>
        <v>34718.336000000003</v>
      </c>
    </row>
    <row r="15" spans="1:16" ht="38.25">
      <c r="A15" s="15" t="s">
        <v>69</v>
      </c>
      <c r="B15" s="6">
        <v>6</v>
      </c>
      <c r="C15" s="6">
        <v>0</v>
      </c>
      <c r="D15" s="6">
        <v>0</v>
      </c>
      <c r="E15" s="6">
        <v>2</v>
      </c>
      <c r="F15" s="7">
        <f t="shared" si="0"/>
        <v>8</v>
      </c>
      <c r="G15" s="9">
        <f t="shared" si="1"/>
        <v>445.96000000000004</v>
      </c>
      <c r="H15" s="9">
        <v>0</v>
      </c>
      <c r="I15" s="9">
        <v>4</v>
      </c>
      <c r="J15" s="35">
        <v>6.4</v>
      </c>
      <c r="K15" s="6">
        <v>16</v>
      </c>
      <c r="L15" s="7">
        <f t="shared" si="2"/>
        <v>819.2</v>
      </c>
      <c r="M15" s="9">
        <f t="shared" si="3"/>
        <v>46075.90400000001</v>
      </c>
    </row>
    <row r="16" spans="1:16" ht="25.5">
      <c r="A16" s="44" t="s">
        <v>14</v>
      </c>
      <c r="B16" s="45">
        <v>4</v>
      </c>
      <c r="C16" s="45">
        <v>0</v>
      </c>
      <c r="D16" s="45">
        <v>0</v>
      </c>
      <c r="E16" s="45">
        <v>10</v>
      </c>
      <c r="F16" s="46">
        <f t="shared" si="0"/>
        <v>14</v>
      </c>
      <c r="G16" s="47">
        <f t="shared" si="1"/>
        <v>535.12000000000012</v>
      </c>
      <c r="H16" s="47">
        <v>0</v>
      </c>
      <c r="I16" s="47">
        <v>4</v>
      </c>
      <c r="J16" s="48">
        <v>1</v>
      </c>
      <c r="K16" s="6">
        <v>16</v>
      </c>
      <c r="L16" s="46">
        <f t="shared" si="2"/>
        <v>224</v>
      </c>
      <c r="M16" s="47">
        <f>(G16+H16+I16)*J16*K16</f>
        <v>8625.9200000000019</v>
      </c>
    </row>
    <row r="17" spans="1:13" ht="13.5" thickBot="1">
      <c r="A17" s="50"/>
      <c r="B17" s="51"/>
      <c r="C17" s="51"/>
      <c r="D17" s="51"/>
      <c r="E17" s="51"/>
      <c r="F17" s="52"/>
      <c r="G17" s="53"/>
      <c r="H17" s="53"/>
      <c r="I17" s="53"/>
      <c r="J17" s="54"/>
      <c r="K17" s="51"/>
      <c r="L17" s="52"/>
      <c r="M17" s="53"/>
    </row>
    <row r="18" spans="1:13" ht="26.25" thickTop="1">
      <c r="A18" s="40" t="s">
        <v>15</v>
      </c>
      <c r="B18" s="29">
        <f t="shared" ref="B18:I18" si="4">(SUM(B7:B16))-B10</f>
        <v>316</v>
      </c>
      <c r="C18" s="29">
        <f t="shared" si="4"/>
        <v>23.5</v>
      </c>
      <c r="D18" s="29">
        <f t="shared" si="4"/>
        <v>14</v>
      </c>
      <c r="E18" s="29">
        <f t="shared" si="4"/>
        <v>36</v>
      </c>
      <c r="F18" s="29">
        <f t="shared" si="4"/>
        <v>389.5</v>
      </c>
      <c r="G18" s="30">
        <f t="shared" si="4"/>
        <v>25550.635000000002</v>
      </c>
      <c r="H18" s="30">
        <f t="shared" si="4"/>
        <v>0</v>
      </c>
      <c r="I18" s="30">
        <f t="shared" si="4"/>
        <v>75237</v>
      </c>
      <c r="J18" s="36" t="s">
        <v>16</v>
      </c>
      <c r="K18" s="28" t="s">
        <v>17</v>
      </c>
      <c r="L18" s="29" t="s">
        <v>17</v>
      </c>
      <c r="M18" s="30" t="s">
        <v>17</v>
      </c>
    </row>
    <row r="19" spans="1:13" ht="25.5">
      <c r="A19" s="15" t="s">
        <v>18</v>
      </c>
      <c r="B19" s="29">
        <f t="shared" ref="B19:I19" si="5">(SUM(B7:B16))-B9</f>
        <v>286</v>
      </c>
      <c r="C19" s="29">
        <f t="shared" si="5"/>
        <v>4.5</v>
      </c>
      <c r="D19" s="29">
        <f t="shared" si="5"/>
        <v>9</v>
      </c>
      <c r="E19" s="29">
        <f t="shared" si="5"/>
        <v>24</v>
      </c>
      <c r="F19" s="29">
        <f t="shared" si="5"/>
        <v>323.5</v>
      </c>
      <c r="G19" s="9">
        <f t="shared" si="5"/>
        <v>20834.135000000002</v>
      </c>
      <c r="H19" s="9">
        <f t="shared" si="5"/>
        <v>0</v>
      </c>
      <c r="I19" s="9">
        <f t="shared" si="5"/>
        <v>15820</v>
      </c>
      <c r="J19" s="35" t="s">
        <v>16</v>
      </c>
      <c r="K19" s="6" t="s">
        <v>17</v>
      </c>
      <c r="L19" s="7" t="s">
        <v>17</v>
      </c>
      <c r="M19" s="9" t="s">
        <v>17</v>
      </c>
    </row>
    <row r="20" spans="1:13">
      <c r="A20" s="15" t="s">
        <v>19</v>
      </c>
      <c r="B20" s="7" t="s">
        <v>17</v>
      </c>
      <c r="C20" s="7" t="s">
        <v>17</v>
      </c>
      <c r="D20" s="7" t="s">
        <v>17</v>
      </c>
      <c r="E20" s="7" t="s">
        <v>17</v>
      </c>
      <c r="F20" s="7" t="s">
        <v>17</v>
      </c>
      <c r="G20" s="9">
        <f>SUMPRODUCT(G7:G16,J7:J16,K7:K16)</f>
        <v>475317.97300000006</v>
      </c>
      <c r="H20" s="9">
        <v>0</v>
      </c>
      <c r="I20" s="9">
        <f>SUMPRODUCT(I7:I16,J7:J16,K7:K16)</f>
        <v>552405.89999999991</v>
      </c>
      <c r="J20" s="71">
        <v>1.9</v>
      </c>
      <c r="K20" s="7">
        <v>16</v>
      </c>
      <c r="L20" s="7">
        <f>SUM(L7:L16)</f>
        <v>7516.3</v>
      </c>
      <c r="M20" s="9">
        <f>SUM(M7:M16)</f>
        <v>1027723.873</v>
      </c>
    </row>
    <row r="21" spans="1:13">
      <c r="A21" s="1" t="s">
        <v>123</v>
      </c>
    </row>
    <row r="22" spans="1:13">
      <c r="A22" s="1" t="s">
        <v>20</v>
      </c>
      <c r="F22" s="24"/>
      <c r="G22" s="39"/>
      <c r="H22" s="25"/>
      <c r="I22" s="26"/>
    </row>
    <row r="23" spans="1:13" s="24" customFormat="1">
      <c r="A23" s="23" t="s">
        <v>122</v>
      </c>
      <c r="B23" s="23"/>
      <c r="C23" s="23"/>
      <c r="D23" s="23"/>
      <c r="E23" s="23"/>
      <c r="G23" s="39"/>
      <c r="H23" s="25"/>
      <c r="I23" s="26"/>
      <c r="L23" s="27"/>
      <c r="M23" s="23"/>
    </row>
  </sheetData>
  <mergeCells count="12">
    <mergeCell ref="H3:H5"/>
    <mergeCell ref="I3:I5"/>
    <mergeCell ref="J3:J5"/>
    <mergeCell ref="K3:K5"/>
    <mergeCell ref="L3:L5"/>
    <mergeCell ref="M3:M5"/>
    <mergeCell ref="A1:M1"/>
    <mergeCell ref="B2:J2"/>
    <mergeCell ref="K2:M2"/>
    <mergeCell ref="A2:A5"/>
    <mergeCell ref="F3:F5"/>
    <mergeCell ref="G3:G5"/>
  </mergeCells>
  <phoneticPr fontId="3" type="noConversion"/>
  <printOptions horizontalCentered="1" verticalCentered="1"/>
  <pageMargins left="0.75" right="0.75" top="0.5" bottom="0.5" header="0.5" footer="0.5"/>
  <pageSetup scale="97" orientation="landscape" r:id="rId1"/>
  <headerFooter alignWithMargins="0"/>
  <ignoredErrors>
    <ignoredError sqref="B18:B19 C18:E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M20"/>
  <sheetViews>
    <sheetView zoomScale="85" workbookViewId="0">
      <selection activeCell="B8" sqref="B8"/>
    </sheetView>
  </sheetViews>
  <sheetFormatPr defaultColWidth="8.42578125" defaultRowHeight="12.75"/>
  <cols>
    <col min="1" max="1" width="18.42578125" style="1" customWidth="1"/>
    <col min="2" max="5" width="10.85546875" style="1" customWidth="1"/>
    <col min="6" max="6" width="12.85546875" customWidth="1"/>
    <col min="7" max="7" width="10.28515625" style="3" bestFit="1" customWidth="1"/>
    <col min="8" max="8" width="13.140625" style="1" customWidth="1"/>
    <col min="9" max="9" width="9.5703125" style="2" customWidth="1"/>
    <col min="10" max="10" width="14.140625" style="1" customWidth="1"/>
    <col min="11" max="11" width="8.42578125" style="4" customWidth="1"/>
    <col min="12" max="12" width="11" style="1" customWidth="1"/>
  </cols>
  <sheetData>
    <row r="1" spans="1:13">
      <c r="A1" s="140" t="s">
        <v>72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3" ht="12.75" customHeight="1">
      <c r="A2" s="122" t="s">
        <v>2</v>
      </c>
      <c r="B2" s="129" t="s">
        <v>0</v>
      </c>
      <c r="C2" s="129"/>
      <c r="D2" s="129"/>
      <c r="E2" s="129"/>
      <c r="F2" s="129"/>
      <c r="G2" s="129"/>
      <c r="H2" s="129"/>
      <c r="I2" s="129"/>
      <c r="J2" s="129" t="s">
        <v>1</v>
      </c>
      <c r="K2" s="129"/>
      <c r="L2" s="129"/>
    </row>
    <row r="3" spans="1:13" ht="24.75" customHeight="1">
      <c r="A3" s="123"/>
      <c r="B3" s="34" t="s">
        <v>61</v>
      </c>
      <c r="C3" s="34" t="s">
        <v>62</v>
      </c>
      <c r="D3" s="34" t="s">
        <v>63</v>
      </c>
      <c r="E3" s="34" t="s">
        <v>64</v>
      </c>
      <c r="F3" s="122" t="s">
        <v>48</v>
      </c>
      <c r="G3" s="137" t="s">
        <v>3</v>
      </c>
      <c r="H3" s="122" t="s">
        <v>4</v>
      </c>
      <c r="I3" s="137" t="s">
        <v>50</v>
      </c>
      <c r="J3" s="122" t="s">
        <v>51</v>
      </c>
      <c r="K3" s="125" t="s">
        <v>6</v>
      </c>
      <c r="L3" s="122" t="s">
        <v>7</v>
      </c>
    </row>
    <row r="4" spans="1:13" ht="16.5" customHeight="1">
      <c r="A4" s="123"/>
      <c r="B4" s="32" t="s">
        <v>60</v>
      </c>
      <c r="C4" s="32" t="s">
        <v>60</v>
      </c>
      <c r="D4" s="32" t="s">
        <v>60</v>
      </c>
      <c r="E4" s="32" t="s">
        <v>60</v>
      </c>
      <c r="F4" s="123"/>
      <c r="G4" s="138"/>
      <c r="H4" s="123"/>
      <c r="I4" s="138"/>
      <c r="J4" s="123"/>
      <c r="K4" s="126"/>
      <c r="L4" s="123"/>
    </row>
    <row r="5" spans="1:13">
      <c r="A5" s="124"/>
      <c r="B5" s="33">
        <v>65.180000000000007</v>
      </c>
      <c r="C5" s="33">
        <v>95.73</v>
      </c>
      <c r="D5" s="33">
        <v>122.59</v>
      </c>
      <c r="E5" s="33">
        <v>27.44</v>
      </c>
      <c r="F5" s="124"/>
      <c r="G5" s="139"/>
      <c r="H5" s="124"/>
      <c r="I5" s="139"/>
      <c r="J5" s="124"/>
      <c r="K5" s="127"/>
      <c r="L5" s="124"/>
    </row>
    <row r="6" spans="1:13">
      <c r="A6" s="40"/>
      <c r="B6" s="29"/>
      <c r="C6" s="29"/>
      <c r="D6" s="29"/>
      <c r="E6" s="29"/>
      <c r="F6" s="29"/>
      <c r="G6" s="30"/>
      <c r="H6" s="30"/>
      <c r="I6" s="30"/>
      <c r="J6" s="29"/>
      <c r="K6" s="29"/>
      <c r="L6" s="30"/>
    </row>
    <row r="7" spans="1:13" ht="38.25">
      <c r="A7" s="15" t="s">
        <v>8</v>
      </c>
      <c r="B7" s="7">
        <v>70</v>
      </c>
      <c r="C7" s="7">
        <v>20</v>
      </c>
      <c r="D7" s="7">
        <v>5</v>
      </c>
      <c r="E7" s="7">
        <v>0</v>
      </c>
      <c r="F7" s="7">
        <f>SUM(B7:E7)</f>
        <v>95</v>
      </c>
      <c r="G7" s="9">
        <f t="shared" ref="G7:G13" si="0">(B7*$B$5)+(C7*$C$5)+(D7*$D$5)+(E7*$E$5)</f>
        <v>7090.1500000000005</v>
      </c>
      <c r="H7" s="9">
        <v>0</v>
      </c>
      <c r="I7" s="9">
        <v>2</v>
      </c>
      <c r="J7" s="7">
        <v>2</v>
      </c>
      <c r="K7" s="7">
        <f t="shared" ref="K7:K13" si="1">F7*J7</f>
        <v>190</v>
      </c>
      <c r="L7" s="9">
        <f t="shared" ref="L7:L13" si="2">(G7+H7+I7)*J7</f>
        <v>14184.300000000001</v>
      </c>
    </row>
    <row r="8" spans="1:13" ht="25.5">
      <c r="A8" s="15" t="s">
        <v>21</v>
      </c>
      <c r="B8" s="7">
        <v>30</v>
      </c>
      <c r="C8" s="7">
        <v>6</v>
      </c>
      <c r="D8" s="7">
        <v>0</v>
      </c>
      <c r="E8" s="7">
        <v>4</v>
      </c>
      <c r="F8" s="7">
        <f t="shared" ref="F8:F13" si="3">SUM(B8:E8)</f>
        <v>40</v>
      </c>
      <c r="G8" s="9">
        <f t="shared" si="0"/>
        <v>2639.5400000000004</v>
      </c>
      <c r="H8" s="9">
        <v>0</v>
      </c>
      <c r="I8" s="9">
        <v>1</v>
      </c>
      <c r="J8" s="7">
        <v>2</v>
      </c>
      <c r="K8" s="7">
        <f t="shared" si="1"/>
        <v>80</v>
      </c>
      <c r="L8" s="9">
        <f t="shared" si="2"/>
        <v>5281.0800000000008</v>
      </c>
    </row>
    <row r="9" spans="1:13" ht="25.5">
      <c r="A9" s="15" t="s">
        <v>22</v>
      </c>
      <c r="B9" s="7">
        <v>12</v>
      </c>
      <c r="C9" s="7">
        <v>0</v>
      </c>
      <c r="D9" s="7">
        <v>0</v>
      </c>
      <c r="E9" s="7">
        <v>2</v>
      </c>
      <c r="F9" s="7">
        <f t="shared" si="3"/>
        <v>14</v>
      </c>
      <c r="G9" s="9">
        <f t="shared" si="0"/>
        <v>837.04000000000008</v>
      </c>
      <c r="H9" s="9">
        <v>0</v>
      </c>
      <c r="I9" s="9">
        <v>0</v>
      </c>
      <c r="J9" s="7">
        <v>2</v>
      </c>
      <c r="K9" s="7">
        <f t="shared" si="1"/>
        <v>28</v>
      </c>
      <c r="L9" s="9">
        <f t="shared" si="2"/>
        <v>1674.0800000000002</v>
      </c>
    </row>
    <row r="10" spans="1:13" ht="38.25">
      <c r="A10" s="15" t="s">
        <v>23</v>
      </c>
      <c r="B10" s="7">
        <v>30</v>
      </c>
      <c r="C10" s="7">
        <v>10</v>
      </c>
      <c r="D10" s="7">
        <v>5</v>
      </c>
      <c r="E10" s="7">
        <v>10</v>
      </c>
      <c r="F10" s="7">
        <f t="shared" si="3"/>
        <v>55</v>
      </c>
      <c r="G10" s="9">
        <f t="shared" si="0"/>
        <v>3800.0500000000006</v>
      </c>
      <c r="H10" s="9">
        <v>0</v>
      </c>
      <c r="I10" s="9">
        <v>10</v>
      </c>
      <c r="J10" s="7">
        <v>2</v>
      </c>
      <c r="K10" s="7">
        <f t="shared" si="1"/>
        <v>110</v>
      </c>
      <c r="L10" s="9">
        <f t="shared" si="2"/>
        <v>7620.1000000000013</v>
      </c>
    </row>
    <row r="11" spans="1:13" ht="25.5">
      <c r="A11" s="15" t="s">
        <v>73</v>
      </c>
      <c r="B11" s="7">
        <v>28</v>
      </c>
      <c r="C11" s="7">
        <v>0</v>
      </c>
      <c r="D11" s="7">
        <v>0</v>
      </c>
      <c r="E11" s="7">
        <v>4</v>
      </c>
      <c r="F11" s="7">
        <f t="shared" si="3"/>
        <v>32</v>
      </c>
      <c r="G11" s="9">
        <f t="shared" si="0"/>
        <v>1934.8000000000002</v>
      </c>
      <c r="H11" s="9">
        <v>0</v>
      </c>
      <c r="I11" s="9">
        <v>6</v>
      </c>
      <c r="J11" s="7">
        <v>2</v>
      </c>
      <c r="K11" s="7">
        <f t="shared" si="1"/>
        <v>64</v>
      </c>
      <c r="L11" s="9">
        <f t="shared" si="2"/>
        <v>3881.6000000000004</v>
      </c>
    </row>
    <row r="12" spans="1:13" ht="38.25">
      <c r="A12" s="15" t="s">
        <v>24</v>
      </c>
      <c r="B12" s="7">
        <v>20</v>
      </c>
      <c r="C12" s="7">
        <v>0</v>
      </c>
      <c r="D12" s="7">
        <v>0</v>
      </c>
      <c r="E12" s="7">
        <v>5</v>
      </c>
      <c r="F12" s="7">
        <f t="shared" si="3"/>
        <v>25</v>
      </c>
      <c r="G12" s="9">
        <f t="shared" si="0"/>
        <v>1440.8000000000002</v>
      </c>
      <c r="H12" s="9">
        <v>0</v>
      </c>
      <c r="I12" s="9">
        <v>6</v>
      </c>
      <c r="J12" s="7">
        <v>2</v>
      </c>
      <c r="K12" s="7">
        <f t="shared" si="1"/>
        <v>50</v>
      </c>
      <c r="L12" s="9">
        <f>(G12+H12+I12)*J12</f>
        <v>2893.6000000000004</v>
      </c>
    </row>
    <row r="13" spans="1:13" ht="25.5">
      <c r="A13" s="44" t="s">
        <v>14</v>
      </c>
      <c r="B13" s="46">
        <v>5</v>
      </c>
      <c r="C13" s="46">
        <v>0</v>
      </c>
      <c r="D13" s="46">
        <v>0</v>
      </c>
      <c r="E13" s="46">
        <v>24</v>
      </c>
      <c r="F13" s="7">
        <f t="shared" si="3"/>
        <v>29</v>
      </c>
      <c r="G13" s="47">
        <f t="shared" si="0"/>
        <v>984.46</v>
      </c>
      <c r="H13" s="47">
        <v>0</v>
      </c>
      <c r="I13" s="47">
        <v>2</v>
      </c>
      <c r="J13" s="46">
        <v>2</v>
      </c>
      <c r="K13" s="46">
        <f t="shared" si="1"/>
        <v>58</v>
      </c>
      <c r="L13" s="47">
        <f t="shared" si="2"/>
        <v>1972.92</v>
      </c>
    </row>
    <row r="14" spans="1:13" ht="13.5" thickBot="1">
      <c r="A14" s="50"/>
      <c r="B14" s="51"/>
      <c r="C14" s="51"/>
      <c r="D14" s="51"/>
      <c r="E14" s="51"/>
      <c r="F14" s="52"/>
      <c r="G14" s="53"/>
      <c r="H14" s="53"/>
      <c r="I14" s="53"/>
      <c r="J14" s="54"/>
      <c r="K14" s="51"/>
      <c r="L14" s="52"/>
      <c r="M14" s="49"/>
    </row>
    <row r="15" spans="1:13" ht="13.5" thickTop="1">
      <c r="A15" s="40" t="s">
        <v>25</v>
      </c>
      <c r="B15" s="29">
        <f>SUM(B7:B13)</f>
        <v>195</v>
      </c>
      <c r="C15" s="29">
        <f>(SUM(C7:C13))</f>
        <v>36</v>
      </c>
      <c r="D15" s="29">
        <f>(SUM(D7:D13))</f>
        <v>10</v>
      </c>
      <c r="E15" s="29">
        <f>(SUM(E7:E13))</f>
        <v>49</v>
      </c>
      <c r="F15" s="29">
        <f>SUM(B15:E15)</f>
        <v>290</v>
      </c>
      <c r="G15" s="30">
        <f>SUM(G7:G13)</f>
        <v>18726.84</v>
      </c>
      <c r="H15" s="30">
        <f>SUM(H7:H13)</f>
        <v>0</v>
      </c>
      <c r="I15" s="30" t="s">
        <v>16</v>
      </c>
      <c r="J15" s="29" t="s">
        <v>17</v>
      </c>
      <c r="K15" s="29" t="s">
        <v>17</v>
      </c>
      <c r="L15" s="30" t="s">
        <v>17</v>
      </c>
    </row>
    <row r="16" spans="1:13">
      <c r="A16" s="15" t="s">
        <v>19</v>
      </c>
      <c r="B16" s="7" t="s">
        <v>17</v>
      </c>
      <c r="C16" s="7" t="s">
        <v>17</v>
      </c>
      <c r="D16" s="7" t="s">
        <v>17</v>
      </c>
      <c r="E16" s="7" t="s">
        <v>17</v>
      </c>
      <c r="F16" s="7" t="s">
        <v>17</v>
      </c>
      <c r="G16" s="9">
        <f>SUMPRODUCT(G7:G13,J7:J13)</f>
        <v>37453.68</v>
      </c>
      <c r="H16" s="9">
        <v>0</v>
      </c>
      <c r="I16" s="9">
        <f>SUMPRODUCT(I7:I13,J7:J13)</f>
        <v>54</v>
      </c>
      <c r="J16" s="7">
        <v>2</v>
      </c>
      <c r="K16" s="7">
        <f>SUM(K7:K13)</f>
        <v>580</v>
      </c>
      <c r="L16" s="9">
        <f>SUM(L7:L13)</f>
        <v>37507.68</v>
      </c>
    </row>
    <row r="17" spans="1:12">
      <c r="A17" s="1" t="s">
        <v>70</v>
      </c>
      <c r="B17" s="10"/>
      <c r="C17" s="10"/>
      <c r="D17" s="10"/>
      <c r="E17" s="10"/>
      <c r="F17" s="13"/>
      <c r="G17" s="14"/>
      <c r="H17" s="10"/>
      <c r="I17" s="11"/>
      <c r="J17" s="10"/>
      <c r="K17" s="12"/>
      <c r="L17" s="10"/>
    </row>
    <row r="18" spans="1:12">
      <c r="A18" s="16" t="s">
        <v>71</v>
      </c>
      <c r="B18" s="10"/>
      <c r="C18" s="10"/>
      <c r="D18" s="10"/>
      <c r="E18" s="10"/>
      <c r="F18" s="13"/>
      <c r="G18" s="14"/>
      <c r="H18" s="10"/>
      <c r="I18" s="11"/>
      <c r="J18" s="10"/>
      <c r="K18" s="12"/>
      <c r="L18" s="10"/>
    </row>
    <row r="19" spans="1:12">
      <c r="A19" s="16"/>
      <c r="B19" s="10"/>
      <c r="C19" s="10"/>
      <c r="D19" s="10"/>
      <c r="E19" s="10"/>
      <c r="F19" s="13"/>
      <c r="G19" s="14"/>
      <c r="H19" s="10"/>
      <c r="I19" s="11"/>
      <c r="J19" s="10"/>
      <c r="K19" s="12"/>
      <c r="L19" s="10"/>
    </row>
    <row r="20" spans="1:12">
      <c r="I20" s="2" t="s">
        <v>49</v>
      </c>
    </row>
  </sheetData>
  <mergeCells count="11">
    <mergeCell ref="L3:L5"/>
    <mergeCell ref="B2:I2"/>
    <mergeCell ref="J2:L2"/>
    <mergeCell ref="A1:L1"/>
    <mergeCell ref="F3:F5"/>
    <mergeCell ref="G3:G5"/>
    <mergeCell ref="H3:H5"/>
    <mergeCell ref="I3:I5"/>
    <mergeCell ref="J3:J5"/>
    <mergeCell ref="K3:K5"/>
    <mergeCell ref="A2:A5"/>
  </mergeCells>
  <phoneticPr fontId="3" type="noConversion"/>
  <printOptions horizontalCentered="1" verticalCentered="1"/>
  <pageMargins left="0.75" right="0.75" top="1" bottom="1" header="0.5" footer="0.5"/>
  <pageSetup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4"/>
  <sheetViews>
    <sheetView topLeftCell="A7" zoomScale="85" workbookViewId="0">
      <selection activeCell="B18" sqref="B18"/>
    </sheetView>
  </sheetViews>
  <sheetFormatPr defaultRowHeight="11.25"/>
  <cols>
    <col min="1" max="1" width="16.42578125" style="5" customWidth="1"/>
    <col min="2" max="2" width="9.85546875" style="5" customWidth="1"/>
    <col min="3" max="4" width="10.140625" style="5" customWidth="1"/>
    <col min="5" max="5" width="11.28515625" style="5" customWidth="1"/>
    <col min="6" max="6" width="12.140625" style="5" customWidth="1"/>
    <col min="7" max="7" width="11.28515625" style="5" bestFit="1" customWidth="1"/>
    <col min="8" max="8" width="13" style="5" customWidth="1"/>
    <col min="9" max="9" width="14.42578125" style="5" customWidth="1"/>
    <col min="10" max="11" width="13.42578125" style="5" customWidth="1"/>
    <col min="12" max="12" width="14.28515625" style="5" customWidth="1"/>
    <col min="13" max="13" width="9.140625" style="5"/>
    <col min="14" max="14" width="11.28515625" style="117" bestFit="1" customWidth="1"/>
    <col min="15" max="16384" width="9.140625" style="5"/>
  </cols>
  <sheetData>
    <row r="1" spans="1:14" ht="12.75">
      <c r="A1" s="140" t="s">
        <v>55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2.75" customHeight="1">
      <c r="A2" s="122" t="s">
        <v>2</v>
      </c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8"/>
      <c r="L2" s="144" t="s">
        <v>1</v>
      </c>
      <c r="M2" s="144"/>
      <c r="N2" s="144"/>
    </row>
    <row r="3" spans="1:14" ht="16.5" customHeight="1">
      <c r="A3" s="123"/>
      <c r="B3" s="34" t="s">
        <v>61</v>
      </c>
      <c r="C3" s="34" t="s">
        <v>62</v>
      </c>
      <c r="D3" s="34" t="s">
        <v>63</v>
      </c>
      <c r="E3" s="34" t="s">
        <v>64</v>
      </c>
      <c r="F3" s="122" t="s">
        <v>48</v>
      </c>
      <c r="G3" s="137" t="s">
        <v>3</v>
      </c>
      <c r="H3" s="122" t="s">
        <v>4</v>
      </c>
      <c r="I3" s="137" t="s">
        <v>50</v>
      </c>
      <c r="J3" s="122" t="s">
        <v>74</v>
      </c>
      <c r="K3" s="122" t="s">
        <v>120</v>
      </c>
      <c r="L3" s="122" t="s">
        <v>47</v>
      </c>
      <c r="M3" s="122" t="s">
        <v>6</v>
      </c>
      <c r="N3" s="141" t="s">
        <v>36</v>
      </c>
    </row>
    <row r="4" spans="1:14" ht="15.75" customHeight="1">
      <c r="A4" s="123"/>
      <c r="B4" s="32" t="s">
        <v>60</v>
      </c>
      <c r="C4" s="32" t="s">
        <v>60</v>
      </c>
      <c r="D4" s="32" t="s">
        <v>60</v>
      </c>
      <c r="E4" s="32" t="s">
        <v>60</v>
      </c>
      <c r="F4" s="123"/>
      <c r="G4" s="138"/>
      <c r="H4" s="123"/>
      <c r="I4" s="138"/>
      <c r="J4" s="123"/>
      <c r="K4" s="123"/>
      <c r="L4" s="123"/>
      <c r="M4" s="123"/>
      <c r="N4" s="142"/>
    </row>
    <row r="5" spans="1:14" ht="12.75">
      <c r="A5" s="124"/>
      <c r="B5" s="33">
        <v>65.180000000000007</v>
      </c>
      <c r="C5" s="33">
        <v>95.73</v>
      </c>
      <c r="D5" s="33">
        <v>122.59</v>
      </c>
      <c r="E5" s="33">
        <v>27.44</v>
      </c>
      <c r="F5" s="124"/>
      <c r="G5" s="139"/>
      <c r="H5" s="124"/>
      <c r="I5" s="139"/>
      <c r="J5" s="124"/>
      <c r="K5" s="124"/>
      <c r="L5" s="124"/>
      <c r="M5" s="124"/>
      <c r="N5" s="143"/>
    </row>
    <row r="6" spans="1:14" ht="13.5" customHeight="1">
      <c r="A6" s="41"/>
      <c r="B6" s="28"/>
      <c r="C6" s="28"/>
      <c r="D6" s="28"/>
      <c r="E6" s="28"/>
      <c r="F6" s="28"/>
      <c r="G6" s="30"/>
      <c r="H6" s="30"/>
      <c r="I6" s="30"/>
      <c r="J6" s="28"/>
      <c r="K6" s="28"/>
      <c r="L6" s="28"/>
      <c r="M6" s="29"/>
      <c r="N6" s="60"/>
    </row>
    <row r="7" spans="1:14" ht="24.75" customHeight="1">
      <c r="A7" s="17" t="s">
        <v>29</v>
      </c>
      <c r="B7" s="6">
        <v>70</v>
      </c>
      <c r="C7" s="6">
        <v>2</v>
      </c>
      <c r="D7" s="6">
        <v>5</v>
      </c>
      <c r="E7" s="6">
        <v>0</v>
      </c>
      <c r="F7" s="6">
        <f>SUM(B7:E7)</f>
        <v>77</v>
      </c>
      <c r="G7" s="9">
        <f t="shared" ref="G7:G18" si="0">(B7*$B$5)+(C7*$C$5)+(D7*$D$5)+(E7*$E$5)</f>
        <v>5367.01</v>
      </c>
      <c r="H7" s="9">
        <v>0</v>
      </c>
      <c r="I7" s="9">
        <v>0</v>
      </c>
      <c r="J7" s="6">
        <v>1</v>
      </c>
      <c r="K7" s="6">
        <v>1</v>
      </c>
      <c r="L7" s="6">
        <v>16</v>
      </c>
      <c r="M7" s="7">
        <f>F7*J7*K7*L7</f>
        <v>1232</v>
      </c>
      <c r="N7" s="57">
        <f>(G7+H7+I7)*J7*K7*L7</f>
        <v>85872.16</v>
      </c>
    </row>
    <row r="8" spans="1:14" ht="12.75">
      <c r="A8" s="17" t="s">
        <v>30</v>
      </c>
      <c r="B8" s="6">
        <v>16</v>
      </c>
      <c r="C8" s="6">
        <v>0</v>
      </c>
      <c r="D8" s="6">
        <v>0</v>
      </c>
      <c r="E8" s="6">
        <v>0</v>
      </c>
      <c r="F8" s="6">
        <f t="shared" ref="F8:F18" si="1">SUM(B8:E8)</f>
        <v>16</v>
      </c>
      <c r="G8" s="9">
        <f t="shared" si="0"/>
        <v>1042.8800000000001</v>
      </c>
      <c r="H8" s="9">
        <v>0</v>
      </c>
      <c r="I8" s="9">
        <v>30</v>
      </c>
      <c r="J8" s="6">
        <v>1</v>
      </c>
      <c r="K8" s="6">
        <v>1</v>
      </c>
      <c r="L8" s="6">
        <v>16</v>
      </c>
      <c r="M8" s="7">
        <f>F8*J8*K8*L8</f>
        <v>256</v>
      </c>
      <c r="N8" s="57">
        <f t="shared" ref="N8:N18" si="2">(G8+H8+I8)*J8*K8*L8</f>
        <v>17166.080000000002</v>
      </c>
    </row>
    <row r="9" spans="1:14" ht="51">
      <c r="A9" s="17" t="s">
        <v>37</v>
      </c>
      <c r="B9" s="6">
        <v>16</v>
      </c>
      <c r="C9" s="6">
        <v>1</v>
      </c>
      <c r="D9" s="6">
        <v>0</v>
      </c>
      <c r="E9" s="6">
        <v>0</v>
      </c>
      <c r="F9" s="6">
        <f t="shared" si="1"/>
        <v>17</v>
      </c>
      <c r="G9" s="9">
        <f t="shared" si="0"/>
        <v>1138.6100000000001</v>
      </c>
      <c r="H9" s="9">
        <v>0</v>
      </c>
      <c r="I9" s="9">
        <v>0</v>
      </c>
      <c r="J9" s="6">
        <v>1</v>
      </c>
      <c r="K9" s="6">
        <v>1</v>
      </c>
      <c r="L9" s="6">
        <v>16</v>
      </c>
      <c r="M9" s="7">
        <f t="shared" ref="M9:M18" si="3">F9*J9*K9*L9</f>
        <v>272</v>
      </c>
      <c r="N9" s="57">
        <f t="shared" si="2"/>
        <v>18217.760000000002</v>
      </c>
    </row>
    <row r="10" spans="1:14" ht="12.75">
      <c r="A10" s="17" t="s">
        <v>38</v>
      </c>
      <c r="B10" s="6">
        <v>4</v>
      </c>
      <c r="C10" s="6">
        <v>0</v>
      </c>
      <c r="D10" s="6">
        <v>0</v>
      </c>
      <c r="E10" s="6">
        <v>4</v>
      </c>
      <c r="F10" s="6">
        <f t="shared" si="1"/>
        <v>8</v>
      </c>
      <c r="G10" s="9">
        <f t="shared" si="0"/>
        <v>370.48</v>
      </c>
      <c r="H10" s="9">
        <v>0</v>
      </c>
      <c r="I10" s="9">
        <v>0</v>
      </c>
      <c r="J10" s="73">
        <v>2.9</v>
      </c>
      <c r="K10" s="73">
        <v>1</v>
      </c>
      <c r="L10" s="73">
        <v>16</v>
      </c>
      <c r="M10" s="7">
        <f t="shared" si="3"/>
        <v>371.2</v>
      </c>
      <c r="N10" s="57">
        <f t="shared" si="2"/>
        <v>17190.272000000001</v>
      </c>
    </row>
    <row r="11" spans="1:14" ht="25.5">
      <c r="A11" s="17" t="s">
        <v>39</v>
      </c>
      <c r="B11" s="6">
        <v>6</v>
      </c>
      <c r="C11" s="6">
        <v>0</v>
      </c>
      <c r="D11" s="6">
        <v>0</v>
      </c>
      <c r="E11" s="6">
        <v>1</v>
      </c>
      <c r="F11" s="6">
        <f t="shared" si="1"/>
        <v>7</v>
      </c>
      <c r="G11" s="9">
        <f t="shared" si="0"/>
        <v>418.52000000000004</v>
      </c>
      <c r="H11" s="9">
        <v>0</v>
      </c>
      <c r="I11" s="9">
        <v>0</v>
      </c>
      <c r="J11" s="73">
        <v>1</v>
      </c>
      <c r="K11" s="73">
        <v>4</v>
      </c>
      <c r="L11" s="73">
        <v>8</v>
      </c>
      <c r="M11" s="7">
        <f t="shared" si="3"/>
        <v>224</v>
      </c>
      <c r="N11" s="57">
        <f t="shared" si="2"/>
        <v>13392.640000000001</v>
      </c>
    </row>
    <row r="12" spans="1:14" ht="51">
      <c r="A12" s="17" t="s">
        <v>40</v>
      </c>
      <c r="B12" s="6">
        <v>25</v>
      </c>
      <c r="C12" s="6">
        <v>0</v>
      </c>
      <c r="D12" s="6">
        <v>0</v>
      </c>
      <c r="E12" s="6">
        <v>5</v>
      </c>
      <c r="F12" s="6">
        <f t="shared" si="1"/>
        <v>30</v>
      </c>
      <c r="G12" s="9">
        <f t="shared" si="0"/>
        <v>1766.7000000000003</v>
      </c>
      <c r="H12" s="9">
        <v>0</v>
      </c>
      <c r="I12" s="21">
        <v>5000</v>
      </c>
      <c r="J12" s="73">
        <v>2</v>
      </c>
      <c r="K12" s="73">
        <v>3</v>
      </c>
      <c r="L12" s="73">
        <v>12</v>
      </c>
      <c r="M12" s="7">
        <f t="shared" si="3"/>
        <v>2160</v>
      </c>
      <c r="N12" s="57">
        <f t="shared" si="2"/>
        <v>487202.4</v>
      </c>
    </row>
    <row r="13" spans="1:14" ht="38.25">
      <c r="A13" s="17" t="s">
        <v>41</v>
      </c>
      <c r="B13" s="6">
        <v>55</v>
      </c>
      <c r="C13" s="6">
        <v>0</v>
      </c>
      <c r="D13" s="6">
        <v>0</v>
      </c>
      <c r="E13" s="6">
        <v>8</v>
      </c>
      <c r="F13" s="6">
        <f t="shared" si="1"/>
        <v>63</v>
      </c>
      <c r="G13" s="9">
        <f t="shared" si="0"/>
        <v>3804.4200000000005</v>
      </c>
      <c r="H13" s="9">
        <v>0</v>
      </c>
      <c r="I13" s="21">
        <v>10000</v>
      </c>
      <c r="J13" s="73">
        <v>1</v>
      </c>
      <c r="K13" s="73">
        <v>4</v>
      </c>
      <c r="L13" s="73">
        <v>8</v>
      </c>
      <c r="M13" s="7">
        <f t="shared" si="3"/>
        <v>2016</v>
      </c>
      <c r="N13" s="57">
        <f t="shared" si="2"/>
        <v>441741.44</v>
      </c>
    </row>
    <row r="14" spans="1:14" ht="38.25">
      <c r="A14" s="17" t="s">
        <v>32</v>
      </c>
      <c r="B14" s="6">
        <v>18</v>
      </c>
      <c r="C14" s="6">
        <v>0</v>
      </c>
      <c r="D14" s="6">
        <v>0</v>
      </c>
      <c r="E14" s="6">
        <v>2</v>
      </c>
      <c r="F14" s="6">
        <f t="shared" si="1"/>
        <v>20</v>
      </c>
      <c r="G14" s="9">
        <f t="shared" si="0"/>
        <v>1228.1200000000003</v>
      </c>
      <c r="H14" s="9">
        <v>0</v>
      </c>
      <c r="I14" s="9">
        <v>3</v>
      </c>
      <c r="J14" s="73">
        <v>1</v>
      </c>
      <c r="K14" s="73">
        <v>4</v>
      </c>
      <c r="L14" s="73">
        <v>8</v>
      </c>
      <c r="M14" s="7">
        <f t="shared" si="3"/>
        <v>640</v>
      </c>
      <c r="N14" s="57">
        <f t="shared" si="2"/>
        <v>39395.840000000011</v>
      </c>
    </row>
    <row r="15" spans="1:14" ht="38.25">
      <c r="A15" s="17" t="s">
        <v>33</v>
      </c>
      <c r="B15" s="6">
        <v>20</v>
      </c>
      <c r="C15" s="6">
        <v>0</v>
      </c>
      <c r="D15" s="6">
        <v>0</v>
      </c>
      <c r="E15" s="6">
        <v>4</v>
      </c>
      <c r="F15" s="6">
        <f t="shared" si="1"/>
        <v>24</v>
      </c>
      <c r="G15" s="9">
        <f t="shared" si="0"/>
        <v>1413.3600000000001</v>
      </c>
      <c r="H15" s="9">
        <v>0</v>
      </c>
      <c r="I15" s="9">
        <v>3</v>
      </c>
      <c r="J15" s="73">
        <v>2</v>
      </c>
      <c r="K15" s="73">
        <v>3</v>
      </c>
      <c r="L15" s="73">
        <v>12</v>
      </c>
      <c r="M15" s="7">
        <f t="shared" si="3"/>
        <v>1728</v>
      </c>
      <c r="N15" s="57">
        <f t="shared" si="2"/>
        <v>101977.92</v>
      </c>
    </row>
    <row r="16" spans="1:14" ht="38.25">
      <c r="A16" s="17" t="s">
        <v>42</v>
      </c>
      <c r="B16" s="6">
        <v>15</v>
      </c>
      <c r="C16" s="6">
        <v>1</v>
      </c>
      <c r="D16" s="6">
        <v>1</v>
      </c>
      <c r="E16" s="6">
        <v>4</v>
      </c>
      <c r="F16" s="6">
        <f t="shared" si="1"/>
        <v>21</v>
      </c>
      <c r="G16" s="9">
        <f t="shared" si="0"/>
        <v>1305.78</v>
      </c>
      <c r="H16" s="9">
        <v>0</v>
      </c>
      <c r="I16" s="9">
        <v>3</v>
      </c>
      <c r="J16" s="73">
        <v>2</v>
      </c>
      <c r="K16" s="73">
        <v>4</v>
      </c>
      <c r="L16" s="73">
        <v>8</v>
      </c>
      <c r="M16" s="7">
        <f t="shared" si="3"/>
        <v>1344</v>
      </c>
      <c r="N16" s="57">
        <f t="shared" si="2"/>
        <v>83761.919999999998</v>
      </c>
    </row>
    <row r="17" spans="1:16" ht="38.25">
      <c r="A17" s="17" t="s">
        <v>43</v>
      </c>
      <c r="B17" s="6">
        <v>15</v>
      </c>
      <c r="C17" s="6">
        <v>0</v>
      </c>
      <c r="D17" s="6">
        <v>0</v>
      </c>
      <c r="E17" s="6">
        <v>2</v>
      </c>
      <c r="F17" s="6">
        <f t="shared" si="1"/>
        <v>17</v>
      </c>
      <c r="G17" s="9">
        <f t="shared" si="0"/>
        <v>1032.5800000000002</v>
      </c>
      <c r="H17" s="9">
        <v>0</v>
      </c>
      <c r="I17" s="9">
        <v>2</v>
      </c>
      <c r="J17" s="73">
        <v>1</v>
      </c>
      <c r="K17" s="73">
        <v>4</v>
      </c>
      <c r="L17" s="73">
        <v>12</v>
      </c>
      <c r="M17" s="7">
        <f t="shared" si="3"/>
        <v>816</v>
      </c>
      <c r="N17" s="57">
        <f t="shared" si="2"/>
        <v>49659.840000000011</v>
      </c>
    </row>
    <row r="18" spans="1:16" ht="25.5">
      <c r="A18" s="55" t="s">
        <v>14</v>
      </c>
      <c r="B18" s="45">
        <v>4</v>
      </c>
      <c r="C18" s="45">
        <v>0</v>
      </c>
      <c r="D18" s="45">
        <v>0</v>
      </c>
      <c r="E18" s="45">
        <v>10</v>
      </c>
      <c r="F18" s="6">
        <f t="shared" si="1"/>
        <v>14</v>
      </c>
      <c r="G18" s="47">
        <f t="shared" si="0"/>
        <v>535.12000000000012</v>
      </c>
      <c r="H18" s="47">
        <v>0</v>
      </c>
      <c r="I18" s="47">
        <v>2</v>
      </c>
      <c r="J18" s="74">
        <v>1</v>
      </c>
      <c r="K18" s="74">
        <v>4</v>
      </c>
      <c r="L18" s="73">
        <v>16</v>
      </c>
      <c r="M18" s="7">
        <f t="shared" si="3"/>
        <v>896</v>
      </c>
      <c r="N18" s="57">
        <f t="shared" si="2"/>
        <v>34375.680000000008</v>
      </c>
    </row>
    <row r="19" spans="1:16" ht="13.5" thickBot="1">
      <c r="A19" s="56"/>
      <c r="B19" s="51"/>
      <c r="C19" s="51"/>
      <c r="D19" s="51"/>
      <c r="E19" s="51"/>
      <c r="F19" s="51"/>
      <c r="G19" s="53"/>
      <c r="H19" s="53"/>
      <c r="I19" s="53"/>
      <c r="J19" s="51"/>
      <c r="K19" s="51"/>
      <c r="L19" s="51"/>
      <c r="M19" s="52"/>
      <c r="N19" s="59"/>
    </row>
    <row r="20" spans="1:16" ht="26.25" thickTop="1">
      <c r="A20" s="41" t="s">
        <v>15</v>
      </c>
      <c r="B20" s="28">
        <f t="shared" ref="B20:G20" si="4">(SUM(B7:B18))-B12-B15-B17</f>
        <v>204</v>
      </c>
      <c r="C20" s="28">
        <f t="shared" si="4"/>
        <v>4</v>
      </c>
      <c r="D20" s="28">
        <f t="shared" si="4"/>
        <v>6</v>
      </c>
      <c r="E20" s="28">
        <f t="shared" si="4"/>
        <v>29</v>
      </c>
      <c r="F20" s="28">
        <f t="shared" si="4"/>
        <v>243</v>
      </c>
      <c r="G20" s="30">
        <f t="shared" si="4"/>
        <v>15210.94</v>
      </c>
      <c r="H20" s="30">
        <v>0</v>
      </c>
      <c r="I20" s="114">
        <f>(SUM(I7:I18))-I12-I15-I17</f>
        <v>10038</v>
      </c>
      <c r="J20" s="28" t="s">
        <v>16</v>
      </c>
      <c r="K20" s="28" t="s">
        <v>16</v>
      </c>
      <c r="L20" s="28" t="s">
        <v>17</v>
      </c>
      <c r="M20" s="29" t="s">
        <v>17</v>
      </c>
      <c r="N20" s="60" t="s">
        <v>17</v>
      </c>
    </row>
    <row r="21" spans="1:16" ht="25.5">
      <c r="A21" s="17" t="s">
        <v>18</v>
      </c>
      <c r="B21" s="6">
        <f>(SUM(B7:B18))-B11-B13-B14-B16</f>
        <v>170</v>
      </c>
      <c r="C21" s="6">
        <f>(SUM(C7:C18))-C11-C13-C14-C16</f>
        <v>3</v>
      </c>
      <c r="D21" s="6">
        <f>(SUM(D7:D18))-D11-D13-D14-D16</f>
        <v>5</v>
      </c>
      <c r="E21" s="6">
        <f>(SUM(E7:E18))-E11-E13-E14-E16</f>
        <v>25</v>
      </c>
      <c r="F21" s="6">
        <f>(SUM(F7:F18))-F11-F13-F14-F16</f>
        <v>203</v>
      </c>
      <c r="G21" s="9">
        <f>SUM(C21:F21)</f>
        <v>236</v>
      </c>
      <c r="H21" s="9">
        <v>0</v>
      </c>
      <c r="I21" s="115">
        <f>(SUM(I7:I18))-I11-I13-I14-I16</f>
        <v>5037</v>
      </c>
      <c r="J21" s="6" t="s">
        <v>16</v>
      </c>
      <c r="K21" s="28" t="s">
        <v>16</v>
      </c>
      <c r="L21" s="6" t="s">
        <v>17</v>
      </c>
      <c r="M21" s="7" t="s">
        <v>17</v>
      </c>
      <c r="N21" s="57" t="s">
        <v>17</v>
      </c>
    </row>
    <row r="22" spans="1:16" ht="25.5">
      <c r="A22" s="17" t="s">
        <v>19</v>
      </c>
      <c r="B22" s="6" t="s">
        <v>17</v>
      </c>
      <c r="C22" s="6" t="s">
        <v>17</v>
      </c>
      <c r="D22" s="6" t="s">
        <v>17</v>
      </c>
      <c r="E22" s="6" t="s">
        <v>17</v>
      </c>
      <c r="F22" s="6" t="s">
        <v>17</v>
      </c>
      <c r="G22" s="9">
        <f>SUMPRODUCT(G7:G18,J7:J18,K7:K18,L7:L18)</f>
        <v>708745.95200000016</v>
      </c>
      <c r="H22" s="9">
        <v>0</v>
      </c>
      <c r="I22" s="9">
        <f>SUMPRODUCT(I7:I18,J7:J18,K7:K18,L7:L18)</f>
        <v>681208</v>
      </c>
      <c r="J22" s="6">
        <v>76</v>
      </c>
      <c r="K22" s="6" t="s">
        <v>17</v>
      </c>
      <c r="L22" s="6">
        <v>16</v>
      </c>
      <c r="M22" s="7">
        <f>SUM(M7:M18)</f>
        <v>11955.2</v>
      </c>
      <c r="N22" s="57">
        <f>SUM(N7:N18)</f>
        <v>1389953.952</v>
      </c>
      <c r="O22" s="120"/>
      <c r="P22" s="117"/>
    </row>
    <row r="23" spans="1:16" ht="12.75">
      <c r="A23" s="5" t="s">
        <v>121</v>
      </c>
      <c r="I23" s="113"/>
    </row>
    <row r="24" spans="1:16">
      <c r="A24" s="5" t="s">
        <v>44</v>
      </c>
    </row>
  </sheetData>
  <mergeCells count="13">
    <mergeCell ref="B2:J2"/>
    <mergeCell ref="L2:N2"/>
    <mergeCell ref="A1:N1"/>
    <mergeCell ref="A2:A5"/>
    <mergeCell ref="F3:F5"/>
    <mergeCell ref="G3:G5"/>
    <mergeCell ref="H3:H5"/>
    <mergeCell ref="I3:I5"/>
    <mergeCell ref="J3:J5"/>
    <mergeCell ref="K3:K5"/>
    <mergeCell ref="L3:L5"/>
    <mergeCell ref="M3:M5"/>
    <mergeCell ref="N3:N5"/>
  </mergeCells>
  <phoneticPr fontId="3" type="noConversion"/>
  <printOptions horizontalCentered="1" verticalCentered="1"/>
  <pageMargins left="0.75" right="0.75" top="1" bottom="1" header="0.5" footer="0.5"/>
  <pageSetup scale="88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3"/>
  <sheetViews>
    <sheetView zoomScaleNormal="100" workbookViewId="0">
      <selection activeCell="K19" sqref="K19"/>
    </sheetView>
  </sheetViews>
  <sheetFormatPr defaultColWidth="8.42578125" defaultRowHeight="12.75"/>
  <cols>
    <col min="1" max="1" width="29.42578125" customWidth="1"/>
    <col min="2" max="2" width="10.5703125" customWidth="1"/>
    <col min="3" max="3" width="10.140625" customWidth="1"/>
    <col min="4" max="4" width="9.85546875" customWidth="1"/>
    <col min="5" max="5" width="10.28515625" customWidth="1"/>
    <col min="6" max="6" width="12.28515625" customWidth="1"/>
    <col min="7" max="7" width="11.28515625" style="62" bestFit="1" customWidth="1"/>
    <col min="8" max="8" width="14.85546875" style="62" customWidth="1"/>
    <col min="9" max="9" width="13.28515625" style="62" customWidth="1"/>
    <col min="10" max="10" width="16.5703125" style="62" customWidth="1"/>
    <col min="11" max="11" width="13.28515625" style="62" customWidth="1"/>
    <col min="12" max="12" width="8.42578125" style="62" customWidth="1"/>
    <col min="13" max="13" width="12.7109375" style="62" bestFit="1" customWidth="1"/>
  </cols>
  <sheetData>
    <row r="1" spans="1:16">
      <c r="A1" s="140" t="s">
        <v>56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"/>
      <c r="O1" s="1"/>
      <c r="P1" s="1"/>
    </row>
    <row r="2" spans="1:16">
      <c r="A2" s="144" t="s">
        <v>2</v>
      </c>
      <c r="B2" s="144" t="s">
        <v>0</v>
      </c>
      <c r="C2" s="144"/>
      <c r="D2" s="144"/>
      <c r="E2" s="144"/>
      <c r="F2" s="144"/>
      <c r="G2" s="144"/>
      <c r="H2" s="144"/>
      <c r="I2" s="144"/>
      <c r="J2" s="144"/>
      <c r="K2" s="145" t="s">
        <v>1</v>
      </c>
      <c r="L2" s="145"/>
      <c r="M2" s="145"/>
      <c r="N2" s="1"/>
      <c r="O2" s="1"/>
      <c r="P2" s="1"/>
    </row>
    <row r="3" spans="1:16" ht="19.5" customHeight="1">
      <c r="A3" s="144"/>
      <c r="B3" s="34" t="s">
        <v>61</v>
      </c>
      <c r="C3" s="34" t="s">
        <v>62</v>
      </c>
      <c r="D3" s="34" t="s">
        <v>63</v>
      </c>
      <c r="E3" s="34" t="s">
        <v>64</v>
      </c>
      <c r="F3" s="122" t="s">
        <v>48</v>
      </c>
      <c r="G3" s="141" t="s">
        <v>26</v>
      </c>
      <c r="H3" s="141" t="s">
        <v>27</v>
      </c>
      <c r="I3" s="141" t="s">
        <v>28</v>
      </c>
      <c r="J3" s="141" t="s">
        <v>53</v>
      </c>
      <c r="K3" s="141" t="s">
        <v>47</v>
      </c>
      <c r="L3" s="141" t="s">
        <v>6</v>
      </c>
      <c r="M3" s="141" t="s">
        <v>7</v>
      </c>
      <c r="N3" s="1"/>
      <c r="O3" s="1"/>
      <c r="P3" s="1"/>
    </row>
    <row r="4" spans="1:16">
      <c r="A4" s="8"/>
      <c r="B4" s="32" t="s">
        <v>60</v>
      </c>
      <c r="C4" s="32" t="s">
        <v>60</v>
      </c>
      <c r="D4" s="32" t="s">
        <v>60</v>
      </c>
      <c r="E4" s="32" t="s">
        <v>60</v>
      </c>
      <c r="F4" s="123"/>
      <c r="G4" s="142"/>
      <c r="H4" s="142"/>
      <c r="I4" s="142"/>
      <c r="J4" s="142"/>
      <c r="K4" s="142"/>
      <c r="L4" s="142"/>
      <c r="M4" s="142"/>
      <c r="N4" s="1"/>
      <c r="O4" s="1"/>
      <c r="P4" s="1"/>
    </row>
    <row r="5" spans="1:16">
      <c r="A5" s="8"/>
      <c r="B5" s="33">
        <v>65.180000000000007</v>
      </c>
      <c r="C5" s="33">
        <v>95.73</v>
      </c>
      <c r="D5" s="33">
        <v>122.59</v>
      </c>
      <c r="E5" s="33">
        <v>27.44</v>
      </c>
      <c r="F5" s="124"/>
      <c r="G5" s="143"/>
      <c r="H5" s="143"/>
      <c r="I5" s="143"/>
      <c r="J5" s="143"/>
      <c r="K5" s="143"/>
      <c r="L5" s="143"/>
      <c r="M5" s="143"/>
      <c r="N5" s="1"/>
      <c r="O5" s="1"/>
      <c r="P5" s="1"/>
    </row>
    <row r="6" spans="1:16" ht="25.5">
      <c r="A6" s="18" t="s">
        <v>29</v>
      </c>
      <c r="B6" s="19">
        <v>10</v>
      </c>
      <c r="C6" s="19">
        <v>1</v>
      </c>
      <c r="D6" s="19">
        <v>1</v>
      </c>
      <c r="E6" s="19">
        <v>0</v>
      </c>
      <c r="F6" s="19">
        <f t="shared" ref="F6:F15" si="0">B6+C6+D6+E6</f>
        <v>12</v>
      </c>
      <c r="G6" s="57">
        <f t="shared" ref="G6:G18" si="1">(B6*$B$5)+(C6*$C$5)+(D6*$D$5)+(E6*$E$5)</f>
        <v>870.12000000000012</v>
      </c>
      <c r="H6" s="58">
        <v>0</v>
      </c>
      <c r="I6" s="58">
        <v>0</v>
      </c>
      <c r="J6" s="76">
        <v>1</v>
      </c>
      <c r="K6" s="75">
        <v>16</v>
      </c>
      <c r="L6" s="64">
        <f t="shared" ref="L6:L15" si="2">F6*J6*K6</f>
        <v>192</v>
      </c>
      <c r="M6" s="58">
        <f t="shared" ref="M6:M15" si="3">(G6+H6+I6)*J6*K6</f>
        <v>13921.920000000002</v>
      </c>
      <c r="N6" s="1"/>
      <c r="O6" s="1"/>
      <c r="P6" s="1"/>
    </row>
    <row r="7" spans="1:16">
      <c r="A7" s="18" t="s">
        <v>30</v>
      </c>
      <c r="B7" s="19">
        <v>4</v>
      </c>
      <c r="C7" s="19">
        <v>0</v>
      </c>
      <c r="D7" s="19">
        <v>0</v>
      </c>
      <c r="E7" s="19">
        <v>1</v>
      </c>
      <c r="F7" s="19">
        <f t="shared" si="0"/>
        <v>5</v>
      </c>
      <c r="G7" s="57">
        <f t="shared" si="1"/>
        <v>288.16000000000003</v>
      </c>
      <c r="H7" s="58">
        <v>0</v>
      </c>
      <c r="I7" s="58">
        <v>50</v>
      </c>
      <c r="J7" s="76">
        <v>1</v>
      </c>
      <c r="K7" s="75">
        <v>16</v>
      </c>
      <c r="L7" s="64">
        <f t="shared" si="2"/>
        <v>80</v>
      </c>
      <c r="M7" s="58">
        <f t="shared" si="3"/>
        <v>5410.56</v>
      </c>
      <c r="N7" s="1"/>
      <c r="O7" s="1"/>
      <c r="P7" s="1"/>
    </row>
    <row r="8" spans="1:16">
      <c r="A8" s="18" t="s">
        <v>31</v>
      </c>
      <c r="B8" s="19">
        <v>4</v>
      </c>
      <c r="C8" s="19">
        <v>2</v>
      </c>
      <c r="D8" s="19">
        <v>0</v>
      </c>
      <c r="E8" s="19">
        <v>4</v>
      </c>
      <c r="F8" s="19">
        <f t="shared" si="0"/>
        <v>10</v>
      </c>
      <c r="G8" s="57">
        <f t="shared" si="1"/>
        <v>561.94000000000005</v>
      </c>
      <c r="H8" s="58">
        <v>0</v>
      </c>
      <c r="I8" s="58">
        <v>30</v>
      </c>
      <c r="J8" s="76">
        <v>1</v>
      </c>
      <c r="K8" s="75">
        <v>16</v>
      </c>
      <c r="L8" s="64">
        <f t="shared" si="2"/>
        <v>160</v>
      </c>
      <c r="M8" s="58">
        <f t="shared" si="3"/>
        <v>9471.0400000000009</v>
      </c>
      <c r="N8" s="1"/>
      <c r="O8" s="1"/>
      <c r="P8" s="1"/>
    </row>
    <row r="9" spans="1:16">
      <c r="A9" s="17" t="s">
        <v>58</v>
      </c>
      <c r="B9" s="19">
        <v>40</v>
      </c>
      <c r="C9" s="19">
        <v>0</v>
      </c>
      <c r="D9" s="19">
        <v>0</v>
      </c>
      <c r="E9" s="19">
        <v>8</v>
      </c>
      <c r="F9" s="19">
        <f t="shared" si="0"/>
        <v>48</v>
      </c>
      <c r="G9" s="57">
        <f t="shared" si="1"/>
        <v>2826.7200000000003</v>
      </c>
      <c r="H9" s="58">
        <v>0</v>
      </c>
      <c r="I9" s="70">
        <v>710</v>
      </c>
      <c r="J9" s="76">
        <v>2</v>
      </c>
      <c r="K9" s="75">
        <v>3</v>
      </c>
      <c r="L9" s="64">
        <f t="shared" si="2"/>
        <v>288</v>
      </c>
      <c r="M9" s="58">
        <f t="shared" si="3"/>
        <v>21220.32</v>
      </c>
      <c r="N9" s="1"/>
      <c r="O9" s="1"/>
      <c r="P9" s="1"/>
    </row>
    <row r="10" spans="1:16">
      <c r="A10" s="17" t="s">
        <v>57</v>
      </c>
      <c r="B10" s="19">
        <v>0</v>
      </c>
      <c r="C10" s="19">
        <v>0</v>
      </c>
      <c r="D10" s="19">
        <v>0</v>
      </c>
      <c r="E10" s="19">
        <v>4</v>
      </c>
      <c r="F10" s="19">
        <f t="shared" si="0"/>
        <v>4</v>
      </c>
      <c r="G10" s="57">
        <f t="shared" si="1"/>
        <v>109.76</v>
      </c>
      <c r="H10" s="58">
        <v>0</v>
      </c>
      <c r="I10" s="70">
        <v>14574</v>
      </c>
      <c r="J10" s="76">
        <v>1.5</v>
      </c>
      <c r="K10" s="75">
        <v>13</v>
      </c>
      <c r="L10" s="64">
        <f t="shared" si="2"/>
        <v>78</v>
      </c>
      <c r="M10" s="58">
        <f t="shared" si="3"/>
        <v>286333.32</v>
      </c>
      <c r="N10" s="1"/>
      <c r="O10" s="1"/>
      <c r="P10" s="1"/>
    </row>
    <row r="11" spans="1:16">
      <c r="A11" s="17" t="s">
        <v>66</v>
      </c>
      <c r="B11" s="19">
        <v>0</v>
      </c>
      <c r="C11" s="19">
        <v>0</v>
      </c>
      <c r="D11" s="19">
        <v>0</v>
      </c>
      <c r="E11" s="19">
        <v>0</v>
      </c>
      <c r="F11" s="19">
        <f t="shared" si="0"/>
        <v>0</v>
      </c>
      <c r="G11" s="57">
        <f t="shared" si="1"/>
        <v>0</v>
      </c>
      <c r="H11" s="58">
        <v>0</v>
      </c>
      <c r="I11" s="70">
        <f>4406/3</f>
        <v>1468.6666666666667</v>
      </c>
      <c r="J11" s="76">
        <v>1.5</v>
      </c>
      <c r="K11" s="75">
        <v>16</v>
      </c>
      <c r="L11" s="64">
        <f>F11*J11*K11</f>
        <v>0</v>
      </c>
      <c r="M11" s="58">
        <f>(G11+H11+I11)*J11*K11</f>
        <v>35248</v>
      </c>
      <c r="N11" s="1"/>
      <c r="O11" s="1"/>
      <c r="P11" s="1"/>
    </row>
    <row r="12" spans="1:16" ht="25.5">
      <c r="A12" s="18" t="s">
        <v>32</v>
      </c>
      <c r="B12" s="19">
        <v>16</v>
      </c>
      <c r="C12" s="19">
        <v>0</v>
      </c>
      <c r="D12" s="19">
        <v>0</v>
      </c>
      <c r="E12" s="19">
        <v>2</v>
      </c>
      <c r="F12" s="19">
        <f t="shared" si="0"/>
        <v>18</v>
      </c>
      <c r="G12" s="57">
        <f t="shared" si="1"/>
        <v>1097.7600000000002</v>
      </c>
      <c r="H12" s="58">
        <v>0</v>
      </c>
      <c r="I12" s="58">
        <v>4</v>
      </c>
      <c r="J12" s="76">
        <v>1.5</v>
      </c>
      <c r="K12" s="75">
        <v>8</v>
      </c>
      <c r="L12" s="64">
        <f t="shared" si="2"/>
        <v>216</v>
      </c>
      <c r="M12" s="58">
        <f t="shared" si="3"/>
        <v>13221.120000000003</v>
      </c>
      <c r="N12" s="1"/>
      <c r="O12" s="1"/>
      <c r="P12" s="1"/>
    </row>
    <row r="13" spans="1:16" ht="25.5">
      <c r="A13" s="18" t="s">
        <v>33</v>
      </c>
      <c r="B13" s="19">
        <v>2</v>
      </c>
      <c r="C13" s="19">
        <v>0</v>
      </c>
      <c r="D13" s="19">
        <v>0</v>
      </c>
      <c r="E13" s="19">
        <v>5</v>
      </c>
      <c r="F13" s="19">
        <f t="shared" si="0"/>
        <v>7</v>
      </c>
      <c r="G13" s="57">
        <f t="shared" si="1"/>
        <v>267.56000000000006</v>
      </c>
      <c r="H13" s="58">
        <v>0</v>
      </c>
      <c r="I13" s="58">
        <v>4</v>
      </c>
      <c r="J13" s="76">
        <v>1.5</v>
      </c>
      <c r="K13" s="75">
        <v>12</v>
      </c>
      <c r="L13" s="64">
        <f t="shared" si="2"/>
        <v>126</v>
      </c>
      <c r="M13" s="58">
        <f>(G13+H13+I13)*J13*K13</f>
        <v>4888.0800000000008</v>
      </c>
      <c r="N13" s="1"/>
      <c r="O13" s="1"/>
      <c r="P13" s="1"/>
    </row>
    <row r="14" spans="1:16">
      <c r="A14" s="18" t="s">
        <v>34</v>
      </c>
      <c r="B14" s="19">
        <v>6</v>
      </c>
      <c r="C14" s="19">
        <v>1</v>
      </c>
      <c r="D14" s="19">
        <v>1</v>
      </c>
      <c r="E14" s="19">
        <v>2</v>
      </c>
      <c r="F14" s="19">
        <f t="shared" si="0"/>
        <v>10</v>
      </c>
      <c r="G14" s="57">
        <f t="shared" si="1"/>
        <v>664.28000000000009</v>
      </c>
      <c r="H14" s="58">
        <v>0</v>
      </c>
      <c r="I14" s="58">
        <v>5</v>
      </c>
      <c r="J14" s="76">
        <v>1</v>
      </c>
      <c r="K14" s="75">
        <v>16</v>
      </c>
      <c r="L14" s="64">
        <f t="shared" si="2"/>
        <v>160</v>
      </c>
      <c r="M14" s="58">
        <f t="shared" si="3"/>
        <v>10708.480000000001</v>
      </c>
      <c r="N14" s="1"/>
      <c r="O14" s="1"/>
      <c r="P14" s="1"/>
    </row>
    <row r="15" spans="1:16">
      <c r="A15" s="18" t="s">
        <v>14</v>
      </c>
      <c r="B15" s="19">
        <v>2</v>
      </c>
      <c r="C15" s="19">
        <v>0</v>
      </c>
      <c r="D15" s="19">
        <v>0</v>
      </c>
      <c r="E15" s="19">
        <v>10</v>
      </c>
      <c r="F15" s="19">
        <f t="shared" si="0"/>
        <v>12</v>
      </c>
      <c r="G15" s="57">
        <f t="shared" si="1"/>
        <v>404.76000000000005</v>
      </c>
      <c r="H15" s="58">
        <v>0</v>
      </c>
      <c r="I15" s="58">
        <v>2</v>
      </c>
      <c r="J15" s="76">
        <v>1</v>
      </c>
      <c r="K15" s="75">
        <v>16</v>
      </c>
      <c r="L15" s="64">
        <f t="shared" si="2"/>
        <v>192</v>
      </c>
      <c r="M15" s="58">
        <f t="shared" si="3"/>
        <v>6508.1600000000008</v>
      </c>
      <c r="N15" s="1"/>
      <c r="O15" s="1"/>
      <c r="P15" s="1"/>
    </row>
    <row r="16" spans="1:16" ht="13.5" thickBot="1">
      <c r="A16" s="50"/>
      <c r="B16" s="51"/>
      <c r="C16" s="51"/>
      <c r="D16" s="51"/>
      <c r="E16" s="51"/>
      <c r="F16" s="52"/>
      <c r="G16" s="59"/>
      <c r="H16" s="59"/>
      <c r="I16" s="59"/>
      <c r="J16" s="65"/>
      <c r="K16" s="66"/>
      <c r="L16" s="66"/>
      <c r="M16" s="59"/>
      <c r="N16" s="1"/>
      <c r="O16" s="1"/>
      <c r="P16" s="1"/>
    </row>
    <row r="17" spans="1:13" ht="13.5" thickTop="1">
      <c r="A17" s="42" t="s">
        <v>15</v>
      </c>
      <c r="B17" s="43">
        <f>SUM(B6:B15)-B10-B13</f>
        <v>82</v>
      </c>
      <c r="C17" s="43">
        <f>SUM(C6:C15)-C10-C13</f>
        <v>4</v>
      </c>
      <c r="D17" s="43">
        <f>SUM(D6:D15)-D10-D13</f>
        <v>2</v>
      </c>
      <c r="E17" s="43">
        <f>SUM(E6:E15)-E10-E13</f>
        <v>27</v>
      </c>
      <c r="F17" s="43">
        <f>SUM(F6:F15)-F10-F13</f>
        <v>115</v>
      </c>
      <c r="G17" s="60">
        <f t="shared" si="1"/>
        <v>6713.7400000000007</v>
      </c>
      <c r="H17" s="61">
        <f>SUM(H2:H15)</f>
        <v>0</v>
      </c>
      <c r="I17" s="61">
        <f>SUM(I6:I15)-I10-I13</f>
        <v>2269.6666666666679</v>
      </c>
      <c r="J17" s="67" t="s">
        <v>16</v>
      </c>
      <c r="K17" s="67" t="s">
        <v>16</v>
      </c>
      <c r="L17" s="67" t="s">
        <v>17</v>
      </c>
      <c r="M17" s="61" t="s">
        <v>17</v>
      </c>
    </row>
    <row r="18" spans="1:13">
      <c r="A18" s="22" t="s">
        <v>18</v>
      </c>
      <c r="B18" s="19">
        <f>(SUM(B6:B15))-B9-B12</f>
        <v>28</v>
      </c>
      <c r="C18" s="19">
        <f>(SUM(C6:C15))-C9-C12</f>
        <v>4</v>
      </c>
      <c r="D18" s="19">
        <f>(SUM(D6:D15))-D9-D12</f>
        <v>2</v>
      </c>
      <c r="E18" s="19">
        <f>(SUM(E6:E15))-E9-E12</f>
        <v>26</v>
      </c>
      <c r="F18" s="19">
        <f>(SUM(F6:F15))-F9-F12</f>
        <v>60</v>
      </c>
      <c r="G18" s="57">
        <f t="shared" si="1"/>
        <v>3166.58</v>
      </c>
      <c r="H18" s="58">
        <v>0</v>
      </c>
      <c r="I18" s="58">
        <f>(SUM(I6:I15))-I9-I12</f>
        <v>16133.666666666668</v>
      </c>
      <c r="J18" s="64" t="s">
        <v>16</v>
      </c>
      <c r="K18" s="64" t="s">
        <v>16</v>
      </c>
      <c r="L18" s="64" t="s">
        <v>17</v>
      </c>
      <c r="M18" s="58" t="s">
        <v>17</v>
      </c>
    </row>
    <row r="19" spans="1:13">
      <c r="A19" s="18" t="s">
        <v>19</v>
      </c>
      <c r="B19" s="19" t="s">
        <v>17</v>
      </c>
      <c r="C19" s="19" t="s">
        <v>17</v>
      </c>
      <c r="D19" s="19" t="s">
        <v>17</v>
      </c>
      <c r="E19" s="19" t="s">
        <v>17</v>
      </c>
      <c r="F19" s="19" t="s">
        <v>17</v>
      </c>
      <c r="G19" s="58">
        <f>SUMPRODUCT(G1:G15,J1:J15,K1:K15)</f>
        <v>81718.000000000015</v>
      </c>
      <c r="H19" s="58">
        <v>0</v>
      </c>
      <c r="I19" s="58">
        <f>SUMPRODUCT(I1:I15,J1:J15,K1:K15)</f>
        <v>325213</v>
      </c>
      <c r="J19" s="64" t="s">
        <v>16</v>
      </c>
      <c r="K19" s="64">
        <v>16</v>
      </c>
      <c r="L19" s="64">
        <f>SUM(L6:L15)</f>
        <v>1492</v>
      </c>
      <c r="M19" s="58">
        <f>SUM(M6:M15)</f>
        <v>406931</v>
      </c>
    </row>
    <row r="20" spans="1:13">
      <c r="A20" s="5" t="s">
        <v>52</v>
      </c>
      <c r="J20" s="68"/>
      <c r="K20" s="68"/>
      <c r="L20" s="68"/>
    </row>
    <row r="21" spans="1:13" s="24" customFormat="1">
      <c r="A21" s="31" t="s">
        <v>59</v>
      </c>
      <c r="G21" s="63"/>
      <c r="H21" s="63"/>
      <c r="I21" s="63"/>
      <c r="J21" s="69"/>
      <c r="K21" s="69"/>
      <c r="L21" s="69"/>
      <c r="M21" s="63"/>
    </row>
    <row r="22" spans="1:13">
      <c r="A22" s="31" t="s">
        <v>75</v>
      </c>
    </row>
    <row r="23" spans="1:13">
      <c r="A23" s="5" t="s">
        <v>35</v>
      </c>
    </row>
  </sheetData>
  <mergeCells count="12">
    <mergeCell ref="J3:J5"/>
    <mergeCell ref="K3:K5"/>
    <mergeCell ref="L3:L5"/>
    <mergeCell ref="M3:M5"/>
    <mergeCell ref="K2:M2"/>
    <mergeCell ref="A1:M1"/>
    <mergeCell ref="B2:J2"/>
    <mergeCell ref="A2:A3"/>
    <mergeCell ref="F3:F5"/>
    <mergeCell ref="G3:G5"/>
    <mergeCell ref="H3:H5"/>
    <mergeCell ref="I3:I5"/>
  </mergeCells>
  <phoneticPr fontId="3" type="noConversion"/>
  <pageMargins left="0.75" right="0.75" top="0.5" bottom="0.5" header="0.5" footer="0.5"/>
  <pageSetup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I21" sqref="I21"/>
    </sheetView>
  </sheetViews>
  <sheetFormatPr defaultRowHeight="12.75"/>
  <cols>
    <col min="1" max="1" width="20.42578125" customWidth="1"/>
    <col min="9" max="9" width="13.85546875" bestFit="1" customWidth="1"/>
  </cols>
  <sheetData>
    <row r="1" spans="1:10">
      <c r="A1" s="146" t="s">
        <v>103</v>
      </c>
      <c r="B1" s="146"/>
      <c r="C1" s="146"/>
      <c r="D1" s="146"/>
      <c r="E1" s="146"/>
      <c r="F1" s="146"/>
      <c r="G1" s="146"/>
      <c r="H1" s="146"/>
      <c r="I1" s="146"/>
    </row>
    <row r="2" spans="1:10">
      <c r="A2" s="147" t="s">
        <v>76</v>
      </c>
      <c r="B2" s="146" t="s">
        <v>77</v>
      </c>
      <c r="C2" s="146"/>
      <c r="D2" s="146"/>
      <c r="E2" s="146"/>
      <c r="F2" s="146"/>
      <c r="G2" s="146"/>
      <c r="H2" s="146"/>
      <c r="I2" s="146"/>
    </row>
    <row r="3" spans="1:10" ht="45">
      <c r="A3" s="148"/>
      <c r="B3" s="77" t="s">
        <v>78</v>
      </c>
      <c r="C3" s="77" t="s">
        <v>79</v>
      </c>
      <c r="D3" s="77" t="s">
        <v>80</v>
      </c>
      <c r="E3" s="77" t="s">
        <v>81</v>
      </c>
      <c r="F3" s="77" t="s">
        <v>82</v>
      </c>
      <c r="G3" s="77" t="s">
        <v>83</v>
      </c>
      <c r="H3" s="78" t="s">
        <v>84</v>
      </c>
      <c r="I3" s="78" t="s">
        <v>85</v>
      </c>
    </row>
    <row r="4" spans="1:10">
      <c r="A4" s="79"/>
      <c r="B4" s="80"/>
      <c r="C4" s="81"/>
      <c r="D4" s="81"/>
      <c r="E4" s="81"/>
      <c r="F4" s="81"/>
      <c r="G4" s="81"/>
      <c r="H4" s="81"/>
      <c r="I4" s="82"/>
    </row>
    <row r="5" spans="1:10">
      <c r="A5" s="83" t="s">
        <v>61</v>
      </c>
      <c r="B5" s="101" t="s">
        <v>86</v>
      </c>
      <c r="C5" s="101">
        <v>55.46</v>
      </c>
      <c r="D5" s="101">
        <f>C5*1.6</f>
        <v>88.736000000000004</v>
      </c>
      <c r="E5" s="79">
        <v>1</v>
      </c>
      <c r="F5" s="79">
        <f t="shared" ref="F5:F11" si="0">80*26</f>
        <v>2080</v>
      </c>
      <c r="G5" s="102">
        <v>0.75</v>
      </c>
      <c r="H5" s="79">
        <f t="shared" ref="H5:H11" si="1">E5*(F5*G5)</f>
        <v>1560</v>
      </c>
      <c r="I5" s="82">
        <f t="shared" ref="I5:I11" si="2">D5*E5*(F5*G5)</f>
        <v>138428.16</v>
      </c>
      <c r="J5" s="24"/>
    </row>
    <row r="6" spans="1:10">
      <c r="A6" s="83" t="s">
        <v>61</v>
      </c>
      <c r="B6" s="101" t="s">
        <v>101</v>
      </c>
      <c r="C6" s="101">
        <v>24.74</v>
      </c>
      <c r="D6" s="101">
        <f t="shared" ref="D6:D11" si="3">C6*1.6</f>
        <v>39.584000000000003</v>
      </c>
      <c r="E6" s="79">
        <v>1</v>
      </c>
      <c r="F6" s="79">
        <f t="shared" si="0"/>
        <v>2080</v>
      </c>
      <c r="G6" s="102">
        <v>0.75</v>
      </c>
      <c r="H6" s="79">
        <f t="shared" si="1"/>
        <v>1560</v>
      </c>
      <c r="I6" s="82">
        <f t="shared" si="2"/>
        <v>61751.040000000008</v>
      </c>
      <c r="J6" s="24"/>
    </row>
    <row r="7" spans="1:10">
      <c r="A7" s="83" t="s">
        <v>102</v>
      </c>
      <c r="B7" s="80" t="s">
        <v>88</v>
      </c>
      <c r="C7" s="101">
        <v>51.19</v>
      </c>
      <c r="D7" s="80">
        <f t="shared" si="3"/>
        <v>81.903999999999996</v>
      </c>
      <c r="E7" s="81">
        <v>1</v>
      </c>
      <c r="F7" s="81">
        <f t="shared" si="0"/>
        <v>2080</v>
      </c>
      <c r="G7" s="84">
        <v>0.01</v>
      </c>
      <c r="H7" s="81">
        <f t="shared" si="1"/>
        <v>20.8</v>
      </c>
      <c r="I7" s="82">
        <f t="shared" si="2"/>
        <v>1703.6032</v>
      </c>
    </row>
    <row r="8" spans="1:10">
      <c r="A8" s="83" t="s">
        <v>87</v>
      </c>
      <c r="B8" s="80" t="s">
        <v>88</v>
      </c>
      <c r="C8" s="101">
        <v>51.19</v>
      </c>
      <c r="D8" s="80">
        <f t="shared" si="3"/>
        <v>81.903999999999996</v>
      </c>
      <c r="E8" s="81">
        <v>2</v>
      </c>
      <c r="F8" s="81">
        <f t="shared" si="0"/>
        <v>2080</v>
      </c>
      <c r="G8" s="84">
        <v>0.02</v>
      </c>
      <c r="H8" s="81">
        <f t="shared" si="1"/>
        <v>83.2</v>
      </c>
      <c r="I8" s="82">
        <f t="shared" si="2"/>
        <v>6814.4128000000001</v>
      </c>
    </row>
    <row r="9" spans="1:10">
      <c r="A9" s="83" t="s">
        <v>89</v>
      </c>
      <c r="B9" s="80" t="s">
        <v>90</v>
      </c>
      <c r="C9" s="101">
        <v>59.3</v>
      </c>
      <c r="D9" s="80">
        <f t="shared" si="3"/>
        <v>94.88</v>
      </c>
      <c r="E9" s="81">
        <v>1</v>
      </c>
      <c r="F9" s="81">
        <f t="shared" si="0"/>
        <v>2080</v>
      </c>
      <c r="G9" s="84">
        <v>7.0000000000000007E-2</v>
      </c>
      <c r="H9" s="81">
        <f t="shared" si="1"/>
        <v>145.60000000000002</v>
      </c>
      <c r="I9" s="82">
        <f t="shared" si="2"/>
        <v>13814.528000000002</v>
      </c>
    </row>
    <row r="10" spans="1:10">
      <c r="A10" s="83" t="s">
        <v>91</v>
      </c>
      <c r="B10" s="80" t="s">
        <v>92</v>
      </c>
      <c r="C10" s="101">
        <v>96.01</v>
      </c>
      <c r="D10" s="80">
        <f t="shared" si="3"/>
        <v>153.61600000000001</v>
      </c>
      <c r="E10" s="81">
        <v>1</v>
      </c>
      <c r="F10" s="81">
        <f t="shared" si="0"/>
        <v>2080</v>
      </c>
      <c r="G10" s="84">
        <v>0.01</v>
      </c>
      <c r="H10" s="81">
        <f t="shared" si="1"/>
        <v>20.8</v>
      </c>
      <c r="I10" s="82">
        <f t="shared" si="2"/>
        <v>3195.2128000000002</v>
      </c>
    </row>
    <row r="11" spans="1:10">
      <c r="A11" s="83" t="s">
        <v>93</v>
      </c>
      <c r="B11" s="80" t="s">
        <v>86</v>
      </c>
      <c r="C11" s="101">
        <v>49.72</v>
      </c>
      <c r="D11" s="80">
        <f t="shared" si="3"/>
        <v>79.552000000000007</v>
      </c>
      <c r="E11" s="81">
        <v>2</v>
      </c>
      <c r="F11" s="81">
        <f t="shared" si="0"/>
        <v>2080</v>
      </c>
      <c r="G11" s="84">
        <v>0.1</v>
      </c>
      <c r="H11" s="81">
        <f t="shared" si="1"/>
        <v>416</v>
      </c>
      <c r="I11" s="82">
        <f t="shared" si="2"/>
        <v>33093.632000000005</v>
      </c>
    </row>
    <row r="12" spans="1:10">
      <c r="A12" s="83" t="s">
        <v>94</v>
      </c>
      <c r="B12" s="89"/>
      <c r="C12" s="90"/>
      <c r="D12" s="90"/>
      <c r="E12" s="90"/>
      <c r="F12" s="90"/>
      <c r="G12" s="90"/>
      <c r="H12" s="91"/>
      <c r="I12" s="103">
        <v>17500</v>
      </c>
    </row>
    <row r="13" spans="1:10">
      <c r="A13" s="92" t="s">
        <v>65</v>
      </c>
      <c r="B13" s="149"/>
      <c r="C13" s="150"/>
      <c r="D13" s="151"/>
      <c r="E13" s="92">
        <f>SUM(E4:E12)</f>
        <v>9</v>
      </c>
      <c r="F13" s="92" t="s">
        <v>17</v>
      </c>
      <c r="G13" s="92" t="s">
        <v>17</v>
      </c>
      <c r="H13" s="93">
        <f>SUM(H4:H12)</f>
        <v>3806.4</v>
      </c>
      <c r="I13" s="94">
        <f>SUM(I4:I12)</f>
        <v>276300.58880000003</v>
      </c>
    </row>
    <row r="14" spans="1:10">
      <c r="A14" s="95"/>
      <c r="B14" s="95"/>
      <c r="C14" s="95"/>
      <c r="D14" s="95"/>
      <c r="E14" s="95"/>
      <c r="F14" s="95"/>
      <c r="G14" s="95"/>
      <c r="H14" s="95"/>
      <c r="I14" s="95"/>
    </row>
    <row r="15" spans="1:10">
      <c r="A15" s="152" t="s">
        <v>95</v>
      </c>
      <c r="B15" s="153"/>
      <c r="C15" s="153"/>
      <c r="D15" s="153"/>
      <c r="E15" s="153"/>
      <c r="F15" s="153"/>
      <c r="G15" s="153"/>
      <c r="H15" s="153"/>
      <c r="I15" s="154"/>
    </row>
    <row r="16" spans="1:10">
      <c r="A16" s="83" t="s">
        <v>96</v>
      </c>
      <c r="B16" s="85"/>
      <c r="C16" s="86"/>
      <c r="D16" s="86"/>
      <c r="E16" s="86"/>
      <c r="F16" s="86"/>
      <c r="G16" s="86"/>
      <c r="H16" s="87"/>
      <c r="I16" s="88">
        <v>4000</v>
      </c>
    </row>
    <row r="17" spans="1:9" ht="22.5">
      <c r="A17" s="83" t="s">
        <v>97</v>
      </c>
      <c r="B17" s="89"/>
      <c r="C17" s="90"/>
      <c r="D17" s="90"/>
      <c r="E17" s="90"/>
      <c r="F17" s="90"/>
      <c r="G17" s="90"/>
      <c r="H17" s="91"/>
      <c r="I17" s="88">
        <v>100</v>
      </c>
    </row>
    <row r="18" spans="1:9" ht="22.5">
      <c r="A18" s="83" t="s">
        <v>98</v>
      </c>
      <c r="B18" s="89"/>
      <c r="C18" s="90"/>
      <c r="D18" s="90"/>
      <c r="E18" s="90"/>
      <c r="F18" s="90"/>
      <c r="G18" s="90"/>
      <c r="H18" s="91"/>
      <c r="I18" s="88">
        <v>200</v>
      </c>
    </row>
    <row r="19" spans="1:9" ht="15">
      <c r="A19" s="96"/>
      <c r="B19" s="96"/>
      <c r="C19" s="96"/>
      <c r="D19" s="95"/>
      <c r="E19" s="95"/>
      <c r="F19" s="95"/>
      <c r="G19" s="95"/>
      <c r="H19" s="78" t="s">
        <v>99</v>
      </c>
      <c r="I19" s="97">
        <f>SUM(I16:I18)</f>
        <v>4300</v>
      </c>
    </row>
    <row r="20" spans="1:9">
      <c r="A20" s="95"/>
      <c r="B20" s="95"/>
      <c r="C20" s="95"/>
      <c r="D20" s="95"/>
      <c r="E20" s="95"/>
      <c r="F20" s="95"/>
      <c r="G20" s="95"/>
      <c r="H20" s="95"/>
      <c r="I20" s="98"/>
    </row>
    <row r="21" spans="1:9">
      <c r="A21" s="95"/>
      <c r="B21" s="95"/>
      <c r="C21" s="95"/>
      <c r="D21" s="95"/>
      <c r="E21" s="95"/>
      <c r="F21" s="99"/>
      <c r="G21" s="95"/>
      <c r="H21" s="78" t="s">
        <v>100</v>
      </c>
      <c r="I21" s="100">
        <f>I13+I19</f>
        <v>280600.58880000003</v>
      </c>
    </row>
    <row r="22" spans="1:9">
      <c r="A22" s="95"/>
      <c r="B22" s="95"/>
      <c r="C22" s="95"/>
      <c r="D22" s="95"/>
      <c r="E22" s="95"/>
      <c r="F22" s="95"/>
      <c r="G22" s="95"/>
      <c r="H22" s="95"/>
      <c r="I22" s="95"/>
    </row>
  </sheetData>
  <mergeCells count="5">
    <mergeCell ref="A1:I1"/>
    <mergeCell ref="A2:A3"/>
    <mergeCell ref="B2:I2"/>
    <mergeCell ref="B13:D13"/>
    <mergeCell ref="A15:I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F15" sqref="F15"/>
    </sheetView>
  </sheetViews>
  <sheetFormatPr defaultRowHeight="12.75"/>
  <cols>
    <col min="1" max="1" width="10.5703125" customWidth="1"/>
    <col min="2" max="2" width="10.140625" customWidth="1"/>
    <col min="3" max="3" width="10" customWidth="1"/>
    <col min="5" max="5" width="13.28515625" customWidth="1"/>
    <col min="6" max="6" width="11.5703125" bestFit="1" customWidth="1"/>
    <col min="7" max="7" width="10.42578125" customWidth="1"/>
    <col min="8" max="8" width="12.42578125" customWidth="1"/>
  </cols>
  <sheetData>
    <row r="1" spans="1:8" ht="15">
      <c r="A1" s="155" t="s">
        <v>104</v>
      </c>
      <c r="B1" s="155"/>
      <c r="C1" s="155"/>
      <c r="D1" s="155"/>
      <c r="E1" s="155"/>
      <c r="F1" s="155"/>
      <c r="G1" s="155"/>
      <c r="H1" s="155"/>
    </row>
    <row r="2" spans="1:8" ht="15">
      <c r="A2" s="155" t="s">
        <v>105</v>
      </c>
      <c r="B2" s="155"/>
      <c r="C2" s="155"/>
      <c r="D2" s="155"/>
      <c r="E2" s="155"/>
      <c r="F2" s="155"/>
      <c r="G2" s="155"/>
      <c r="H2" s="155"/>
    </row>
    <row r="3" spans="1:8" ht="15">
      <c r="A3" s="104"/>
      <c r="B3" s="104"/>
      <c r="C3" s="104"/>
      <c r="D3" s="104"/>
      <c r="E3" s="104"/>
      <c r="F3" s="104"/>
      <c r="G3" s="104"/>
      <c r="H3" s="104"/>
    </row>
    <row r="4" spans="1:8" ht="51">
      <c r="A4" s="105" t="s">
        <v>106</v>
      </c>
      <c r="B4" s="105" t="s">
        <v>107</v>
      </c>
      <c r="C4" s="105" t="s">
        <v>108</v>
      </c>
      <c r="D4" s="105" t="s">
        <v>109</v>
      </c>
      <c r="E4" s="105" t="s">
        <v>110</v>
      </c>
      <c r="F4" s="105" t="s">
        <v>111</v>
      </c>
      <c r="G4" s="105" t="s">
        <v>112</v>
      </c>
      <c r="H4" s="105" t="s">
        <v>113</v>
      </c>
    </row>
    <row r="5" spans="1:8">
      <c r="A5" s="106" t="s">
        <v>114</v>
      </c>
      <c r="B5" s="111">
        <v>16</v>
      </c>
      <c r="C5" s="111">
        <v>9</v>
      </c>
      <c r="D5" s="118">
        <f>'Table 2'!L20</f>
        <v>7516.3</v>
      </c>
      <c r="E5" s="119">
        <f>'Table 2'!G20</f>
        <v>475317.97300000006</v>
      </c>
      <c r="F5" s="119">
        <v>0</v>
      </c>
      <c r="G5" s="119">
        <f>'Table 2'!I20</f>
        <v>552405.89999999991</v>
      </c>
      <c r="H5" s="119">
        <f>SUM(E5:G5)</f>
        <v>1027723.8729999999</v>
      </c>
    </row>
    <row r="6" spans="1:8">
      <c r="A6" s="106" t="s">
        <v>115</v>
      </c>
      <c r="B6" s="111">
        <v>2</v>
      </c>
      <c r="C6" s="111">
        <v>7</v>
      </c>
      <c r="D6" s="118">
        <f>'Table 3'!K16</f>
        <v>580</v>
      </c>
      <c r="E6" s="119">
        <f>'Table 3'!G16</f>
        <v>37453.68</v>
      </c>
      <c r="F6" s="119">
        <v>0</v>
      </c>
      <c r="G6" s="119">
        <f>'Table 3'!I16</f>
        <v>54</v>
      </c>
      <c r="H6" s="119">
        <f>SUM(E6:G6)</f>
        <v>37507.68</v>
      </c>
    </row>
    <row r="7" spans="1:8">
      <c r="A7" s="106" t="s">
        <v>116</v>
      </c>
      <c r="B7" s="112">
        <v>16</v>
      </c>
      <c r="C7" s="111">
        <v>10</v>
      </c>
      <c r="D7" s="118">
        <f>'Table 4'!M22</f>
        <v>11955.2</v>
      </c>
      <c r="E7" s="119">
        <f>'Table 4'!G22</f>
        <v>708745.95200000016</v>
      </c>
      <c r="F7" s="119">
        <v>0</v>
      </c>
      <c r="G7" s="119">
        <f>'Table 4'!I22</f>
        <v>681208</v>
      </c>
      <c r="H7" s="119">
        <f>SUM(E7:G7)</f>
        <v>1389953.952</v>
      </c>
    </row>
    <row r="8" spans="1:8">
      <c r="A8" s="106" t="s">
        <v>117</v>
      </c>
      <c r="B8" s="112">
        <v>16</v>
      </c>
      <c r="C8" s="111">
        <v>7</v>
      </c>
      <c r="D8" s="118">
        <f>'Table 5'!L19</f>
        <v>1492</v>
      </c>
      <c r="E8" s="119">
        <f>'Table 5'!G19</f>
        <v>81718.000000000015</v>
      </c>
      <c r="F8" s="119">
        <v>0</v>
      </c>
      <c r="G8" s="119">
        <f>'Table 5'!I19</f>
        <v>325213</v>
      </c>
      <c r="H8" s="119">
        <f>SUM(E8:G8)</f>
        <v>406931</v>
      </c>
    </row>
    <row r="9" spans="1:8">
      <c r="A9" s="108" t="s">
        <v>118</v>
      </c>
      <c r="B9" s="108">
        <v>16</v>
      </c>
      <c r="C9" s="108">
        <f t="shared" ref="C9:H9" si="0">SUM(C5:C8)</f>
        <v>33</v>
      </c>
      <c r="D9" s="109">
        <f>SUM(D5:D8)</f>
        <v>21543.5</v>
      </c>
      <c r="E9" s="116">
        <f t="shared" si="0"/>
        <v>1303235.6050000002</v>
      </c>
      <c r="F9" s="116">
        <f t="shared" si="0"/>
        <v>0</v>
      </c>
      <c r="G9" s="116">
        <f t="shared" si="0"/>
        <v>1558880.9</v>
      </c>
      <c r="H9" s="116">
        <f t="shared" si="0"/>
        <v>2862116.5049999999</v>
      </c>
    </row>
    <row r="10" spans="1:8">
      <c r="D10" s="107"/>
      <c r="E10" s="110"/>
      <c r="F10" s="110"/>
      <c r="G10" s="110"/>
      <c r="H10" s="110"/>
    </row>
    <row r="11" spans="1:8">
      <c r="A11" s="106"/>
      <c r="B11" s="106" t="s">
        <v>119</v>
      </c>
      <c r="C11" s="106"/>
      <c r="D11" s="107">
        <f>D9/B9</f>
        <v>1346.46875</v>
      </c>
      <c r="E11" s="110"/>
      <c r="F11" s="110"/>
      <c r="G11" s="110"/>
      <c r="H11" s="110"/>
    </row>
    <row r="15" spans="1:8">
      <c r="F15" s="121"/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2</vt:lpstr>
      <vt:lpstr>Table 3</vt:lpstr>
      <vt:lpstr>Table 4</vt:lpstr>
      <vt:lpstr>Table 5</vt:lpstr>
      <vt:lpstr>Agency Burden</vt:lpstr>
      <vt:lpstr>Respondent Tally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Yanira</dc:creator>
  <cp:lastModifiedBy>Courtney Kerwin</cp:lastModifiedBy>
  <cp:lastPrinted>2004-12-13T07:51:09Z</cp:lastPrinted>
  <dcterms:created xsi:type="dcterms:W3CDTF">2004-09-24T02:06:11Z</dcterms:created>
  <dcterms:modified xsi:type="dcterms:W3CDTF">2013-02-20T18:59:43Z</dcterms:modified>
</cp:coreProperties>
</file>