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20" yWindow="-15" windowWidth="12570" windowHeight="10080" activeTab="4"/>
  </bookViews>
  <sheets>
    <sheet name="Number of Reports_Filers" sheetId="1" r:id="rId1"/>
    <sheet name="Total Burden for All Reports" sheetId="2" r:id="rId2"/>
    <sheet name="Burden and Cost Per Filer" sheetId="3" r:id="rId3"/>
    <sheet name="Reg. Flex Analysis " sheetId="4" r:id="rId4"/>
    <sheet name="Revised_final persuader stats" sheetId="5" r:id="rId5"/>
    <sheet name="Sheet1" sheetId="6" r:id="rId6"/>
  </sheets>
  <definedNames>
    <definedName name="Z_07D1C6E8_1552_4ABF_BFED_D23DC7C1C406_.wvu.Cols" localSheetId="2" hidden="1">'Burden and Cost Per Filer'!$D:$D</definedName>
    <definedName name="Z_07D1C6E8_1552_4ABF_BFED_D23DC7C1C406_.wvu.Cols" localSheetId="1" hidden="1">'Total Burden for All Reports'!$D:$D</definedName>
    <definedName name="Z_E3F6BAC6_6800_43B1_BFE7_2CAB78C78903_.wvu.Cols" localSheetId="2" hidden="1">'Burden and Cost Per Filer'!$D:$D</definedName>
    <definedName name="Z_E3F6BAC6_6800_43B1_BFE7_2CAB78C78903_.wvu.Cols" localSheetId="1" hidden="1">'Total Burden for All Reports'!$D:$D</definedName>
  </definedNames>
  <calcPr calcId="145621"/>
  <customWorkbookViews>
    <customWorkbookView name="Davis, Andrew - OLMS - Personal View" guid="{07D1C6E8-1552-4ABF-BFED-D23DC7C1C406}" mergeInterval="0" personalView="1" maximized="1" windowWidth="1916" windowHeight="855" activeSheetId="5"/>
    <customWorkbookView name="Aziz, Dyana - OLMS - Personal View" guid="{E3F6BAC6-6800-43B1-BFE7-2CAB78C78903}" mergeInterval="0" personalView="1" maximized="1" windowWidth="1916" windowHeight="855" activeSheetId="2"/>
  </customWorkbookViews>
</workbook>
</file>

<file path=xl/calcChain.xml><?xml version="1.0" encoding="utf-8"?>
<calcChain xmlns="http://schemas.openxmlformats.org/spreadsheetml/2006/main">
  <c r="B22" i="5" l="1"/>
  <c r="B15" i="5" l="1"/>
  <c r="B14" i="5"/>
  <c r="B13" i="5"/>
  <c r="J28" i="4"/>
  <c r="J31" i="4"/>
  <c r="J27" i="4"/>
  <c r="J30" i="4" l="1"/>
  <c r="J16" i="4"/>
  <c r="J12" i="4"/>
  <c r="J13" i="4" s="1"/>
  <c r="B18" i="3"/>
  <c r="D3" i="1"/>
  <c r="A30" i="5"/>
  <c r="C15" i="1" l="1"/>
  <c r="C3" i="1"/>
  <c r="B3" i="1"/>
  <c r="A3" i="1" s="1"/>
  <c r="N4" i="3"/>
  <c r="R4" i="3" l="1"/>
  <c r="J5" i="4"/>
  <c r="J6" i="4" s="1"/>
  <c r="J8" i="4"/>
  <c r="J9" i="4" s="1"/>
  <c r="B11" i="5"/>
  <c r="B10" i="5"/>
  <c r="B12" i="5" l="1"/>
  <c r="A18" i="5"/>
  <c r="A16" i="5"/>
  <c r="B24" i="5"/>
  <c r="E4" i="3" l="1"/>
  <c r="E4" i="2"/>
  <c r="H3" i="1"/>
  <c r="H5" i="5"/>
  <c r="H7" i="5" s="1"/>
  <c r="L15" i="3" l="1"/>
  <c r="N15" i="3" s="1"/>
  <c r="G3" i="1"/>
  <c r="L4" i="3"/>
  <c r="B15" i="1"/>
  <c r="A15" i="1" s="1"/>
  <c r="E36" i="4" s="1"/>
  <c r="B7" i="1"/>
  <c r="A11" i="1" s="1"/>
  <c r="E34" i="4" l="1"/>
  <c r="E38" i="4" s="1"/>
  <c r="A20" i="1"/>
  <c r="J19" i="4"/>
  <c r="R15" i="3"/>
  <c r="J24" i="4"/>
  <c r="J25" i="4" s="1"/>
  <c r="C11" i="2"/>
  <c r="E10" i="2" s="1"/>
  <c r="C11" i="1"/>
  <c r="E9" i="3" s="1"/>
  <c r="P9" i="3" s="1"/>
  <c r="L5" i="4" s="1"/>
  <c r="L6" i="4" s="1"/>
  <c r="E15" i="3"/>
  <c r="P15" i="3" s="1"/>
  <c r="S15" i="3" s="1"/>
  <c r="E6" i="2"/>
  <c r="D15" i="1"/>
  <c r="P4" i="3"/>
  <c r="U4" i="3"/>
  <c r="I3" i="1"/>
  <c r="U15" i="3"/>
  <c r="E15" i="1"/>
  <c r="A20" i="5"/>
  <c r="P17" i="3" l="1"/>
  <c r="S18" i="3" s="1"/>
  <c r="F34" i="4"/>
  <c r="B19" i="3"/>
  <c r="E45" i="4" s="1"/>
  <c r="J20" i="4"/>
  <c r="L20" i="4"/>
  <c r="L8" i="4"/>
  <c r="L9" i="4" s="1"/>
  <c r="V4" i="3"/>
  <c r="S4" i="3"/>
  <c r="S17" i="3" s="1"/>
  <c r="G6" i="2"/>
  <c r="K6" i="2"/>
  <c r="V15" i="3"/>
  <c r="P20" i="3" l="1"/>
  <c r="V17" i="3"/>
  <c r="V18" i="3" s="1"/>
  <c r="Z6" i="2"/>
  <c r="M6" i="2"/>
  <c r="AA6" i="2" s="1"/>
  <c r="X6" i="2"/>
  <c r="I6" i="2"/>
  <c r="O6" i="2"/>
  <c r="AB6" i="2" s="1"/>
  <c r="K4" i="2"/>
  <c r="M4" i="2" s="1"/>
  <c r="U4" i="2" s="1"/>
  <c r="G4" i="2"/>
  <c r="I4" i="2" s="1"/>
  <c r="T4" i="2" s="1"/>
  <c r="K10" i="2"/>
  <c r="M10" i="2" s="1"/>
  <c r="G10" i="2"/>
  <c r="T6" i="2" l="1"/>
  <c r="Q6" i="2"/>
  <c r="AC6" i="2" s="1"/>
  <c r="Y6" i="2"/>
  <c r="U6" i="2"/>
  <c r="O10" i="2"/>
  <c r="Z4" i="2"/>
  <c r="I10" i="2"/>
  <c r="Q10" i="2" s="1"/>
  <c r="Q4" i="2"/>
  <c r="V4" i="2" s="1"/>
  <c r="Y4" i="2"/>
  <c r="X4" i="2"/>
  <c r="O4" i="2"/>
  <c r="AB4" i="2" s="1"/>
  <c r="AA4" i="2"/>
  <c r="V6" i="2" l="1"/>
  <c r="AC4" i="2"/>
</calcChain>
</file>

<file path=xl/comments1.xml><?xml version="1.0" encoding="utf-8"?>
<comments xmlns="http://schemas.openxmlformats.org/spreadsheetml/2006/main">
  <authors>
    <author>Davis, Andrew - OLMS</author>
    <author>Aziz, Dyana - OLMS</author>
    <author>anddavis</author>
  </authors>
  <commentList>
    <comment ref="B3" authorId="0" guid="{FF3EEDD9-2AD5-4408-A7F8-F13C85D9E766}">
      <text>
        <r>
          <rPr>
            <b/>
            <sz val="9"/>
            <color indexed="81"/>
            <rFont val="Tahoma"/>
            <family val="2"/>
          </rPr>
          <t>Davis, Andrew - OLMS:</t>
        </r>
        <r>
          <rPr>
            <sz val="9"/>
            <color indexed="81"/>
            <rFont val="Tahoma"/>
            <family val="2"/>
          </rPr>
          <t xml:space="preserve">
See Tab 5.
</t>
        </r>
      </text>
    </comment>
    <comment ref="C3" authorId="1" guid="{990A379D-404A-4049-A8B1-D74E5D7A1C2D}">
      <text>
        <r>
          <rPr>
            <b/>
            <sz val="9"/>
            <color indexed="81"/>
            <rFont val="Tahoma"/>
            <family val="2"/>
          </rPr>
          <t>Aziz, Dyana - OLMS:</t>
        </r>
        <r>
          <rPr>
            <sz val="9"/>
            <color indexed="81"/>
            <rFont val="Tahoma"/>
            <family val="2"/>
          </rPr>
          <t xml:space="preserve">
See NMB annual reports for FY 10-14, Table 1, Cases Received and Closed (used "new cases").  For FY 14 see https://storage.googleapis.com/dakota-dev-content/NMB-2014-Annual-Report.pdf.  Figure is average of FY 10-14.</t>
        </r>
      </text>
    </comment>
    <comment ref="D3" authorId="0" guid="{8CBD14E9-9519-471E-81B8-7186DE97FB21}">
      <text>
        <r>
          <rPr>
            <b/>
            <sz val="9"/>
            <color indexed="81"/>
            <rFont val="Tahoma"/>
            <charset val="1"/>
          </rPr>
          <t>Davis, Andrew - OLMS:</t>
        </r>
        <r>
          <rPr>
            <sz val="9"/>
            <color indexed="81"/>
            <rFont val="Tahoma"/>
            <charset val="1"/>
          </rPr>
          <t xml:space="preserve">
Average of five most recent academic studies estimating employer use of consultants to orchestrate counter-organizing campaigns: 71%, 75%, 75%, 82%, and 87%.  See fn. 13, page 31 of preamble.  
</t>
        </r>
      </text>
    </comment>
    <comment ref="E3" authorId="0" guid="{42FC71CF-2E8A-4FFC-8F26-162129B2056B}">
      <text>
        <r>
          <rPr>
            <b/>
            <sz val="9"/>
            <color indexed="81"/>
            <rFont val="Tahoma"/>
            <family val="2"/>
          </rPr>
          <t>Davis, Andrew - OLMS:</t>
        </r>
        <r>
          <rPr>
            <sz val="9"/>
            <color indexed="81"/>
            <rFont val="Tahoma"/>
            <family val="2"/>
          </rPr>
          <t xml:space="preserve">
Source: U.S. Census Bureau, Statistics of U.S. Businesses: 2012: Number of Firms, Number of Establishments, Employment, and Annual Payroll by Enterprise Employment Size for the United States, All Industries:  2012, released on 1/23/15, NAICS 813910 - Business Asssociations, located at http://www.census.gov/econ/susb/.  Saved as a spreadsheet on the Y Drive.  Note: we looked at those business associations with 20 or more employees that operated year round.
</t>
        </r>
      </text>
    </comment>
    <comment ref="F3" authorId="2" guid="{6B37ED6B-3ECF-4C1C-8243-9CEF5721D533}">
      <text>
        <r>
          <rPr>
            <b/>
            <sz val="8"/>
            <color indexed="81"/>
            <rFont val="Tahoma"/>
            <family val="2"/>
          </rPr>
          <t>anddavis:</t>
        </r>
        <r>
          <rPr>
            <sz val="8"/>
            <color indexed="81"/>
            <rFont val="Tahoma"/>
            <family val="2"/>
          </rPr>
          <t xml:space="preserve">
This assumes that the law/consultant firms conducting the trade association seminars will also conduct an equal number (in the aggregate) of independently facilitated seminars.</t>
        </r>
      </text>
    </comment>
    <comment ref="H3" authorId="0" guid="{495BB2A3-BF1B-4136-9B63-352FE8835185}">
      <text>
        <r>
          <rPr>
            <b/>
            <sz val="9"/>
            <color indexed="81"/>
            <rFont val="Tahoma"/>
            <family val="2"/>
          </rPr>
          <t>Davis, Andrew - OLMS:</t>
        </r>
        <r>
          <rPr>
            <sz val="9"/>
            <color indexed="81"/>
            <rFont val="Tahoma"/>
            <family val="2"/>
          </rPr>
          <t xml:space="preserve">
We estimated 387 LM-20 reports in the  most recent ICR (for the three-year renewal in 2013, as well as for the 2015 LM-3/4 ICR, which used identical numbers).
</t>
        </r>
      </text>
    </comment>
    <comment ref="I3" authorId="2" guid="{C1C3EF06-8458-44E5-B509-3B677E2022EA}">
      <text>
        <r>
          <rPr>
            <b/>
            <sz val="8"/>
            <color indexed="81"/>
            <rFont val="Tahoma"/>
            <family val="2"/>
          </rPr>
          <t>anddavis:</t>
        </r>
        <r>
          <rPr>
            <sz val="8"/>
            <color indexed="81"/>
            <rFont val="Tahoma"/>
            <family val="2"/>
          </rPr>
          <t xml:space="preserve">
We estimated 2,601 reports in the NPRM.  See 76 FR 36198.</t>
        </r>
      </text>
    </comment>
    <comment ref="C7" authorId="0" guid="{4D8DBAB6-4A8D-4893-B842-302566DE879E}">
      <text>
        <r>
          <rPr>
            <b/>
            <sz val="9"/>
            <color indexed="81"/>
            <rFont val="Tahoma"/>
            <family val="2"/>
          </rPr>
          <t>Davis, Andrew - OLMS:</t>
        </r>
        <r>
          <rPr>
            <sz val="9"/>
            <color indexed="81"/>
            <rFont val="Tahoma"/>
            <family val="2"/>
          </rPr>
          <t xml:space="preserve">
See tab 5.
</t>
        </r>
      </text>
    </comment>
    <comment ref="B14" authorId="2" guid="{5E19ABE9-017A-4DD9-8389-81A6966782A0}">
      <text>
        <r>
          <rPr>
            <b/>
            <sz val="8"/>
            <color indexed="81"/>
            <rFont val="Tahoma"/>
            <family val="2"/>
          </rPr>
          <t>anddavis:</t>
        </r>
        <r>
          <rPr>
            <sz val="8"/>
            <color indexed="81"/>
            <rFont val="Tahoma"/>
            <family val="2"/>
          </rPr>
          <t xml:space="preserve">
This equals the number of LM-20 non-seminar reports, i.e. those filed by law/consultant firms per individual employer agreements.</t>
        </r>
      </text>
    </comment>
    <comment ref="C14" authorId="0" guid="{09B6F4DA-6190-417D-9E1D-22EE8D48EE87}">
      <text>
        <r>
          <rPr>
            <b/>
            <sz val="9"/>
            <color indexed="81"/>
            <rFont val="Tahoma"/>
            <family val="2"/>
          </rPr>
          <t>Davis, Andrew - OLMS:</t>
        </r>
        <r>
          <rPr>
            <sz val="9"/>
            <color indexed="81"/>
            <rFont val="Tahoma"/>
            <family val="2"/>
          </rPr>
          <t xml:space="preserve">
See tab 5.
</t>
        </r>
      </text>
    </comment>
    <comment ref="D14" authorId="0" guid="{B518A0A5-4EFE-4A4E-8050-6512A4D54B58}">
      <text>
        <r>
          <rPr>
            <b/>
            <sz val="9"/>
            <color indexed="81"/>
            <rFont val="Tahoma"/>
            <family val="2"/>
          </rPr>
          <t>Davis, Andrew - OLMS:</t>
        </r>
        <r>
          <rPr>
            <sz val="9"/>
            <color indexed="81"/>
            <rFont val="Tahoma"/>
            <family val="2"/>
          </rPr>
          <t xml:space="preserve">
We estimated 957 LM-10 reports in the most recent ICR (for the three-year renewal in 2013, as well as for the 2015 LM-3/4 ICR, which used identical numbers).
</t>
        </r>
      </text>
    </comment>
    <comment ref="B19" authorId="0" guid="{2377A89F-82D8-4E3E-AAA2-A07AE9CEEEF7}">
      <text>
        <r>
          <rPr>
            <b/>
            <sz val="9"/>
            <color indexed="81"/>
            <rFont val="Tahoma"/>
            <family val="2"/>
          </rPr>
          <t>Davis, Andrew - OLMS:</t>
        </r>
        <r>
          <rPr>
            <sz val="9"/>
            <color indexed="81"/>
            <rFont val="Tahoma"/>
            <family val="2"/>
          </rPr>
          <t xml:space="preserve">
Derives from Martindale law firm search engine at: http://www.martindale.com/Results.aspx, on 5/18/15.  Note: only a subset of the 165,435 law firms listed in Census, NAICS "Office of Lawyers" 541110 category.  See: Statistics of U.S. Businesses: 2012: NAICS 541110 - Offices of Lawyers, United States, accessed at: www.census.gov/econ/susb/.
</t>
        </r>
      </text>
    </comment>
    <comment ref="C19" authorId="0" guid="{2D6F6376-26D3-4940-9101-A2B12B9C8264}">
      <text>
        <r>
          <rPr>
            <b/>
            <sz val="9"/>
            <color indexed="81"/>
            <rFont val="Tahoma"/>
            <family val="2"/>
          </rPr>
          <t>Davis, Andrew - OLMS:</t>
        </r>
        <r>
          <rPr>
            <sz val="9"/>
            <color indexed="81"/>
            <rFont val="Tahoma"/>
            <family val="2"/>
          </rPr>
          <t xml:space="preserve">
See Statistics of U.S. Businesses: 2012: NAICS 813910 - Business Associations, United States, number of firms, accessed at: http://www.census.gov/econ/susb/.  Saved as a spreadsheet on Y Drive.
</t>
        </r>
      </text>
    </comment>
    <comment ref="D19" authorId="0" guid="{096BCF31-615A-42FD-8B28-B43D82E4DEC4}">
      <text>
        <r>
          <rPr>
            <b/>
            <sz val="9"/>
            <color indexed="81"/>
            <rFont val="Tahoma"/>
            <family val="2"/>
          </rPr>
          <t>Davis, Andrew - OLMS:</t>
        </r>
        <r>
          <rPr>
            <sz val="9"/>
            <color indexed="81"/>
            <rFont val="Tahoma"/>
            <family val="2"/>
          </rPr>
          <t xml:space="preserve">
See Statistics of U.S. Businesses: 2012: NAICS 541612 - Human Resources Consulting Services, United States, number of firms, accessed at: http://www.census.gov/econ/susb/.  Saved as a spreadsheet on Y Drive.
</t>
        </r>
      </text>
    </comment>
    <comment ref="A20" authorId="0" guid="{1172050E-D96F-49E7-80D3-8F91B004E1F6}">
      <text>
        <r>
          <rPr>
            <b/>
            <sz val="9"/>
            <color indexed="81"/>
            <rFont val="Tahoma"/>
            <family val="2"/>
          </rPr>
          <t>Davis, Andrew - OLMS:</t>
        </r>
        <r>
          <rPr>
            <sz val="9"/>
            <color indexed="81"/>
            <rFont val="Tahoma"/>
            <family val="2"/>
          </rPr>
          <t xml:space="preserve">
First, concerning law firms, while there are 165,435 firms within NAICS Code 541110, not all such firms will need to review the reporting requirements; rather, only those involved in labor and employment law.  Indeed, only 17,387 firms in the United States fall into such category.  See Martindale law firm search engine at http://www.martindale.com/Results.aspx.  Search conducted on 5/18/15 for all United States law firms that focus on labor and employment law.  Second, as stated, there are 6,461 consultant firms within NAICS Code 541612.  See, supra, Statistics of U.S. Businesses: 2012: NAICS 541612, accessed at: http://www.census.gov/econ/susb/.  Saved as a spreadsheet on Y Drive.  Third, there are 15,808 business association firms in the United States.  See, number of “business associations” firms from the U.S. Census Bureau’s NAICS 813910, which includes trade associations and chambers of commerce.  
These three figures were summed, and then we subtracted out the number of filing entities.
</t>
        </r>
      </text>
    </comment>
  </commentList>
</comments>
</file>

<file path=xl/comments2.xml><?xml version="1.0" encoding="utf-8"?>
<comments xmlns="http://schemas.openxmlformats.org/spreadsheetml/2006/main">
  <authors>
    <author>anddavis</author>
    <author>quilloin</author>
    <author>Davis, Andrew - OLMS</author>
  </authors>
  <commentList>
    <comment ref="E4" authorId="0" guid="{D4A406D1-D7C3-44B7-83C0-F98DC9AF8D3A}">
      <text>
        <r>
          <rPr>
            <b/>
            <sz val="8"/>
            <color indexed="81"/>
            <rFont val="Tahoma"/>
            <family val="2"/>
          </rPr>
          <t>anddavis:</t>
        </r>
        <r>
          <rPr>
            <sz val="8"/>
            <color indexed="81"/>
            <rFont val="Tahoma"/>
            <family val="2"/>
          </rPr>
          <t xml:space="preserve">
Note: this number has been rounded.</t>
        </r>
      </text>
    </comment>
    <comment ref="G4" authorId="1" guid="{F1A9522C-459E-40DD-840A-A3F07B3951C5}">
      <text>
        <r>
          <rPr>
            <b/>
            <sz val="8"/>
            <color indexed="81"/>
            <rFont val="Tahoma"/>
            <family val="2"/>
          </rPr>
          <t>quilloin:</t>
        </r>
        <r>
          <rPr>
            <sz val="8"/>
            <color indexed="81"/>
            <rFont val="Tahoma"/>
            <family val="2"/>
          </rPr>
          <t xml:space="preserve">
the Department estimates that the burden of maintaining and gathering records is 15 minutes</t>
        </r>
      </text>
    </comment>
    <comment ref="K4" authorId="1" guid="{4806958A-07CE-4C5F-9BC9-5CAD1F45D0B8}">
      <text>
        <r>
          <rPr>
            <b/>
            <sz val="8"/>
            <color indexed="81"/>
            <rFont val="Tahoma"/>
            <family val="2"/>
          </rPr>
          <t>quilloin:</t>
        </r>
        <r>
          <rPr>
            <sz val="8"/>
            <color indexed="81"/>
            <rFont val="Tahoma"/>
            <family val="2"/>
          </rPr>
          <t xml:space="preserve">
The Department estimates 83 minutes associated with reviewing the instructions and reporting the data.  </t>
        </r>
      </text>
    </comment>
    <comment ref="T4" authorId="2" guid="{9E9089E2-CF3E-4071-8225-96104D694DFA}">
      <text>
        <r>
          <rPr>
            <b/>
            <sz val="9"/>
            <color indexed="81"/>
            <rFont val="Tahoma"/>
            <family val="2"/>
          </rPr>
          <t>Davis, Andrew - OLMS:</t>
        </r>
        <r>
          <rPr>
            <sz val="9"/>
            <color indexed="81"/>
            <rFont val="Tahoma"/>
            <family val="2"/>
          </rPr>
          <t xml:space="preserve">
All ICR estimates for the LM-10 and LM-20 derive from the recent ICR (for the three-year renewal in 2013, as well as for the 2015 LM-3/4 ICR, which used identical numbers).
</t>
        </r>
      </text>
    </comment>
    <comment ref="X4" authorId="0" guid="{2BB1B98F-0362-4735-9446-28F50FAEDFA9}">
      <text>
        <r>
          <rPr>
            <b/>
            <sz val="8"/>
            <color indexed="81"/>
            <rFont val="Tahoma"/>
            <family val="2"/>
          </rPr>
          <t>anddavis:</t>
        </r>
        <r>
          <rPr>
            <sz val="8"/>
            <color indexed="81"/>
            <rFont val="Tahoma"/>
            <family val="2"/>
          </rPr>
          <t xml:space="preserve">
NPRM recordkeeping minute estimate: 39,015 (note: the NPRM at one point, incorrectly, stated that the burden was 30,855 minutes, 76 FR 36201).</t>
        </r>
      </text>
    </comment>
    <comment ref="Y4" authorId="0" guid="{69B5D4F3-6280-4346-9A93-66432BE421AC}">
      <text>
        <r>
          <rPr>
            <b/>
            <sz val="8"/>
            <color indexed="81"/>
            <rFont val="Tahoma"/>
            <family val="2"/>
          </rPr>
          <t>anddavis:</t>
        </r>
        <r>
          <rPr>
            <sz val="8"/>
            <color indexed="81"/>
            <rFont val="Tahoma"/>
            <family val="2"/>
          </rPr>
          <t xml:space="preserve">
Total recordkeeping burden in NPRM in hours: 650.25.</t>
        </r>
      </text>
    </comment>
    <comment ref="Z4" authorId="0" guid="{D1548A7C-49C2-49D2-AC09-30CBE9698061}">
      <text>
        <r>
          <rPr>
            <b/>
            <sz val="8"/>
            <color indexed="81"/>
            <rFont val="Tahoma"/>
            <family val="2"/>
          </rPr>
          <t>anddavis:</t>
        </r>
        <r>
          <rPr>
            <sz val="8"/>
            <color indexed="81"/>
            <rFont val="Tahoma"/>
            <family val="2"/>
          </rPr>
          <t xml:space="preserve">
The total reporting burden in minutes from the NPRM is: 117,045 .</t>
        </r>
      </text>
    </comment>
    <comment ref="AA4" authorId="0" guid="{9A7EC09F-ADE1-4A83-A35B-0DFA4D5E7B52}">
      <text>
        <r>
          <rPr>
            <b/>
            <sz val="8"/>
            <color indexed="81"/>
            <rFont val="Tahoma"/>
            <family val="2"/>
          </rPr>
          <t>anddavis:</t>
        </r>
        <r>
          <rPr>
            <sz val="8"/>
            <color indexed="81"/>
            <rFont val="Tahoma"/>
            <family val="2"/>
          </rPr>
          <t xml:space="preserve">
NPRM Total reporting burden estimate (in hours): 1,950.75 hours.</t>
        </r>
      </text>
    </comment>
    <comment ref="E6" authorId="0" guid="{53F5637F-D199-482A-847A-05DB2E63FEA4}">
      <text>
        <r>
          <rPr>
            <b/>
            <sz val="8"/>
            <color indexed="81"/>
            <rFont val="Tahoma"/>
            <family val="2"/>
          </rPr>
          <t>anddavis:</t>
        </r>
        <r>
          <rPr>
            <sz val="8"/>
            <color indexed="81"/>
            <rFont val="Tahoma"/>
            <family val="2"/>
          </rPr>
          <t xml:space="preserve">
Note: this number has been rounded.</t>
        </r>
      </text>
    </comment>
    <comment ref="G6" authorId="1" guid="{156A8845-0A2C-436E-955C-774827445911}">
      <text>
        <r>
          <rPr>
            <b/>
            <sz val="8"/>
            <color indexed="81"/>
            <rFont val="Tahoma"/>
            <family val="2"/>
          </rPr>
          <t>quilloin:</t>
        </r>
        <r>
          <rPr>
            <sz val="8"/>
            <color indexed="81"/>
            <rFont val="Tahoma"/>
            <family val="2"/>
          </rPr>
          <t xml:space="preserve">
the Department estimates that the burden of maintaining and gathering records is 25 minutes</t>
        </r>
      </text>
    </comment>
    <comment ref="K6" authorId="1" guid="{B7453C9E-F7C5-4F77-94F6-DF55BFC4B0C2}">
      <text>
        <r>
          <rPr>
            <b/>
            <sz val="8"/>
            <color indexed="81"/>
            <rFont val="Tahoma"/>
            <family val="2"/>
          </rPr>
          <t>quilloin:</t>
        </r>
        <r>
          <rPr>
            <sz val="8"/>
            <color indexed="81"/>
            <rFont val="Tahoma"/>
            <family val="2"/>
          </rPr>
          <t xml:space="preserve">
The Department estimates 122 minutes associated with reviewing the instructions and reporting the data.  </t>
        </r>
      </text>
    </comment>
    <comment ref="A10" authorId="0" guid="{FB728BD5-D5E3-4A37-A73A-A77F31E97B57}">
      <text>
        <r>
          <rPr>
            <b/>
            <sz val="8"/>
            <color indexed="81"/>
            <rFont val="Tahoma"/>
            <family val="2"/>
          </rPr>
          <t>anddavis:</t>
        </r>
        <r>
          <rPr>
            <sz val="8"/>
            <color indexed="81"/>
            <rFont val="Tahoma"/>
            <family val="2"/>
          </rPr>
          <t xml:space="preserve">
The 369 figure has been rounded from the unrounded number listed on the "Number of Reports_Filers" tab.</t>
        </r>
      </text>
    </comment>
    <comment ref="E10" authorId="0" guid="{91F16504-9E5B-44E1-84B4-94CB5F38ADDB}">
      <text>
        <r>
          <rPr>
            <b/>
            <sz val="8"/>
            <color indexed="81"/>
            <rFont val="Tahoma"/>
            <family val="2"/>
          </rPr>
          <t>anddavis:</t>
        </r>
        <r>
          <rPr>
            <sz val="8"/>
            <color indexed="81"/>
            <rFont val="Tahoma"/>
            <family val="2"/>
          </rPr>
          <t xml:space="preserve">
This is the number of reports filed per the approximately 369 law/consultant firms.
</t>
        </r>
      </text>
    </comment>
  </commentList>
</comments>
</file>

<file path=xl/comments3.xml><?xml version="1.0" encoding="utf-8"?>
<comments xmlns="http://schemas.openxmlformats.org/spreadsheetml/2006/main">
  <authors>
    <author>quilloin</author>
    <author>anddavis</author>
    <author>Davis, Andrew - OLMS</author>
  </authors>
  <commentList>
    <comment ref="G4" authorId="0" guid="{0AC58B85-A0A0-4EF9-B6ED-8A0D136CEAB1}">
      <text>
        <r>
          <rPr>
            <b/>
            <sz val="8"/>
            <color indexed="81"/>
            <rFont val="Tahoma"/>
            <family val="2"/>
          </rPr>
          <t>quilloin:</t>
        </r>
        <r>
          <rPr>
            <sz val="8"/>
            <color indexed="81"/>
            <rFont val="Tahoma"/>
            <family val="2"/>
          </rPr>
          <t xml:space="preserve">
The Department estimates 83 minutes associated with reviewing the instructions and reporting the data.  </t>
        </r>
      </text>
    </comment>
    <comment ref="J4" authorId="0" guid="{9A93755E-C4F6-4517-9352-4B7CE177E01E}">
      <text>
        <r>
          <rPr>
            <b/>
            <sz val="8"/>
            <color indexed="81"/>
            <rFont val="Tahoma"/>
            <family val="2"/>
          </rPr>
          <t>quilloin:</t>
        </r>
        <r>
          <rPr>
            <sz val="8"/>
            <color indexed="81"/>
            <rFont val="Tahoma"/>
            <family val="2"/>
          </rPr>
          <t xml:space="preserve">
the Department estimates that the burden of maintaining and gathering records is 15 minutes</t>
        </r>
      </text>
    </comment>
    <comment ref="U4" authorId="1" guid="{B8C7C9B1-D0B8-476F-BEDC-1BBDA9BB07A6}">
      <text>
        <r>
          <rPr>
            <b/>
            <sz val="8"/>
            <color indexed="81"/>
            <rFont val="Tahoma"/>
            <family val="2"/>
          </rPr>
          <t>anddavis:</t>
        </r>
        <r>
          <rPr>
            <sz val="8"/>
            <color indexed="81"/>
            <rFont val="Tahoma"/>
            <family val="2"/>
          </rPr>
          <t xml:space="preserve">
$87.59 in NPRM.
</t>
        </r>
      </text>
    </comment>
    <comment ref="V4" authorId="1" guid="{6A4B8363-B4FD-4B16-9886-C51AE5E48AEC}">
      <text>
        <r>
          <rPr>
            <b/>
            <sz val="8"/>
            <color indexed="81"/>
            <rFont val="Tahoma"/>
            <family val="2"/>
          </rPr>
          <t>anddavis:</t>
        </r>
        <r>
          <rPr>
            <sz val="8"/>
            <color indexed="81"/>
            <rFont val="Tahoma"/>
            <family val="2"/>
          </rPr>
          <t xml:space="preserve">
$227,821.59 in NPRM.</t>
        </r>
      </text>
    </comment>
    <comment ref="U15" authorId="1" guid="{B38A7E05-125D-499A-89C4-4262D43323A8}">
      <text>
        <r>
          <rPr>
            <b/>
            <sz val="8"/>
            <color indexed="81"/>
            <rFont val="Tahoma"/>
            <family val="2"/>
          </rPr>
          <t>anddavis:</t>
        </r>
        <r>
          <rPr>
            <sz val="8"/>
            <color indexed="81"/>
            <rFont val="Tahoma"/>
            <family val="2"/>
          </rPr>
          <t xml:space="preserve">
$175.18 in NPRM.</t>
        </r>
      </text>
    </comment>
    <comment ref="V15" authorId="1" guid="{A4516E40-F614-4847-890C-4C801ED49FB0}">
      <text>
        <r>
          <rPr>
            <b/>
            <sz val="8"/>
            <color indexed="81"/>
            <rFont val="Tahoma"/>
            <family val="2"/>
          </rPr>
          <t>anddavis:</t>
        </r>
        <r>
          <rPr>
            <sz val="8"/>
            <color indexed="81"/>
            <rFont val="Tahoma"/>
            <family val="2"/>
          </rPr>
          <t xml:space="preserve">
$598,064.52 in NPRM.</t>
        </r>
      </text>
    </comment>
    <comment ref="B18" authorId="2" guid="{7B32ECED-2D0F-40B9-B191-250FE1D3AB9D}">
      <text>
        <r>
          <rPr>
            <b/>
            <sz val="9"/>
            <color indexed="81"/>
            <rFont val="Tahoma"/>
            <charset val="1"/>
          </rPr>
          <t>Davis, Andrew - OLMS:</t>
        </r>
        <r>
          <rPr>
            <sz val="9"/>
            <color indexed="81"/>
            <rFont val="Tahoma"/>
            <charset val="1"/>
          </rPr>
          <t xml:space="preserve">
Estimated annual one hour of review time multiplied by the hourly cost of an attorney.
</t>
        </r>
      </text>
    </comment>
  </commentList>
</comments>
</file>

<file path=xl/comments4.xml><?xml version="1.0" encoding="utf-8"?>
<comments xmlns="http://schemas.openxmlformats.org/spreadsheetml/2006/main">
  <authors>
    <author>Davis, Andrew - OLMS</author>
  </authors>
  <commentList>
    <comment ref="A4" authorId="0" guid="{5CF1EA53-12AE-4FFC-927F-203E537DFC9F}">
      <text>
        <r>
          <rPr>
            <b/>
            <sz val="9"/>
            <color indexed="81"/>
            <rFont val="Tahoma"/>
            <family val="2"/>
          </rPr>
          <t>Davis, Andrew - OLMS:</t>
        </r>
        <r>
          <rPr>
            <sz val="9"/>
            <color indexed="81"/>
            <rFont val="Tahoma"/>
            <family val="2"/>
          </rPr>
          <t xml:space="preserve">
The source for all the NAICS data is the U.S. Census Bureau, Statistics of U.S. Businesses: 2012: Number of Firms, Number of Establishments, Employment, and Annual Payroll by Enterprise Employment Size for the United States, All Industries:  2012, released on 1/23/15, located at http://www.census.gov/econ/susb/.  Saved as a spreadsheet on the Y Drive.       
</t>
        </r>
      </text>
    </comment>
    <comment ref="J27" authorId="0" guid="{E3D4F262-0D82-4E55-A08D-081DC5BE2EA4}">
      <text>
        <r>
          <rPr>
            <b/>
            <sz val="9"/>
            <color indexed="81"/>
            <rFont val="Tahoma"/>
            <family val="2"/>
          </rPr>
          <t>Davis, Andrew - OLMS:</t>
        </r>
        <r>
          <rPr>
            <sz val="9"/>
            <color indexed="81"/>
            <rFont val="Tahoma"/>
            <family val="2"/>
          </rPr>
          <t xml:space="preserve">
One-sixth of the hourly cost for an attorney ($92.53), since such employer will only take 10 minutes per year (10/60)
</t>
        </r>
      </text>
    </comment>
    <comment ref="E34" authorId="0" guid="{B9CC247C-56EA-45F7-A434-952AA49C3B8F}">
      <text>
        <r>
          <rPr>
            <b/>
            <sz val="9"/>
            <color indexed="81"/>
            <rFont val="Tahoma"/>
            <family val="2"/>
          </rPr>
          <t>Davis, Andrew - OLMS:</t>
        </r>
        <r>
          <rPr>
            <sz val="9"/>
            <color indexed="81"/>
            <rFont val="Tahoma"/>
            <family val="2"/>
          </rPr>
          <t xml:space="preserve">
There are 6,461 firms within the “Human Resources Consulting Services” NAICS category, with 6,386 of them (approximately 99% of the total) with less than $15 million in payroll.  See, U.S. Census Bureau’s North American Industry Classification System Codes (NAICS) for “Human Resources Consulting Services,” which includes “Labor Relations Consulting Services."  See Statistics of U.S. Businesses: 2012: NAICS 541612 - Human resources &amp; executive search consulting services, United States, accessed at: 
http://www.census.gov/econ/susb/.  
For the $15 million standard, the Department used the Small Business Administration’s (“SBA”) “small business” standard in average annual receipts for “Human Resources Consulting Services,” NAICS code 541612.  See U.S. Small Business Administration’s Table of Small Business Size Standards Matched to the North American Industry Classification System Codes at 32, accessed at: http://www.sba.gov/sites/default/files/files/Size_Standards_Table.pdf.  These size standards are effective as of July 14, 2014.
The Department has employed the 99% figure to determine the estimated percentage of labor relations consultants that would qualify as small entities pursuant to the rule, although, for purposes of the RFA section, it assumes all the entities are small entities.  
</t>
        </r>
      </text>
    </comment>
    <comment ref="E36" authorId="0" guid="{302980DC-09B8-40AF-9902-54DAE6B16CB3}">
      <text>
        <r>
          <rPr>
            <b/>
            <sz val="9"/>
            <color indexed="81"/>
            <rFont val="Tahoma"/>
            <family val="2"/>
          </rPr>
          <t>Davis, Andrew - OLMS:</t>
        </r>
        <r>
          <rPr>
            <sz val="9"/>
            <color indexed="81"/>
            <rFont val="Tahoma"/>
            <family val="2"/>
          </rPr>
          <t xml:space="preserve">
The SBA considers 99.7% of all employers to constitute small businesses.  See https://www.sba.gov/sites/default/files/FAQ_Sept_2012.pdf. 
</t>
        </r>
      </text>
    </comment>
  </commentList>
</comments>
</file>

<file path=xl/comments5.xml><?xml version="1.0" encoding="utf-8"?>
<comments xmlns="http://schemas.openxmlformats.org/spreadsheetml/2006/main">
  <authors>
    <author>Aziz, Dyana - OLMS</author>
    <author>Davis, Andrew - OLMS</author>
  </authors>
  <commentList>
    <comment ref="H3" authorId="0" guid="{B5C0DC52-3F0A-4B87-8622-2FA70CD52402}">
      <text>
        <r>
          <rPr>
            <b/>
            <sz val="9"/>
            <color indexed="81"/>
            <rFont val="Tahoma"/>
            <family val="2"/>
          </rPr>
          <t>Aziz, Dyana - OLMS:</t>
        </r>
        <r>
          <rPr>
            <sz val="9"/>
            <color indexed="81"/>
            <rFont val="Tahoma"/>
            <family val="2"/>
          </rPr>
          <t xml:space="preserve">
Numbers were found on http://data.bls.gov/cgi-bin/print.pl/news.release/archives/ecec_03112015.htm
</t>
        </r>
        <r>
          <rPr>
            <b/>
            <sz val="9"/>
            <color indexed="81"/>
            <rFont val="Tahoma"/>
            <family val="2"/>
          </rPr>
          <t xml:space="preserve">Davis, Andrew - OLMS:
</t>
        </r>
      </text>
    </comment>
    <comment ref="H4" authorId="1" guid="{DCC5BE37-0AC6-4BD1-8D19-2271FF1BA978}">
      <text>
        <r>
          <rPr>
            <b/>
            <sz val="9"/>
            <color indexed="81"/>
            <rFont val="Tahoma"/>
            <family val="2"/>
          </rPr>
          <t>Davis, Andrew - OLMS:</t>
        </r>
        <r>
          <rPr>
            <sz val="9"/>
            <color indexed="81"/>
            <rFont val="Tahoma"/>
            <family val="2"/>
          </rPr>
          <t xml:space="preserve">
Numbers were found on http://data.bls.gov/cgi-bin/print.pl/news.release/archives/ecec_03112015.htm
</t>
        </r>
      </text>
    </comment>
    <comment ref="H6" authorId="1" guid="{E9B5E684-895A-482D-A196-07DD0BAA30D7}">
      <text>
        <r>
          <rPr>
            <b/>
            <sz val="9"/>
            <color indexed="81"/>
            <rFont val="Tahoma"/>
            <family val="2"/>
          </rPr>
          <t>Davis, Andrew - OLMS:</t>
        </r>
        <r>
          <rPr>
            <sz val="9"/>
            <color indexed="81"/>
            <rFont val="Tahoma"/>
            <family val="2"/>
          </rPr>
          <t xml:space="preserve">
Derived from the Occupational Employment and Wages Survey for May 2014, Table 1 on page 12, from the Bureau of Labor Statistics (BLS) at http://www.bls.gov/news.release/pdf/ocwage.pdf. 
</t>
        </r>
      </text>
    </comment>
    <comment ref="A8" authorId="1" guid="{511BE7E7-0702-419F-BC63-5D081869418A}">
      <text>
        <r>
          <rPr>
            <b/>
            <sz val="9"/>
            <color indexed="81"/>
            <rFont val="Tahoma"/>
            <family val="2"/>
          </rPr>
          <t>Davis, Andrew - OLMS:</t>
        </r>
        <r>
          <rPr>
            <sz val="9"/>
            <color indexed="81"/>
            <rFont val="Tahoma"/>
            <family val="2"/>
          </rPr>
          <t xml:space="preserve">
http://www.dol.gov/olms/regs/compliance/enforcement_data.htm
</t>
        </r>
      </text>
    </comment>
    <comment ref="A13" authorId="1" guid="{292C00D3-7FC8-4E4D-B3C8-885EB5CAE5DA}">
      <text>
        <r>
          <rPr>
            <b/>
            <sz val="9"/>
            <color indexed="81"/>
            <rFont val="Tahoma"/>
            <family val="2"/>
          </rPr>
          <t>Davis, Andrew - OLMS:</t>
        </r>
        <r>
          <rPr>
            <sz val="9"/>
            <color indexed="81"/>
            <rFont val="Tahoma"/>
            <family val="2"/>
          </rPr>
          <t xml:space="preserve">
http://www.dol.gov/olms/regs/compliance/enforcement_data.htm
</t>
        </r>
      </text>
    </comment>
    <comment ref="A15" authorId="1" guid="{0DA2D21A-8CDA-480F-9FE0-513E40042BBA}">
      <text>
        <r>
          <rPr>
            <b/>
            <sz val="9"/>
            <color indexed="81"/>
            <rFont val="Tahoma"/>
            <family val="2"/>
          </rPr>
          <t>Davis, Andrew - OLMS:</t>
        </r>
        <r>
          <rPr>
            <sz val="9"/>
            <color indexed="81"/>
            <rFont val="Tahoma"/>
            <family val="2"/>
          </rPr>
          <t xml:space="preserve">
http://www.dol.gov/olms/regs/compliance/enforcement_data.htm 
</t>
        </r>
      </text>
    </comment>
    <comment ref="A17" authorId="1" guid="{6A6E9A8F-9F9E-46F1-82E0-C6FEC3CF756C}">
      <text>
        <r>
          <rPr>
            <b/>
            <sz val="9"/>
            <color indexed="81"/>
            <rFont val="Tahoma"/>
            <family val="2"/>
          </rPr>
          <t>Davis, Andrew - OLMS:</t>
        </r>
        <r>
          <rPr>
            <sz val="9"/>
            <color indexed="81"/>
            <rFont val="Tahoma"/>
            <family val="2"/>
          </rPr>
          <t xml:space="preserve">
From e.LORS (see Y Drive).
</t>
        </r>
      </text>
    </comment>
    <comment ref="A21" authorId="1" guid="{8909B16D-6765-4FAD-BF56-0C3AD27C2C77}">
      <text>
        <r>
          <rPr>
            <b/>
            <sz val="9"/>
            <color indexed="81"/>
            <rFont val="Tahoma"/>
            <family val="2"/>
          </rPr>
          <t>Davis, Andrew - OLMS:</t>
        </r>
        <r>
          <rPr>
            <sz val="9"/>
            <color indexed="81"/>
            <rFont val="Tahoma"/>
            <family val="2"/>
          </rPr>
          <t xml:space="preserve">
Number of NLRB petitions filed in certification and decertification (RC, RD, and RM) cases.  See 2010 and 2012 NLRB Summary of Operations (which include Fys 09 and 11), as well as Number of Petitions Filed in FY13: http://www.nlrb.gov/news-outreach/graphs-data/petitions-and-elections/number-petitions-filed-fy13.  Does not include unit deauthorization, unit amendment and unit clarification (UD, AC and UC) cases.
</t>
        </r>
        <r>
          <rPr>
            <b/>
            <sz val="9"/>
            <color indexed="81"/>
            <rFont val="Tahoma"/>
            <family val="2"/>
          </rPr>
          <t>Davis, Andrew - OLMS:</t>
        </r>
        <r>
          <rPr>
            <sz val="9"/>
            <color indexed="81"/>
            <rFont val="Tahoma"/>
            <family val="2"/>
          </rPr>
          <t xml:space="preserve">
http://www.nlrb.gov/reports-guidance/reports/summary-operations  
</t>
        </r>
      </text>
    </comment>
    <comment ref="A23" authorId="1" guid="{67FF8B15-EB51-4D26-9EB4-0F316CCC0563}">
      <text>
        <r>
          <rPr>
            <b/>
            <sz val="9"/>
            <color indexed="81"/>
            <rFont val="Tahoma"/>
            <family val="2"/>
          </rPr>
          <t>Davis, Andrew - OLMS:</t>
        </r>
        <r>
          <rPr>
            <sz val="9"/>
            <color indexed="81"/>
            <rFont val="Tahoma"/>
            <family val="2"/>
          </rPr>
          <t xml:space="preserve">
See 2014 NMB Annual Report, Table 1 (CASES RECEIVED
AND CLOSED), and look at the "new" cases line.http://storage.googleapis.com/dakota-dev-content/2014annual-report/index.html
</t>
        </r>
        <r>
          <rPr>
            <b/>
            <sz val="9"/>
            <color indexed="81"/>
            <rFont val="Tahoma"/>
            <family val="2"/>
          </rPr>
          <t>Davis, Andrew - OLMS:</t>
        </r>
        <r>
          <rPr>
            <sz val="9"/>
            <color indexed="81"/>
            <rFont val="Tahoma"/>
            <family val="2"/>
          </rPr>
          <t xml:space="preserve">
</t>
        </r>
      </text>
    </comment>
    <comment ref="A30" authorId="1" guid="{A071A94C-EBCD-4F0C-B91C-A122734CE14A}">
      <text>
        <r>
          <rPr>
            <b/>
            <sz val="9"/>
            <color indexed="81"/>
            <rFont val="Tahoma"/>
            <charset val="1"/>
          </rPr>
          <t>Davis, Andrew - OLMS:</t>
        </r>
        <r>
          <rPr>
            <sz val="9"/>
            <color indexed="81"/>
            <rFont val="Tahoma"/>
            <charset val="1"/>
          </rPr>
          <t xml:space="preserve">
Average of five most recent academic studies estimating employer use of consultants to orchestrate counter-organizing campaigns: 71%, 75%, 75%, 82%, and 87%.  See fn. 13, page 31 of preamble. 
</t>
        </r>
      </text>
    </comment>
  </commentList>
</comments>
</file>

<file path=xl/sharedStrings.xml><?xml version="1.0" encoding="utf-8"?>
<sst xmlns="http://schemas.openxmlformats.org/spreadsheetml/2006/main" count="121" uniqueCount="112">
  <si>
    <t xml:space="preserve">Form </t>
  </si>
  <si>
    <t>Total Cost</t>
  </si>
  <si>
    <t>Total Burden Hours</t>
  </si>
  <si>
    <t>Number of Reports</t>
  </si>
  <si>
    <t>Summary of Form Persuader Regulatory Flexibility Analysis</t>
  </si>
  <si>
    <t>Percent of Average Annual Payroll</t>
  </si>
  <si>
    <t>Year Cost of Form LM-10</t>
  </si>
  <si>
    <t>Reporting and Recordkeeping Burden Hours and Costs for Persader Reporting</t>
  </si>
  <si>
    <t>Number of Reports Filed</t>
  </si>
  <si>
    <t>Number of LM-20 Reports</t>
  </si>
  <si>
    <t xml:space="preserve">Total: </t>
  </si>
  <si>
    <t>Number of NLRB cases</t>
  </si>
  <si>
    <t>Number of NMB Cases</t>
  </si>
  <si>
    <t>Number of Trade Associations Offering Seminars</t>
  </si>
  <si>
    <t>Total of LM-20 Filers</t>
  </si>
  <si>
    <t>Number of non-seminar reports</t>
  </si>
  <si>
    <t>Ratio of Reports/Filer</t>
  </si>
  <si>
    <t>Number of 203(a)(1)-(3) Reports</t>
  </si>
  <si>
    <t>Number of Persuader Agreement Reports</t>
  </si>
  <si>
    <t>Total Reporting Hours for all reports</t>
  </si>
  <si>
    <t>Total Recordkeeping Hours for all reports</t>
  </si>
  <si>
    <t>Form LM-20</t>
  </si>
  <si>
    <t>Form LM-10</t>
  </si>
  <si>
    <t>Reporting and Recordkeeping Burden Hours for Persader Reporting</t>
  </si>
  <si>
    <t>Increase Over Previous ICR</t>
  </si>
  <si>
    <t>Total Number of Seminar Reports</t>
  </si>
  <si>
    <t>Increase Over NPRM</t>
  </si>
  <si>
    <t>Form LM-20 (Revised Forms Submitted)</t>
  </si>
  <si>
    <t>Form LM-10 (Revised Form Filers/Forms Submitted)</t>
  </si>
  <si>
    <t>Recordkeeping Burden for all reports (in minutes)</t>
  </si>
  <si>
    <t>Total Reporting burden for all reports (in minutes)</t>
  </si>
  <si>
    <t>Total Burden for all reports (in minutes)</t>
  </si>
  <si>
    <t>Total Recordkeeping Burden Hour Increase Over Previous ICR</t>
  </si>
  <si>
    <t>Total Reporting  Hour Increase Over Previous ICR</t>
  </si>
  <si>
    <t>Total Burden Hour Increase Over Previous ICR</t>
  </si>
  <si>
    <t>Total Recordkeeping Burden Increase Over NPRM (in minutes)</t>
  </si>
  <si>
    <t>Total Recordkeeping  Increase Over NPRM (in hours)</t>
  </si>
  <si>
    <t>Total Reporting Increase Over NPRM (in minutes)</t>
  </si>
  <si>
    <t>Total Reporting Increase Over NPRM (in hours)</t>
  </si>
  <si>
    <t>Total Burden Increase Over NPRM (in minutes)</t>
  </si>
  <si>
    <t>Total Burden Increase Over NPRM (in hours)</t>
  </si>
  <si>
    <t>Total of Form LM-20 Filers</t>
  </si>
  <si>
    <t>Increase Over Recent ICR Submission</t>
  </si>
  <si>
    <t>Total Increase Over Recent ICR Submission</t>
  </si>
  <si>
    <t>Total Increase Over NPRM</t>
  </si>
  <si>
    <t>Average Cost Per Respondent*</t>
  </si>
  <si>
    <t xml:space="preserve">Cost Per Form </t>
  </si>
  <si>
    <t>Cost Per Filer</t>
  </si>
  <si>
    <t>Total Cost of Rule:</t>
  </si>
  <si>
    <t>Number of Small Entities</t>
  </si>
  <si>
    <t xml:space="preserve">Filing Entities </t>
  </si>
  <si>
    <t>Total</t>
  </si>
  <si>
    <t>Non-Filing Entities*</t>
  </si>
  <si>
    <t>* The total cost for these non-filing entities is:</t>
  </si>
  <si>
    <t>For Non-Filing Employers (10 minutes per year)</t>
  </si>
  <si>
    <t xml:space="preserve"> Percent of Annual Payroll</t>
  </si>
  <si>
    <t>Percent of Payroll for Employers with 1-4 Employees</t>
  </si>
  <si>
    <t>Non-Filers*</t>
  </si>
  <si>
    <t>Total Cost Per LM-20 Respondent</t>
  </si>
  <si>
    <t>Total Cost per Response</t>
  </si>
  <si>
    <r>
      <rPr>
        <b/>
        <sz val="10"/>
        <rFont val="Arial"/>
        <family val="2"/>
      </rPr>
      <t>NOTE</t>
    </r>
    <r>
      <rPr>
        <sz val="10"/>
        <rFont val="Arial"/>
        <family val="2"/>
      </rPr>
      <t>: Also, there is currently an error in footnote 103 of page 190 of the preamble: the estimates there are based on trade associations filing, instead of the law/consultant firms filing all the reports, including the seminar reports.</t>
    </r>
  </si>
  <si>
    <t>Number of Law/Consultant Firm Independently-Facilitated Seminars</t>
  </si>
  <si>
    <t>Sub-total for number of law/consultant firms:</t>
  </si>
  <si>
    <t>Recordkeeping Minutes Per Respondent</t>
  </si>
  <si>
    <t>Reporting Minutes Per Respondent</t>
  </si>
  <si>
    <t>Total Burden Minutes Per Respondent</t>
  </si>
  <si>
    <t>National Mediation Board representation cases filed</t>
  </si>
  <si>
    <t>LM-20 filers (from OLMS e.LORS data)</t>
  </si>
  <si>
    <t>Loaded hourly cost (hourly wage plus fringes)</t>
  </si>
  <si>
    <t>Hourly costs for attorneys</t>
  </si>
  <si>
    <t>Fringe benefit percentage (page 189 of final rule)</t>
  </si>
  <si>
    <t xml:space="preserve">Average hourly wage </t>
  </si>
  <si>
    <t>Average benefit cost</t>
  </si>
  <si>
    <t>Employer Costs for Employee Compensation Summary</t>
  </si>
  <si>
    <t>Data (source is hyperlinked)</t>
  </si>
  <si>
    <t>2009 - 2013 Annual Average NLRB</t>
  </si>
  <si>
    <t>Average Percentage of Employers utilizing consultants to manage counter-organizing campaigns</t>
  </si>
  <si>
    <t>Total Form LM-10 Reports/Filers Total:</t>
  </si>
  <si>
    <t>Increase over previous ICR</t>
  </si>
  <si>
    <t>Totals</t>
  </si>
  <si>
    <t>2010 - 2014 Annual average NMB</t>
  </si>
  <si>
    <t xml:space="preserve">Average Number of LM-20 Filers for FY 10-14: </t>
  </si>
  <si>
    <t>Average Number of LM-20 Reports/Filer for FY 10-14:</t>
  </si>
  <si>
    <t xml:space="preserve">Average Number of LM-20s Registered for FY 10-14: </t>
  </si>
  <si>
    <t>NLRB Representation and Decert Elections (2009-13)</t>
  </si>
  <si>
    <t>LM-10 reports registered (from OLMS annual report on OLMS web site)</t>
  </si>
  <si>
    <t>LM-20 reports registered (from OLMS annual report on OLMS web site</t>
  </si>
  <si>
    <t>Persuader LM-10 Reports FY 10-14 (from DRDA/Patrick Hyde: see Y Drive)</t>
  </si>
  <si>
    <t>Average LM-10 Reports Registered from FY10-14</t>
  </si>
  <si>
    <t>Average Persuader LM-10 Reports from FY10-14</t>
  </si>
  <si>
    <t>Average Non-Persuader LM-Reports from FY10-14</t>
  </si>
  <si>
    <t>Non-Filing Entities</t>
  </si>
  <si>
    <t>Law Firms</t>
  </si>
  <si>
    <t>Business Associations</t>
  </si>
  <si>
    <t>Consultant Firms</t>
  </si>
  <si>
    <t>Total:</t>
  </si>
  <si>
    <t>Sub-total for number of law firms/consultants:</t>
  </si>
  <si>
    <t>Sub-total for number of reports per filer</t>
  </si>
  <si>
    <t>Reports Per Filer</t>
  </si>
  <si>
    <t xml:space="preserve">*Form LM-20 average hourly salary for lawyers, $64.17, is derived from the Occupational Employment and Wages Survey for May 2014, Table 1 on page 12, from the Bureau of Labor Statistics (BLS) at http://www.bls.gov/news.release/pdf/ocwage.pdf.  The Department increased these figures by approximately 44.2.0% to account for total compensation to reach the average hourly compensation for attorneys for the purposes of this analysis: $92.53.  See Employer Costs for Employee Compensation Summary (03-11-15), from the BLS, at http://www.bls.gov/news.release/ecec.nr0.htm.  The Department increased the average hourly wage rate for employees ($21.72 in 2012) by the percentage total of the average hourly compensation figure ($9.60 in 2012) over the average hourly wage.  </t>
  </si>
  <si>
    <t>Average Employer Utilization Rate of Consultants:</t>
  </si>
  <si>
    <t xml:space="preserve">Annual Cost per Non-Filing Entity: </t>
  </si>
  <si>
    <t>Total Annual Cost for Non-Filing Entities:</t>
  </si>
  <si>
    <t>Total Cost of Rule for Filers:</t>
  </si>
  <si>
    <t>For Consultants that Meet the SBA Small Entities Standard</t>
  </si>
  <si>
    <t xml:space="preserve">    Year Cost of Form LM-20 Report </t>
  </si>
  <si>
    <t xml:space="preserve">Payroll Cost For Avg Consultant Firm </t>
  </si>
  <si>
    <t>Paryoll Cost for All Employers with 1-4 Employees</t>
  </si>
  <si>
    <t xml:space="preserve">Payroll Cost For Consulting Firm with 0-4 Employees </t>
  </si>
  <si>
    <t>For Non-Filing Firms with Avg. Consultant Firm</t>
  </si>
  <si>
    <t xml:space="preserve">For Non-Filing Firms with Avg. Consultant Firm with 0-4 Emplyees </t>
  </si>
  <si>
    <t>Paryoll Cost for All Employers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</si>
</sst>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0.00000%"/>
    <numFmt numFmtId="167" formatCode="0.0000000%"/>
    <numFmt numFmtId="168" formatCode="_(* #,##0_);_(* \(#,##0\);_(* &quot;-&quot;??_);_(@_)"/>
    <numFmt numFmtId="169" formatCode="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Times New Roman"/>
      <family val="1"/>
    </font>
    <font>
      <sz val="8"/>
      <color indexed="81"/>
      <name val="Tahoma"/>
      <family val="2"/>
    </font>
    <font>
      <b/>
      <sz val="8"/>
      <color indexed="81"/>
      <name val="Tahoma"/>
      <family val="2"/>
    </font>
    <font>
      <b/>
      <sz val="9"/>
      <color indexed="81"/>
      <name val="Tahoma"/>
      <family val="2"/>
    </font>
    <font>
      <sz val="9"/>
      <color indexed="81"/>
      <name val="Tahoma"/>
      <family val="2"/>
    </font>
    <font>
      <sz val="12"/>
      <color rgb="FF000000"/>
      <name val="Times New Roman"/>
      <family val="1"/>
    </font>
    <font>
      <sz val="11"/>
      <color rgb="FF000000"/>
      <name val="Calibri"/>
      <family val="2"/>
    </font>
    <font>
      <sz val="10"/>
      <color rgb="FF000000"/>
      <name val="Arial"/>
      <family val="2"/>
    </font>
    <font>
      <u/>
      <sz val="11"/>
      <color theme="10"/>
      <name val="Calibri"/>
      <family val="2"/>
    </font>
    <font>
      <b/>
      <sz val="11"/>
      <color rgb="FFFF0000"/>
      <name val="Calibri"/>
      <family val="2"/>
      <scheme val="minor"/>
    </font>
    <font>
      <sz val="11"/>
      <name val="Arial"/>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7" fillId="0" borderId="0"/>
    <xf numFmtId="0" fontId="20" fillId="0" borderId="0" applyNumberFormat="0" applyFill="0" applyBorder="0" applyAlignment="0" applyProtection="0">
      <alignment vertical="top"/>
      <protection locked="0"/>
    </xf>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114">
    <xf numFmtId="0" fontId="0" fillId="0" borderId="0" xfId="0"/>
    <xf numFmtId="0" fontId="0" fillId="0" borderId="1" xfId="0" applyBorder="1"/>
    <xf numFmtId="164" fontId="0" fillId="0" borderId="0" xfId="0" applyNumberFormat="1"/>
    <xf numFmtId="10" fontId="0" fillId="0" borderId="0" xfId="0" applyNumberFormat="1"/>
    <xf numFmtId="2" fontId="0" fillId="0" borderId="0" xfId="0" applyNumberFormat="1" applyAlignment="1">
      <alignment horizontal="left" vertical="top" wrapText="1"/>
    </xf>
    <xf numFmtId="2" fontId="0" fillId="0" borderId="0" xfId="0" applyNumberFormat="1"/>
    <xf numFmtId="4" fontId="0" fillId="0" borderId="0" xfId="0" applyNumberFormat="1"/>
    <xf numFmtId="10" fontId="0" fillId="0" borderId="0" xfId="0" applyNumberFormat="1" applyAlignment="1">
      <alignment horizontal="left" vertical="top" wrapText="1"/>
    </xf>
    <xf numFmtId="0" fontId="0" fillId="0" borderId="0" xfId="0" applyAlignment="1"/>
    <xf numFmtId="8" fontId="0" fillId="0" borderId="0" xfId="0" applyNumberFormat="1"/>
    <xf numFmtId="0" fontId="10" fillId="0" borderId="0" xfId="0" applyFont="1" applyBorder="1"/>
    <xf numFmtId="0" fontId="10" fillId="0" borderId="0" xfId="0" applyFont="1"/>
    <xf numFmtId="0" fontId="10" fillId="0" borderId="0" xfId="0" applyFont="1" applyAlignment="1">
      <alignment horizontal="left"/>
    </xf>
    <xf numFmtId="10" fontId="10" fillId="0" borderId="0" xfId="0" applyNumberFormat="1" applyFont="1" applyBorder="1" applyAlignment="1">
      <alignment horizontal="right"/>
    </xf>
    <xf numFmtId="8" fontId="10" fillId="0" borderId="0" xfId="0" applyNumberFormat="1" applyFont="1" applyBorder="1"/>
    <xf numFmtId="0" fontId="10" fillId="0" borderId="2" xfId="0" applyFont="1" applyBorder="1"/>
    <xf numFmtId="0" fontId="10" fillId="0" borderId="1" xfId="0" applyFont="1" applyBorder="1" applyAlignment="1">
      <alignment horizontal="center" wrapText="1"/>
    </xf>
    <xf numFmtId="0" fontId="10" fillId="0" borderId="1" xfId="0" applyFont="1" applyBorder="1"/>
    <xf numFmtId="0" fontId="0" fillId="0" borderId="1" xfId="0" applyBorder="1" applyAlignment="1">
      <alignment horizontal="center" wrapText="1"/>
    </xf>
    <xf numFmtId="166" fontId="0" fillId="0" borderId="0" xfId="0" applyNumberFormat="1"/>
    <xf numFmtId="10" fontId="0" fillId="0" borderId="0" xfId="3" applyNumberFormat="1" applyFont="1"/>
    <xf numFmtId="165" fontId="0" fillId="0" borderId="0" xfId="3" applyNumberFormat="1" applyFont="1"/>
    <xf numFmtId="0" fontId="9" fillId="0" borderId="0" xfId="0" applyFont="1"/>
    <xf numFmtId="0" fontId="10" fillId="0" borderId="0" xfId="0" applyFont="1" applyAlignment="1">
      <alignment wrapText="1"/>
    </xf>
    <xf numFmtId="0" fontId="0" fillId="0" borderId="0" xfId="0" applyAlignment="1">
      <alignment horizontal="left"/>
    </xf>
    <xf numFmtId="0" fontId="18" fillId="0" borderId="0" xfId="0" applyFont="1" applyAlignment="1">
      <alignment wrapText="1"/>
    </xf>
    <xf numFmtId="0" fontId="9" fillId="0" borderId="0" xfId="0" applyFont="1" applyAlignment="1">
      <alignment wrapText="1"/>
    </xf>
    <xf numFmtId="0" fontId="12" fillId="0" borderId="0" xfId="0" applyFont="1" applyAlignment="1">
      <alignment wrapText="1"/>
    </xf>
    <xf numFmtId="0" fontId="10" fillId="0" borderId="0" xfId="0" applyFont="1" applyAlignment="1"/>
    <xf numFmtId="0" fontId="0" fillId="0" borderId="0" xfId="0" applyFont="1" applyFill="1" applyBorder="1" applyAlignment="1">
      <alignment horizontal="center" wrapText="1"/>
    </xf>
    <xf numFmtId="0" fontId="9" fillId="0" borderId="0" xfId="0" applyFont="1" applyAlignment="1">
      <alignment horizontal="left"/>
    </xf>
    <xf numFmtId="0" fontId="8" fillId="0" borderId="0" xfId="0" applyFont="1" applyAlignment="1">
      <alignment wrapText="1"/>
    </xf>
    <xf numFmtId="167" fontId="0" fillId="0" borderId="0" xfId="0" applyNumberFormat="1"/>
    <xf numFmtId="0" fontId="7" fillId="0" borderId="0" xfId="4"/>
    <xf numFmtId="0" fontId="7" fillId="0" borderId="5" xfId="4" applyBorder="1"/>
    <xf numFmtId="0" fontId="20" fillId="0" borderId="5" xfId="5" applyBorder="1" applyAlignment="1" applyProtection="1"/>
    <xf numFmtId="168" fontId="7" fillId="0" borderId="5" xfId="4" applyNumberFormat="1" applyBorder="1"/>
    <xf numFmtId="3" fontId="7" fillId="0" borderId="0" xfId="4" applyNumberFormat="1"/>
    <xf numFmtId="168" fontId="7" fillId="0" borderId="5" xfId="6" applyNumberFormat="1" applyFont="1" applyBorder="1"/>
    <xf numFmtId="0" fontId="7" fillId="2" borderId="5" xfId="4" applyFill="1" applyBorder="1"/>
    <xf numFmtId="44" fontId="7" fillId="0" borderId="5" xfId="7" applyFont="1" applyBorder="1"/>
    <xf numFmtId="0" fontId="7" fillId="0" borderId="5" xfId="4" applyFill="1" applyBorder="1"/>
    <xf numFmtId="0" fontId="20" fillId="0" borderId="5" xfId="5" applyFill="1" applyBorder="1" applyAlignment="1" applyProtection="1"/>
    <xf numFmtId="169" fontId="7" fillId="0" borderId="5" xfId="8" applyNumberFormat="1" applyFont="1" applyBorder="1"/>
    <xf numFmtId="0" fontId="21" fillId="2" borderId="5" xfId="4" applyFont="1" applyFill="1" applyBorder="1" applyAlignment="1">
      <alignment horizontal="center"/>
    </xf>
    <xf numFmtId="0" fontId="10" fillId="0" borderId="0" xfId="0" applyNumberFormat="1" applyFont="1"/>
    <xf numFmtId="0" fontId="0" fillId="0" borderId="0" xfId="0" applyNumberFormat="1"/>
    <xf numFmtId="0" fontId="9" fillId="0" borderId="0" xfId="0" applyNumberFormat="1" applyFont="1"/>
    <xf numFmtId="0" fontId="10" fillId="0" borderId="0" xfId="0" applyNumberFormat="1" applyFont="1" applyAlignment="1">
      <alignment wrapText="1"/>
    </xf>
    <xf numFmtId="0" fontId="10" fillId="0" borderId="0" xfId="1" applyNumberFormat="1" applyFont="1"/>
    <xf numFmtId="0" fontId="8" fillId="0" borderId="0" xfId="0" applyNumberFormat="1" applyFont="1" applyAlignment="1">
      <alignment wrapText="1"/>
    </xf>
    <xf numFmtId="0" fontId="9" fillId="0" borderId="0" xfId="0" applyNumberFormat="1" applyFont="1" applyAlignment="1">
      <alignment wrapText="1"/>
    </xf>
    <xf numFmtId="0" fontId="0" fillId="0" borderId="0" xfId="0" applyNumberFormat="1" applyAlignment="1">
      <alignment wrapText="1"/>
    </xf>
    <xf numFmtId="0" fontId="8" fillId="0" borderId="0" xfId="0" applyFont="1"/>
    <xf numFmtId="0" fontId="22" fillId="0" borderId="0" xfId="0" applyNumberFormat="1" applyFont="1"/>
    <xf numFmtId="164" fontId="7" fillId="0" borderId="5" xfId="4" applyNumberFormat="1" applyBorder="1"/>
    <xf numFmtId="164" fontId="7" fillId="0" borderId="5" xfId="7" applyNumberFormat="1" applyFont="1" applyBorder="1"/>
    <xf numFmtId="0" fontId="5" fillId="0" borderId="0" xfId="4" applyFont="1"/>
    <xf numFmtId="0" fontId="3" fillId="0" borderId="5" xfId="4" applyFont="1" applyBorder="1"/>
    <xf numFmtId="0" fontId="4" fillId="0" borderId="5" xfId="4" applyFont="1" applyFill="1" applyBorder="1"/>
    <xf numFmtId="168" fontId="7" fillId="0" borderId="5" xfId="4" applyNumberFormat="1" applyFill="1" applyBorder="1"/>
    <xf numFmtId="0" fontId="2" fillId="0" borderId="5" xfId="4" applyFont="1" applyBorder="1"/>
    <xf numFmtId="0" fontId="8" fillId="0" borderId="0" xfId="0" applyNumberFormat="1" applyFont="1"/>
    <xf numFmtId="0" fontId="10" fillId="0" borderId="0" xfId="0" applyNumberFormat="1" applyFont="1" applyAlignment="1"/>
    <xf numFmtId="0" fontId="0" fillId="0" borderId="0" xfId="0" applyNumberFormat="1" applyAlignment="1">
      <alignment horizontal="right" vertical="top" wrapText="1"/>
    </xf>
    <xf numFmtId="0" fontId="0" fillId="0" borderId="0" xfId="0" applyNumberFormat="1" applyAlignment="1"/>
    <xf numFmtId="0" fontId="0" fillId="0" borderId="0" xfId="0" applyNumberFormat="1" applyAlignment="1">
      <alignment horizontal="left" vertical="top" wrapText="1"/>
    </xf>
    <xf numFmtId="0" fontId="0" fillId="0" borderId="0" xfId="0" applyNumberFormat="1" applyAlignment="1">
      <alignment horizontal="left"/>
    </xf>
    <xf numFmtId="0" fontId="8" fillId="0" borderId="1" xfId="0" applyFont="1" applyBorder="1" applyAlignment="1">
      <alignment horizontal="center" wrapText="1"/>
    </xf>
    <xf numFmtId="8" fontId="10" fillId="0" borderId="0" xfId="0" applyNumberFormat="1" applyFont="1" applyFill="1"/>
    <xf numFmtId="164" fontId="10" fillId="0" borderId="0" xfId="0" applyNumberFormat="1" applyFont="1" applyFill="1"/>
    <xf numFmtId="2" fontId="0" fillId="0" borderId="0" xfId="0" applyNumberFormat="1" applyFill="1"/>
    <xf numFmtId="0" fontId="0" fillId="0" borderId="0" xfId="0" applyNumberFormat="1" applyFill="1"/>
    <xf numFmtId="0" fontId="22" fillId="0" borderId="0" xfId="0" applyNumberFormat="1" applyFont="1" applyFill="1"/>
    <xf numFmtId="0" fontId="10" fillId="0" borderId="0" xfId="1" applyNumberFormat="1" applyFont="1" applyFill="1"/>
    <xf numFmtId="169" fontId="7" fillId="0" borderId="5" xfId="4" applyNumberFormat="1" applyFill="1" applyBorder="1"/>
    <xf numFmtId="44" fontId="7" fillId="0" borderId="5" xfId="4" applyNumberFormat="1" applyFill="1" applyBorder="1"/>
    <xf numFmtId="164" fontId="7" fillId="0" borderId="5" xfId="7" applyNumberFormat="1" applyFont="1" applyFill="1" applyBorder="1"/>
    <xf numFmtId="168" fontId="7" fillId="0" borderId="5" xfId="6" applyNumberFormat="1" applyFont="1" applyFill="1" applyBorder="1"/>
    <xf numFmtId="0" fontId="6" fillId="0" borderId="5" xfId="4" applyFont="1" applyFill="1" applyBorder="1"/>
    <xf numFmtId="0" fontId="10" fillId="0" borderId="0" xfId="0" applyNumberFormat="1" applyFont="1" applyFill="1"/>
    <xf numFmtId="0" fontId="17" fillId="0" borderId="0" xfId="0" applyNumberFormat="1" applyFont="1" applyFill="1"/>
    <xf numFmtId="0" fontId="9" fillId="0" borderId="2" xfId="0" applyFont="1" applyBorder="1" applyAlignment="1">
      <alignment horizontal="left"/>
    </xf>
    <xf numFmtId="0" fontId="9" fillId="0" borderId="0" xfId="0" applyFont="1" applyBorder="1" applyAlignment="1">
      <alignment horizontal="left"/>
    </xf>
    <xf numFmtId="0" fontId="1" fillId="0" borderId="0" xfId="4" applyFont="1"/>
    <xf numFmtId="6" fontId="0" fillId="0" borderId="0" xfId="0" applyNumberFormat="1"/>
    <xf numFmtId="8" fontId="0" fillId="0" borderId="0" xfId="0" applyNumberFormat="1" applyFill="1"/>
    <xf numFmtId="8" fontId="0" fillId="0" borderId="0" xfId="2" applyNumberFormat="1" applyFont="1" applyFill="1"/>
    <xf numFmtId="0" fontId="19" fillId="0" borderId="0" xfId="0" applyFont="1" applyFill="1"/>
    <xf numFmtId="6" fontId="8" fillId="0" borderId="0" xfId="0" applyNumberFormat="1" applyFont="1"/>
    <xf numFmtId="166" fontId="8" fillId="0" borderId="0" xfId="0" applyNumberFormat="1" applyFont="1"/>
    <xf numFmtId="0" fontId="8" fillId="0" borderId="3" xfId="0" applyFont="1" applyBorder="1" applyAlignment="1">
      <alignment horizontal="left"/>
    </xf>
    <xf numFmtId="0" fontId="0" fillId="0" borderId="3" xfId="0"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9" fillId="0" borderId="3" xfId="0" applyFont="1" applyBorder="1" applyAlignment="1">
      <alignment horizontal="left"/>
    </xf>
    <xf numFmtId="0" fontId="0" fillId="0" borderId="0" xfId="0" applyAlignment="1">
      <alignment horizontal="left"/>
    </xf>
    <xf numFmtId="0" fontId="10" fillId="0" borderId="3" xfId="0" applyFont="1" applyBorder="1" applyAlignment="1">
      <alignment horizontal="left"/>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xf>
    <xf numFmtId="0" fontId="10" fillId="0" borderId="0" xfId="0" applyFont="1" applyAlignment="1">
      <alignment horizontal="left"/>
    </xf>
    <xf numFmtId="0" fontId="10" fillId="0" borderId="2" xfId="0" applyFont="1" applyBorder="1"/>
    <xf numFmtId="0" fontId="10" fillId="0" borderId="0" xfId="0" applyFont="1" applyBorder="1"/>
    <xf numFmtId="0" fontId="8" fillId="0" borderId="2" xfId="0" applyFont="1" applyBorder="1" applyAlignment="1">
      <alignment horizontal="left"/>
    </xf>
    <xf numFmtId="0" fontId="8" fillId="0" borderId="0" xfId="0" applyFont="1" applyBorder="1" applyAlignment="1">
      <alignment horizontal="left"/>
    </xf>
    <xf numFmtId="0" fontId="11" fillId="0" borderId="2" xfId="0" applyFont="1" applyFill="1" applyBorder="1" applyAlignment="1">
      <alignment horizontal="center"/>
    </xf>
    <xf numFmtId="0" fontId="11" fillId="0" borderId="0" xfId="0" applyFont="1" applyFill="1" applyBorder="1" applyAlignment="1">
      <alignment horizontal="center"/>
    </xf>
    <xf numFmtId="0" fontId="8" fillId="0" borderId="4"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0" xfId="0" applyFont="1" applyBorder="1" applyAlignment="1">
      <alignment horizontal="center"/>
    </xf>
    <xf numFmtId="0" fontId="9" fillId="0" borderId="2" xfId="0" applyFont="1" applyBorder="1" applyAlignment="1">
      <alignment horizontal="left"/>
    </xf>
    <xf numFmtId="0" fontId="9" fillId="0" borderId="0" xfId="0" applyFont="1" applyBorder="1" applyAlignment="1">
      <alignment horizontal="left"/>
    </xf>
  </cellXfs>
  <cellStyles count="9">
    <cellStyle name="Comma" xfId="1" builtinId="3"/>
    <cellStyle name="Comma 2" xfId="6"/>
    <cellStyle name="Currency" xfId="2" builtinId="4"/>
    <cellStyle name="Currency 2" xfId="7"/>
    <cellStyle name="Hyperlink" xfId="5" builtinId="8"/>
    <cellStyle name="Normal" xfId="0" builtinId="0"/>
    <cellStyle name="Normal 2" xfId="4"/>
    <cellStyle name="Percent" xfId="3" builtin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usernames" Target="revisions/userNames1.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59" Type="http://schemas.openxmlformats.org/officeDocument/2006/relationships/revisionLog" Target="revisionLog5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09CCA07-D2BF-44D9-BC5A-A8C99D455469}" diskRevisions="1" revisionId="308" version="5">
  <header guid="{B09CCA07-D2BF-44D9-BC5A-A8C99D455469}" dateTime="2015-06-02T17:45:15" maxSheetId="7" userName="Davis, Andrew - OLMS" r:id="rId59" minRId="307" maxRId="308">
    <sheetIdMap count="6">
      <sheetId val="1"/>
      <sheetId val="2"/>
      <sheetId val="3"/>
      <sheetId val="4"/>
      <sheetId val="5"/>
      <sheetId val="6"/>
    </sheetIdMap>
  </header>
</header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7" sId="3" odxf="1" dxf="1">
    <nc r="S17">
      <f>S4+S15</f>
    </nc>
    <odxf>
      <numFmt numFmtId="0" formatCode="General"/>
    </odxf>
    <ndxf>
      <numFmt numFmtId="164" formatCode="&quot;$&quot;#,##0.00"/>
    </ndxf>
  </rcc>
  <rcc rId="308" sId="3" odxf="1" dxf="1">
    <nc r="S18">
      <f>P17-S17</f>
    </nc>
    <odxf>
      <numFmt numFmtId="0" formatCode="General"/>
    </odxf>
    <ndxf>
      <numFmt numFmtId="164" formatCode="&quot;$&quot;#,##0.00"/>
    </ndxf>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www.nmb.gov/documents/2012annual-report/pdf/NMB2012_61.1-tables.pdf" TargetMode="External"/><Relationship Id="rId3" Type="http://schemas.openxmlformats.org/officeDocument/2006/relationships/hyperlink" Target="http://www.bls.gov/news.release/ecec.nr0.htm" TargetMode="External"/><Relationship Id="rId7" Type="http://schemas.openxmlformats.org/officeDocument/2006/relationships/hyperlink" Target="http://www.nmb.gov/documents/2010annual-report/03_SRS/PDFs/03/NMB2010_SRS_table1.pdf" TargetMode="Externa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hyperlink" Target="http://www.nmb.gov/documents/2011annual-report/pdf/NMB2011_51.1_tables.pdf" TargetMode="External"/><Relationship Id="rId11" Type="http://schemas.openxmlformats.org/officeDocument/2006/relationships/comments" Target="../comments5.xml"/><Relationship Id="rId5" Type="http://schemas.openxmlformats.org/officeDocument/2006/relationships/hyperlink" Target="http://www.nlrb.gov/annual-reports" TargetMode="External"/><Relationship Id="rId10" Type="http://schemas.openxmlformats.org/officeDocument/2006/relationships/vmlDrawing" Target="../drawings/vmlDrawing5.vml"/><Relationship Id="rId4" Type="http://schemas.openxmlformats.org/officeDocument/2006/relationships/hyperlink" Target="http://www.bls.gov/news.release/pdf/ocwage.pdf" TargetMode="External"/><Relationship Id="rId9"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0"/>
  <sheetViews>
    <sheetView workbookViewId="0">
      <selection activeCell="C15" sqref="C15"/>
    </sheetView>
  </sheetViews>
  <sheetFormatPr defaultRowHeight="12.75" x14ac:dyDescent="0.2"/>
  <cols>
    <col min="1" max="1" width="23.28515625" customWidth="1"/>
    <col min="2" max="2" width="15.140625" customWidth="1"/>
    <col min="3" max="3" width="16.140625" customWidth="1"/>
    <col min="4" max="4" width="18.28515625" customWidth="1"/>
    <col min="5" max="5" width="14.140625" customWidth="1"/>
    <col min="6" max="6" width="13.7109375" customWidth="1"/>
  </cols>
  <sheetData>
    <row r="1" spans="1:11" x14ac:dyDescent="0.2">
      <c r="A1" s="22" t="s">
        <v>9</v>
      </c>
    </row>
    <row r="2" spans="1:11" ht="96" customHeight="1" x14ac:dyDescent="0.2">
      <c r="A2" s="22" t="s">
        <v>10</v>
      </c>
      <c r="B2" s="23" t="s">
        <v>11</v>
      </c>
      <c r="C2" s="23" t="s">
        <v>12</v>
      </c>
      <c r="D2" s="31" t="s">
        <v>76</v>
      </c>
      <c r="E2" s="23" t="s">
        <v>13</v>
      </c>
      <c r="F2" s="31" t="s">
        <v>61</v>
      </c>
      <c r="G2" s="23" t="s">
        <v>25</v>
      </c>
      <c r="H2" s="31" t="s">
        <v>78</v>
      </c>
      <c r="I2" s="23" t="s">
        <v>26</v>
      </c>
    </row>
    <row r="3" spans="1:11" ht="14.25" x14ac:dyDescent="0.2">
      <c r="A3" s="54">
        <f>((B3+C3)*D3)+(E3+F3)</f>
        <v>4194.4400000000005</v>
      </c>
      <c r="B3" s="73">
        <f>'Revised_final persuader stats'!B22</f>
        <v>2658</v>
      </c>
      <c r="C3" s="73">
        <f>'Revised_final persuader stats'!B24</f>
        <v>40</v>
      </c>
      <c r="D3" s="73">
        <f>'Revised_final persuader stats'!A30</f>
        <v>0.78</v>
      </c>
      <c r="E3" s="73">
        <v>1045</v>
      </c>
      <c r="F3" s="73">
        <v>1045</v>
      </c>
      <c r="G3" s="54">
        <f>(E3 +F3)</f>
        <v>2090</v>
      </c>
      <c r="H3" s="73">
        <f xml:space="preserve"> (A3) -387</f>
        <v>3807.4400000000005</v>
      </c>
      <c r="I3" s="54">
        <f xml:space="preserve"> (A3) -2601</f>
        <v>1593.4400000000005</v>
      </c>
      <c r="J3" s="54"/>
      <c r="K3" s="46"/>
    </row>
    <row r="4" spans="1:11" ht="14.25" x14ac:dyDescent="0.2">
      <c r="A4" s="54"/>
      <c r="B4" s="54"/>
      <c r="C4" s="54"/>
      <c r="D4" s="54"/>
      <c r="E4" s="54"/>
      <c r="F4" s="54"/>
      <c r="G4" s="54"/>
      <c r="H4" s="54"/>
      <c r="I4" s="54"/>
      <c r="J4" s="54"/>
      <c r="K4" s="46"/>
    </row>
    <row r="5" spans="1:11" x14ac:dyDescent="0.2">
      <c r="A5" s="46"/>
      <c r="B5" s="46"/>
      <c r="C5" s="46"/>
      <c r="D5" s="46"/>
      <c r="E5" s="46"/>
      <c r="F5" s="46"/>
      <c r="G5" s="46"/>
      <c r="H5" s="46"/>
      <c r="I5" s="46"/>
      <c r="J5" s="46"/>
      <c r="K5" s="46"/>
    </row>
    <row r="6" spans="1:11" ht="25.5" x14ac:dyDescent="0.2">
      <c r="A6" s="47"/>
      <c r="B6" s="48" t="s">
        <v>15</v>
      </c>
      <c r="C6" s="48" t="s">
        <v>16</v>
      </c>
      <c r="D6" s="48"/>
      <c r="E6" s="46"/>
      <c r="F6" s="46"/>
      <c r="G6" s="46"/>
      <c r="H6" s="46"/>
      <c r="I6" s="46"/>
      <c r="J6" s="46"/>
      <c r="K6" s="46"/>
    </row>
    <row r="7" spans="1:11" x14ac:dyDescent="0.2">
      <c r="A7" s="47"/>
      <c r="B7" s="74">
        <f>(B3+C3)*D3</f>
        <v>2104.44</v>
      </c>
      <c r="C7" s="72">
        <v>5.875</v>
      </c>
      <c r="D7" s="45"/>
      <c r="E7" s="46"/>
      <c r="F7" s="46"/>
      <c r="G7" s="46"/>
      <c r="H7" s="46"/>
      <c r="I7" s="46"/>
      <c r="J7" s="46"/>
      <c r="K7" s="46"/>
    </row>
    <row r="8" spans="1:11" x14ac:dyDescent="0.2">
      <c r="A8" s="47"/>
      <c r="B8" s="49"/>
      <c r="C8" s="46"/>
      <c r="D8" s="45"/>
      <c r="E8" s="46"/>
      <c r="F8" s="46"/>
      <c r="G8" s="46"/>
      <c r="H8" s="46"/>
      <c r="I8" s="46"/>
      <c r="J8" s="46"/>
      <c r="K8" s="46"/>
    </row>
    <row r="9" spans="1:11" ht="35.25" customHeight="1" x14ac:dyDescent="0.2">
      <c r="A9" s="47" t="s">
        <v>14</v>
      </c>
      <c r="B9" s="49"/>
      <c r="C9" s="51" t="s">
        <v>98</v>
      </c>
      <c r="D9" s="45"/>
      <c r="E9" s="46"/>
      <c r="F9" s="46"/>
      <c r="G9" s="46"/>
      <c r="H9" s="46"/>
      <c r="I9" s="46"/>
      <c r="J9" s="46"/>
      <c r="K9" s="46"/>
    </row>
    <row r="10" spans="1:11" ht="38.25" x14ac:dyDescent="0.2">
      <c r="A10" s="50" t="s">
        <v>62</v>
      </c>
      <c r="B10" s="46"/>
      <c r="C10" s="50" t="s">
        <v>97</v>
      </c>
      <c r="D10" s="46"/>
      <c r="E10" s="46"/>
      <c r="F10" s="46"/>
      <c r="G10" s="46"/>
      <c r="H10" s="46"/>
      <c r="I10" s="46"/>
      <c r="J10" s="46"/>
      <c r="K10" s="46"/>
    </row>
    <row r="11" spans="1:11" x14ac:dyDescent="0.2">
      <c r="A11" s="48">
        <f>B7/C7</f>
        <v>358.20255319148936</v>
      </c>
      <c r="B11" s="46"/>
      <c r="C11" s="46">
        <f>A3/A11</f>
        <v>11.709687612856628</v>
      </c>
      <c r="D11" s="46"/>
      <c r="E11" s="46"/>
      <c r="F11" s="46"/>
      <c r="G11" s="46"/>
      <c r="H11" s="46"/>
      <c r="I11" s="46"/>
      <c r="J11" s="46"/>
      <c r="K11" s="46"/>
    </row>
    <row r="12" spans="1:11" x14ac:dyDescent="0.2">
      <c r="A12" s="48"/>
      <c r="B12" s="46"/>
      <c r="C12" s="46"/>
      <c r="D12" s="46"/>
      <c r="E12" s="46"/>
      <c r="F12" s="46"/>
      <c r="G12" s="46"/>
      <c r="H12" s="46"/>
      <c r="I12" s="46"/>
      <c r="J12" s="46"/>
      <c r="K12" s="46"/>
    </row>
    <row r="13" spans="1:11" x14ac:dyDescent="0.2">
      <c r="A13" s="46"/>
      <c r="B13" s="46"/>
      <c r="C13" s="46"/>
      <c r="D13" s="46"/>
      <c r="E13" s="46"/>
      <c r="F13" s="46"/>
      <c r="G13" s="46"/>
      <c r="H13" s="46"/>
      <c r="I13" s="46"/>
      <c r="J13" s="46"/>
      <c r="K13" s="46"/>
    </row>
    <row r="14" spans="1:11" ht="51" x14ac:dyDescent="0.2">
      <c r="A14" s="51" t="s">
        <v>77</v>
      </c>
      <c r="B14" s="48" t="s">
        <v>18</v>
      </c>
      <c r="C14" s="48" t="s">
        <v>17</v>
      </c>
      <c r="D14" s="48" t="s">
        <v>24</v>
      </c>
      <c r="E14" s="52" t="s">
        <v>26</v>
      </c>
      <c r="F14" s="46"/>
      <c r="G14" s="46"/>
      <c r="H14" s="46"/>
      <c r="I14" s="46"/>
      <c r="J14" s="46"/>
      <c r="K14" s="46"/>
    </row>
    <row r="15" spans="1:11" ht="15.75" x14ac:dyDescent="0.25">
      <c r="A15" s="45">
        <f xml:space="preserve"> (B15) + (C15)</f>
        <v>2777.04</v>
      </c>
      <c r="B15" s="80">
        <f>(B3+C3)*D3</f>
        <v>2104.44</v>
      </c>
      <c r="C15" s="81">
        <f>'Revised_final persuader stats'!B12</f>
        <v>672.6</v>
      </c>
      <c r="D15" s="72">
        <f xml:space="preserve"> (A15) - (957)</f>
        <v>1820.04</v>
      </c>
      <c r="E15" s="72">
        <f xml:space="preserve"> (A15) - (3414)</f>
        <v>-636.96</v>
      </c>
      <c r="F15" s="46"/>
      <c r="G15" s="46"/>
      <c r="H15" s="46"/>
      <c r="I15" s="46"/>
      <c r="J15" s="46"/>
      <c r="K15" s="46"/>
    </row>
    <row r="16" spans="1:11" x14ac:dyDescent="0.2">
      <c r="A16" s="46"/>
      <c r="B16" s="46"/>
      <c r="C16" s="46"/>
      <c r="D16" s="46"/>
      <c r="E16" s="46"/>
      <c r="F16" s="46"/>
      <c r="G16" s="46"/>
      <c r="H16" s="46"/>
      <c r="I16" s="46"/>
      <c r="J16" s="46"/>
      <c r="K16" s="46"/>
    </row>
    <row r="17" spans="1:11" x14ac:dyDescent="0.2">
      <c r="A17" s="46"/>
      <c r="B17" s="46"/>
      <c r="C17" s="46"/>
      <c r="D17" s="46"/>
      <c r="E17" s="46"/>
      <c r="F17" s="46"/>
      <c r="G17" s="46"/>
      <c r="H17" s="46"/>
      <c r="I17" s="46"/>
      <c r="J17" s="46"/>
      <c r="K17" s="46"/>
    </row>
    <row r="18" spans="1:11" ht="33.75" customHeight="1" x14ac:dyDescent="0.2">
      <c r="A18" s="26" t="s">
        <v>91</v>
      </c>
      <c r="B18" s="53" t="s">
        <v>92</v>
      </c>
      <c r="C18" s="31" t="s">
        <v>93</v>
      </c>
      <c r="D18" s="53" t="s">
        <v>94</v>
      </c>
    </row>
    <row r="19" spans="1:11" x14ac:dyDescent="0.2">
      <c r="A19" s="53" t="s">
        <v>95</v>
      </c>
      <c r="B19">
        <v>17387</v>
      </c>
      <c r="C19">
        <v>15808</v>
      </c>
      <c r="D19">
        <v>6461</v>
      </c>
    </row>
    <row r="20" spans="1:11" x14ac:dyDescent="0.2">
      <c r="A20">
        <f>B19+C19+D19-A11</f>
        <v>39297.797446808509</v>
      </c>
    </row>
  </sheetData>
  <customSheetViews>
    <customSheetView guid="{07D1C6E8-1552-4ABF-BFED-D23DC7C1C406}" fitToPage="1">
      <selection activeCell="D15" sqref="D15"/>
      <pageMargins left="0.7" right="0.7" top="0.75" bottom="0.75" header="0.3" footer="0.3"/>
      <printOptions gridLines="1"/>
      <pageSetup orientation="landscape" r:id="rId1"/>
    </customSheetView>
    <customSheetView guid="{E3F6BAC6-6800-43B1-BFE7-2CAB78C78903}" showPageBreaks="1" fitToPage="1">
      <selection activeCell="G10" sqref="G10"/>
      <pageMargins left="0.7" right="0.7" top="0.75" bottom="0.75" header="0.3" footer="0.3"/>
      <printOptions gridLines="1"/>
      <pageSetup scale="97" orientation="landscape" r:id="rId2"/>
    </customSheetView>
  </customSheetViews>
  <printOptions gridLines="1"/>
  <pageMargins left="0.7" right="0.7" top="0.75" bottom="0.75" header="0.3" footer="0.3"/>
  <pageSetup orientation="landscape"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2"/>
  <sheetViews>
    <sheetView topLeftCell="B1" zoomScaleNormal="100" workbookViewId="0">
      <selection activeCell="Z16" sqref="Z16"/>
    </sheetView>
  </sheetViews>
  <sheetFormatPr defaultRowHeight="12.75" x14ac:dyDescent="0.2"/>
  <cols>
    <col min="1" max="1" width="22.28515625" customWidth="1"/>
    <col min="3" max="3" width="15.7109375" customWidth="1"/>
    <col min="4" max="4" width="9.140625" hidden="1" customWidth="1"/>
    <col min="5" max="5" width="11.140625" customWidth="1"/>
    <col min="6" max="6" width="2.5703125" customWidth="1"/>
    <col min="7" max="7" width="13.42578125" customWidth="1"/>
    <col min="8" max="8" width="2.5703125" customWidth="1"/>
    <col min="9" max="9" width="13.85546875" customWidth="1"/>
    <col min="10" max="10" width="2.5703125" customWidth="1"/>
    <col min="11" max="11" width="13" customWidth="1"/>
    <col min="12" max="12" width="2.5703125" customWidth="1"/>
    <col min="13" max="13" width="13" customWidth="1"/>
    <col min="14" max="14" width="2.5703125" customWidth="1"/>
    <col min="15" max="15" width="12.42578125" customWidth="1"/>
    <col min="16" max="16" width="2.5703125" customWidth="1"/>
    <col min="17" max="17" width="11.5703125" customWidth="1"/>
    <col min="18" max="19" width="2.5703125" customWidth="1"/>
    <col min="20" max="20" width="16.28515625" customWidth="1"/>
    <col min="24" max="24" width="14.140625" customWidth="1"/>
    <col min="25" max="25" width="13.140625" customWidth="1"/>
    <col min="26" max="26" width="10.140625" bestFit="1" customWidth="1"/>
    <col min="28" max="28" width="10.7109375" bestFit="1" customWidth="1"/>
  </cols>
  <sheetData>
    <row r="1" spans="1:29" ht="16.5" customHeight="1" thickBot="1" x14ac:dyDescent="0.25">
      <c r="A1" s="93" t="s">
        <v>23</v>
      </c>
      <c r="B1" s="94"/>
      <c r="C1" s="94"/>
      <c r="D1" s="94"/>
      <c r="E1" s="94"/>
      <c r="F1" s="94"/>
      <c r="G1" s="94"/>
      <c r="H1" s="94"/>
      <c r="I1" s="94"/>
      <c r="J1" s="94"/>
      <c r="K1" s="94"/>
      <c r="L1" s="94"/>
      <c r="M1" s="94"/>
      <c r="N1" s="94"/>
      <c r="O1" s="94"/>
      <c r="P1" s="94"/>
      <c r="Q1" s="94"/>
      <c r="R1" s="94"/>
      <c r="S1" s="94"/>
    </row>
    <row r="2" spans="1:29" ht="96.75" customHeight="1" thickBot="1" x14ac:dyDescent="0.25">
      <c r="A2" s="94" t="s">
        <v>0</v>
      </c>
      <c r="B2" s="94"/>
      <c r="C2" s="94"/>
      <c r="D2" s="94"/>
      <c r="E2" s="16" t="s">
        <v>8</v>
      </c>
      <c r="F2" s="18"/>
      <c r="G2" s="18" t="s">
        <v>29</v>
      </c>
      <c r="H2" s="18"/>
      <c r="I2" s="16" t="s">
        <v>20</v>
      </c>
      <c r="J2" s="18"/>
      <c r="K2" s="16" t="s">
        <v>30</v>
      </c>
      <c r="L2" s="18"/>
      <c r="M2" s="16" t="s">
        <v>19</v>
      </c>
      <c r="N2" s="18"/>
      <c r="O2" s="16" t="s">
        <v>31</v>
      </c>
      <c r="P2" s="18"/>
      <c r="Q2" s="18" t="s">
        <v>2</v>
      </c>
      <c r="R2" s="18"/>
      <c r="S2" s="18"/>
      <c r="T2" s="23" t="s">
        <v>32</v>
      </c>
      <c r="U2" s="23" t="s">
        <v>33</v>
      </c>
      <c r="V2" s="23" t="s">
        <v>34</v>
      </c>
      <c r="X2" s="23" t="s">
        <v>35</v>
      </c>
      <c r="Y2" s="23" t="s">
        <v>36</v>
      </c>
      <c r="Z2" s="23" t="s">
        <v>37</v>
      </c>
      <c r="AA2" s="23" t="s">
        <v>38</v>
      </c>
      <c r="AB2" s="23" t="s">
        <v>39</v>
      </c>
      <c r="AC2" s="23" t="s">
        <v>40</v>
      </c>
    </row>
    <row r="3" spans="1:29" x14ac:dyDescent="0.2">
      <c r="A3" s="95" t="s">
        <v>27</v>
      </c>
      <c r="B3" s="95"/>
      <c r="C3" s="95"/>
      <c r="E3" s="5"/>
    </row>
    <row r="4" spans="1:29" x14ac:dyDescent="0.2">
      <c r="A4" s="8"/>
      <c r="B4" s="96"/>
      <c r="C4" s="96"/>
      <c r="E4" s="72">
        <f>'Number of Reports_Filers'!A3</f>
        <v>4194.4400000000005</v>
      </c>
      <c r="F4" s="46"/>
      <c r="G4" s="46">
        <f>E4*15</f>
        <v>62916.600000000006</v>
      </c>
      <c r="H4" s="46"/>
      <c r="I4" s="46">
        <f>G4/60</f>
        <v>1048.6100000000001</v>
      </c>
      <c r="J4" s="46"/>
      <c r="K4" s="46">
        <f>E4*83</f>
        <v>348138.52</v>
      </c>
      <c r="L4" s="46"/>
      <c r="M4" s="46">
        <f>K4/60</f>
        <v>5802.3086666666668</v>
      </c>
      <c r="N4" s="46"/>
      <c r="O4" s="46">
        <f>K4+G4</f>
        <v>411055.12</v>
      </c>
      <c r="P4" s="46"/>
      <c r="Q4" s="46">
        <f>M4+I4</f>
        <v>6850.9186666666665</v>
      </c>
      <c r="R4" s="46"/>
      <c r="S4" s="46"/>
      <c r="T4" s="46">
        <f xml:space="preserve"> (I4) - 96.8</f>
        <v>951.81000000000017</v>
      </c>
      <c r="U4" s="46">
        <f xml:space="preserve"> (M4) - 534.1</f>
        <v>5268.2086666666664</v>
      </c>
      <c r="V4" s="46">
        <f xml:space="preserve"> (Q4) - 630.9</f>
        <v>6220.0186666666668</v>
      </c>
      <c r="W4" s="46"/>
      <c r="X4" s="46">
        <f xml:space="preserve"> (G4) - 39015</f>
        <v>23901.600000000006</v>
      </c>
      <c r="Y4" s="46">
        <f xml:space="preserve"> (I4) - 650.25</f>
        <v>398.36000000000013</v>
      </c>
      <c r="Z4" s="46">
        <f>(K4)-117045</f>
        <v>231093.52000000002</v>
      </c>
      <c r="AA4" s="46">
        <f>(M4)-1950.75</f>
        <v>3851.5586666666668</v>
      </c>
      <c r="AB4" s="46">
        <f xml:space="preserve"> (O4) - (156060)</f>
        <v>254995.12</v>
      </c>
      <c r="AC4" s="46">
        <f xml:space="preserve"> (Q4) - (2601)</f>
        <v>4249.9186666666665</v>
      </c>
    </row>
    <row r="5" spans="1:29" ht="13.5" thickBot="1" x14ac:dyDescent="0.25">
      <c r="A5" s="8"/>
      <c r="B5" s="96"/>
      <c r="C5" s="96"/>
      <c r="E5" s="46"/>
      <c r="F5" s="46"/>
      <c r="G5" s="46"/>
      <c r="H5" s="46"/>
      <c r="I5" s="46"/>
      <c r="J5" s="46"/>
      <c r="K5" s="46"/>
      <c r="L5" s="46"/>
      <c r="M5" s="46"/>
      <c r="N5" s="46"/>
      <c r="O5" s="46"/>
      <c r="P5" s="46"/>
      <c r="Q5" s="46"/>
      <c r="R5" s="46"/>
      <c r="S5" s="46"/>
      <c r="T5" s="46"/>
      <c r="U5" s="46"/>
      <c r="V5" s="46"/>
      <c r="W5" s="46"/>
      <c r="X5" s="46"/>
      <c r="Y5" s="46"/>
      <c r="Z5" s="46"/>
      <c r="AA5" s="46"/>
      <c r="AB5" s="46"/>
      <c r="AC5" s="46"/>
    </row>
    <row r="6" spans="1:29" x14ac:dyDescent="0.2">
      <c r="A6" s="95" t="s">
        <v>28</v>
      </c>
      <c r="B6" s="95"/>
      <c r="C6" s="95"/>
      <c r="E6" s="72">
        <f>'Number of Reports_Filers'!A15</f>
        <v>2777.04</v>
      </c>
      <c r="F6" s="46"/>
      <c r="G6" s="46">
        <f>E6*25</f>
        <v>69426</v>
      </c>
      <c r="H6" s="46"/>
      <c r="I6" s="46">
        <f>G6/60</f>
        <v>1157.0999999999999</v>
      </c>
      <c r="J6" s="46"/>
      <c r="K6" s="46">
        <f>E6*122</f>
        <v>338798.88</v>
      </c>
      <c r="L6" s="46"/>
      <c r="M6" s="46">
        <f>K6/60</f>
        <v>5646.6480000000001</v>
      </c>
      <c r="N6" s="46"/>
      <c r="O6" s="46">
        <f>G6+K6</f>
        <v>408224.88</v>
      </c>
      <c r="P6" s="46"/>
      <c r="Q6" s="46">
        <f>I6+M6</f>
        <v>6803.7479999999996</v>
      </c>
      <c r="R6" s="46"/>
      <c r="S6" s="46"/>
      <c r="T6" s="46">
        <f>I6-401.9</f>
        <v>755.19999999999993</v>
      </c>
      <c r="U6" s="46">
        <f>M6-1942.7</f>
        <v>3703.9480000000003</v>
      </c>
      <c r="V6" s="46">
        <f>Q6-2344.6</f>
        <v>4459.1479999999992</v>
      </c>
      <c r="W6" s="46"/>
      <c r="X6" s="46">
        <f>G6-85350</f>
        <v>-15924</v>
      </c>
      <c r="Y6" s="62">
        <f>I6-1423</f>
        <v>-265.90000000000009</v>
      </c>
      <c r="Z6" s="46">
        <f>K6-324330</f>
        <v>14468.880000000005</v>
      </c>
      <c r="AA6" s="46">
        <f>M6-5406</f>
        <v>240.64800000000014</v>
      </c>
      <c r="AB6" s="46">
        <f>O6-409680</f>
        <v>-1455.1199999999953</v>
      </c>
      <c r="AC6" s="46">
        <f>Q6-6828</f>
        <v>-24.252000000000407</v>
      </c>
    </row>
    <row r="7" spans="1:29" x14ac:dyDescent="0.2">
      <c r="E7" s="46"/>
      <c r="F7" s="46"/>
      <c r="G7" s="46"/>
      <c r="H7" s="46"/>
      <c r="I7" s="46"/>
      <c r="J7" s="46"/>
      <c r="K7" s="46"/>
      <c r="L7" s="46"/>
      <c r="M7" s="46"/>
      <c r="N7" s="46"/>
      <c r="O7" s="46"/>
      <c r="P7" s="46"/>
      <c r="Q7" s="46"/>
      <c r="R7" s="46"/>
      <c r="S7" s="46"/>
      <c r="T7" s="46"/>
      <c r="U7" s="46"/>
      <c r="V7" s="46"/>
      <c r="W7" s="46"/>
      <c r="X7" s="46"/>
      <c r="Y7" s="46"/>
      <c r="Z7" s="46"/>
      <c r="AA7" s="46"/>
      <c r="AB7" s="46"/>
      <c r="AC7" s="46"/>
    </row>
    <row r="8" spans="1:29" x14ac:dyDescent="0.2">
      <c r="E8" s="46"/>
      <c r="F8" s="46"/>
      <c r="G8" s="46"/>
      <c r="H8" s="46"/>
      <c r="I8" s="46"/>
      <c r="J8" s="46"/>
      <c r="K8" s="46"/>
      <c r="L8" s="46"/>
      <c r="M8" s="46"/>
      <c r="N8" s="46"/>
      <c r="O8" s="46"/>
      <c r="P8" s="46"/>
      <c r="Q8" s="46"/>
      <c r="R8" s="46"/>
      <c r="S8" s="46"/>
      <c r="T8" s="46"/>
      <c r="U8" s="46"/>
      <c r="V8" s="46"/>
      <c r="W8" s="46"/>
      <c r="X8" s="46"/>
      <c r="Y8" s="46"/>
      <c r="Z8" s="46"/>
      <c r="AA8" s="46"/>
      <c r="AB8" s="46"/>
      <c r="AC8" s="46"/>
    </row>
    <row r="9" spans="1:29" ht="13.5" thickBot="1" x14ac:dyDescent="0.25">
      <c r="A9" s="22" t="s">
        <v>41</v>
      </c>
      <c r="E9" s="46"/>
      <c r="F9" s="46"/>
      <c r="G9" s="46"/>
      <c r="H9" s="46"/>
      <c r="I9" s="46"/>
      <c r="J9" s="46"/>
      <c r="K9" s="46"/>
      <c r="L9" s="46"/>
      <c r="M9" s="46"/>
      <c r="N9" s="46"/>
      <c r="O9" s="46"/>
      <c r="P9" s="46"/>
      <c r="Q9" s="46"/>
      <c r="R9" s="46"/>
      <c r="S9" s="46"/>
      <c r="T9" s="46"/>
      <c r="U9" s="46"/>
      <c r="V9" s="46"/>
      <c r="W9" s="46"/>
      <c r="X9" s="46"/>
      <c r="Y9" s="46"/>
      <c r="Z9" s="46"/>
      <c r="AA9" s="46"/>
      <c r="AB9" s="46"/>
      <c r="AC9" s="46"/>
    </row>
    <row r="10" spans="1:29" x14ac:dyDescent="0.2">
      <c r="A10" s="91" t="s">
        <v>96</v>
      </c>
      <c r="B10" s="92"/>
      <c r="C10" s="92"/>
      <c r="E10" s="63">
        <f xml:space="preserve"> (E4)/C11</f>
        <v>11.709687612856628</v>
      </c>
      <c r="F10" s="46"/>
      <c r="G10" s="46">
        <f>E10*15</f>
        <v>175.64531419284941</v>
      </c>
      <c r="H10" s="46"/>
      <c r="I10" s="46">
        <f>G10/60</f>
        <v>2.9274219032141571</v>
      </c>
      <c r="J10" s="46"/>
      <c r="K10" s="64">
        <f>E10*83</f>
        <v>971.90407186710013</v>
      </c>
      <c r="L10" s="46"/>
      <c r="M10" s="46">
        <f>K10/60</f>
        <v>16.198401197785003</v>
      </c>
      <c r="N10" s="46"/>
      <c r="O10" s="46">
        <f>G10+K10</f>
        <v>1147.5493860599495</v>
      </c>
      <c r="P10" s="46"/>
      <c r="Q10" s="46">
        <f>I10+M10</f>
        <v>19.12582310099916</v>
      </c>
      <c r="R10" s="46"/>
      <c r="S10" s="46"/>
      <c r="T10" s="46"/>
      <c r="U10" s="46"/>
      <c r="V10" s="46"/>
      <c r="W10" s="46"/>
      <c r="X10" s="46"/>
      <c r="Y10" s="46"/>
      <c r="Z10" s="46"/>
      <c r="AA10" s="46"/>
      <c r="AB10" s="46"/>
      <c r="AC10" s="46"/>
    </row>
    <row r="11" spans="1:29" x14ac:dyDescent="0.2">
      <c r="A11" s="23"/>
      <c r="B11" s="8"/>
      <c r="C11" s="8">
        <f>'Number of Reports_Filers'!A11</f>
        <v>358.20255319148936</v>
      </c>
      <c r="D11" s="8"/>
      <c r="E11" s="65"/>
      <c r="F11" s="65"/>
      <c r="G11" s="66"/>
      <c r="H11" s="46"/>
      <c r="I11" s="46"/>
      <c r="J11" s="46"/>
      <c r="K11" s="46"/>
      <c r="L11" s="46"/>
      <c r="M11" s="46"/>
      <c r="N11" s="46"/>
      <c r="O11" s="46"/>
      <c r="P11" s="46"/>
      <c r="Q11" s="46"/>
      <c r="R11" s="46"/>
      <c r="S11" s="46"/>
      <c r="T11" s="46"/>
      <c r="U11" s="46"/>
      <c r="V11" s="46"/>
      <c r="W11" s="46"/>
      <c r="X11" s="46"/>
      <c r="Y11" s="46"/>
      <c r="Z11" s="46"/>
      <c r="AA11" s="46"/>
      <c r="AB11" s="46"/>
      <c r="AC11" s="46"/>
    </row>
    <row r="12" spans="1:29" x14ac:dyDescent="0.2">
      <c r="D12" s="8"/>
      <c r="E12" s="65"/>
      <c r="F12" s="65"/>
      <c r="G12" s="67"/>
      <c r="H12" s="46"/>
      <c r="I12" s="46"/>
      <c r="J12" s="46"/>
      <c r="K12" s="46"/>
      <c r="L12" s="46"/>
      <c r="M12" s="46"/>
      <c r="N12" s="46"/>
      <c r="O12" s="46"/>
      <c r="P12" s="46"/>
      <c r="Q12" s="46"/>
      <c r="R12" s="46"/>
      <c r="S12" s="46"/>
      <c r="T12" s="46"/>
      <c r="U12" s="46"/>
      <c r="V12" s="46"/>
      <c r="W12" s="46"/>
      <c r="X12" s="46"/>
      <c r="Y12" s="46"/>
      <c r="Z12" s="46"/>
      <c r="AA12" s="46"/>
      <c r="AB12" s="46"/>
      <c r="AC12" s="46"/>
    </row>
    <row r="13" spans="1:29" x14ac:dyDescent="0.2">
      <c r="A13" s="8"/>
      <c r="B13" s="8"/>
      <c r="C13" s="8"/>
      <c r="D13" s="8"/>
      <c r="E13" s="8"/>
      <c r="F13" s="8"/>
      <c r="G13" s="7"/>
    </row>
    <row r="14" spans="1:29" x14ac:dyDescent="0.2">
      <c r="A14" s="8"/>
      <c r="B14" s="8"/>
      <c r="C14" s="8"/>
      <c r="D14" s="8"/>
      <c r="E14" s="8"/>
      <c r="F14" s="8"/>
      <c r="G14" s="4"/>
    </row>
    <row r="15" spans="1:29" x14ac:dyDescent="0.2">
      <c r="A15" s="23"/>
    </row>
    <row r="16" spans="1:29" ht="140.25" x14ac:dyDescent="0.2">
      <c r="A16" s="31" t="s">
        <v>60</v>
      </c>
    </row>
    <row r="20" spans="3:3" ht="15.75" x14ac:dyDescent="0.25">
      <c r="C20" s="27"/>
    </row>
    <row r="21" spans="3:3" ht="15.75" x14ac:dyDescent="0.25">
      <c r="C21" s="27"/>
    </row>
    <row r="22" spans="3:3" ht="15.75" x14ac:dyDescent="0.25">
      <c r="C22" s="27"/>
    </row>
  </sheetData>
  <customSheetViews>
    <customSheetView guid="{07D1C6E8-1552-4ABF-BFED-D23DC7C1C406}" hiddenColumns="1" topLeftCell="B1">
      <selection activeCell="Z16" sqref="Z16"/>
      <pageMargins left="0.75" right="0.75" top="1" bottom="1" header="0.5" footer="0.5"/>
      <printOptions gridLines="1"/>
      <pageSetup scale="83" orientation="landscape" r:id="rId1"/>
      <headerFooter alignWithMargins="0"/>
    </customSheetView>
    <customSheetView guid="{E3F6BAC6-6800-43B1-BFE7-2CAB78C78903}" showPageBreaks="1" hiddenColumns="1" topLeftCell="E1">
      <selection activeCell="E4" sqref="E4"/>
      <pageMargins left="0.75" right="0.75" top="1" bottom="1" header="0.5" footer="0.5"/>
      <printOptions gridLines="1"/>
      <pageSetup scale="83" orientation="landscape" r:id="rId2"/>
      <headerFooter alignWithMargins="0"/>
    </customSheetView>
  </customSheetViews>
  <mergeCells count="7">
    <mergeCell ref="A10:C10"/>
    <mergeCell ref="A1:S1"/>
    <mergeCell ref="A2:D2"/>
    <mergeCell ref="A3:C3"/>
    <mergeCell ref="B4:C4"/>
    <mergeCell ref="B5:C5"/>
    <mergeCell ref="A6:C6"/>
  </mergeCells>
  <printOptions gridLines="1"/>
  <pageMargins left="0.75" right="0.75" top="1" bottom="1" header="0.5" footer="0.5"/>
  <pageSetup scale="83" orientation="landscape" r:id="rId3"/>
  <headerFooter alignWithMargins="0"/>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1"/>
  <sheetViews>
    <sheetView zoomScaleNormal="100" workbookViewId="0">
      <selection activeCell="A26" sqref="A26"/>
    </sheetView>
  </sheetViews>
  <sheetFormatPr defaultRowHeight="12.75" x14ac:dyDescent="0.2"/>
  <cols>
    <col min="1" max="1" width="54.28515625" customWidth="1"/>
    <col min="2" max="2" width="14" customWidth="1"/>
    <col min="3" max="3" width="8.42578125" customWidth="1"/>
    <col min="4" max="4" width="9.140625" hidden="1" customWidth="1"/>
    <col min="5" max="5" width="11.140625" customWidth="1"/>
    <col min="6" max="6" width="2.5703125" customWidth="1"/>
    <col min="7" max="7" width="10.85546875" customWidth="1"/>
    <col min="8" max="9" width="2.5703125" customWidth="1"/>
    <col min="10" max="10" width="13" customWidth="1"/>
    <col min="11" max="11" width="2.5703125" customWidth="1"/>
    <col min="12" max="12" width="12.42578125" customWidth="1"/>
    <col min="13" max="13" width="2.5703125" customWidth="1"/>
    <col min="14" max="14" width="12.42578125" customWidth="1"/>
    <col min="15" max="15" width="2.5703125" customWidth="1"/>
    <col min="16" max="16" width="13.85546875" bestFit="1" customWidth="1"/>
    <col min="18" max="18" width="14" customWidth="1"/>
    <col min="19" max="19" width="13.5703125" customWidth="1"/>
    <col min="22" max="22" width="11.140625" bestFit="1" customWidth="1"/>
  </cols>
  <sheetData>
    <row r="1" spans="1:22" ht="16.5" customHeight="1" thickBot="1" x14ac:dyDescent="0.25">
      <c r="A1" s="93" t="s">
        <v>7</v>
      </c>
      <c r="B1" s="94"/>
      <c r="C1" s="94"/>
      <c r="D1" s="94"/>
      <c r="E1" s="94"/>
      <c r="F1" s="94"/>
      <c r="G1" s="94"/>
      <c r="H1" s="94"/>
      <c r="I1" s="94"/>
      <c r="J1" s="94"/>
      <c r="K1" s="94"/>
      <c r="L1" s="94"/>
      <c r="M1" s="94"/>
      <c r="N1" s="94"/>
      <c r="O1" s="94"/>
      <c r="P1" s="94"/>
    </row>
    <row r="2" spans="1:22" ht="58.5" customHeight="1" thickBot="1" x14ac:dyDescent="0.25">
      <c r="A2" s="94" t="s">
        <v>0</v>
      </c>
      <c r="B2" s="94"/>
      <c r="C2" s="94"/>
      <c r="D2" s="94"/>
      <c r="E2" s="18" t="s">
        <v>3</v>
      </c>
      <c r="F2" s="18"/>
      <c r="G2" s="18" t="s">
        <v>64</v>
      </c>
      <c r="H2" s="18"/>
      <c r="I2" s="18"/>
      <c r="J2" s="18" t="s">
        <v>63</v>
      </c>
      <c r="K2" s="18"/>
      <c r="L2" s="18" t="s">
        <v>65</v>
      </c>
      <c r="M2" s="18"/>
      <c r="N2" s="68" t="s">
        <v>45</v>
      </c>
      <c r="O2" s="18"/>
      <c r="P2" s="18" t="s">
        <v>1</v>
      </c>
      <c r="R2" s="23" t="s">
        <v>42</v>
      </c>
      <c r="S2" s="29" t="s">
        <v>43</v>
      </c>
      <c r="U2" s="23" t="s">
        <v>26</v>
      </c>
      <c r="V2" s="23" t="s">
        <v>44</v>
      </c>
    </row>
    <row r="3" spans="1:22" x14ac:dyDescent="0.2">
      <c r="A3" s="95" t="s">
        <v>21</v>
      </c>
      <c r="B3" s="95"/>
      <c r="C3" s="95"/>
      <c r="E3" s="5"/>
    </row>
    <row r="4" spans="1:22" x14ac:dyDescent="0.2">
      <c r="A4" s="28" t="s">
        <v>46</v>
      </c>
      <c r="B4" s="96"/>
      <c r="C4" s="96"/>
      <c r="E4" s="71">
        <f>'Number of Reports_Filers'!A3</f>
        <v>4194.4400000000005</v>
      </c>
      <c r="F4" s="5"/>
      <c r="G4" s="5">
        <v>83</v>
      </c>
      <c r="H4" s="5"/>
      <c r="I4" s="6"/>
      <c r="J4" s="6">
        <v>15</v>
      </c>
      <c r="K4" s="6"/>
      <c r="L4" s="6">
        <f>J4+G4</f>
        <v>98</v>
      </c>
      <c r="M4" s="5"/>
      <c r="N4" s="70">
        <f>'Revised_final persuader stats'!H7*(G4+J4)/60</f>
        <v>151.13630386740331</v>
      </c>
      <c r="O4" s="5"/>
      <c r="P4" s="2">
        <f>N4*E4</f>
        <v>633932.15839359118</v>
      </c>
      <c r="R4" s="2">
        <f>N4-(57189/387)</f>
        <v>3.3611100689537068</v>
      </c>
      <c r="S4" s="2">
        <f>P4-57189</f>
        <v>576743.15839359118</v>
      </c>
      <c r="U4" s="2">
        <f>N4-87.59</f>
        <v>63.54630386740331</v>
      </c>
      <c r="V4" s="2">
        <f>P4-227821.59</f>
        <v>406110.56839359121</v>
      </c>
    </row>
    <row r="7" spans="1:22" x14ac:dyDescent="0.2">
      <c r="A7" s="22"/>
      <c r="B7" s="23"/>
      <c r="C7" s="8"/>
      <c r="D7" s="8"/>
      <c r="E7" s="8"/>
      <c r="F7" s="8"/>
      <c r="G7" s="24"/>
    </row>
    <row r="8" spans="1:22" ht="13.5" thickBot="1" x14ac:dyDescent="0.25">
      <c r="A8" s="22"/>
      <c r="B8" s="23"/>
      <c r="C8" s="8"/>
      <c r="D8" s="8"/>
      <c r="E8" s="8"/>
      <c r="F8" s="8"/>
      <c r="G8" s="24"/>
    </row>
    <row r="9" spans="1:22" x14ac:dyDescent="0.2">
      <c r="A9" s="97" t="s">
        <v>47</v>
      </c>
      <c r="B9" s="92"/>
      <c r="C9" s="92"/>
      <c r="D9" s="8"/>
      <c r="E9" s="8">
        <f>'Number of Reports_Filers'!C11</f>
        <v>11.709687612856628</v>
      </c>
      <c r="F9" s="8"/>
      <c r="G9" s="4"/>
      <c r="P9" s="2">
        <f>E9*N4</f>
        <v>1769.758905249068</v>
      </c>
    </row>
    <row r="10" spans="1:22" ht="13.5" thickBot="1" x14ac:dyDescent="0.25"/>
    <row r="11" spans="1:22" x14ac:dyDescent="0.2">
      <c r="A11" s="97"/>
      <c r="B11" s="92"/>
      <c r="C11" s="92"/>
      <c r="E11" s="8"/>
      <c r="P11" s="2"/>
    </row>
    <row r="15" spans="1:22" x14ac:dyDescent="0.2">
      <c r="A15" s="22" t="s">
        <v>22</v>
      </c>
      <c r="E15" s="5">
        <f>'Number of Reports_Filers'!A15</f>
        <v>2777.04</v>
      </c>
      <c r="G15">
        <v>122</v>
      </c>
      <c r="J15" s="6">
        <v>25</v>
      </c>
      <c r="L15" s="6">
        <f>J15 + G15</f>
        <v>147</v>
      </c>
      <c r="N15" s="69">
        <f>'Revised_final persuader stats'!H7*(L15/60)</f>
        <v>226.70445580110498</v>
      </c>
      <c r="P15" s="2">
        <f>E15*N15</f>
        <v>629567.34193790052</v>
      </c>
      <c r="R15" s="9">
        <f>N15-(212564/957)</f>
        <v>4.589513272369345</v>
      </c>
      <c r="S15" s="2">
        <f>P15-212564</f>
        <v>417003.34193790052</v>
      </c>
      <c r="U15" s="9">
        <f>N15-175.18</f>
        <v>51.524455801104978</v>
      </c>
      <c r="V15" s="2">
        <f>P15-598064.52</f>
        <v>31502.821937900502</v>
      </c>
    </row>
    <row r="17" spans="1:22" ht="38.25" x14ac:dyDescent="0.2">
      <c r="N17" s="26" t="s">
        <v>103</v>
      </c>
      <c r="P17" s="2">
        <f>P4+P15</f>
        <v>1263499.5003314917</v>
      </c>
      <c r="S17" s="2">
        <f>S4+S15</f>
        <v>993746.5003314917</v>
      </c>
      <c r="V17" s="2">
        <f>V4+V15</f>
        <v>437613.39033149171</v>
      </c>
    </row>
    <row r="18" spans="1:22" x14ac:dyDescent="0.2">
      <c r="A18" t="s">
        <v>101</v>
      </c>
      <c r="B18" s="2">
        <f>'Revised_final persuader stats'!H7</f>
        <v>92.532430939226515</v>
      </c>
      <c r="S18" s="2">
        <f>P17-S17</f>
        <v>269753</v>
      </c>
      <c r="V18" s="2">
        <f>P17-V17</f>
        <v>825886.11</v>
      </c>
    </row>
    <row r="19" spans="1:22" x14ac:dyDescent="0.2">
      <c r="A19" t="s">
        <v>102</v>
      </c>
      <c r="B19" s="2">
        <f>(B18)*('Number of Reports_Filers'!A20)</f>
        <v>3636320.7283105203</v>
      </c>
    </row>
    <row r="20" spans="1:22" ht="45.75" customHeight="1" x14ac:dyDescent="0.2">
      <c r="N20" s="26" t="s">
        <v>48</v>
      </c>
      <c r="P20" s="2">
        <f>P17+B19</f>
        <v>4899820.228642012</v>
      </c>
    </row>
    <row r="21" spans="1:22" ht="197.25" customHeight="1" x14ac:dyDescent="0.25">
      <c r="A21" s="31" t="s">
        <v>99</v>
      </c>
      <c r="B21" s="25"/>
      <c r="C21" s="23"/>
    </row>
  </sheetData>
  <customSheetViews>
    <customSheetView guid="{07D1C6E8-1552-4ABF-BFED-D23DC7C1C406}" hiddenColumns="1">
      <selection activeCell="B19" sqref="B19"/>
      <pageMargins left="0.75" right="0.75" top="1" bottom="1" header="0.5" footer="0.5"/>
      <printOptions gridLines="1"/>
      <pageSetup scale="83" orientation="landscape" r:id="rId1"/>
      <headerFooter alignWithMargins="0"/>
    </customSheetView>
    <customSheetView guid="{E3F6BAC6-6800-43B1-BFE7-2CAB78C78903}" showPageBreaks="1" hiddenColumns="1">
      <selection activeCell="A20" sqref="A20"/>
      <pageMargins left="0.75" right="0.75" top="1" bottom="1" header="0.5" footer="0.5"/>
      <printOptions gridLines="1"/>
      <pageSetup scale="83" orientation="landscape" r:id="rId2"/>
      <headerFooter alignWithMargins="0"/>
    </customSheetView>
  </customSheetViews>
  <mergeCells count="6">
    <mergeCell ref="A9:C9"/>
    <mergeCell ref="A11:C11"/>
    <mergeCell ref="A1:P1"/>
    <mergeCell ref="A2:D2"/>
    <mergeCell ref="A3:C3"/>
    <mergeCell ref="B4:C4"/>
  </mergeCells>
  <printOptions gridLines="1"/>
  <pageMargins left="0.75" right="0.75" top="1" bottom="1" header="0.5" footer="0.5"/>
  <pageSetup scale="83"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5"/>
  <sheetViews>
    <sheetView workbookViewId="0">
      <selection activeCell="A4" sqref="A4:D4"/>
    </sheetView>
  </sheetViews>
  <sheetFormatPr defaultRowHeight="12.75" x14ac:dyDescent="0.2"/>
  <cols>
    <col min="1" max="1" width="2.5703125" customWidth="1"/>
    <col min="2" max="2" width="11" customWidth="1"/>
    <col min="3" max="3" width="12" customWidth="1"/>
    <col min="4" max="4" width="14.28515625" customWidth="1"/>
    <col min="5" max="5" width="10.85546875" customWidth="1"/>
    <col min="6" max="6" width="11.28515625" customWidth="1"/>
    <col min="7" max="7" width="10.28515625" customWidth="1"/>
    <col min="8" max="8" width="11.42578125" customWidth="1"/>
    <col min="9" max="9" width="2.5703125" customWidth="1"/>
    <col min="10" max="10" width="13.7109375" customWidth="1"/>
    <col min="12" max="12" width="14.7109375" customWidth="1"/>
  </cols>
  <sheetData>
    <row r="1" spans="1:16" ht="15.75" x14ac:dyDescent="0.25">
      <c r="A1" s="106" t="s">
        <v>4</v>
      </c>
      <c r="B1" s="107"/>
      <c r="C1" s="107"/>
      <c r="D1" s="107"/>
      <c r="E1" s="107"/>
      <c r="F1" s="107"/>
      <c r="G1" s="107"/>
      <c r="H1" s="107"/>
      <c r="I1" s="107"/>
      <c r="J1" s="107"/>
    </row>
    <row r="2" spans="1:16" ht="75.75" customHeight="1" thickBot="1" x14ac:dyDescent="0.25">
      <c r="A2" s="108" t="s">
        <v>104</v>
      </c>
      <c r="B2" s="109"/>
      <c r="C2" s="109"/>
      <c r="D2" s="109"/>
      <c r="E2" s="109"/>
      <c r="F2" s="109"/>
      <c r="G2" s="109"/>
      <c r="H2" s="1"/>
      <c r="I2" s="17"/>
      <c r="J2" s="16" t="s">
        <v>59</v>
      </c>
      <c r="K2" s="31"/>
      <c r="L2" s="23" t="s">
        <v>58</v>
      </c>
    </row>
    <row r="3" spans="1:16" ht="7.5" customHeight="1" x14ac:dyDescent="0.2">
      <c r="A3" s="110"/>
      <c r="B3" s="111"/>
    </row>
    <row r="4" spans="1:16" x14ac:dyDescent="0.2">
      <c r="A4" s="112" t="s">
        <v>105</v>
      </c>
      <c r="B4" s="113"/>
      <c r="C4" s="113"/>
      <c r="D4" s="113"/>
    </row>
    <row r="5" spans="1:16" x14ac:dyDescent="0.2">
      <c r="A5" s="15"/>
      <c r="B5" s="98" t="s">
        <v>106</v>
      </c>
      <c r="C5" s="99"/>
      <c r="D5" s="99"/>
      <c r="E5" s="99"/>
      <c r="F5" s="99"/>
      <c r="G5" s="99"/>
      <c r="H5" s="89">
        <v>1444486</v>
      </c>
      <c r="J5" s="2">
        <f>'Burden and Cost Per Filer'!N4</f>
        <v>151.13630386740331</v>
      </c>
      <c r="L5" s="9">
        <f>'Burden and Cost Per Filer'!P9</f>
        <v>1769.758905249068</v>
      </c>
    </row>
    <row r="6" spans="1:16" x14ac:dyDescent="0.2">
      <c r="A6" s="15"/>
      <c r="B6" s="101" t="s">
        <v>5</v>
      </c>
      <c r="C6" s="101"/>
      <c r="D6" s="101"/>
      <c r="E6" s="101"/>
      <c r="F6" s="101"/>
      <c r="G6" s="101"/>
      <c r="J6" s="19">
        <f>J5/H5</f>
        <v>1.0462981563504479E-4</v>
      </c>
      <c r="L6" s="32">
        <f>(L5)/H5</f>
        <v>1.225182456077157E-3</v>
      </c>
    </row>
    <row r="7" spans="1:16" x14ac:dyDescent="0.2">
      <c r="P7" s="14"/>
    </row>
    <row r="8" spans="1:16" x14ac:dyDescent="0.2">
      <c r="B8" s="100" t="s">
        <v>108</v>
      </c>
      <c r="C8" s="101"/>
      <c r="D8" s="101"/>
      <c r="E8" s="101"/>
      <c r="F8" s="101"/>
      <c r="G8" s="101"/>
      <c r="H8" s="9">
        <v>92126.18</v>
      </c>
      <c r="J8" s="2">
        <f>'Burden and Cost Per Filer'!N4</f>
        <v>151.13630386740331</v>
      </c>
      <c r="L8" s="9">
        <f>L5</f>
        <v>1769.758905249068</v>
      </c>
      <c r="P8" s="13"/>
    </row>
    <row r="9" spans="1:16" x14ac:dyDescent="0.2">
      <c r="B9" s="101" t="s">
        <v>5</v>
      </c>
      <c r="C9" s="101"/>
      <c r="D9" s="101"/>
      <c r="E9" s="101"/>
      <c r="F9" s="101"/>
      <c r="G9" s="101"/>
      <c r="J9" s="3">
        <f>J8/H8</f>
        <v>1.6405358809776257E-3</v>
      </c>
      <c r="L9" s="32">
        <f>L8/H8</f>
        <v>1.921016268393054E-2</v>
      </c>
      <c r="P9" s="10"/>
    </row>
    <row r="10" spans="1:16" x14ac:dyDescent="0.2">
      <c r="B10" s="12"/>
      <c r="C10" s="12"/>
      <c r="D10" s="12"/>
      <c r="E10" s="12"/>
      <c r="F10" s="12"/>
      <c r="G10" s="12"/>
      <c r="J10" s="3"/>
      <c r="P10" s="10"/>
    </row>
    <row r="11" spans="1:16" x14ac:dyDescent="0.2">
      <c r="B11" s="30" t="s">
        <v>57</v>
      </c>
      <c r="C11" s="12"/>
      <c r="D11" s="12"/>
      <c r="E11" s="12"/>
      <c r="F11" s="12"/>
      <c r="G11" s="12"/>
      <c r="J11" s="3"/>
      <c r="P11" s="10"/>
    </row>
    <row r="12" spans="1:16" x14ac:dyDescent="0.2">
      <c r="B12" s="100" t="s">
        <v>109</v>
      </c>
      <c r="C12" s="101"/>
      <c r="D12" s="101"/>
      <c r="E12" s="101"/>
      <c r="F12" s="101"/>
      <c r="G12" s="101"/>
      <c r="J12" s="86">
        <f>'Burden and Cost Per Filer'!B18</f>
        <v>92.532430939226515</v>
      </c>
      <c r="P12" s="14"/>
    </row>
    <row r="13" spans="1:16" x14ac:dyDescent="0.2">
      <c r="B13" s="101" t="s">
        <v>5</v>
      </c>
      <c r="C13" s="101"/>
      <c r="D13" s="101"/>
      <c r="E13" s="101"/>
      <c r="F13" s="101"/>
      <c r="G13" s="101"/>
      <c r="J13" s="21">
        <f>J12/H5</f>
        <v>6.4059070796966194E-5</v>
      </c>
      <c r="P13" s="13"/>
    </row>
    <row r="14" spans="1:16" x14ac:dyDescent="0.2">
      <c r="B14" s="12"/>
      <c r="C14" s="12"/>
      <c r="D14" s="12"/>
      <c r="E14" s="12"/>
      <c r="F14" s="12"/>
      <c r="G14" s="12"/>
      <c r="J14" s="21"/>
      <c r="P14" s="13"/>
    </row>
    <row r="15" spans="1:16" x14ac:dyDescent="0.2">
      <c r="B15" s="100" t="s">
        <v>110</v>
      </c>
      <c r="C15" s="101"/>
      <c r="D15" s="101"/>
      <c r="E15" s="101"/>
      <c r="F15" s="101"/>
      <c r="G15" s="101"/>
      <c r="J15" s="87">
        <v>92.532430000000005</v>
      </c>
      <c r="P15" s="13"/>
    </row>
    <row r="16" spans="1:16" x14ac:dyDescent="0.2">
      <c r="A16" s="102"/>
      <c r="B16" s="103"/>
      <c r="J16" s="3">
        <f>J15/H8</f>
        <v>1.0044097128525248E-3</v>
      </c>
      <c r="P16" s="13"/>
    </row>
    <row r="17" spans="1:12" x14ac:dyDescent="0.2">
      <c r="A17" s="11"/>
      <c r="J17" s="3"/>
    </row>
    <row r="18" spans="1:12" x14ac:dyDescent="0.2">
      <c r="A18" s="11"/>
      <c r="B18" s="82" t="s">
        <v>6</v>
      </c>
      <c r="C18" s="83"/>
      <c r="D18" s="83"/>
      <c r="E18" s="83"/>
    </row>
    <row r="19" spans="1:12" x14ac:dyDescent="0.2">
      <c r="A19" s="10"/>
      <c r="B19" s="104" t="s">
        <v>111</v>
      </c>
      <c r="C19" s="105"/>
      <c r="D19" s="105"/>
      <c r="E19" s="105"/>
      <c r="H19" s="85">
        <v>945530</v>
      </c>
      <c r="J19" s="9">
        <f>'Burden and Cost Per Filer'!N15</f>
        <v>226.70445580110498</v>
      </c>
    </row>
    <row r="20" spans="1:12" x14ac:dyDescent="0.2">
      <c r="B20" s="98" t="s">
        <v>5</v>
      </c>
      <c r="C20" s="99"/>
      <c r="D20" s="99"/>
      <c r="E20" s="99"/>
      <c r="F20" s="99"/>
      <c r="G20" s="99"/>
      <c r="H20" s="85"/>
      <c r="J20" s="21">
        <f>J19/H19</f>
        <v>2.3976442397502458E-4</v>
      </c>
      <c r="L20">
        <f>J19/H19</f>
        <v>2.3976442397502458E-4</v>
      </c>
    </row>
    <row r="21" spans="1:12" x14ac:dyDescent="0.2">
      <c r="B21" s="53"/>
    </row>
    <row r="24" spans="1:12" x14ac:dyDescent="0.2">
      <c r="B24" s="100" t="s">
        <v>107</v>
      </c>
      <c r="C24" s="101"/>
      <c r="D24" s="101"/>
      <c r="E24" s="101"/>
      <c r="F24" s="101"/>
      <c r="G24" s="101"/>
      <c r="H24" s="9">
        <v>67126.880000000005</v>
      </c>
      <c r="J24" s="9">
        <f>'Burden and Cost Per Filer'!N15</f>
        <v>226.70445580110498</v>
      </c>
    </row>
    <row r="25" spans="1:12" x14ac:dyDescent="0.2">
      <c r="B25" s="53" t="s">
        <v>5</v>
      </c>
      <c r="J25" s="20">
        <f>J24/H24</f>
        <v>3.3772529842159352E-3</v>
      </c>
    </row>
    <row r="26" spans="1:12" x14ac:dyDescent="0.2">
      <c r="J26" s="20"/>
    </row>
    <row r="27" spans="1:12" x14ac:dyDescent="0.2">
      <c r="B27" t="s">
        <v>54</v>
      </c>
      <c r="J27" s="88">
        <f>'Revised_final persuader stats'!H7*(10/60)</f>
        <v>15.422071823204419</v>
      </c>
    </row>
    <row r="28" spans="1:12" x14ac:dyDescent="0.2">
      <c r="B28" s="11" t="s">
        <v>55</v>
      </c>
      <c r="J28" s="19">
        <f>(J27)/(H19)+IMDIV(J27,H19)</f>
        <v>3.2621010064629196E-5</v>
      </c>
    </row>
    <row r="30" spans="1:12" x14ac:dyDescent="0.2">
      <c r="B30" s="11" t="s">
        <v>56</v>
      </c>
      <c r="J30" s="53">
        <f>J27</f>
        <v>15.422071823204419</v>
      </c>
    </row>
    <row r="31" spans="1:12" x14ac:dyDescent="0.2">
      <c r="J31" s="90">
        <f xml:space="preserve"> J27/H24</f>
        <v>2.297451009670704E-4</v>
      </c>
    </row>
    <row r="32" spans="1:12" ht="25.5" x14ac:dyDescent="0.2">
      <c r="B32" s="22" t="s">
        <v>49</v>
      </c>
      <c r="E32" s="23" t="s">
        <v>50</v>
      </c>
      <c r="F32" s="23" t="s">
        <v>52</v>
      </c>
    </row>
    <row r="34" spans="2:6" x14ac:dyDescent="0.2">
      <c r="B34" s="22" t="s">
        <v>21</v>
      </c>
      <c r="E34">
        <f>'Number of Reports_Filers'!A11*0.99</f>
        <v>354.62052765957446</v>
      </c>
      <c r="F34">
        <f>'Number of Reports_Filers'!A20</f>
        <v>39297.797446808509</v>
      </c>
    </row>
    <row r="36" spans="2:6" x14ac:dyDescent="0.2">
      <c r="B36" s="22" t="s">
        <v>22</v>
      </c>
      <c r="E36">
        <f>'Number of Reports_Filers'!A15*0.997</f>
        <v>2768.7088800000001</v>
      </c>
    </row>
    <row r="38" spans="2:6" x14ac:dyDescent="0.2">
      <c r="B38" s="22" t="s">
        <v>51</v>
      </c>
      <c r="E38">
        <f>E34 + E36</f>
        <v>3123.3294076595748</v>
      </c>
    </row>
    <row r="45" spans="2:6" x14ac:dyDescent="0.2">
      <c r="B45" t="s">
        <v>53</v>
      </c>
      <c r="E45">
        <f>'Burden and Cost Per Filer'!B19</f>
        <v>3636320.7283105203</v>
      </c>
    </row>
  </sheetData>
  <customSheetViews>
    <customSheetView guid="{07D1C6E8-1552-4ABF-BFED-D23DC7C1C406}" fitToPage="1">
      <selection activeCell="K38" sqref="K38"/>
      <pageMargins left="0.75" right="0.75" top="1" bottom="1" header="0.5" footer="0.5"/>
      <printOptions gridLines="1"/>
      <pageSetup scale="77" orientation="landscape" r:id="rId1"/>
      <headerFooter alignWithMargins="0"/>
    </customSheetView>
    <customSheetView guid="{E3F6BAC6-6800-43B1-BFE7-2CAB78C78903}" showPageBreaks="1" fitToPage="1">
      <selection activeCell="K26" sqref="K26"/>
      <pageMargins left="0.75" right="0.75" top="1" bottom="1" header="0.5" footer="0.5"/>
      <printOptions gridLines="1"/>
      <pageSetup scale="77" orientation="landscape" r:id="rId2"/>
      <headerFooter alignWithMargins="0"/>
    </customSheetView>
  </customSheetViews>
  <mergeCells count="15">
    <mergeCell ref="B8:G8"/>
    <mergeCell ref="B9:G9"/>
    <mergeCell ref="B6:G6"/>
    <mergeCell ref="A1:J1"/>
    <mergeCell ref="A2:G2"/>
    <mergeCell ref="A3:B3"/>
    <mergeCell ref="A4:D4"/>
    <mergeCell ref="B5:G5"/>
    <mergeCell ref="B20:G20"/>
    <mergeCell ref="B24:G24"/>
    <mergeCell ref="B12:G12"/>
    <mergeCell ref="B13:G13"/>
    <mergeCell ref="A16:B16"/>
    <mergeCell ref="B15:G15"/>
    <mergeCell ref="B19:E19"/>
  </mergeCells>
  <printOptions gridLines="1"/>
  <pageMargins left="0.75" right="0.75" top="1" bottom="1" header="0.5" footer="0.5"/>
  <pageSetup scale="77" orientation="landscape" r:id="rId3"/>
  <headerFooter alignWithMargins="0"/>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0"/>
  <sheetViews>
    <sheetView tabSelected="1" workbookViewId="0">
      <selection activeCell="B12" sqref="B12"/>
    </sheetView>
  </sheetViews>
  <sheetFormatPr defaultRowHeight="15" x14ac:dyDescent="0.25"/>
  <cols>
    <col min="1" max="1" width="64.28515625" style="33" customWidth="1"/>
    <col min="2" max="2" width="9.5703125" style="33" bestFit="1" customWidth="1"/>
    <col min="3" max="3" width="9.5703125" style="33" customWidth="1"/>
    <col min="4" max="4" width="9.5703125" style="33" bestFit="1" customWidth="1"/>
    <col min="5" max="6" width="9.28515625" style="33" bestFit="1" customWidth="1"/>
    <col min="7" max="8" width="9.5703125" style="33" bestFit="1" customWidth="1"/>
    <col min="9" max="16384" width="9.140625" style="33"/>
  </cols>
  <sheetData>
    <row r="1" spans="1:11" x14ac:dyDescent="0.25">
      <c r="A1" s="44" t="s">
        <v>74</v>
      </c>
      <c r="B1" s="44" t="s">
        <v>79</v>
      </c>
      <c r="C1" s="44">
        <v>2009</v>
      </c>
      <c r="D1" s="44">
        <v>2010</v>
      </c>
      <c r="E1" s="44">
        <v>2011</v>
      </c>
      <c r="F1" s="44">
        <v>2012</v>
      </c>
      <c r="G1" s="44">
        <v>2013</v>
      </c>
      <c r="H1" s="44">
        <v>2014</v>
      </c>
    </row>
    <row r="2" spans="1:11" x14ac:dyDescent="0.25">
      <c r="A2" s="35" t="s">
        <v>73</v>
      </c>
      <c r="B2" s="39"/>
      <c r="C2" s="39"/>
      <c r="D2" s="39"/>
      <c r="E2" s="39"/>
      <c r="F2" s="39"/>
      <c r="G2" s="39"/>
      <c r="H2" s="39"/>
      <c r="K2" s="57"/>
    </row>
    <row r="3" spans="1:11" x14ac:dyDescent="0.25">
      <c r="A3" s="34" t="s">
        <v>72</v>
      </c>
      <c r="B3" s="34"/>
      <c r="C3" s="34"/>
      <c r="D3" s="40"/>
      <c r="E3" s="40"/>
      <c r="F3" s="40"/>
      <c r="G3" s="34"/>
      <c r="H3" s="41">
        <v>9.6</v>
      </c>
    </row>
    <row r="4" spans="1:11" x14ac:dyDescent="0.25">
      <c r="A4" s="34" t="s">
        <v>71</v>
      </c>
      <c r="B4" s="34"/>
      <c r="C4" s="34"/>
      <c r="D4" s="40"/>
      <c r="E4" s="40"/>
      <c r="F4" s="40"/>
      <c r="G4" s="34"/>
      <c r="H4" s="41">
        <v>21.72</v>
      </c>
    </row>
    <row r="5" spans="1:11" x14ac:dyDescent="0.25">
      <c r="A5" s="34" t="s">
        <v>70</v>
      </c>
      <c r="B5" s="34"/>
      <c r="C5" s="34"/>
      <c r="D5" s="43"/>
      <c r="E5" s="43"/>
      <c r="F5" s="43"/>
      <c r="G5" s="34"/>
      <c r="H5" s="75">
        <f>H3/H4</f>
        <v>0.44198895027624308</v>
      </c>
    </row>
    <row r="6" spans="1:11" x14ac:dyDescent="0.25">
      <c r="A6" s="42" t="s">
        <v>69</v>
      </c>
      <c r="B6" s="34"/>
      <c r="C6" s="34"/>
      <c r="D6" s="40"/>
      <c r="E6" s="40"/>
      <c r="F6" s="40"/>
      <c r="G6" s="34"/>
      <c r="H6" s="76">
        <v>64.17</v>
      </c>
    </row>
    <row r="7" spans="1:11" x14ac:dyDescent="0.25">
      <c r="A7" s="34" t="s">
        <v>68</v>
      </c>
      <c r="B7" s="34"/>
      <c r="C7" s="34"/>
      <c r="D7" s="56"/>
      <c r="E7" s="56"/>
      <c r="F7" s="56"/>
      <c r="G7" s="55"/>
      <c r="H7" s="77">
        <f>H6*(1+H5)</f>
        <v>92.532430939226515</v>
      </c>
    </row>
    <row r="8" spans="1:11" x14ac:dyDescent="0.25">
      <c r="A8" s="61" t="s">
        <v>85</v>
      </c>
      <c r="B8" s="41"/>
      <c r="C8" s="41"/>
      <c r="D8" s="78">
        <v>1000</v>
      </c>
      <c r="E8" s="78">
        <v>956</v>
      </c>
      <c r="F8" s="78">
        <v>920</v>
      </c>
      <c r="G8" s="41">
        <v>934</v>
      </c>
      <c r="H8" s="41">
        <v>970</v>
      </c>
    </row>
    <row r="9" spans="1:11" x14ac:dyDescent="0.25">
      <c r="A9" s="61" t="s">
        <v>87</v>
      </c>
      <c r="B9" s="41"/>
      <c r="C9" s="41"/>
      <c r="D9" s="78">
        <v>251</v>
      </c>
      <c r="E9" s="78">
        <v>246</v>
      </c>
      <c r="F9" s="78">
        <v>236</v>
      </c>
      <c r="G9" s="41">
        <v>309</v>
      </c>
      <c r="H9" s="41">
        <v>375</v>
      </c>
    </row>
    <row r="10" spans="1:11" x14ac:dyDescent="0.25">
      <c r="A10" s="61" t="s">
        <v>88</v>
      </c>
      <c r="B10" s="41">
        <f>AVERAGE(D8:H8)</f>
        <v>956</v>
      </c>
      <c r="C10" s="41"/>
      <c r="D10" s="78"/>
      <c r="E10" s="78"/>
      <c r="F10" s="78"/>
      <c r="G10" s="41"/>
      <c r="H10" s="41"/>
    </row>
    <row r="11" spans="1:11" x14ac:dyDescent="0.25">
      <c r="A11" s="61" t="s">
        <v>89</v>
      </c>
      <c r="B11" s="41">
        <f>AVERAGE(D9:H9)</f>
        <v>283.39999999999998</v>
      </c>
      <c r="C11" s="41"/>
      <c r="D11" s="78"/>
      <c r="E11" s="78"/>
      <c r="F11" s="78"/>
      <c r="G11" s="41"/>
      <c r="H11" s="41"/>
    </row>
    <row r="12" spans="1:11" x14ac:dyDescent="0.25">
      <c r="A12" s="61" t="s">
        <v>90</v>
      </c>
      <c r="B12" s="41">
        <f>B10-B11</f>
        <v>672.6</v>
      </c>
      <c r="C12" s="41"/>
      <c r="D12" s="78"/>
      <c r="E12" s="78"/>
      <c r="F12" s="78"/>
      <c r="G12" s="41"/>
      <c r="H12" s="41"/>
    </row>
    <row r="13" spans="1:11" x14ac:dyDescent="0.25">
      <c r="A13" s="61" t="s">
        <v>86</v>
      </c>
      <c r="B13" s="36">
        <f>SUM(D13:H13)</f>
        <v>2726</v>
      </c>
      <c r="C13" s="34"/>
      <c r="D13" s="78">
        <v>446</v>
      </c>
      <c r="E13" s="78">
        <v>452</v>
      </c>
      <c r="F13" s="78">
        <v>617</v>
      </c>
      <c r="G13" s="41">
        <v>571</v>
      </c>
      <c r="H13" s="41">
        <v>640</v>
      </c>
    </row>
    <row r="14" spans="1:11" x14ac:dyDescent="0.25">
      <c r="A14" s="34" t="s">
        <v>67</v>
      </c>
      <c r="B14" s="36">
        <f>SUM(D14:H14)</f>
        <v>464</v>
      </c>
      <c r="C14" s="34"/>
      <c r="D14" s="78">
        <v>74</v>
      </c>
      <c r="E14" s="78">
        <v>88</v>
      </c>
      <c r="F14" s="78">
        <v>99</v>
      </c>
      <c r="G14" s="41">
        <v>93</v>
      </c>
      <c r="H14" s="41">
        <v>110</v>
      </c>
    </row>
    <row r="15" spans="1:11" x14ac:dyDescent="0.25">
      <c r="A15" s="61" t="s">
        <v>83</v>
      </c>
      <c r="B15" s="34">
        <f>B13/B14</f>
        <v>5.875</v>
      </c>
      <c r="C15" s="34"/>
      <c r="D15" s="38"/>
      <c r="E15" s="38"/>
      <c r="F15" s="38"/>
      <c r="G15" s="34"/>
      <c r="H15" s="34"/>
    </row>
    <row r="16" spans="1:11" x14ac:dyDescent="0.25">
      <c r="A16" s="36">
        <f>AVERAGE(D13:H13)</f>
        <v>545.20000000000005</v>
      </c>
      <c r="B16" s="34"/>
      <c r="C16" s="34"/>
      <c r="D16" s="38"/>
      <c r="E16" s="38"/>
      <c r="F16" s="38"/>
      <c r="G16" s="34"/>
      <c r="H16" s="34"/>
    </row>
    <row r="17" spans="1:8" x14ac:dyDescent="0.25">
      <c r="A17" s="58" t="s">
        <v>81</v>
      </c>
      <c r="B17" s="34"/>
      <c r="C17" s="34"/>
      <c r="D17" s="38"/>
      <c r="E17" s="38"/>
      <c r="F17" s="38"/>
      <c r="G17" s="34"/>
      <c r="H17" s="34"/>
    </row>
    <row r="18" spans="1:8" x14ac:dyDescent="0.25">
      <c r="A18" s="36">
        <f>AVERAGE(D14:H14)</f>
        <v>92.8</v>
      </c>
      <c r="B18" s="34"/>
      <c r="C18" s="34"/>
      <c r="D18" s="38"/>
      <c r="E18" s="38"/>
      <c r="F18" s="38"/>
      <c r="G18" s="34"/>
      <c r="H18" s="34"/>
    </row>
    <row r="19" spans="1:8" x14ac:dyDescent="0.25">
      <c r="A19" s="58" t="s">
        <v>82</v>
      </c>
      <c r="B19" s="34"/>
      <c r="C19" s="34"/>
      <c r="D19" s="38"/>
      <c r="E19" s="38"/>
      <c r="F19" s="38"/>
      <c r="G19" s="34"/>
      <c r="H19" s="34"/>
    </row>
    <row r="20" spans="1:8" x14ac:dyDescent="0.25">
      <c r="A20" s="34">
        <f>A16/A18</f>
        <v>5.8750000000000009</v>
      </c>
      <c r="B20" s="34"/>
      <c r="C20" s="34"/>
      <c r="D20" s="38"/>
      <c r="E20" s="38"/>
      <c r="F20" s="38"/>
      <c r="G20" s="34"/>
      <c r="H20" s="34"/>
    </row>
    <row r="21" spans="1:8" x14ac:dyDescent="0.25">
      <c r="A21" s="35" t="s">
        <v>84</v>
      </c>
      <c r="B21" s="38"/>
      <c r="C21" s="38">
        <v>2696</v>
      </c>
      <c r="D21" s="38">
        <v>2969</v>
      </c>
      <c r="E21" s="37">
        <v>2634</v>
      </c>
      <c r="F21" s="37">
        <v>2484</v>
      </c>
      <c r="G21" s="78">
        <v>2507</v>
      </c>
      <c r="H21" s="78"/>
    </row>
    <row r="22" spans="1:8" x14ac:dyDescent="0.25">
      <c r="A22" s="79" t="s">
        <v>75</v>
      </c>
      <c r="B22" s="60">
        <f>AVERAGE(C21:G21)</f>
        <v>2658</v>
      </c>
      <c r="C22" s="60"/>
      <c r="D22" s="34"/>
      <c r="E22" s="34"/>
      <c r="F22" s="34"/>
      <c r="G22" s="60"/>
      <c r="H22" s="60"/>
    </row>
    <row r="23" spans="1:8" x14ac:dyDescent="0.25">
      <c r="A23" s="34" t="s">
        <v>66</v>
      </c>
      <c r="B23" s="34"/>
      <c r="C23" s="34"/>
      <c r="D23" s="35">
        <v>46</v>
      </c>
      <c r="E23" s="35">
        <v>40</v>
      </c>
      <c r="F23" s="35">
        <v>41</v>
      </c>
      <c r="G23" s="41">
        <v>34</v>
      </c>
      <c r="H23" s="41">
        <v>39</v>
      </c>
    </row>
    <row r="24" spans="1:8" x14ac:dyDescent="0.25">
      <c r="A24" s="58" t="s">
        <v>80</v>
      </c>
      <c r="B24" s="34">
        <f>AVERAGE(D23:H23)</f>
        <v>40</v>
      </c>
      <c r="C24" s="34"/>
      <c r="D24" s="34"/>
      <c r="E24" s="34"/>
      <c r="F24" s="34"/>
      <c r="G24" s="34"/>
      <c r="H24" s="34"/>
    </row>
    <row r="25" spans="1:8" x14ac:dyDescent="0.25">
      <c r="A25" s="59"/>
      <c r="B25" s="60"/>
      <c r="C25" s="60"/>
      <c r="D25" s="34"/>
      <c r="E25" s="34"/>
      <c r="F25" s="34"/>
      <c r="G25" s="34"/>
      <c r="H25" s="34"/>
    </row>
    <row r="26" spans="1:8" x14ac:dyDescent="0.25">
      <c r="A26" s="34"/>
      <c r="B26" s="34"/>
      <c r="C26" s="34"/>
      <c r="D26" s="34"/>
      <c r="E26" s="34"/>
      <c r="F26" s="34"/>
      <c r="G26" s="34"/>
      <c r="H26" s="34"/>
    </row>
    <row r="27" spans="1:8" x14ac:dyDescent="0.25">
      <c r="A27" s="34"/>
      <c r="B27" s="34"/>
      <c r="C27" s="34"/>
      <c r="D27" s="34"/>
      <c r="E27" s="34"/>
      <c r="F27" s="34"/>
      <c r="G27" s="34"/>
      <c r="H27" s="34"/>
    </row>
    <row r="29" spans="1:8" x14ac:dyDescent="0.25">
      <c r="A29" s="84" t="s">
        <v>100</v>
      </c>
      <c r="B29" s="33">
        <v>71</v>
      </c>
      <c r="C29" s="33">
        <v>75</v>
      </c>
      <c r="D29" s="33">
        <v>75</v>
      </c>
      <c r="E29" s="33">
        <v>82</v>
      </c>
      <c r="F29" s="33">
        <v>87</v>
      </c>
    </row>
    <row r="30" spans="1:8" x14ac:dyDescent="0.25">
      <c r="A30" s="33">
        <f>AVERAGE(B29:G29)/100</f>
        <v>0.78</v>
      </c>
    </row>
  </sheetData>
  <customSheetViews>
    <customSheetView guid="{07D1C6E8-1552-4ABF-BFED-D23DC7C1C406}" fitToPage="1">
      <selection activeCell="B22" sqref="B22"/>
      <pageMargins left="0.7" right="0.7" top="0.75" bottom="0.75" header="0.3" footer="0.3"/>
      <pageSetup scale="85" orientation="landscape" r:id="rId1"/>
    </customSheetView>
    <customSheetView guid="{E3F6BAC6-6800-43B1-BFE7-2CAB78C78903}" showPageBreaks="1" fitToPage="1">
      <selection activeCell="N2" sqref="N2"/>
      <pageMargins left="0.7" right="0.7" top="0.75" bottom="0.75" header="0.3" footer="0.3"/>
      <pageSetup scale="95" orientation="landscape" r:id="rId2"/>
    </customSheetView>
  </customSheetViews>
  <hyperlinks>
    <hyperlink ref="A2" r:id="rId3"/>
    <hyperlink ref="A6" r:id="rId4"/>
    <hyperlink ref="A21" r:id="rId5" display="NLRB Representation cases received in FY (Figure 1B)"/>
    <hyperlink ref="E23" r:id="rId6" display="http://www.nmb.gov/documents/2011annual-report/pdf/NMB2011_51.1_tables.pdf"/>
    <hyperlink ref="D23" r:id="rId7" display="http://www.nmb.gov/documents/2010annual-report/03_SRS/PDFs/03/NMB2010_SRS_table1.pdf"/>
    <hyperlink ref="F23" r:id="rId8" display="http://www.nmb.gov/documents/2012annual-report/pdf/NMB2012_61.1-tables.pdf"/>
  </hyperlinks>
  <pageMargins left="0.7" right="0.7" top="0.75" bottom="0.75" header="0.3" footer="0.3"/>
  <pageSetup scale="85" orientation="landscape" r:id="rId9"/>
  <legacy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07D1C6E8-1552-4ABF-BFED-D23DC7C1C406}">
      <pageMargins left="0.7" right="0.7" top="0.75" bottom="0.75" header="0.3" footer="0.3"/>
    </customSheetView>
    <customSheetView guid="{E3F6BAC6-6800-43B1-BFE7-2CAB78C78903}" showPageBreaks="1">
      <pageMargins left="0.7" right="0.7" top="0.75" bottom="0.75" header="0.3" footer="0.3"/>
      <pageSetup orientation="portrait" r:id="rId1"/>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Number of Reports_Filers</vt:lpstr>
      <vt:lpstr>Total Burden for All Reports</vt:lpstr>
      <vt:lpstr>Burden and Cost Per Filer</vt:lpstr>
      <vt:lpstr>Reg. Flex Analysis </vt:lpstr>
      <vt:lpstr>Revised_final persuader stats</vt:lpstr>
      <vt:lpstr>Sheet1</vt:lpstr>
    </vt:vector>
  </TitlesOfParts>
  <Company>ESA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Labor</dc:creator>
  <cp:lastModifiedBy>Davis, Andrew - OLMS</cp:lastModifiedBy>
  <cp:lastPrinted>2015-06-02T18:57:50Z</cp:lastPrinted>
  <dcterms:created xsi:type="dcterms:W3CDTF">2008-06-03T18:37:13Z</dcterms:created>
  <dcterms:modified xsi:type="dcterms:W3CDTF">2015-06-03T04:54:14Z</dcterms:modified>
</cp:coreProperties>
</file>